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Zhitong Zheng\Desktop\ChemFate_manuscript\First Submission\Revision\"/>
    </mc:Choice>
  </mc:AlternateContent>
  <xr:revisionPtr revIDLastSave="0" documentId="13_ncr:1_{07D90F84-6CBC-4B04-9A89-5DE148494595}" xr6:coauthVersionLast="45" xr6:coauthVersionMax="45" xr10:uidLastSave="{00000000-0000-0000-0000-000000000000}"/>
  <bookViews>
    <workbookView xWindow="-120" yWindow="-120" windowWidth="29040" windowHeight="17640" activeTab="4" xr2:uid="{00000000-000D-0000-FFFF-FFFF00000000}"/>
  </bookViews>
  <sheets>
    <sheet name="MAMI_24D" sheetId="4" r:id="rId1"/>
    <sheet name="Simplebox_24D" sheetId="5" r:id="rId2"/>
    <sheet name="EQC_Benzene" sheetId="1" r:id="rId3"/>
    <sheet name="MAMI_Benzene" sheetId="2" r:id="rId4"/>
    <sheet name="Simplebox_Benzene" sheetId="3" r:id="rId5"/>
  </sheets>
  <externalReferences>
    <externalReference r:id="rId6"/>
    <externalReference r:id="rId7"/>
    <externalReference r:id="rId8"/>
  </externalReferences>
  <definedNames>
    <definedName name="_Sol25">Simplebox_Benzene!$L$37</definedName>
    <definedName name="Biodeg">Simplebox_Benzene!$L$71</definedName>
    <definedName name="C.OHrad">Simplebox_Benzene!$L$67</definedName>
    <definedName name="CaseData">[1]cases!$J$3:$P$1011</definedName>
    <definedName name="CaseName">[1]input!$L$10</definedName>
    <definedName name="CaseNames">[1]cases!$J$3:$P$3</definedName>
    <definedName name="ChemClass">Simplebox_Benzene!$L$14</definedName>
    <definedName name="ChemData">[1]substances!$B$7:$AA$1041</definedName>
    <definedName name="ChemName">Simplebox_Benzene!$L$5</definedName>
    <definedName name="ChemNames">[1]substances!$B$7:$B$285</definedName>
    <definedName name="ChemRowNr">Simplebox_Benzene!$L$6</definedName>
    <definedName name="CORG">Simplebox_Benzene!$L$156</definedName>
    <definedName name="Ea.OHrad">Simplebox_Benzene!$L$69</definedName>
    <definedName name="k0.OHrad">Simplebox_Benzene!$L$68</definedName>
    <definedName name="Kow">Simplebox_Benzene!$L$20</definedName>
    <definedName name="Kow.alt">Simplebox_Benzene!$L$21</definedName>
    <definedName name="Ksw">Simplebox_Benzene!$L$17</definedName>
    <definedName name="MatI">MAMI_Benzene!$C$20:$C$27</definedName>
    <definedName name="Molweight">Simplebox_Benzene!$L$15</definedName>
    <definedName name="MT">MAMI_Benzene!$B$111:$I$118</definedName>
    <definedName name="pH.aerw">Simplebox_Benzene!$L$147</definedName>
    <definedName name="pH.s1">Simplebox_Benzene!$L$150</definedName>
    <definedName name="pH.s2">Simplebox_Benzene!$L$151</definedName>
    <definedName name="pH.s3">Simplebox_Benzene!$L$152</definedName>
    <definedName name="pH.w1">Simplebox_Benzene!$L$148</definedName>
    <definedName name="pH.w2">Simplebox_Benzene!$L$149</definedName>
    <definedName name="pKa">Simplebox_Benzene!$L$22</definedName>
    <definedName name="Pvap25">Simplebox_Benzene!$L$35</definedName>
    <definedName name="Q.10">Simplebox_Benzene!$L$73</definedName>
    <definedName name="QSARtable">Simplebox_Benzene!$C$42:$M$64</definedName>
    <definedName name="RHOsolid">Simplebox_Benzene!$L$158</definedName>
    <definedName name="ScenarioData">[1]scenarios!$J$3:$AG$72</definedName>
    <definedName name="ScenarioName">Simplebox_Benzene!$L$8</definedName>
    <definedName name="ScenarioNames">[1]scenarios!$J$3:$AF$3</definedName>
    <definedName name="Tm">Simplebox_Benzene!$L$39</definedName>
    <definedName name="VOLUME.sd1R">[1]regional!$L$9</definedName>
    <definedName name="VOLUME.w2R">[1]regional!$L$8</definedName>
    <definedName name="WATERflow.w1R.w2R">[1]regional!$L$55</definedName>
    <definedName name="WATERflow.w2C.w2R">[1]continental!$L$60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3" i="4" l="1"/>
  <c r="B88" i="4" s="1"/>
  <c r="C83" i="4"/>
  <c r="D82" i="4"/>
  <c r="B89" i="4" s="1"/>
  <c r="C82" i="4"/>
  <c r="H81" i="4"/>
  <c r="H80" i="4"/>
  <c r="H79" i="4"/>
  <c r="H74" i="4"/>
  <c r="H73" i="4"/>
  <c r="D73" i="4"/>
  <c r="D72" i="4"/>
  <c r="C71" i="4"/>
  <c r="D71" i="4" s="1"/>
  <c r="H70" i="4"/>
  <c r="C70" i="4"/>
  <c r="D70" i="4" s="1"/>
  <c r="E65" i="4"/>
  <c r="E66" i="4" s="1"/>
  <c r="Z64" i="4"/>
  <c r="W64" i="4"/>
  <c r="L64" i="4"/>
  <c r="H64" i="4"/>
  <c r="W62" i="4"/>
  <c r="AF61" i="4"/>
  <c r="AF64" i="4" s="1"/>
  <c r="AE61" i="4"/>
  <c r="AC61" i="4"/>
  <c r="AC64" i="4" s="1"/>
  <c r="AB61" i="4"/>
  <c r="Z61" i="4"/>
  <c r="Y61" i="4"/>
  <c r="W61" i="4"/>
  <c r="V61" i="4"/>
  <c r="T61" i="4"/>
  <c r="T64" i="4" s="1"/>
  <c r="S61" i="4"/>
  <c r="P61" i="4"/>
  <c r="P64" i="4" s="1"/>
  <c r="O61" i="4"/>
  <c r="L61" i="4"/>
  <c r="K61" i="4"/>
  <c r="H61" i="4"/>
  <c r="G61" i="4"/>
  <c r="F61" i="4"/>
  <c r="W60" i="4"/>
  <c r="H60" i="4"/>
  <c r="AE59" i="4"/>
  <c r="AB59" i="4"/>
  <c r="C77" i="4" s="1"/>
  <c r="D77" i="4" s="1"/>
  <c r="Z59" i="4"/>
  <c r="Z60" i="4" s="1"/>
  <c r="Y59" i="4"/>
  <c r="V59" i="4"/>
  <c r="V60" i="4" s="1"/>
  <c r="S59" i="4"/>
  <c r="O59" i="4"/>
  <c r="O60" i="4" s="1"/>
  <c r="O65" i="4" s="1"/>
  <c r="L59" i="4"/>
  <c r="K59" i="4"/>
  <c r="H59" i="4"/>
  <c r="G59" i="4"/>
  <c r="G60" i="4" s="1"/>
  <c r="F59" i="4"/>
  <c r="F60" i="4" s="1"/>
  <c r="AD58" i="4"/>
  <c r="AA58" i="4"/>
  <c r="X58" i="4"/>
  <c r="U58" i="4"/>
  <c r="Q58" i="4"/>
  <c r="M58" i="4"/>
  <c r="I58" i="4"/>
  <c r="D58" i="4"/>
  <c r="AD57" i="4"/>
  <c r="AA57" i="4"/>
  <c r="X57" i="4"/>
  <c r="U57" i="4"/>
  <c r="Q57" i="4"/>
  <c r="M57" i="4"/>
  <c r="I57" i="4"/>
  <c r="D57" i="4"/>
  <c r="AF54" i="4"/>
  <c r="AF59" i="4" s="1"/>
  <c r="AC54" i="4"/>
  <c r="AC59" i="4" s="1"/>
  <c r="Z54" i="4"/>
  <c r="W54" i="4"/>
  <c r="W59" i="4" s="1"/>
  <c r="T54" i="4"/>
  <c r="T59" i="4" s="1"/>
  <c r="P54" i="4"/>
  <c r="P59" i="4" s="1"/>
  <c r="L54" i="4"/>
  <c r="U51" i="4"/>
  <c r="AA51" i="4" s="1"/>
  <c r="AD48" i="4"/>
  <c r="AA48" i="4"/>
  <c r="X48" i="4"/>
  <c r="U48" i="4"/>
  <c r="Q48" i="4"/>
  <c r="M48" i="4"/>
  <c r="I48" i="4"/>
  <c r="D48" i="4"/>
  <c r="D51" i="4" s="1"/>
  <c r="X46" i="4"/>
  <c r="E42" i="4"/>
  <c r="E41" i="4"/>
  <c r="D41" i="4"/>
  <c r="D42" i="4" s="1"/>
  <c r="C40" i="4"/>
  <c r="C39" i="4" s="1"/>
  <c r="F41" i="4" s="1"/>
  <c r="F42" i="4" s="1"/>
  <c r="C38" i="4"/>
  <c r="D37" i="4"/>
  <c r="H62" i="4" s="1"/>
  <c r="D36" i="4"/>
  <c r="N65" i="4" s="1"/>
  <c r="N66" i="4" s="1"/>
  <c r="D32" i="4"/>
  <c r="F25" i="4"/>
  <c r="F21" i="4"/>
  <c r="F20" i="4" a="1"/>
  <c r="F24" i="4" s="1"/>
  <c r="D15" i="4"/>
  <c r="J158" i="3"/>
  <c r="L158" i="3" s="1"/>
  <c r="J157" i="3"/>
  <c r="L157" i="3" s="1"/>
  <c r="J156" i="3"/>
  <c r="L156" i="3" s="1"/>
  <c r="J155" i="3"/>
  <c r="L155" i="3" s="1"/>
  <c r="J154" i="3"/>
  <c r="J153" i="3"/>
  <c r="L152" i="3"/>
  <c r="J152" i="3"/>
  <c r="L151" i="3"/>
  <c r="J151" i="3"/>
  <c r="J150" i="3"/>
  <c r="I150" i="3"/>
  <c r="L150" i="3" s="1"/>
  <c r="J149" i="3"/>
  <c r="I149" i="3"/>
  <c r="L149" i="3" s="1"/>
  <c r="L148" i="3"/>
  <c r="J148" i="3"/>
  <c r="J147" i="3"/>
  <c r="L147" i="3" s="1"/>
  <c r="J146" i="3"/>
  <c r="L122" i="3"/>
  <c r="L121" i="3"/>
  <c r="I120" i="3"/>
  <c r="L120" i="3" s="1"/>
  <c r="L119" i="3"/>
  <c r="L118" i="3"/>
  <c r="L117" i="3"/>
  <c r="L116" i="3"/>
  <c r="L115" i="3"/>
  <c r="L114" i="3"/>
  <c r="L113" i="3"/>
  <c r="I112" i="3"/>
  <c r="L112" i="3" s="1"/>
  <c r="I111" i="3"/>
  <c r="L111" i="3" s="1"/>
  <c r="I82" i="3"/>
  <c r="L75" i="3"/>
  <c r="I75" i="3"/>
  <c r="L74" i="3"/>
  <c r="I74" i="3"/>
  <c r="J73" i="3"/>
  <c r="L73" i="3" s="1"/>
  <c r="L72" i="3"/>
  <c r="J72" i="3"/>
  <c r="J71" i="3"/>
  <c r="L71" i="3" s="1"/>
  <c r="L70" i="3"/>
  <c r="I70" i="3"/>
  <c r="J69" i="3"/>
  <c r="L69" i="3" s="1"/>
  <c r="J68" i="3"/>
  <c r="L68" i="3" s="1"/>
  <c r="J67" i="3"/>
  <c r="L67" i="3" s="1"/>
  <c r="L66" i="3"/>
  <c r="I66" i="3"/>
  <c r="L39" i="3"/>
  <c r="K39" i="3"/>
  <c r="L38" i="3"/>
  <c r="J38" i="3"/>
  <c r="J36" i="3"/>
  <c r="L35" i="3"/>
  <c r="K35" i="3"/>
  <c r="J34" i="3"/>
  <c r="J33" i="3"/>
  <c r="J32" i="3"/>
  <c r="J31" i="3"/>
  <c r="J30" i="3"/>
  <c r="J29" i="3"/>
  <c r="J28" i="3"/>
  <c r="J27" i="3"/>
  <c r="J26" i="3"/>
  <c r="J25" i="3"/>
  <c r="J24" i="3"/>
  <c r="J23" i="3"/>
  <c r="J21" i="3"/>
  <c r="K20" i="3"/>
  <c r="I20" i="3"/>
  <c r="L20" i="3" s="1"/>
  <c r="J63" i="3" s="1"/>
  <c r="I19" i="3"/>
  <c r="L19" i="3" s="1"/>
  <c r="J18" i="3"/>
  <c r="K15" i="3"/>
  <c r="L14" i="3"/>
  <c r="L10" i="3"/>
  <c r="L8" i="3"/>
  <c r="J119" i="3" s="1"/>
  <c r="L6" i="3"/>
  <c r="L5" i="3" s="1"/>
  <c r="J74" i="3" s="1"/>
  <c r="J89" i="3" l="1"/>
  <c r="J105" i="3"/>
  <c r="J129" i="3"/>
  <c r="L129" i="3" s="1"/>
  <c r="J82" i="3"/>
  <c r="J91" i="3"/>
  <c r="J98" i="3"/>
  <c r="J114" i="3"/>
  <c r="J131" i="3"/>
  <c r="L131" i="3" s="1"/>
  <c r="J139" i="3"/>
  <c r="L139" i="3" s="1"/>
  <c r="J96" i="3"/>
  <c r="J116" i="3"/>
  <c r="J137" i="3"/>
  <c r="L137" i="3" s="1"/>
  <c r="J84" i="3"/>
  <c r="J93" i="3"/>
  <c r="J100" i="3"/>
  <c r="J123" i="3"/>
  <c r="L123" i="3" s="1"/>
  <c r="J133" i="3"/>
  <c r="L133" i="3" s="1"/>
  <c r="J141" i="3"/>
  <c r="L141" i="3" s="1"/>
  <c r="J81" i="3"/>
  <c r="J86" i="3"/>
  <c r="J95" i="3"/>
  <c r="J102" i="3"/>
  <c r="J112" i="3"/>
  <c r="J118" i="3"/>
  <c r="J121" i="3"/>
  <c r="J125" i="3"/>
  <c r="L125" i="3" s="1"/>
  <c r="J135" i="3"/>
  <c r="L135" i="3" s="1"/>
  <c r="J143" i="3"/>
  <c r="L143" i="3" s="1"/>
  <c r="K66" i="3"/>
  <c r="K36" i="3"/>
  <c r="L36" i="3" s="1"/>
  <c r="B94" i="4"/>
  <c r="AF60" i="4"/>
  <c r="AF63" i="4" s="1"/>
  <c r="C79" i="4"/>
  <c r="D79" i="4" s="1"/>
  <c r="B90" i="4" s="1"/>
  <c r="K65" i="4"/>
  <c r="K60" i="4"/>
  <c r="J65" i="4"/>
  <c r="J66" i="4" s="1"/>
  <c r="AE65" i="4"/>
  <c r="AE66" i="4" s="1"/>
  <c r="AE60" i="4"/>
  <c r="AC60" i="4"/>
  <c r="AC63" i="4" s="1"/>
  <c r="F98" i="4"/>
  <c r="P65" i="4"/>
  <c r="P66" i="4" s="1"/>
  <c r="S65" i="4"/>
  <c r="C81" i="4"/>
  <c r="D81" i="4" s="1"/>
  <c r="B92" i="4" s="1"/>
  <c r="S60" i="4"/>
  <c r="W63" i="4"/>
  <c r="T60" i="4"/>
  <c r="T63" i="4" s="1"/>
  <c r="AF62" i="4"/>
  <c r="AF65" i="4" s="1"/>
  <c r="AF66" i="4" s="1"/>
  <c r="T62" i="4"/>
  <c r="T65" i="4" s="1"/>
  <c r="T66" i="4" s="1"/>
  <c r="AC62" i="4"/>
  <c r="AC65" i="4" s="1"/>
  <c r="AC66" i="4" s="1"/>
  <c r="D96" i="4" s="1"/>
  <c r="H118" i="4" s="1"/>
  <c r="P62" i="4"/>
  <c r="Z62" i="4"/>
  <c r="L62" i="4"/>
  <c r="L65" i="4" s="1"/>
  <c r="L66" i="4" s="1"/>
  <c r="W65" i="4"/>
  <c r="W66" i="4" s="1"/>
  <c r="D95" i="4" s="1"/>
  <c r="F116" i="4" s="1"/>
  <c r="V65" i="4"/>
  <c r="V66" i="4" s="1"/>
  <c r="Y60" i="4"/>
  <c r="Y65" i="4" s="1"/>
  <c r="Y66" i="4" s="1"/>
  <c r="H63" i="4"/>
  <c r="H65" i="4" s="1"/>
  <c r="H66" i="4" s="1"/>
  <c r="B97" i="4" s="1"/>
  <c r="F92" i="4"/>
  <c r="O66" i="4"/>
  <c r="M66" i="4" s="1"/>
  <c r="D88" i="4"/>
  <c r="Z63" i="4"/>
  <c r="P60" i="4"/>
  <c r="P63" i="4" s="1"/>
  <c r="F22" i="4"/>
  <c r="F26" i="4"/>
  <c r="F65" i="4"/>
  <c r="F66" i="4" s="1"/>
  <c r="D66" i="4" s="1"/>
  <c r="F87" i="4" s="1"/>
  <c r="B101" i="4" s="1"/>
  <c r="C78" i="4"/>
  <c r="D78" i="4" s="1"/>
  <c r="B93" i="4" s="1"/>
  <c r="F23" i="4"/>
  <c r="F27" i="4"/>
  <c r="L60" i="4"/>
  <c r="L63" i="4" s="1"/>
  <c r="G65" i="4"/>
  <c r="G66" i="4" s="1"/>
  <c r="R65" i="4"/>
  <c r="R66" i="4" s="1"/>
  <c r="C80" i="4"/>
  <c r="D80" i="4" s="1"/>
  <c r="B91" i="4" s="1"/>
  <c r="F20" i="4"/>
  <c r="AB60" i="4"/>
  <c r="AB65" i="4" s="1"/>
  <c r="AB66" i="4" s="1"/>
  <c r="K32" i="3"/>
  <c r="L32" i="3" s="1"/>
  <c r="K28" i="3"/>
  <c r="L28" i="3" s="1"/>
  <c r="K33" i="3"/>
  <c r="K29" i="3"/>
  <c r="K21" i="3"/>
  <c r="L21" i="3" s="1"/>
  <c r="K23" i="3" s="1"/>
  <c r="L23" i="3" s="1"/>
  <c r="J48" i="3"/>
  <c r="J50" i="3"/>
  <c r="J52" i="3"/>
  <c r="J56" i="3"/>
  <c r="J58" i="3"/>
  <c r="J60" i="3"/>
  <c r="J62" i="3"/>
  <c r="J64" i="3"/>
  <c r="K30" i="3"/>
  <c r="L30" i="3" s="1"/>
  <c r="J37" i="3"/>
  <c r="I44" i="3"/>
  <c r="J49" i="3"/>
  <c r="J51" i="3"/>
  <c r="J53" i="3"/>
  <c r="J57" i="3"/>
  <c r="J59" i="3"/>
  <c r="J61" i="3"/>
  <c r="J35" i="3"/>
  <c r="J22" i="3"/>
  <c r="L22" i="3" s="1"/>
  <c r="J44" i="3" s="1"/>
  <c r="J70" i="3"/>
  <c r="J39" i="3"/>
  <c r="J15" i="3"/>
  <c r="L15" i="3" s="1"/>
  <c r="L84" i="3" s="1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J43" i="3"/>
  <c r="J42" i="3"/>
  <c r="K18" i="3" s="1"/>
  <c r="L18" i="3" s="1"/>
  <c r="K24" i="3"/>
  <c r="L24" i="3" s="1"/>
  <c r="K26" i="3"/>
  <c r="L26" i="3" s="1"/>
  <c r="J46" i="3"/>
  <c r="J54" i="3"/>
  <c r="J20" i="3"/>
  <c r="K34" i="3"/>
  <c r="L34" i="3" s="1"/>
  <c r="I43" i="3"/>
  <c r="K70" i="3"/>
  <c r="K25" i="3"/>
  <c r="L25" i="3" s="1"/>
  <c r="J47" i="3"/>
  <c r="J55" i="3"/>
  <c r="J75" i="3"/>
  <c r="K6" i="3"/>
  <c r="J14" i="3"/>
  <c r="J17" i="3"/>
  <c r="J19" i="3"/>
  <c r="K27" i="3"/>
  <c r="L27" i="3" s="1"/>
  <c r="L29" i="3"/>
  <c r="K31" i="3"/>
  <c r="L31" i="3" s="1"/>
  <c r="L33" i="3"/>
  <c r="I42" i="3"/>
  <c r="K17" i="3" s="1"/>
  <c r="J66" i="3"/>
  <c r="J83" i="3"/>
  <c r="J85" i="3"/>
  <c r="J88" i="3"/>
  <c r="J90" i="3"/>
  <c r="J92" i="3"/>
  <c r="J94" i="3"/>
  <c r="L94" i="3" s="1"/>
  <c r="J101" i="3"/>
  <c r="J103" i="3"/>
  <c r="J111" i="3"/>
  <c r="J120" i="3"/>
  <c r="J122" i="3"/>
  <c r="J124" i="3"/>
  <c r="L124" i="3" s="1"/>
  <c r="J126" i="3"/>
  <c r="L126" i="3" s="1"/>
  <c r="J130" i="3"/>
  <c r="L130" i="3" s="1"/>
  <c r="J132" i="3"/>
  <c r="L132" i="3" s="1"/>
  <c r="J134" i="3"/>
  <c r="L134" i="3" s="1"/>
  <c r="J136" i="3"/>
  <c r="L136" i="3" s="1"/>
  <c r="J138" i="3"/>
  <c r="L138" i="3" s="1"/>
  <c r="J140" i="3"/>
  <c r="L140" i="3" s="1"/>
  <c r="J142" i="3"/>
  <c r="L142" i="3" s="1"/>
  <c r="J144" i="3"/>
  <c r="L144" i="3" s="1"/>
  <c r="J80" i="3"/>
  <c r="J97" i="3"/>
  <c r="L97" i="3" s="1"/>
  <c r="J99" i="3"/>
  <c r="J104" i="3"/>
  <c r="L104" i="3" s="1"/>
  <c r="J106" i="3"/>
  <c r="L106" i="3" s="1"/>
  <c r="J113" i="3"/>
  <c r="J115" i="3"/>
  <c r="J117" i="3"/>
  <c r="L96" i="3" l="1"/>
  <c r="L92" i="3"/>
  <c r="L83" i="3"/>
  <c r="L100" i="3"/>
  <c r="L86" i="3"/>
  <c r="L81" i="3"/>
  <c r="L93" i="3"/>
  <c r="L90" i="3"/>
  <c r="L105" i="3"/>
  <c r="K37" i="3"/>
  <c r="L101" i="3"/>
  <c r="L88" i="3"/>
  <c r="L98" i="3"/>
  <c r="L102" i="3"/>
  <c r="D92" i="4"/>
  <c r="F100" i="4"/>
  <c r="G27" i="4"/>
  <c r="AD66" i="4"/>
  <c r="B87" i="4"/>
  <c r="G22" i="4"/>
  <c r="H111" i="4"/>
  <c r="D113" i="4"/>
  <c r="D111" i="4"/>
  <c r="G26" i="4"/>
  <c r="C111" i="4"/>
  <c r="AA66" i="4"/>
  <c r="B96" i="4"/>
  <c r="F111" i="4"/>
  <c r="Z65" i="4"/>
  <c r="Z66" i="4" s="1"/>
  <c r="X66" i="4" s="1"/>
  <c r="E111" i="4"/>
  <c r="G20" i="4"/>
  <c r="D115" i="4"/>
  <c r="U66" i="4"/>
  <c r="D89" i="4"/>
  <c r="F93" i="4"/>
  <c r="S66" i="4"/>
  <c r="Q66" i="4" s="1"/>
  <c r="D87" i="4"/>
  <c r="F91" i="4"/>
  <c r="K66" i="4"/>
  <c r="I66" i="4" s="1"/>
  <c r="L91" i="3"/>
  <c r="L17" i="3"/>
  <c r="K154" i="3"/>
  <c r="L154" i="3" s="1"/>
  <c r="L85" i="3"/>
  <c r="L37" i="3"/>
  <c r="K153" i="3"/>
  <c r="L153" i="3" s="1"/>
  <c r="L82" i="3"/>
  <c r="L80" i="3"/>
  <c r="L89" i="3"/>
  <c r="F99" i="4" l="1"/>
  <c r="D91" i="4"/>
  <c r="G21" i="4"/>
  <c r="F103" i="4"/>
  <c r="F95" i="4"/>
  <c r="D97" i="4"/>
  <c r="G25" i="4"/>
  <c r="F101" i="4"/>
  <c r="E114" i="4" s="1"/>
  <c r="D93" i="4"/>
  <c r="G23" i="4"/>
  <c r="E115" i="4"/>
  <c r="F102" i="4"/>
  <c r="F88" i="4"/>
  <c r="G24" i="4"/>
  <c r="I26" i="4"/>
  <c r="J26" i="4" s="1"/>
  <c r="H26" i="4"/>
  <c r="M26" i="4" s="1"/>
  <c r="N26" i="4" s="1"/>
  <c r="I27" i="4"/>
  <c r="J27" i="4" s="1"/>
  <c r="H27" i="4"/>
  <c r="M27" i="4" s="1"/>
  <c r="N27" i="4" s="1"/>
  <c r="C115" i="4"/>
  <c r="F89" i="4"/>
  <c r="H117" i="4" s="1"/>
  <c r="F104" i="4"/>
  <c r="B98" i="4"/>
  <c r="B99" i="4"/>
  <c r="I20" i="4"/>
  <c r="H20" i="4"/>
  <c r="M20" i="4" s="1"/>
  <c r="N20" i="4" s="1"/>
  <c r="C112" i="4"/>
  <c r="I22" i="4"/>
  <c r="J22" i="4" s="1"/>
  <c r="H22" i="4"/>
  <c r="M22" i="4" s="1"/>
  <c r="N22" i="4" s="1"/>
  <c r="F105" i="4"/>
  <c r="D98" i="4"/>
  <c r="F96" i="4"/>
  <c r="K75" i="3"/>
  <c r="K74" i="3"/>
  <c r="K52" i="3"/>
  <c r="K64" i="3"/>
  <c r="K62" i="3"/>
  <c r="K60" i="3"/>
  <c r="K58" i="3"/>
  <c r="K56" i="3"/>
  <c r="K54" i="3"/>
  <c r="K50" i="3"/>
  <c r="K48" i="3"/>
  <c r="K46" i="3"/>
  <c r="L42" i="3"/>
  <c r="K43" i="3"/>
  <c r="L62" i="3"/>
  <c r="L58" i="3"/>
  <c r="L54" i="3"/>
  <c r="L50" i="3"/>
  <c r="L46" i="3"/>
  <c r="K49" i="3"/>
  <c r="K57" i="3"/>
  <c r="L64" i="3"/>
  <c r="L56" i="3"/>
  <c r="L52" i="3"/>
  <c r="K61" i="3"/>
  <c r="K42" i="3"/>
  <c r="K19" i="3" s="1"/>
  <c r="L61" i="3"/>
  <c r="L57" i="3"/>
  <c r="L53" i="3"/>
  <c r="L49" i="3"/>
  <c r="K44" i="3"/>
  <c r="K51" i="3"/>
  <c r="K59" i="3"/>
  <c r="L63" i="3"/>
  <c r="L59" i="3"/>
  <c r="L51" i="3"/>
  <c r="L47" i="3"/>
  <c r="K55" i="3"/>
  <c r="L60" i="3"/>
  <c r="L48" i="3"/>
  <c r="K53" i="3"/>
  <c r="L55" i="3"/>
  <c r="K47" i="3"/>
  <c r="K63" i="3"/>
  <c r="I118" i="4" l="1"/>
  <c r="I117" i="4"/>
  <c r="I25" i="4"/>
  <c r="J25" i="4" s="1"/>
  <c r="H25" i="4"/>
  <c r="M25" i="4" s="1"/>
  <c r="N25" i="4" s="1"/>
  <c r="I21" i="4"/>
  <c r="J21" i="4" s="1"/>
  <c r="H21" i="4"/>
  <c r="M21" i="4" s="1"/>
  <c r="N21" i="4" s="1"/>
  <c r="B100" i="4"/>
  <c r="I24" i="4"/>
  <c r="J24" i="4" s="1"/>
  <c r="H24" i="4"/>
  <c r="M24" i="4" s="1"/>
  <c r="N24" i="4" s="1"/>
  <c r="I23" i="4"/>
  <c r="J23" i="4" s="1"/>
  <c r="H23" i="4"/>
  <c r="M23" i="4" s="1"/>
  <c r="N23" i="4" s="1"/>
  <c r="G116" i="4"/>
  <c r="G115" i="4"/>
  <c r="J20" i="4"/>
  <c r="K28" i="4"/>
  <c r="F117" i="4"/>
  <c r="F115" i="4"/>
  <c r="D83" i="2"/>
  <c r="B88" i="2" s="1"/>
  <c r="C83" i="2"/>
  <c r="D82" i="2"/>
  <c r="B89" i="2" s="1"/>
  <c r="C82" i="2"/>
  <c r="H81" i="2"/>
  <c r="H80" i="2"/>
  <c r="H79" i="2"/>
  <c r="H74" i="2"/>
  <c r="H73" i="2"/>
  <c r="D73" i="2"/>
  <c r="D72" i="2"/>
  <c r="C71" i="2"/>
  <c r="C78" i="2" s="1"/>
  <c r="D78" i="2" s="1"/>
  <c r="B93" i="2" s="1"/>
  <c r="H70" i="2"/>
  <c r="C70" i="2"/>
  <c r="D70" i="2" s="1"/>
  <c r="E65" i="2"/>
  <c r="E66" i="2" s="1"/>
  <c r="Z64" i="2"/>
  <c r="W64" i="2"/>
  <c r="L64" i="2"/>
  <c r="H64" i="2"/>
  <c r="Z63" i="2"/>
  <c r="L63" i="2"/>
  <c r="H63" i="2"/>
  <c r="W62" i="2"/>
  <c r="AF61" i="2"/>
  <c r="AF64" i="2" s="1"/>
  <c r="AE61" i="2"/>
  <c r="AC61" i="2"/>
  <c r="AC64" i="2" s="1"/>
  <c r="AB61" i="2"/>
  <c r="AB65" i="2" s="1"/>
  <c r="AB66" i="2" s="1"/>
  <c r="Z61" i="2"/>
  <c r="Y61" i="2"/>
  <c r="W61" i="2"/>
  <c r="V61" i="2"/>
  <c r="T61" i="2"/>
  <c r="T64" i="2" s="1"/>
  <c r="S61" i="2"/>
  <c r="P61" i="2"/>
  <c r="P64" i="2" s="1"/>
  <c r="O61" i="2"/>
  <c r="O65" i="2" s="1"/>
  <c r="L61" i="2"/>
  <c r="K61" i="2"/>
  <c r="H61" i="2"/>
  <c r="G61" i="2"/>
  <c r="F61" i="2"/>
  <c r="AF60" i="2"/>
  <c r="AF63" i="2" s="1"/>
  <c r="AE60" i="2"/>
  <c r="AC60" i="2"/>
  <c r="AC63" i="2" s="1"/>
  <c r="AB60" i="2"/>
  <c r="Z60" i="2"/>
  <c r="Y60" i="2"/>
  <c r="W60" i="2"/>
  <c r="W63" i="2" s="1"/>
  <c r="V60" i="2"/>
  <c r="T60" i="2"/>
  <c r="T63" i="2" s="1"/>
  <c r="S60" i="2"/>
  <c r="P60" i="2"/>
  <c r="P63" i="2" s="1"/>
  <c r="O60" i="2"/>
  <c r="L60" i="2"/>
  <c r="K60" i="2"/>
  <c r="H60" i="2"/>
  <c r="G60" i="2"/>
  <c r="F60" i="2"/>
  <c r="AF59" i="2"/>
  <c r="AE59" i="2"/>
  <c r="AC59" i="2"/>
  <c r="AB59" i="2"/>
  <c r="C77" i="2" s="1"/>
  <c r="D77" i="2" s="1"/>
  <c r="Z59" i="2"/>
  <c r="Y59" i="2"/>
  <c r="Y65" i="2" s="1"/>
  <c r="Y66" i="2" s="1"/>
  <c r="W59" i="2"/>
  <c r="V59" i="2"/>
  <c r="T59" i="2"/>
  <c r="S59" i="2"/>
  <c r="P59" i="2"/>
  <c r="O59" i="2"/>
  <c r="C80" i="2" s="1"/>
  <c r="D80" i="2" s="1"/>
  <c r="B91" i="2" s="1"/>
  <c r="L59" i="2"/>
  <c r="K59" i="2"/>
  <c r="J65" i="2" s="1"/>
  <c r="J66" i="2" s="1"/>
  <c r="H59" i="2"/>
  <c r="G59" i="2"/>
  <c r="G65" i="2" s="1"/>
  <c r="G66" i="2" s="1"/>
  <c r="F59" i="2"/>
  <c r="F65" i="2" s="1"/>
  <c r="F66" i="2" s="1"/>
  <c r="AD58" i="2"/>
  <c r="AA58" i="2"/>
  <c r="X58" i="2"/>
  <c r="U58" i="2"/>
  <c r="Q58" i="2"/>
  <c r="M58" i="2"/>
  <c r="I58" i="2"/>
  <c r="D58" i="2"/>
  <c r="AD57" i="2"/>
  <c r="AA57" i="2"/>
  <c r="X57" i="2"/>
  <c r="U57" i="2"/>
  <c r="V65" i="2" s="1"/>
  <c r="V66" i="2" s="1"/>
  <c r="Q57" i="2"/>
  <c r="M57" i="2"/>
  <c r="I57" i="2"/>
  <c r="D57" i="2"/>
  <c r="AF54" i="2"/>
  <c r="AC54" i="2"/>
  <c r="Z54" i="2"/>
  <c r="W54" i="2"/>
  <c r="T54" i="2"/>
  <c r="P54" i="2"/>
  <c r="L54" i="2"/>
  <c r="U51" i="2"/>
  <c r="AA51" i="2" s="1"/>
  <c r="AD48" i="2"/>
  <c r="AA48" i="2"/>
  <c r="X48" i="2"/>
  <c r="U48" i="2"/>
  <c r="Q48" i="2"/>
  <c r="M48" i="2"/>
  <c r="I48" i="2"/>
  <c r="D48" i="2"/>
  <c r="D51" i="2" s="1"/>
  <c r="X46" i="2"/>
  <c r="L42" i="2"/>
  <c r="K42" i="2"/>
  <c r="D42" i="2"/>
  <c r="AF62" i="2" s="1"/>
  <c r="AF65" i="2" s="1"/>
  <c r="AF66" i="2" s="1"/>
  <c r="L41" i="2"/>
  <c r="I41" i="2"/>
  <c r="K41" i="2" s="1"/>
  <c r="E41" i="2"/>
  <c r="E42" i="2" s="1"/>
  <c r="D41" i="2"/>
  <c r="C40" i="2"/>
  <c r="C38" i="2"/>
  <c r="C39" i="2" s="1"/>
  <c r="F41" i="2" s="1"/>
  <c r="F42" i="2" s="1"/>
  <c r="D36" i="2"/>
  <c r="N65" i="2" s="1"/>
  <c r="N66" i="2" s="1"/>
  <c r="D32" i="2"/>
  <c r="C21" i="2"/>
  <c r="D20" i="2"/>
  <c r="C18" i="2"/>
  <c r="C17" i="2"/>
  <c r="C16" i="2"/>
  <c r="C15" i="2"/>
  <c r="J28" i="4" l="1"/>
  <c r="B102" i="4"/>
  <c r="B111" i="4"/>
  <c r="I28" i="4"/>
  <c r="F92" i="2"/>
  <c r="D88" i="2"/>
  <c r="O66" i="2"/>
  <c r="M66" i="2" s="1"/>
  <c r="F111" i="2"/>
  <c r="B94" i="2"/>
  <c r="F98" i="2"/>
  <c r="H65" i="2"/>
  <c r="H66" i="2" s="1"/>
  <c r="B97" i="2" s="1"/>
  <c r="W65" i="2"/>
  <c r="W66" i="2" s="1"/>
  <c r="D95" i="2" s="1"/>
  <c r="D111" i="2"/>
  <c r="F116" i="2"/>
  <c r="U66" i="2"/>
  <c r="C79" i="2"/>
  <c r="D79" i="2" s="1"/>
  <c r="B90" i="2" s="1"/>
  <c r="K65" i="2"/>
  <c r="S65" i="2"/>
  <c r="C81" i="2"/>
  <c r="D81" i="2" s="1"/>
  <c r="B92" i="2" s="1"/>
  <c r="X66" i="2"/>
  <c r="AE65" i="2"/>
  <c r="AE66" i="2" s="1"/>
  <c r="AD66" i="2" s="1"/>
  <c r="Z62" i="2"/>
  <c r="Z65" i="2" s="1"/>
  <c r="Z66" i="2" s="1"/>
  <c r="P62" i="2"/>
  <c r="P65" i="2" s="1"/>
  <c r="P66" i="2" s="1"/>
  <c r="AC62" i="2"/>
  <c r="AC65" i="2" s="1"/>
  <c r="AC66" i="2" s="1"/>
  <c r="R65" i="2"/>
  <c r="R66" i="2" s="1"/>
  <c r="D71" i="2"/>
  <c r="L62" i="2"/>
  <c r="L65" i="2" s="1"/>
  <c r="L66" i="2" s="1"/>
  <c r="D37" i="2"/>
  <c r="H62" i="2" s="1"/>
  <c r="T62" i="2"/>
  <c r="T65" i="2" s="1"/>
  <c r="T66" i="2" s="1"/>
  <c r="B106" i="4" l="1"/>
  <c r="B115" i="4" s="1"/>
  <c r="B104" i="4"/>
  <c r="B113" i="4" s="1"/>
  <c r="B105" i="4"/>
  <c r="B114" i="4" s="1"/>
  <c r="B103" i="4"/>
  <c r="B112" i="4" s="1"/>
  <c r="B107" i="4"/>
  <c r="B117" i="4" s="1"/>
  <c r="D96" i="2"/>
  <c r="H118" i="2" s="1"/>
  <c r="AA66" i="2"/>
  <c r="F100" i="2"/>
  <c r="D92" i="2"/>
  <c r="D113" i="2" s="1"/>
  <c r="F103" i="2"/>
  <c r="F95" i="2"/>
  <c r="D97" i="2"/>
  <c r="D89" i="2"/>
  <c r="F93" i="2"/>
  <c r="S66" i="2"/>
  <c r="Q66" i="2"/>
  <c r="C111" i="2"/>
  <c r="D66" i="2"/>
  <c r="F87" i="2" s="1"/>
  <c r="B101" i="2" s="1"/>
  <c r="H111" i="2"/>
  <c r="E111" i="2"/>
  <c r="B96" i="2"/>
  <c r="F105" i="2"/>
  <c r="D98" i="2"/>
  <c r="F96" i="2"/>
  <c r="D87" i="2"/>
  <c r="K66" i="2"/>
  <c r="I66" i="2" s="1"/>
  <c r="F91" i="2"/>
  <c r="F88" i="2"/>
  <c r="F102" i="2"/>
  <c r="B87" i="2"/>
  <c r="F101" i="2" l="1"/>
  <c r="D93" i="2"/>
  <c r="E114" i="2" s="1"/>
  <c r="D115" i="2"/>
  <c r="G115" i="2"/>
  <c r="G116" i="2"/>
  <c r="I118" i="2"/>
  <c r="I117" i="2"/>
  <c r="F104" i="2"/>
  <c r="F89" i="2"/>
  <c r="H117" i="2" s="1"/>
  <c r="F117" i="2"/>
  <c r="F115" i="2"/>
  <c r="B98" i="2"/>
  <c r="B100" i="2" s="1"/>
  <c r="B99" i="2"/>
  <c r="F99" i="2"/>
  <c r="D91" i="2"/>
  <c r="C115" i="2" s="1"/>
  <c r="C112" i="2" l="1"/>
  <c r="B111" i="2"/>
  <c r="B102" i="2"/>
  <c r="E115" i="2"/>
  <c r="B105" i="2" l="1"/>
  <c r="B114" i="2" s="1"/>
  <c r="B103" i="2"/>
  <c r="B112" i="2" s="1"/>
  <c r="B107" i="2"/>
  <c r="B117" i="2" s="1"/>
  <c r="B106" i="2"/>
  <c r="B115" i="2" s="1"/>
  <c r="F20" i="2" s="1" a="1"/>
  <c r="B104" i="2"/>
  <c r="B113" i="2" s="1"/>
  <c r="F26" i="2" l="1"/>
  <c r="G26" i="2" s="1"/>
  <c r="F22" i="2"/>
  <c r="G22" i="2" s="1"/>
  <c r="F24" i="2"/>
  <c r="G24" i="2" s="1"/>
  <c r="F20" i="2"/>
  <c r="G20" i="2" s="1"/>
  <c r="F25" i="2"/>
  <c r="G25" i="2" s="1"/>
  <c r="F21" i="2"/>
  <c r="G21" i="2" s="1"/>
  <c r="F27" i="2"/>
  <c r="G27" i="2" s="1"/>
  <c r="F23" i="2"/>
  <c r="G23" i="2" s="1"/>
  <c r="I20" i="2" l="1"/>
  <c r="H20" i="2"/>
  <c r="M20" i="2" s="1"/>
  <c r="N20" i="2" s="1"/>
  <c r="H27" i="2"/>
  <c r="M27" i="2" s="1"/>
  <c r="N27" i="2" s="1"/>
  <c r="I27" i="2"/>
  <c r="J27" i="2" s="1"/>
  <c r="I21" i="2"/>
  <c r="J21" i="2" s="1"/>
  <c r="H21" i="2"/>
  <c r="M21" i="2" s="1"/>
  <c r="N21" i="2" s="1"/>
  <c r="H22" i="2"/>
  <c r="M22" i="2" s="1"/>
  <c r="N22" i="2" s="1"/>
  <c r="I22" i="2"/>
  <c r="J22" i="2" s="1"/>
  <c r="H23" i="2"/>
  <c r="M23" i="2" s="1"/>
  <c r="N23" i="2" s="1"/>
  <c r="I23" i="2"/>
  <c r="J23" i="2" s="1"/>
  <c r="H24" i="2"/>
  <c r="M24" i="2" s="1"/>
  <c r="N24" i="2" s="1"/>
  <c r="I24" i="2"/>
  <c r="J24" i="2" s="1"/>
  <c r="I25" i="2"/>
  <c r="J25" i="2" s="1"/>
  <c r="H25" i="2"/>
  <c r="M25" i="2" s="1"/>
  <c r="N25" i="2" s="1"/>
  <c r="H26" i="2"/>
  <c r="M26" i="2" s="1"/>
  <c r="N26" i="2" s="1"/>
  <c r="I26" i="2"/>
  <c r="J26" i="2" s="1"/>
  <c r="I28" i="2" l="1"/>
  <c r="K28" i="2"/>
  <c r="J20" i="2"/>
  <c r="J28" i="2" s="1"/>
</calcChain>
</file>

<file path=xl/sharedStrings.xml><?xml version="1.0" encoding="utf-8"?>
<sst xmlns="http://schemas.openxmlformats.org/spreadsheetml/2006/main" count="1775" uniqueCount="610">
  <si>
    <t>Chemical Name</t>
  </si>
  <si>
    <t>Benzene</t>
  </si>
  <si>
    <t>CAS</t>
  </si>
  <si>
    <t>Molar Mass (g/mol)</t>
  </si>
  <si>
    <t>Data Temperature (°C)</t>
  </si>
  <si>
    <t>Melting Point (°C)</t>
  </si>
  <si>
    <t>Vapor Pressure (Pa)</t>
  </si>
  <si>
    <t>Solubility in Water (g/m³)</t>
  </si>
  <si>
    <t>Henry's Law Constant (Pa·m³/mol)</t>
  </si>
  <si>
    <t>Reaction Half-Lives (hours)</t>
  </si>
  <si>
    <t>In Air</t>
  </si>
  <si>
    <t>In Water</t>
  </si>
  <si>
    <t>In Soil</t>
  </si>
  <si>
    <t>In Sediment</t>
  </si>
  <si>
    <t>Partition Coefficients</t>
  </si>
  <si>
    <r>
      <t>logK</t>
    </r>
    <r>
      <rPr>
        <vertAlign val="subscript"/>
        <sz val="10"/>
        <color indexed="9"/>
        <rFont val="Arial"/>
        <family val="2"/>
      </rPr>
      <t>OW</t>
    </r>
  </si>
  <si>
    <r>
      <t>K</t>
    </r>
    <r>
      <rPr>
        <vertAlign val="subscript"/>
        <sz val="10"/>
        <color indexed="9"/>
        <rFont val="Arial"/>
        <family val="2"/>
      </rPr>
      <t>OC</t>
    </r>
  </si>
  <si>
    <t>-</t>
  </si>
  <si>
    <t>Inputs - Chemical Properties</t>
  </si>
  <si>
    <t>EQC - Environment properties</t>
  </si>
  <si>
    <t>ENVIRONMENTAL PROPERTIES</t>
  </si>
  <si>
    <t>Please complete all fields or select an environment from the database:</t>
  </si>
  <si>
    <t>Environment Name</t>
  </si>
  <si>
    <t>EQC</t>
  </si>
  <si>
    <r>
      <t>Area (m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</si>
  <si>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Air</t>
  </si>
  <si>
    <t>Volume Fractions</t>
  </si>
  <si>
    <t>Water</t>
  </si>
  <si>
    <t>Aerosol in Air</t>
  </si>
  <si>
    <t>Soil</t>
  </si>
  <si>
    <t xml:space="preserve">Susp. Particles in Water </t>
  </si>
  <si>
    <t>Sediment</t>
  </si>
  <si>
    <t>Fish in Water</t>
  </si>
  <si>
    <t>Air in Soil</t>
  </si>
  <si>
    <t>Advective Flow Residence Times (h)</t>
  </si>
  <si>
    <t>Water in Soil</t>
  </si>
  <si>
    <t>Solids in Soil</t>
  </si>
  <si>
    <t>Water in Sediment</t>
  </si>
  <si>
    <t>Solids in Sediment</t>
  </si>
  <si>
    <t>Sediment (burial)</t>
  </si>
  <si>
    <t>Depth (m) (Level I &amp; Level II)</t>
  </si>
  <si>
    <t>Organic Carbon (g/g)</t>
  </si>
  <si>
    <t>Susp. Particles</t>
  </si>
  <si>
    <t>Fish Lipid</t>
  </si>
  <si>
    <t>Depth (m) (Level III)</t>
  </si>
  <si>
    <t>Transport velocities (m/h)</t>
  </si>
  <si>
    <t>Air side air-water MTC</t>
  </si>
  <si>
    <t>Water side air-water MTC</t>
  </si>
  <si>
    <t>Rain rate</t>
  </si>
  <si>
    <t>Aerosol deposition velocity</t>
  </si>
  <si>
    <t>Soil-air phase diffusion MTC</t>
  </si>
  <si>
    <t>Densities for subcompartments (kg/m³)</t>
  </si>
  <si>
    <t>Soil-water phase diffusion MTC</t>
  </si>
  <si>
    <t>Vapour phase of Air</t>
  </si>
  <si>
    <t>Soil-air boundary layer MTC</t>
  </si>
  <si>
    <t>Sediment-water diffusion MTC</t>
  </si>
  <si>
    <t>Liquid phase of Water</t>
  </si>
  <si>
    <t>Sediment deposition velocity</t>
  </si>
  <si>
    <t>Sup. Particles in Water</t>
  </si>
  <si>
    <t>Sediment resuspension velocity</t>
  </si>
  <si>
    <t>Soil-water runoff rate</t>
  </si>
  <si>
    <t>Soil-solids runoff rate</t>
  </si>
  <si>
    <t>Solid in Soil</t>
  </si>
  <si>
    <t>Solid in Sediment</t>
  </si>
  <si>
    <t>MAMI III</t>
  </si>
  <si>
    <t>Regional exposure model for neutral and monovalent ionizable chemicals</t>
  </si>
  <si>
    <t>Substance</t>
  </si>
  <si>
    <t>Physico-chemical properties</t>
  </si>
  <si>
    <t>Unit</t>
  </si>
  <si>
    <t>type neutral, acid, base or amphoter</t>
  </si>
  <si>
    <t>neutral</t>
  </si>
  <si>
    <t>Molecular Mass</t>
  </si>
  <si>
    <t>g/mol</t>
  </si>
  <si>
    <r>
      <t>p</t>
    </r>
    <r>
      <rPr>
        <i/>
        <sz val="10"/>
        <rFont val="Arial"/>
        <family val="2"/>
      </rPr>
      <t>K</t>
    </r>
    <r>
      <rPr>
        <vertAlign val="subscript"/>
        <sz val="10"/>
        <rFont val="Arial"/>
        <family val="2"/>
      </rPr>
      <t>a</t>
    </r>
    <r>
      <rPr>
        <sz val="10"/>
        <rFont val="Arial"/>
        <family val="2"/>
      </rPr>
      <t xml:space="preserve"> (acid)</t>
    </r>
  </si>
  <si>
    <t>google</t>
  </si>
  <si>
    <r>
      <t>p</t>
    </r>
    <r>
      <rPr>
        <i/>
        <sz val="10"/>
        <rFont val="Arial"/>
        <family val="2"/>
      </rPr>
      <t>K</t>
    </r>
    <r>
      <rPr>
        <vertAlign val="subscript"/>
        <sz val="10"/>
        <rFont val="Arial"/>
        <family val="2"/>
      </rPr>
      <t>a</t>
    </r>
    <r>
      <rPr>
        <sz val="10"/>
        <rFont val="Arial"/>
        <family val="2"/>
      </rPr>
      <t xml:space="preserve"> (basic)</t>
    </r>
  </si>
  <si>
    <r>
      <t xml:space="preserve">log </t>
    </r>
    <r>
      <rPr>
        <i/>
        <sz val="10"/>
        <rFont val="Arial"/>
        <family val="2"/>
      </rPr>
      <t>K</t>
    </r>
    <r>
      <rPr>
        <vertAlign val="subscript"/>
        <sz val="10"/>
        <rFont val="Arial"/>
        <family val="2"/>
      </rPr>
      <t>OW,n</t>
    </r>
  </si>
  <si>
    <r>
      <t xml:space="preserve">log </t>
    </r>
    <r>
      <rPr>
        <i/>
        <sz val="10"/>
        <rFont val="Arial"/>
        <family val="2"/>
      </rPr>
      <t>K</t>
    </r>
    <r>
      <rPr>
        <vertAlign val="subscript"/>
        <sz val="10"/>
        <rFont val="Arial"/>
        <family val="2"/>
      </rPr>
      <t>AW,n</t>
    </r>
  </si>
  <si>
    <t>Simplebox</t>
  </si>
  <si>
    <t>Degradation rates</t>
  </si>
  <si>
    <r>
      <t xml:space="preserve">k </t>
    </r>
    <r>
      <rPr>
        <vertAlign val="subscript"/>
        <sz val="10"/>
        <rFont val="Arial"/>
        <family val="2"/>
      </rPr>
      <t>DEGR,atm</t>
    </r>
  </si>
  <si>
    <r>
      <t>h</t>
    </r>
    <r>
      <rPr>
        <vertAlign val="superscript"/>
        <sz val="10"/>
        <rFont val="Arial"/>
        <family val="2"/>
      </rPr>
      <t>-1</t>
    </r>
  </si>
  <si>
    <r>
      <t>k</t>
    </r>
    <r>
      <rPr>
        <vertAlign val="subscript"/>
        <sz val="10"/>
        <rFont val="Arial"/>
        <family val="2"/>
      </rPr>
      <t>DEGR,soil</t>
    </r>
  </si>
  <si>
    <r>
      <t>k</t>
    </r>
    <r>
      <rPr>
        <vertAlign val="subscript"/>
        <sz val="10"/>
        <rFont val="Arial"/>
        <family val="2"/>
      </rPr>
      <t>DEGR,wat</t>
    </r>
  </si>
  <si>
    <t>Outputs</t>
  </si>
  <si>
    <t>total activity</t>
  </si>
  <si>
    <t>total concentration</t>
  </si>
  <si>
    <t>total mass</t>
  </si>
  <si>
    <t>persistence</t>
  </si>
  <si>
    <r>
      <t>k</t>
    </r>
    <r>
      <rPr>
        <vertAlign val="subscript"/>
        <sz val="10"/>
        <rFont val="Arial"/>
        <family val="2"/>
      </rPr>
      <t>DEGR,sed</t>
    </r>
  </si>
  <si>
    <r>
      <t>a</t>
    </r>
    <r>
      <rPr>
        <i/>
        <vertAlign val="subscript"/>
        <sz val="10"/>
        <rFont val="Arial"/>
        <family val="2"/>
      </rPr>
      <t>t</t>
    </r>
  </si>
  <si>
    <r>
      <t>C</t>
    </r>
    <r>
      <rPr>
        <vertAlign val="subscript"/>
        <sz val="10"/>
        <rFont val="Arial"/>
        <family val="2"/>
      </rPr>
      <t>t</t>
    </r>
  </si>
  <si>
    <t>m</t>
  </si>
  <si>
    <r>
      <t>g/m</t>
    </r>
    <r>
      <rPr>
        <vertAlign val="subscript"/>
        <sz val="10"/>
        <rFont val="Arial"/>
        <family val="2"/>
      </rPr>
      <t>3</t>
    </r>
  </si>
  <si>
    <t>kg/m3</t>
  </si>
  <si>
    <t>Emissions</t>
  </si>
  <si>
    <r>
      <t>mol/m</t>
    </r>
    <r>
      <rPr>
        <vertAlign val="subscript"/>
        <sz val="10"/>
        <rFont val="Arial"/>
        <family val="2"/>
      </rPr>
      <t>3</t>
    </r>
  </si>
  <si>
    <t>mol</t>
  </si>
  <si>
    <t>g</t>
  </si>
  <si>
    <t>h</t>
  </si>
  <si>
    <t>air</t>
  </si>
  <si>
    <t>mol/h</t>
  </si>
  <si>
    <t>natural soil</t>
  </si>
  <si>
    <t>agricultural soil</t>
  </si>
  <si>
    <t>agr.soil</t>
  </si>
  <si>
    <t>other soil</t>
  </si>
  <si>
    <t>freshwater</t>
  </si>
  <si>
    <t>freshwater sediments</t>
  </si>
  <si>
    <t>freshw. sedim.</t>
  </si>
  <si>
    <t>seawater</t>
  </si>
  <si>
    <t>marine sediments</t>
  </si>
  <si>
    <t>seaw. sedim.</t>
  </si>
  <si>
    <t>total</t>
  </si>
  <si>
    <t>Constants</t>
  </si>
  <si>
    <t>T</t>
  </si>
  <si>
    <t>Kelvin</t>
  </si>
  <si>
    <t>Universal gas constant</t>
  </si>
  <si>
    <t>Pa*m3/(mol*K)</t>
  </si>
  <si>
    <t>Phase partition coefficients</t>
  </si>
  <si>
    <t xml:space="preserve">neutral </t>
  </si>
  <si>
    <t>anion</t>
  </si>
  <si>
    <t>cation</t>
  </si>
  <si>
    <r>
      <t>K</t>
    </r>
    <r>
      <rPr>
        <vertAlign val="subscript"/>
        <sz val="10"/>
        <rFont val="Arial"/>
        <family val="2"/>
      </rPr>
      <t>AW</t>
    </r>
  </si>
  <si>
    <t>L/L</t>
  </si>
  <si>
    <r>
      <t>K</t>
    </r>
    <r>
      <rPr>
        <vertAlign val="subscript"/>
        <sz val="10"/>
        <rFont val="Arial"/>
        <family val="2"/>
      </rPr>
      <t>OA</t>
    </r>
  </si>
  <si>
    <r>
      <t xml:space="preserve">log </t>
    </r>
    <r>
      <rPr>
        <i/>
        <sz val="10"/>
        <rFont val="Arial"/>
        <family val="2"/>
      </rPr>
      <t>K</t>
    </r>
    <r>
      <rPr>
        <vertAlign val="subscript"/>
        <sz val="10"/>
        <rFont val="Arial"/>
        <family val="2"/>
      </rPr>
      <t>OW,ion</t>
    </r>
  </si>
  <si>
    <r>
      <t>K</t>
    </r>
    <r>
      <rPr>
        <sz val="10"/>
        <rFont val="Arial"/>
        <family val="2"/>
      </rPr>
      <t>ow at pH 7</t>
    </r>
  </si>
  <si>
    <r>
      <t>F</t>
    </r>
    <r>
      <rPr>
        <vertAlign val="subscript"/>
        <sz val="10"/>
        <rFont val="Arial"/>
        <family val="2"/>
      </rPr>
      <t>n,pH 7</t>
    </r>
  </si>
  <si>
    <r>
      <t xml:space="preserve">log </t>
    </r>
    <r>
      <rPr>
        <i/>
        <sz val="10"/>
        <rFont val="Arial"/>
        <family val="2"/>
      </rPr>
      <t>K</t>
    </r>
    <r>
      <rPr>
        <vertAlign val="subscript"/>
        <sz val="10"/>
        <rFont val="Arial"/>
        <family val="2"/>
      </rPr>
      <t>OC</t>
    </r>
  </si>
  <si>
    <t>area land</t>
  </si>
  <si>
    <r>
      <t>K</t>
    </r>
    <r>
      <rPr>
        <vertAlign val="subscript"/>
        <sz val="10"/>
        <rFont val="Arial"/>
        <family val="2"/>
      </rPr>
      <t>OC</t>
    </r>
  </si>
  <si>
    <t>L/kg</t>
  </si>
  <si>
    <t>Environmental parameters</t>
  </si>
  <si>
    <t>Symbol</t>
  </si>
  <si>
    <t>atmosphere</t>
  </si>
  <si>
    <t>cloud water</t>
  </si>
  <si>
    <t>aerosol water</t>
  </si>
  <si>
    <t>aerosol solids</t>
  </si>
  <si>
    <t>water</t>
  </si>
  <si>
    <t>solids</t>
  </si>
  <si>
    <t>suspended sed</t>
  </si>
  <si>
    <t>freshwater sediment</t>
  </si>
  <si>
    <t>seawater sediment</t>
  </si>
  <si>
    <t xml:space="preserve">Area </t>
  </si>
  <si>
    <t>A</t>
  </si>
  <si>
    <t>m^2</t>
  </si>
  <si>
    <t xml:space="preserve">Depth </t>
  </si>
  <si>
    <t>d</t>
  </si>
  <si>
    <t xml:space="preserve">Volume </t>
  </si>
  <si>
    <t>V</t>
  </si>
  <si>
    <t>m^ 3</t>
  </si>
  <si>
    <t>Vol fr</t>
  </si>
  <si>
    <r>
      <t>X</t>
    </r>
    <r>
      <rPr>
        <vertAlign val="subscript"/>
        <sz val="10"/>
        <rFont val="Arial"/>
        <family val="2"/>
      </rPr>
      <t>i</t>
    </r>
  </si>
  <si>
    <t>Residence time</t>
  </si>
  <si>
    <t>Tr</t>
  </si>
  <si>
    <t>Flow</t>
  </si>
  <si>
    <t>Q</t>
  </si>
  <si>
    <t>m^3/h</t>
  </si>
  <si>
    <t>Fraction organic carbon</t>
  </si>
  <si>
    <t>Foc</t>
  </si>
  <si>
    <t>Density</t>
  </si>
  <si>
    <t>rho</t>
  </si>
  <si>
    <t>kg/L</t>
  </si>
  <si>
    <t>pH</t>
  </si>
  <si>
    <t>Ionic strength</t>
  </si>
  <si>
    <t>I</t>
  </si>
  <si>
    <t>mol/L</t>
  </si>
  <si>
    <r>
      <t xml:space="preserve">Calculation of </t>
    </r>
    <r>
      <rPr>
        <i/>
        <sz val="10"/>
        <rFont val="Arial"/>
        <family val="2"/>
      </rPr>
      <t>B</t>
    </r>
    <r>
      <rPr>
        <sz val="10"/>
        <rFont val="Arial"/>
        <family val="2"/>
      </rPr>
      <t xml:space="preserve"> values</t>
    </r>
  </si>
  <si>
    <t>Activity coeff neutr molec</t>
  </si>
  <si>
    <r>
      <t>γ</t>
    </r>
    <r>
      <rPr>
        <i/>
        <vertAlign val="subscript"/>
        <sz val="10"/>
        <rFont val="Arial"/>
        <family val="2"/>
      </rPr>
      <t>n</t>
    </r>
  </si>
  <si>
    <t>Activity coeff ion</t>
  </si>
  <si>
    <r>
      <t>γ</t>
    </r>
    <r>
      <rPr>
        <i/>
        <vertAlign val="subscript"/>
        <sz val="10"/>
        <rFont val="Arial"/>
        <family val="2"/>
      </rPr>
      <t>d</t>
    </r>
  </si>
  <si>
    <t>Neutral fraction</t>
  </si>
  <si>
    <t>Fn</t>
  </si>
  <si>
    <t>Anionic fraction</t>
  </si>
  <si>
    <t>F-</t>
  </si>
  <si>
    <t>Cationic fraction</t>
  </si>
  <si>
    <t>F+</t>
  </si>
  <si>
    <t xml:space="preserve">Kd neutral molecule </t>
  </si>
  <si>
    <t>Kdn</t>
  </si>
  <si>
    <t>Kd anion</t>
  </si>
  <si>
    <t>Kd-</t>
  </si>
  <si>
    <t>Kd cation</t>
  </si>
  <si>
    <t>Kd+</t>
  </si>
  <si>
    <t>apparent phase activity capacity</t>
  </si>
  <si>
    <r>
      <t>B</t>
    </r>
    <r>
      <rPr>
        <sz val="10"/>
        <rFont val="Arial"/>
        <family val="2"/>
      </rPr>
      <t>'</t>
    </r>
  </si>
  <si>
    <t>apparent bulk activity capacity</t>
  </si>
  <si>
    <t>B</t>
  </si>
  <si>
    <t>Parameters for diffusion</t>
  </si>
  <si>
    <t>Advective transport velocities</t>
  </si>
  <si>
    <t>Other transport parameters</t>
  </si>
  <si>
    <t>m/s</t>
  </si>
  <si>
    <t>m/h</t>
  </si>
  <si>
    <t>air side MTC</t>
  </si>
  <si>
    <r>
      <t>MTC</t>
    </r>
    <r>
      <rPr>
        <vertAlign val="subscript"/>
        <sz val="10"/>
        <rFont val="Arial"/>
        <family val="2"/>
      </rPr>
      <t>A</t>
    </r>
  </si>
  <si>
    <t>aerosol dry deposition velocity</t>
  </si>
  <si>
    <r>
      <t>v</t>
    </r>
    <r>
      <rPr>
        <vertAlign val="subscript"/>
        <sz val="10"/>
        <rFont val="Arial"/>
        <family val="2"/>
      </rPr>
      <t>1-dep,bulk</t>
    </r>
  </si>
  <si>
    <t>lenght of dry period</t>
  </si>
  <si>
    <r>
      <t>t</t>
    </r>
    <r>
      <rPr>
        <vertAlign val="subscript"/>
        <sz val="10"/>
        <rFont val="Arial"/>
        <family val="2"/>
      </rPr>
      <t>dry</t>
    </r>
  </si>
  <si>
    <t>water side MTC water-air</t>
  </si>
  <si>
    <r>
      <t>MTC</t>
    </r>
    <r>
      <rPr>
        <vertAlign val="subscript"/>
        <sz val="10"/>
        <rFont val="Arial"/>
        <family val="2"/>
      </rPr>
      <t>W,air</t>
    </r>
  </si>
  <si>
    <t>precipitation</t>
  </si>
  <si>
    <r>
      <t>v</t>
    </r>
    <r>
      <rPr>
        <vertAlign val="subscript"/>
        <sz val="10"/>
        <rFont val="Arial"/>
        <family val="2"/>
      </rPr>
      <t>1-rain</t>
    </r>
  </si>
  <si>
    <t>length of wet period</t>
  </si>
  <si>
    <r>
      <t>t</t>
    </r>
    <r>
      <rPr>
        <vertAlign val="subscript"/>
        <sz val="10"/>
        <rFont val="Arial"/>
        <family val="2"/>
      </rPr>
      <t>wet</t>
    </r>
  </si>
  <si>
    <t>soilwater side MTC</t>
  </si>
  <si>
    <r>
      <t>MTC</t>
    </r>
    <r>
      <rPr>
        <vertAlign val="subscript"/>
        <sz val="10"/>
        <rFont val="Arial"/>
        <family val="2"/>
      </rPr>
      <t>soilW</t>
    </r>
  </si>
  <si>
    <t>precipitation (continuous)</t>
  </si>
  <si>
    <r>
      <t>v</t>
    </r>
    <r>
      <rPr>
        <vertAlign val="subscript"/>
        <sz val="10"/>
        <rFont val="Arial"/>
        <family val="2"/>
      </rPr>
      <t>1-dep,wet</t>
    </r>
  </si>
  <si>
    <t>particle collection efficiency of rain</t>
  </si>
  <si>
    <r>
      <t>ε</t>
    </r>
    <r>
      <rPr>
        <vertAlign val="subscript"/>
        <sz val="10"/>
        <rFont val="Arial"/>
        <family val="2"/>
      </rPr>
      <t>coll</t>
    </r>
  </si>
  <si>
    <t>soilair side MTC</t>
  </si>
  <si>
    <r>
      <t>MTC</t>
    </r>
    <r>
      <rPr>
        <vertAlign val="subscript"/>
        <sz val="10"/>
        <rFont val="Arial"/>
        <family val="2"/>
      </rPr>
      <t>soilA</t>
    </r>
  </si>
  <si>
    <t>seawater sediment deposition velocity</t>
  </si>
  <si>
    <r>
      <t>v</t>
    </r>
    <r>
      <rPr>
        <vertAlign val="subscript"/>
        <sz val="10"/>
        <rFont val="Arial"/>
        <family val="2"/>
      </rPr>
      <t>7-dep,bulk</t>
    </r>
  </si>
  <si>
    <t>fraction of rainwater runninng off</t>
  </si>
  <si>
    <r>
      <t>ε</t>
    </r>
    <r>
      <rPr>
        <vertAlign val="subscript"/>
        <sz val="10"/>
        <rFont val="Arial"/>
        <family val="2"/>
      </rPr>
      <t>runoff</t>
    </r>
  </si>
  <si>
    <t>water side MTC water-sediment</t>
  </si>
  <si>
    <r>
      <t>MTC</t>
    </r>
    <r>
      <rPr>
        <vertAlign val="subscript"/>
        <sz val="10"/>
        <rFont val="Arial"/>
        <family val="2"/>
      </rPr>
      <t>W,se</t>
    </r>
  </si>
  <si>
    <t>freshwater sediment deposition velocity</t>
  </si>
  <si>
    <r>
      <t>v</t>
    </r>
    <r>
      <rPr>
        <vertAlign val="subscript"/>
        <sz val="10"/>
        <rFont val="Arial"/>
        <family val="2"/>
      </rPr>
      <t>5-dep,bulk</t>
    </r>
  </si>
  <si>
    <t>fraction of rain intiltrating soil</t>
  </si>
  <si>
    <r>
      <t>ε</t>
    </r>
    <r>
      <rPr>
        <vertAlign val="subscript"/>
        <sz val="10"/>
        <rFont val="Arial"/>
        <family val="2"/>
      </rPr>
      <t>inf</t>
    </r>
  </si>
  <si>
    <t>sedim side MTC water-sedim</t>
  </si>
  <si>
    <r>
      <t>MTC</t>
    </r>
    <r>
      <rPr>
        <vertAlign val="subscript"/>
        <sz val="10"/>
        <rFont val="Arial"/>
        <family val="2"/>
      </rPr>
      <t>SedW</t>
    </r>
  </si>
  <si>
    <t>freshwater sediment resuspension velocity</t>
  </si>
  <si>
    <r>
      <t>v</t>
    </r>
    <r>
      <rPr>
        <vertAlign val="subscript"/>
        <sz val="10"/>
        <rFont val="Arial"/>
        <family val="2"/>
      </rPr>
      <t>6-res,bulk</t>
    </r>
  </si>
  <si>
    <t>seawater sediment resuspension velocity</t>
  </si>
  <si>
    <r>
      <t>v</t>
    </r>
    <r>
      <rPr>
        <vertAlign val="subscript"/>
        <sz val="10"/>
        <rFont val="Arial"/>
        <family val="2"/>
      </rPr>
      <t>8-res,bulk</t>
    </r>
  </si>
  <si>
    <t>seawater-air MTC</t>
  </si>
  <si>
    <r>
      <t>MTC</t>
    </r>
    <r>
      <rPr>
        <vertAlign val="subscript"/>
        <sz val="10"/>
        <rFont val="Arial"/>
        <family val="2"/>
      </rPr>
      <t>7-1</t>
    </r>
  </si>
  <si>
    <t>seawater sediment burial velocity</t>
  </si>
  <si>
    <r>
      <t>v</t>
    </r>
    <r>
      <rPr>
        <vertAlign val="subscript"/>
        <sz val="10"/>
        <rFont val="Arial"/>
        <family val="2"/>
      </rPr>
      <t>8-rem,bulk</t>
    </r>
  </si>
  <si>
    <t>freshwater-air MTC</t>
  </si>
  <si>
    <r>
      <t>MTC</t>
    </r>
    <r>
      <rPr>
        <vertAlign val="subscript"/>
        <sz val="10"/>
        <rFont val="Arial"/>
        <family val="2"/>
      </rPr>
      <t>5-1</t>
    </r>
  </si>
  <si>
    <t>freshwater sediment burial velocity</t>
  </si>
  <si>
    <r>
      <t>v</t>
    </r>
    <r>
      <rPr>
        <vertAlign val="subscript"/>
        <sz val="10"/>
        <rFont val="Arial"/>
        <family val="2"/>
      </rPr>
      <t>6-rem,bulk</t>
    </r>
  </si>
  <si>
    <t>natural soil-air MTC</t>
  </si>
  <si>
    <r>
      <t>MTC</t>
    </r>
    <r>
      <rPr>
        <vertAlign val="subscript"/>
        <sz val="10"/>
        <rFont val="Arial"/>
        <family val="2"/>
      </rPr>
      <t>2-1</t>
    </r>
  </si>
  <si>
    <t>natural soil erosion</t>
  </si>
  <si>
    <r>
      <t>v</t>
    </r>
    <r>
      <rPr>
        <vertAlign val="subscript"/>
        <sz val="10"/>
        <rFont val="Arial"/>
        <family val="2"/>
      </rPr>
      <t>2-rem,bulk</t>
    </r>
  </si>
  <si>
    <t>agricultural soil-air MTC</t>
  </si>
  <si>
    <r>
      <t>MTC</t>
    </r>
    <r>
      <rPr>
        <vertAlign val="subscript"/>
        <sz val="10"/>
        <rFont val="Arial"/>
        <family val="2"/>
      </rPr>
      <t>3-1</t>
    </r>
  </si>
  <si>
    <t>agricultural soil erosion</t>
  </si>
  <si>
    <r>
      <t>v</t>
    </r>
    <r>
      <rPr>
        <vertAlign val="subscript"/>
        <sz val="10"/>
        <rFont val="Arial"/>
        <family val="2"/>
      </rPr>
      <t>3-rem,bulk</t>
    </r>
  </si>
  <si>
    <t>other soil-air MTC</t>
  </si>
  <si>
    <r>
      <t>MTC</t>
    </r>
    <r>
      <rPr>
        <vertAlign val="subscript"/>
        <sz val="10"/>
        <rFont val="Arial"/>
        <family val="2"/>
      </rPr>
      <t>4-1</t>
    </r>
  </si>
  <si>
    <t>other soil erosion</t>
  </si>
  <si>
    <r>
      <t>v</t>
    </r>
    <r>
      <rPr>
        <vertAlign val="subscript"/>
        <sz val="10"/>
        <rFont val="Arial"/>
        <family val="2"/>
      </rPr>
      <t>4-rem,bulk</t>
    </r>
  </si>
  <si>
    <t>seawater-sediment MTC</t>
  </si>
  <si>
    <r>
      <t>MTC</t>
    </r>
    <r>
      <rPr>
        <vertAlign val="subscript"/>
        <sz val="10"/>
        <rFont val="Arial"/>
        <family val="2"/>
      </rPr>
      <t>7-8</t>
    </r>
  </si>
  <si>
    <t>freshwater-sediment MTC</t>
  </si>
  <si>
    <r>
      <t>MTC</t>
    </r>
    <r>
      <rPr>
        <vertAlign val="subscript"/>
        <sz val="10"/>
        <rFont val="Arial"/>
        <family val="2"/>
      </rPr>
      <t>5-6</t>
    </r>
  </si>
  <si>
    <r>
      <t>T</t>
    </r>
    <r>
      <rPr>
        <sz val="10"/>
        <rFont val="Arial"/>
        <family val="2"/>
      </rPr>
      <t>-values (m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/h)</t>
    </r>
  </si>
  <si>
    <r>
      <t>T</t>
    </r>
    <r>
      <rPr>
        <vertAlign val="subscript"/>
        <sz val="10"/>
        <rFont val="Arial"/>
        <family val="2"/>
      </rPr>
      <t>diff,1</t>
    </r>
  </si>
  <si>
    <r>
      <t>T</t>
    </r>
    <r>
      <rPr>
        <vertAlign val="subscript"/>
        <sz val="10"/>
        <rFont val="Arial"/>
        <family val="2"/>
      </rPr>
      <t>runoff,2</t>
    </r>
  </si>
  <si>
    <r>
      <t>T</t>
    </r>
    <r>
      <rPr>
        <vertAlign val="subscript"/>
        <sz val="10"/>
        <rFont val="Arial"/>
        <family val="2"/>
      </rPr>
      <t>adv,1</t>
    </r>
  </si>
  <si>
    <r>
      <t>T</t>
    </r>
    <r>
      <rPr>
        <vertAlign val="subscript"/>
        <sz val="10"/>
        <rFont val="Arial"/>
        <family val="2"/>
      </rPr>
      <t>diff,5-6</t>
    </r>
  </si>
  <si>
    <r>
      <t>T</t>
    </r>
    <r>
      <rPr>
        <vertAlign val="subscript"/>
        <sz val="10"/>
        <rFont val="Arial"/>
        <family val="2"/>
      </rPr>
      <t>runoff,3</t>
    </r>
  </si>
  <si>
    <r>
      <t>T</t>
    </r>
    <r>
      <rPr>
        <vertAlign val="subscript"/>
        <sz val="10"/>
        <rFont val="Arial"/>
        <family val="2"/>
      </rPr>
      <t>adv,5-7</t>
    </r>
  </si>
  <si>
    <r>
      <t>T</t>
    </r>
    <r>
      <rPr>
        <vertAlign val="subscript"/>
        <sz val="10"/>
        <rFont val="Arial"/>
        <family val="2"/>
      </rPr>
      <t>diff,7-8</t>
    </r>
  </si>
  <si>
    <r>
      <t>T</t>
    </r>
    <r>
      <rPr>
        <vertAlign val="subscript"/>
        <sz val="10"/>
        <rFont val="Arial"/>
        <family val="2"/>
      </rPr>
      <t>runoff,4</t>
    </r>
  </si>
  <si>
    <r>
      <t>T</t>
    </r>
    <r>
      <rPr>
        <vertAlign val="subscript"/>
        <sz val="10"/>
        <rFont val="Arial"/>
        <family val="2"/>
      </rPr>
      <t>adv,7</t>
    </r>
  </si>
  <si>
    <r>
      <t>T</t>
    </r>
    <r>
      <rPr>
        <vertAlign val="subscript"/>
        <sz val="10"/>
        <rFont val="Arial"/>
        <family val="2"/>
      </rPr>
      <t>diff,2-1</t>
    </r>
  </si>
  <si>
    <r>
      <t>T</t>
    </r>
    <r>
      <rPr>
        <vertAlign val="subscript"/>
        <sz val="10"/>
        <rFont val="Arial"/>
        <family val="2"/>
      </rPr>
      <t>diff,3-1</t>
    </r>
  </si>
  <si>
    <r>
      <t>T</t>
    </r>
    <r>
      <rPr>
        <vertAlign val="subscript"/>
        <sz val="10"/>
        <rFont val="Arial"/>
        <family val="2"/>
      </rPr>
      <t>erosion,2</t>
    </r>
  </si>
  <si>
    <r>
      <t>T</t>
    </r>
    <r>
      <rPr>
        <vertAlign val="subscript"/>
        <sz val="10"/>
        <rFont val="Arial"/>
        <family val="2"/>
      </rPr>
      <t>leaching,2</t>
    </r>
  </si>
  <si>
    <r>
      <t>T</t>
    </r>
    <r>
      <rPr>
        <vertAlign val="subscript"/>
        <sz val="10"/>
        <rFont val="Arial"/>
        <family val="2"/>
      </rPr>
      <t>diff,4-1</t>
    </r>
  </si>
  <si>
    <r>
      <t>T</t>
    </r>
    <r>
      <rPr>
        <vertAlign val="subscript"/>
        <sz val="10"/>
        <rFont val="Arial"/>
        <family val="2"/>
      </rPr>
      <t>erosion,3</t>
    </r>
  </si>
  <si>
    <r>
      <t>T</t>
    </r>
    <r>
      <rPr>
        <vertAlign val="subscript"/>
        <sz val="10"/>
        <rFont val="Arial"/>
        <family val="2"/>
      </rPr>
      <t>leaching,3</t>
    </r>
  </si>
  <si>
    <r>
      <t>T</t>
    </r>
    <r>
      <rPr>
        <vertAlign val="subscript"/>
        <sz val="10"/>
        <rFont val="Arial"/>
        <family val="2"/>
      </rPr>
      <t>diff,5-1</t>
    </r>
  </si>
  <si>
    <r>
      <t>T</t>
    </r>
    <r>
      <rPr>
        <vertAlign val="subscript"/>
        <sz val="10"/>
        <rFont val="Arial"/>
        <family val="2"/>
      </rPr>
      <t>erosion,4</t>
    </r>
  </si>
  <si>
    <r>
      <t>T</t>
    </r>
    <r>
      <rPr>
        <vertAlign val="subscript"/>
        <sz val="10"/>
        <rFont val="Arial"/>
        <family val="2"/>
      </rPr>
      <t>leaching,4</t>
    </r>
  </si>
  <si>
    <r>
      <t>T</t>
    </r>
    <r>
      <rPr>
        <vertAlign val="subscript"/>
        <sz val="10"/>
        <rFont val="Arial"/>
        <family val="2"/>
      </rPr>
      <t>diff,7-1</t>
    </r>
  </si>
  <si>
    <r>
      <t>T</t>
    </r>
    <r>
      <rPr>
        <vertAlign val="subscript"/>
        <sz val="10"/>
        <rFont val="Arial"/>
        <family val="2"/>
      </rPr>
      <t>5-6,sed</t>
    </r>
  </si>
  <si>
    <r>
      <t>T</t>
    </r>
    <r>
      <rPr>
        <vertAlign val="subscript"/>
        <sz val="10"/>
        <rFont val="Arial"/>
        <family val="2"/>
      </rPr>
      <t>6,bur</t>
    </r>
  </si>
  <si>
    <r>
      <t>T</t>
    </r>
    <r>
      <rPr>
        <vertAlign val="subscript"/>
        <sz val="10"/>
        <rFont val="Arial"/>
        <family val="2"/>
      </rPr>
      <t>dry dep,1</t>
    </r>
  </si>
  <si>
    <r>
      <t>T</t>
    </r>
    <r>
      <rPr>
        <vertAlign val="subscript"/>
        <sz val="10"/>
        <rFont val="Arial"/>
        <family val="2"/>
      </rPr>
      <t>7-8,sed</t>
    </r>
  </si>
  <si>
    <r>
      <t>T</t>
    </r>
    <r>
      <rPr>
        <vertAlign val="subscript"/>
        <sz val="10"/>
        <rFont val="Arial"/>
        <family val="2"/>
      </rPr>
      <t>8,bur</t>
    </r>
  </si>
  <si>
    <r>
      <t>T</t>
    </r>
    <r>
      <rPr>
        <vertAlign val="subscript"/>
        <sz val="10"/>
        <rFont val="Arial"/>
        <family val="2"/>
      </rPr>
      <t>wet dep,1</t>
    </r>
  </si>
  <si>
    <r>
      <t>T</t>
    </r>
    <r>
      <rPr>
        <vertAlign val="subscript"/>
        <sz val="10"/>
        <rFont val="Arial"/>
        <family val="2"/>
      </rPr>
      <t>6-5,res</t>
    </r>
  </si>
  <si>
    <r>
      <t>T</t>
    </r>
    <r>
      <rPr>
        <vertAlign val="subscript"/>
        <sz val="10"/>
        <rFont val="Arial"/>
        <family val="2"/>
      </rPr>
      <t>dry tot</t>
    </r>
  </si>
  <si>
    <r>
      <t>T</t>
    </r>
    <r>
      <rPr>
        <vertAlign val="subscript"/>
        <sz val="10"/>
        <rFont val="Arial"/>
        <family val="2"/>
      </rPr>
      <t>8-7,res</t>
    </r>
  </si>
  <si>
    <r>
      <t>T</t>
    </r>
    <r>
      <rPr>
        <vertAlign val="subscript"/>
        <sz val="10"/>
        <rFont val="Arial"/>
        <family val="2"/>
      </rPr>
      <t>degr,1</t>
    </r>
  </si>
  <si>
    <r>
      <t>T</t>
    </r>
    <r>
      <rPr>
        <vertAlign val="subscript"/>
        <sz val="10"/>
        <rFont val="Arial"/>
        <family val="2"/>
      </rPr>
      <t>wet tot</t>
    </r>
  </si>
  <si>
    <r>
      <t>T</t>
    </r>
    <r>
      <rPr>
        <vertAlign val="subscript"/>
        <sz val="10"/>
        <rFont val="Arial"/>
        <family val="2"/>
      </rPr>
      <t>degr,2</t>
    </r>
  </si>
  <si>
    <r>
      <t>T</t>
    </r>
    <r>
      <rPr>
        <vertAlign val="subscript"/>
        <sz val="10"/>
        <rFont val="Arial"/>
        <family val="2"/>
      </rPr>
      <t>1,tot</t>
    </r>
  </si>
  <si>
    <r>
      <t>T</t>
    </r>
    <r>
      <rPr>
        <vertAlign val="subscript"/>
        <sz val="10"/>
        <rFont val="Arial"/>
        <family val="2"/>
      </rPr>
      <t>degr,3</t>
    </r>
  </si>
  <si>
    <r>
      <t>T</t>
    </r>
    <r>
      <rPr>
        <vertAlign val="subscript"/>
        <sz val="10"/>
        <rFont val="Arial"/>
        <family val="2"/>
      </rPr>
      <t>1,rem</t>
    </r>
  </si>
  <si>
    <r>
      <t>T</t>
    </r>
    <r>
      <rPr>
        <vertAlign val="subscript"/>
        <sz val="10"/>
        <rFont val="Arial"/>
        <family val="2"/>
      </rPr>
      <t>degr,4</t>
    </r>
  </si>
  <si>
    <r>
      <t>T</t>
    </r>
    <r>
      <rPr>
        <vertAlign val="subscript"/>
        <sz val="10"/>
        <rFont val="Arial"/>
        <family val="2"/>
      </rPr>
      <t>1,dep</t>
    </r>
  </si>
  <si>
    <r>
      <t>T</t>
    </r>
    <r>
      <rPr>
        <vertAlign val="subscript"/>
        <sz val="10"/>
        <rFont val="Arial"/>
        <family val="2"/>
      </rPr>
      <t>degr,5</t>
    </r>
  </si>
  <si>
    <r>
      <t>T</t>
    </r>
    <r>
      <rPr>
        <vertAlign val="subscript"/>
        <sz val="10"/>
        <rFont val="Arial"/>
        <family val="2"/>
      </rPr>
      <t>dep,1-2</t>
    </r>
  </si>
  <si>
    <r>
      <t>T</t>
    </r>
    <r>
      <rPr>
        <vertAlign val="subscript"/>
        <sz val="10"/>
        <rFont val="Arial"/>
        <family val="2"/>
      </rPr>
      <t>degr,6</t>
    </r>
  </si>
  <si>
    <r>
      <t>T</t>
    </r>
    <r>
      <rPr>
        <vertAlign val="subscript"/>
        <sz val="10"/>
        <rFont val="Arial"/>
        <family val="2"/>
      </rPr>
      <t>dep,1-3</t>
    </r>
  </si>
  <si>
    <r>
      <t>T</t>
    </r>
    <r>
      <rPr>
        <vertAlign val="subscript"/>
        <sz val="10"/>
        <rFont val="Arial"/>
        <family val="2"/>
      </rPr>
      <t>degr,7</t>
    </r>
  </si>
  <si>
    <r>
      <t>T</t>
    </r>
    <r>
      <rPr>
        <vertAlign val="subscript"/>
        <sz val="10"/>
        <rFont val="Arial"/>
        <family val="2"/>
      </rPr>
      <t>dep,1-4</t>
    </r>
  </si>
  <si>
    <r>
      <t>T</t>
    </r>
    <r>
      <rPr>
        <vertAlign val="subscript"/>
        <sz val="10"/>
        <rFont val="Arial"/>
        <family val="2"/>
      </rPr>
      <t>degr,8</t>
    </r>
  </si>
  <si>
    <r>
      <t>T</t>
    </r>
    <r>
      <rPr>
        <vertAlign val="subscript"/>
        <sz val="10"/>
        <rFont val="Arial"/>
        <family val="2"/>
      </rPr>
      <t>dep,1-5</t>
    </r>
  </si>
  <si>
    <r>
      <t>T</t>
    </r>
    <r>
      <rPr>
        <vertAlign val="subscript"/>
        <sz val="10"/>
        <rFont val="Arial"/>
        <family val="2"/>
      </rPr>
      <t>dep,1-7</t>
    </r>
  </si>
  <si>
    <t>Mass balance</t>
  </si>
  <si>
    <r>
      <t>*a</t>
    </r>
    <r>
      <rPr>
        <vertAlign val="subscript"/>
        <sz val="10"/>
        <rFont val="Arial"/>
        <family val="2"/>
      </rPr>
      <t>t,1</t>
    </r>
  </si>
  <si>
    <r>
      <t>*a</t>
    </r>
    <r>
      <rPr>
        <vertAlign val="subscript"/>
        <sz val="10"/>
        <rFont val="Arial"/>
        <family val="2"/>
      </rPr>
      <t>t,2</t>
    </r>
  </si>
  <si>
    <r>
      <t>*a</t>
    </r>
    <r>
      <rPr>
        <vertAlign val="subscript"/>
        <sz val="10"/>
        <rFont val="Arial"/>
        <family val="2"/>
      </rPr>
      <t>t,3</t>
    </r>
  </si>
  <si>
    <r>
      <t>*a</t>
    </r>
    <r>
      <rPr>
        <vertAlign val="subscript"/>
        <sz val="10"/>
        <rFont val="Arial"/>
        <family val="2"/>
      </rPr>
      <t>t,4</t>
    </r>
  </si>
  <si>
    <r>
      <t>*a</t>
    </r>
    <r>
      <rPr>
        <vertAlign val="subscript"/>
        <sz val="10"/>
        <rFont val="Arial"/>
        <family val="2"/>
      </rPr>
      <t>t,5</t>
    </r>
  </si>
  <si>
    <r>
      <t>*a</t>
    </r>
    <r>
      <rPr>
        <vertAlign val="subscript"/>
        <sz val="10"/>
        <rFont val="Arial"/>
        <family val="2"/>
      </rPr>
      <t>t,6</t>
    </r>
  </si>
  <si>
    <r>
      <t>*a</t>
    </r>
    <r>
      <rPr>
        <vertAlign val="subscript"/>
        <sz val="10"/>
        <rFont val="Arial"/>
        <family val="2"/>
      </rPr>
      <t>t,7</t>
    </r>
  </si>
  <si>
    <r>
      <t>*a</t>
    </r>
    <r>
      <rPr>
        <vertAlign val="subscript"/>
        <sz val="10"/>
        <rFont val="Arial"/>
        <family val="2"/>
      </rPr>
      <t>t,8</t>
    </r>
  </si>
  <si>
    <t>SCENARIO- and SUBSTANCE DEFINITION</t>
  </si>
  <si>
    <t>LOOK-UP TABLE PICKER</t>
  </si>
  <si>
    <t>Variable Name</t>
  </si>
  <si>
    <t>User input</t>
  </si>
  <si>
    <t>Default</t>
  </si>
  <si>
    <t>Used</t>
  </si>
  <si>
    <t>Notes</t>
  </si>
  <si>
    <t>ChemName</t>
  </si>
  <si>
    <t>neutral organic</t>
  </si>
  <si>
    <t>default substance</t>
  </si>
  <si>
    <t>ChemRowNr</t>
  </si>
  <si>
    <t>Scenario</t>
  </si>
  <si>
    <t>ScenarioName</t>
  </si>
  <si>
    <t>default scenario</t>
  </si>
  <si>
    <t>Case</t>
  </si>
  <si>
    <t>CaseName</t>
  </si>
  <si>
    <t>defaults only</t>
  </si>
  <si>
    <t>SUBSTANCE PROPERTIES</t>
  </si>
  <si>
    <t>LookUp</t>
  </si>
  <si>
    <t>Chemical class</t>
  </si>
  <si>
    <t>ChemClass</t>
  </si>
  <si>
    <t>Neutral</t>
  </si>
  <si>
    <t>MOLECULAR WEIGHT</t>
  </si>
  <si>
    <t>Molweight</t>
  </si>
  <si>
    <r>
      <t>[g.mol</t>
    </r>
    <r>
      <rPr>
        <vertAlign val="superscript"/>
        <sz val="10"/>
        <rFont val="Calibri"/>
        <family val="2"/>
      </rPr>
      <t>-1</t>
    </r>
    <r>
      <rPr>
        <sz val="11"/>
        <color theme="1"/>
        <rFont val="Calibri"/>
        <family val="2"/>
        <scheme val="minor"/>
      </rPr>
      <t>]</t>
    </r>
  </si>
  <si>
    <t>kg.mol-1</t>
  </si>
  <si>
    <t>Dimensionless solids/water PARTITION COEFFICIENT of the original species</t>
  </si>
  <si>
    <r>
      <t>K</t>
    </r>
    <r>
      <rPr>
        <sz val="11"/>
        <color theme="1"/>
        <rFont val="Calibri"/>
        <family val="2"/>
        <scheme val="minor"/>
      </rPr>
      <t>sw</t>
    </r>
  </si>
  <si>
    <t>[-]</t>
  </si>
  <si>
    <t>QSAR lookup as in EU TGD</t>
  </si>
  <si>
    <t>Dimensionless solids/water PARTITION COEFFICIENT of the alternate form</t>
  </si>
  <si>
    <t>Ksw.alt</t>
  </si>
  <si>
    <r>
      <rPr>
        <sz val="11"/>
        <color theme="1"/>
        <rFont val="Calibri"/>
        <family val="2"/>
        <scheme val="minor"/>
      </rPr>
      <t xml:space="preserve">Dimensionless gas/water PARTITION COEFFICIENT of the original species at 25 </t>
    </r>
    <r>
      <rPr>
        <vertAlign val="superscript"/>
        <sz val="10"/>
        <rFont val="Calibri"/>
        <family val="2"/>
      </rPr>
      <t>o</t>
    </r>
    <r>
      <rPr>
        <sz val="11"/>
        <color theme="1"/>
        <rFont val="Calibri"/>
        <family val="2"/>
        <scheme val="minor"/>
      </rPr>
      <t>C</t>
    </r>
  </si>
  <si>
    <r>
      <t>K</t>
    </r>
    <r>
      <rPr>
        <sz val="11"/>
        <color theme="1"/>
        <rFont val="Calibri"/>
        <family val="2"/>
        <scheme val="minor"/>
      </rPr>
      <t>aw</t>
    </r>
  </si>
  <si>
    <r>
      <t xml:space="preserve">Octanol/water PARTITION COEFFICIENT </t>
    </r>
    <r>
      <rPr>
        <sz val="11"/>
        <color theme="1"/>
        <rFont val="Calibri"/>
        <family val="2"/>
        <scheme val="minor"/>
      </rPr>
      <t>of the original species</t>
    </r>
  </si>
  <si>
    <t>Kow</t>
  </si>
  <si>
    <r>
      <t xml:space="preserve">Octanol/water PARTITION COEFFICIENT of </t>
    </r>
    <r>
      <rPr>
        <sz val="11"/>
        <color theme="1"/>
        <rFont val="Calibri"/>
        <family val="2"/>
        <scheme val="minor"/>
      </rPr>
      <t>alternate form</t>
    </r>
  </si>
  <si>
    <r>
      <t>Kow.</t>
    </r>
    <r>
      <rPr>
        <sz val="11"/>
        <color theme="1"/>
        <rFont val="Calibri"/>
        <family val="2"/>
        <scheme val="minor"/>
      </rPr>
      <t>alt</t>
    </r>
  </si>
  <si>
    <t>Dissociation constant of (conjugated) acid</t>
  </si>
  <si>
    <t>pKa</t>
  </si>
  <si>
    <r>
      <t>Apparent o</t>
    </r>
    <r>
      <rPr>
        <sz val="11"/>
        <color theme="1"/>
        <rFont val="Calibri"/>
        <family val="2"/>
        <scheme val="minor"/>
      </rPr>
      <t>ctanol/water PARTITION COEFFICIENT at neutral pH</t>
    </r>
  </si>
  <si>
    <t>D</t>
  </si>
  <si>
    <t>Trapp and Horobin, 2005</t>
  </si>
  <si>
    <t>Fraction original species in aerosol water</t>
  </si>
  <si>
    <t>FRorig.aerw</t>
  </si>
  <si>
    <t>Fraction original species in fresh water</t>
  </si>
  <si>
    <t>FRorig.w1</t>
  </si>
  <si>
    <t>Fraction original species in freshwater sediment</t>
  </si>
  <si>
    <t>FRorig.sd1</t>
  </si>
  <si>
    <t>Fraction original species in seawater</t>
  </si>
  <si>
    <t>FRorig.w2</t>
  </si>
  <si>
    <t>Fraction original species in marine sediment</t>
  </si>
  <si>
    <t>FRorig.sd2</t>
  </si>
  <si>
    <t>Fraction original species in natural soil</t>
  </si>
  <si>
    <t>FRorig.s1</t>
  </si>
  <si>
    <t xml:space="preserve">Fraction original species in porewater of natural soil </t>
  </si>
  <si>
    <t>FRorig.s1w</t>
  </si>
  <si>
    <t>Fraction original species in agricultural soil</t>
  </si>
  <si>
    <t>FRorig.s2</t>
  </si>
  <si>
    <t>Fraction original species in porewater of agricultural soil</t>
  </si>
  <si>
    <t>FRorig.s2w</t>
  </si>
  <si>
    <t>Fraction original species in other soil</t>
  </si>
  <si>
    <t>FRorig.s3</t>
  </si>
  <si>
    <t>Fraction original species in porewater of other soil</t>
  </si>
  <si>
    <t>FRorig.s3w</t>
  </si>
  <si>
    <r>
      <t xml:space="preserve">VAPOR PRESSURE </t>
    </r>
    <r>
      <rPr>
        <sz val="11"/>
        <color theme="1"/>
        <rFont val="Calibri"/>
        <family val="2"/>
        <scheme val="minor"/>
      </rPr>
      <t xml:space="preserve">of original species at 25 </t>
    </r>
    <r>
      <rPr>
        <vertAlign val="superscript"/>
        <sz val="10"/>
        <rFont val="Calibri"/>
        <family val="2"/>
      </rPr>
      <t>o</t>
    </r>
    <r>
      <rPr>
        <sz val="11"/>
        <color theme="1"/>
        <rFont val="Calibri"/>
        <family val="2"/>
        <scheme val="minor"/>
      </rPr>
      <t>C</t>
    </r>
  </si>
  <si>
    <t>Pvap25</t>
  </si>
  <si>
    <t>[Pa]</t>
  </si>
  <si>
    <t>Pa</t>
  </si>
  <si>
    <t>ENTHALPY of vaporization</t>
  </si>
  <si>
    <t>H0vap</t>
  </si>
  <si>
    <r>
      <t>[kJ.mol</t>
    </r>
    <r>
      <rPr>
        <vertAlign val="superscript"/>
        <sz val="10"/>
        <rFont val="Calibri"/>
        <family val="2"/>
      </rPr>
      <t>-1</t>
    </r>
    <r>
      <rPr>
        <sz val="11"/>
        <color theme="1"/>
        <rFont val="Calibri"/>
        <family val="2"/>
        <scheme val="minor"/>
      </rPr>
      <t>]</t>
    </r>
  </si>
  <si>
    <t>J.mol-1</t>
  </si>
  <si>
    <r>
      <t xml:space="preserve">Water SOLUBILITY </t>
    </r>
    <r>
      <rPr>
        <sz val="11"/>
        <color theme="1"/>
        <rFont val="Calibri"/>
        <family val="2"/>
        <scheme val="minor"/>
      </rPr>
      <t xml:space="preserve">of neutral species at 25 </t>
    </r>
    <r>
      <rPr>
        <vertAlign val="superscript"/>
        <sz val="10"/>
        <rFont val="Calibri"/>
        <family val="2"/>
      </rPr>
      <t>o</t>
    </r>
    <r>
      <rPr>
        <sz val="11"/>
        <color theme="1"/>
        <rFont val="Calibri"/>
        <family val="2"/>
        <scheme val="minor"/>
      </rPr>
      <t>C</t>
    </r>
  </si>
  <si>
    <t>Sol25</t>
  </si>
  <si>
    <r>
      <t>[mg.L</t>
    </r>
    <r>
      <rPr>
        <vertAlign val="superscript"/>
        <sz val="10"/>
        <rFont val="Calibri"/>
        <family val="2"/>
      </rPr>
      <t>-1</t>
    </r>
    <r>
      <rPr>
        <sz val="11"/>
        <color theme="1"/>
        <rFont val="Calibri"/>
        <family val="2"/>
        <scheme val="minor"/>
      </rPr>
      <t>]</t>
    </r>
  </si>
  <si>
    <t>mol.m-3</t>
  </si>
  <si>
    <t>ENTHALPY of dissolution</t>
  </si>
  <si>
    <t>H0sol</t>
  </si>
  <si>
    <t>Melting point</t>
  </si>
  <si>
    <t>Tm</t>
  </si>
  <si>
    <r>
      <t>[</t>
    </r>
    <r>
      <rPr>
        <vertAlign val="superscript"/>
        <sz val="10"/>
        <rFont val="Calibri"/>
        <family val="2"/>
      </rPr>
      <t>o</t>
    </r>
    <r>
      <rPr>
        <sz val="11"/>
        <color theme="1"/>
        <rFont val="Calibri"/>
        <family val="2"/>
        <scheme val="minor"/>
      </rPr>
      <t>C]</t>
    </r>
  </si>
  <si>
    <t>K</t>
  </si>
  <si>
    <t>QSAR table equilibrium constants</t>
  </si>
  <si>
    <t>Koc(orig)</t>
  </si>
  <si>
    <t>Koc(alt)</t>
  </si>
  <si>
    <t>Kh(orig)</t>
  </si>
  <si>
    <t>Kh(alt)</t>
  </si>
  <si>
    <t>Acid</t>
  </si>
  <si>
    <t>Base</t>
  </si>
  <si>
    <t>Metal</t>
  </si>
  <si>
    <t>Hydrophobics</t>
  </si>
  <si>
    <t>Non hydrophobics</t>
  </si>
  <si>
    <t>Phenols, anilines, benzonitriles, nitrobenzenes</t>
  </si>
  <si>
    <t>Acetanilides, carbamates, esters, phenylureas, phosphates, triazines, triazoles, uracils</t>
  </si>
  <si>
    <t>Alcohols, organic acids</t>
  </si>
  <si>
    <t>Acetanilides</t>
  </si>
  <si>
    <t>Alcohols</t>
  </si>
  <si>
    <t>Amides</t>
  </si>
  <si>
    <t>Anilines</t>
  </si>
  <si>
    <t>Carbamates</t>
  </si>
  <si>
    <t>Dinitroanilines</t>
  </si>
  <si>
    <t>Esters</t>
  </si>
  <si>
    <t>Nitrobenzenes</t>
  </si>
  <si>
    <t>Organic acids</t>
  </si>
  <si>
    <t>Phenols, benzonitriles</t>
  </si>
  <si>
    <t>Phenylureas</t>
  </si>
  <si>
    <t>Phosphates</t>
  </si>
  <si>
    <t>Triazines</t>
  </si>
  <si>
    <t>Triazoles</t>
  </si>
  <si>
    <r>
      <t xml:space="preserve">Gas phase degradation RATE CONSTANT at 25 </t>
    </r>
    <r>
      <rPr>
        <vertAlign val="superscript"/>
        <sz val="10"/>
        <rFont val="Calibri"/>
        <family val="2"/>
      </rPr>
      <t>o</t>
    </r>
    <r>
      <rPr>
        <sz val="11"/>
        <color theme="1"/>
        <rFont val="Calibri"/>
        <family val="2"/>
        <scheme val="minor"/>
      </rPr>
      <t>C</t>
    </r>
  </si>
  <si>
    <t>kdeg.air</t>
  </si>
  <si>
    <r>
      <t>[s</t>
    </r>
    <r>
      <rPr>
        <vertAlign val="superscript"/>
        <sz val="10"/>
        <rFont val="Calibri"/>
        <family val="2"/>
      </rPr>
      <t>-1</t>
    </r>
    <r>
      <rPr>
        <sz val="11"/>
        <color theme="1"/>
        <rFont val="Calibri"/>
        <family val="2"/>
        <scheme val="minor"/>
      </rPr>
      <t>]</t>
    </r>
  </si>
  <si>
    <t>s-1</t>
  </si>
  <si>
    <t>OH radical CONCENTRATION</t>
  </si>
  <si>
    <t>C.OHrad</t>
  </si>
  <si>
    <r>
      <t>[cm</t>
    </r>
    <r>
      <rPr>
        <vertAlign val="superscript"/>
        <sz val="10"/>
        <rFont val="Calibri"/>
        <family val="2"/>
      </rPr>
      <t>-3</t>
    </r>
    <r>
      <rPr>
        <sz val="11"/>
        <color theme="1"/>
        <rFont val="Calibri"/>
        <family val="2"/>
        <scheme val="minor"/>
      </rPr>
      <t>]</t>
    </r>
  </si>
  <si>
    <t>cm-3</t>
  </si>
  <si>
    <t>FREQUENCY FACTOR OH radical reaction</t>
  </si>
  <si>
    <t>k0.OHrad</t>
  </si>
  <si>
    <r>
      <t>[cm</t>
    </r>
    <r>
      <rPr>
        <vertAlign val="superscript"/>
        <sz val="10"/>
        <rFont val="Calibri"/>
        <family val="2"/>
      </rPr>
      <t>3</t>
    </r>
    <r>
      <rPr>
        <sz val="11"/>
        <color theme="1"/>
        <rFont val="Calibri"/>
        <family val="2"/>
        <scheme val="minor"/>
      </rPr>
      <t>.s</t>
    </r>
    <r>
      <rPr>
        <vertAlign val="superscript"/>
        <sz val="10"/>
        <rFont val="Calibri"/>
        <family val="2"/>
      </rPr>
      <t>-1</t>
    </r>
    <r>
      <rPr>
        <sz val="11"/>
        <color theme="1"/>
        <rFont val="Calibri"/>
        <family val="2"/>
        <scheme val="minor"/>
      </rPr>
      <t>]</t>
    </r>
  </si>
  <si>
    <t>cm3.s-1</t>
  </si>
  <si>
    <t>ACTIVATION ENERGY OH radical reaction</t>
  </si>
  <si>
    <t>Ea.OHrad</t>
  </si>
  <si>
    <t>[kJ.mol-1]</t>
  </si>
  <si>
    <r>
      <t xml:space="preserve">Dissolved phase degradation RATE CONSTANT at 25 </t>
    </r>
    <r>
      <rPr>
        <vertAlign val="superscript"/>
        <sz val="10"/>
        <rFont val="Calibri"/>
        <family val="2"/>
      </rPr>
      <t>o</t>
    </r>
    <r>
      <rPr>
        <sz val="11"/>
        <color theme="1"/>
        <rFont val="Calibri"/>
        <family val="2"/>
        <scheme val="minor"/>
      </rPr>
      <t>C</t>
    </r>
  </si>
  <si>
    <t>kdeg.water</t>
  </si>
  <si>
    <t>Biodegradability test result</t>
  </si>
  <si>
    <t>biodeg</t>
  </si>
  <si>
    <t>[r / r- / i / p]</t>
  </si>
  <si>
    <t>i</t>
  </si>
  <si>
    <t>CONCENTRATION BACTERIA in test water</t>
  </si>
  <si>
    <t>BACT.test</t>
  </si>
  <si>
    <r>
      <t>[CFU.mL</t>
    </r>
    <r>
      <rPr>
        <vertAlign val="superscript"/>
        <sz val="10"/>
        <rFont val="Calibri"/>
        <family val="2"/>
      </rPr>
      <t>-1</t>
    </r>
    <r>
      <rPr>
        <sz val="11"/>
        <color theme="1"/>
        <rFont val="Calibri"/>
        <family val="2"/>
        <scheme val="minor"/>
      </rPr>
      <t>]</t>
    </r>
  </si>
  <si>
    <t>CFU.mL-1</t>
  </si>
  <si>
    <r>
      <t xml:space="preserve">RATE INCREASE factor per 10 </t>
    </r>
    <r>
      <rPr>
        <vertAlign val="superscript"/>
        <sz val="10"/>
        <rFont val="Calibri"/>
        <family val="2"/>
      </rPr>
      <t>o</t>
    </r>
    <r>
      <rPr>
        <sz val="11"/>
        <color theme="1"/>
        <rFont val="Calibri"/>
        <family val="2"/>
        <scheme val="minor"/>
      </rPr>
      <t>C</t>
    </r>
  </si>
  <si>
    <t>Q.10</t>
  </si>
  <si>
    <r>
      <t xml:space="preserve">Bulk degradation RATE CONSTANT standard sediment at 25 </t>
    </r>
    <r>
      <rPr>
        <vertAlign val="superscript"/>
        <sz val="10"/>
        <rFont val="Calibri"/>
        <family val="2"/>
      </rPr>
      <t>o</t>
    </r>
    <r>
      <rPr>
        <sz val="11"/>
        <color theme="1"/>
        <rFont val="Calibri"/>
        <family val="2"/>
        <scheme val="minor"/>
      </rPr>
      <t>C</t>
    </r>
  </si>
  <si>
    <t>kdeg.sed</t>
  </si>
  <si>
    <r>
      <t xml:space="preserve">Bulk degradation RATE CONSTANT standard soil at 25 </t>
    </r>
    <r>
      <rPr>
        <vertAlign val="superscript"/>
        <sz val="10"/>
        <rFont val="Calibri"/>
        <family val="2"/>
      </rPr>
      <t>o</t>
    </r>
    <r>
      <rPr>
        <sz val="11"/>
        <color theme="1"/>
        <rFont val="Calibri"/>
        <family val="2"/>
        <scheme val="minor"/>
      </rPr>
      <t>C</t>
    </r>
  </si>
  <si>
    <t>kdeg.soil</t>
  </si>
  <si>
    <t>EMISSIONS</t>
  </si>
  <si>
    <t>REGIONAL SCALE</t>
  </si>
  <si>
    <t>EMISSION to air</t>
  </si>
  <si>
    <t>E.aR</t>
  </si>
  <si>
    <r>
      <t>[t.yr</t>
    </r>
    <r>
      <rPr>
        <vertAlign val="superscript"/>
        <sz val="10"/>
        <rFont val="Calibri"/>
        <family val="2"/>
      </rPr>
      <t>-1</t>
    </r>
    <r>
      <rPr>
        <sz val="11"/>
        <color theme="1"/>
        <rFont val="Calibri"/>
        <family val="2"/>
        <scheme val="minor"/>
      </rPr>
      <t>]</t>
    </r>
  </si>
  <si>
    <t>mol.s-1</t>
  </si>
  <si>
    <t>EMISSION to lake water</t>
  </si>
  <si>
    <t>E.w0R</t>
  </si>
  <si>
    <r>
      <t>mol.s-</t>
    </r>
    <r>
      <rPr>
        <sz val="10"/>
        <color rgb="FFFF0000"/>
        <rFont val="Calibri"/>
        <family val="2"/>
      </rPr>
      <t>1</t>
    </r>
  </si>
  <si>
    <r>
      <t xml:space="preserve">EMISSION to </t>
    </r>
    <r>
      <rPr>
        <sz val="11"/>
        <color theme="1"/>
        <rFont val="Calibri"/>
        <family val="2"/>
        <scheme val="minor"/>
      </rPr>
      <t>fresh water</t>
    </r>
  </si>
  <si>
    <t>E.w1R</t>
  </si>
  <si>
    <r>
      <t xml:space="preserve">EMISSION to </t>
    </r>
    <r>
      <rPr>
        <sz val="11"/>
        <color theme="1"/>
        <rFont val="Calibri"/>
        <family val="2"/>
        <scheme val="minor"/>
      </rPr>
      <t>sea water</t>
    </r>
  </si>
  <si>
    <t>E.w2R</t>
  </si>
  <si>
    <t>EMISSION to natural soil</t>
  </si>
  <si>
    <t>E.s1R</t>
  </si>
  <si>
    <t>EMISSION to agricultural soil</t>
  </si>
  <si>
    <t>E.s2R</t>
  </si>
  <si>
    <t>EMISSION to other soil</t>
  </si>
  <si>
    <t>E.s3R</t>
  </si>
  <si>
    <t>CONTINENTAL SCALE</t>
  </si>
  <si>
    <t>E.aC</t>
  </si>
  <si>
    <t>E.w0C</t>
  </si>
  <si>
    <t>E.w1C</t>
  </si>
  <si>
    <t>E.w2C</t>
  </si>
  <si>
    <t>E.s1C</t>
  </si>
  <si>
    <t>E.s2C</t>
  </si>
  <si>
    <t>E.s3C</t>
  </si>
  <si>
    <t>MODERATE ZONE</t>
  </si>
  <si>
    <t>E.aM</t>
  </si>
  <si>
    <t>EMISSION to water</t>
  </si>
  <si>
    <t>E.w2M</t>
  </si>
  <si>
    <t>EMISSION to soil</t>
  </si>
  <si>
    <t>E.sM</t>
  </si>
  <si>
    <t>ARCTIC ZONE</t>
  </si>
  <si>
    <t>E.aA</t>
  </si>
  <si>
    <t>E.w2A</t>
  </si>
  <si>
    <t>E.sA</t>
  </si>
  <si>
    <t>TROPICAL ZONE</t>
  </si>
  <si>
    <t>E.aT</t>
  </si>
  <si>
    <t>E.w2T</t>
  </si>
  <si>
    <t>E.sT</t>
  </si>
  <si>
    <t>LANDSCAPE SETTINGS</t>
  </si>
  <si>
    <t>Area land</t>
  </si>
  <si>
    <t>AREAland.R</t>
  </si>
  <si>
    <r>
      <t>[km</t>
    </r>
    <r>
      <rPr>
        <vertAlign val="superscript"/>
        <sz val="10"/>
        <rFont val="Calibri"/>
        <family val="2"/>
      </rPr>
      <t>2</t>
    </r>
    <r>
      <rPr>
        <sz val="11"/>
        <color theme="1"/>
        <rFont val="Calibri"/>
        <family val="2"/>
        <scheme val="minor"/>
      </rPr>
      <t>]</t>
    </r>
  </si>
  <si>
    <r>
      <t>m</t>
    </r>
    <r>
      <rPr>
        <vertAlign val="superscript"/>
        <sz val="10"/>
        <rFont val="Calibri"/>
        <family val="2"/>
      </rPr>
      <t>2</t>
    </r>
  </si>
  <si>
    <t>Area sea</t>
  </si>
  <si>
    <t>AREAsea.R</t>
  </si>
  <si>
    <t>Fraction lake water</t>
  </si>
  <si>
    <t>FRAClake.R</t>
  </si>
  <si>
    <t>Fraction fresh water</t>
  </si>
  <si>
    <t>FRACfresh.R</t>
  </si>
  <si>
    <t>Fraction natural soil</t>
  </si>
  <si>
    <t>FRACnatsoil.R</t>
  </si>
  <si>
    <t>Fraction agricultural soil</t>
  </si>
  <si>
    <t>FRACagsoil.R</t>
  </si>
  <si>
    <t>Fraction urban/industrial soil</t>
  </si>
  <si>
    <t>FRACothersoil.R</t>
  </si>
  <si>
    <t>Temperature</t>
  </si>
  <si>
    <t>TEMP.R</t>
  </si>
  <si>
    <t>Wind speed</t>
  </si>
  <si>
    <t>WINDspeed.R</t>
  </si>
  <si>
    <r>
      <t>m.s</t>
    </r>
    <r>
      <rPr>
        <vertAlign val="superscript"/>
        <sz val="10"/>
        <rFont val="Calibri"/>
        <family val="2"/>
      </rPr>
      <t>-1</t>
    </r>
  </si>
  <si>
    <t>Average precipitation</t>
  </si>
  <si>
    <t>RAINrate.R</t>
  </si>
  <si>
    <r>
      <t>mm.yr</t>
    </r>
    <r>
      <rPr>
        <vertAlign val="superscript"/>
        <sz val="10"/>
        <rFont val="Calibri"/>
        <family val="2"/>
      </rPr>
      <t>-1</t>
    </r>
  </si>
  <si>
    <t>Depth lake water</t>
  </si>
  <si>
    <t>DEPTHlake.R</t>
  </si>
  <si>
    <t>Depth fresh water</t>
  </si>
  <si>
    <t>DEPTHfreshwater.R</t>
  </si>
  <si>
    <t>FRACTION discharge regional fresh water to continental scale</t>
  </si>
  <si>
    <t>FRAC.w1R.w1C</t>
  </si>
  <si>
    <t>Fraction run off</t>
  </si>
  <si>
    <t>FRACrun.R</t>
  </si>
  <si>
    <t>Fraction infiltration</t>
  </si>
  <si>
    <t>FRACinf.R</t>
  </si>
  <si>
    <t>Soil erosion</t>
  </si>
  <si>
    <t>EROSION.R</t>
  </si>
  <si>
    <t>AREAland.C</t>
  </si>
  <si>
    <t>AREAsea.C</t>
  </si>
  <si>
    <t>FRAClake.C</t>
  </si>
  <si>
    <t>FRACfresh.C</t>
  </si>
  <si>
    <t>FRACnatsoil.C</t>
  </si>
  <si>
    <t>FRACagsoil.C</t>
  </si>
  <si>
    <t>FRACothersoil.C</t>
  </si>
  <si>
    <t>TEMP.C</t>
  </si>
  <si>
    <t>WINDspeed.C</t>
  </si>
  <si>
    <t>RAINrate.C</t>
  </si>
  <si>
    <t>DEPTHlake.C</t>
  </si>
  <si>
    <t>DEPTHfreshwater.C</t>
  </si>
  <si>
    <t>FRACTION discharge continental fresh water to regional scale</t>
  </si>
  <si>
    <t>FRAC.w1C.w1R</t>
  </si>
  <si>
    <t>FRACinf.C</t>
  </si>
  <si>
    <t>FRACrun.C</t>
  </si>
  <si>
    <t>EROSION.C</t>
  </si>
  <si>
    <t>ALL-SCALE</t>
  </si>
  <si>
    <t>pH aerosol</t>
  </si>
  <si>
    <t>pH.aerw</t>
  </si>
  <si>
    <t>range pH 0-5</t>
  </si>
  <si>
    <t>pH fresh water</t>
  </si>
  <si>
    <t>pH.w1</t>
  </si>
  <si>
    <t>pH in sea water</t>
  </si>
  <si>
    <t>pH.w2</t>
  </si>
  <si>
    <t>pH natural soil</t>
  </si>
  <si>
    <t>pH.s1</t>
  </si>
  <si>
    <t>pH agricultural soil</t>
  </si>
  <si>
    <t>pH.s2</t>
  </si>
  <si>
    <t>pH other soil</t>
  </si>
  <si>
    <t>pH.s3</t>
  </si>
  <si>
    <t>Gas phase DIFFUSION coefficient</t>
  </si>
  <si>
    <t>DIFFgas</t>
  </si>
  <si>
    <r>
      <t>[m</t>
    </r>
    <r>
      <rPr>
        <vertAlign val="superscript"/>
        <sz val="10"/>
        <rFont val="Calibri"/>
        <family val="2"/>
      </rPr>
      <t>2</t>
    </r>
    <r>
      <rPr>
        <sz val="11"/>
        <color theme="1"/>
        <rFont val="Calibri"/>
        <family val="2"/>
        <scheme val="minor"/>
      </rPr>
      <t>.s</t>
    </r>
    <r>
      <rPr>
        <vertAlign val="superscript"/>
        <sz val="10"/>
        <rFont val="Calibri"/>
        <family val="2"/>
      </rPr>
      <t>-1</t>
    </r>
    <r>
      <rPr>
        <sz val="11"/>
        <color theme="1"/>
        <rFont val="Calibri"/>
        <family val="2"/>
        <scheme val="minor"/>
      </rPr>
      <t>]</t>
    </r>
  </si>
  <si>
    <t>m2.s-1</t>
  </si>
  <si>
    <t>Water phase DIFFUSION coefficient</t>
  </si>
  <si>
    <t>DIFFwater</t>
  </si>
  <si>
    <t>Mass fraction organic carbon in aerosol</t>
  </si>
  <si>
    <t>CORGaers</t>
  </si>
  <si>
    <t>Standard mass FRACTION organic carbon in soil/sediment</t>
  </si>
  <si>
    <t>CORG</t>
  </si>
  <si>
    <t>Dry density of aerosol solids</t>
  </si>
  <si>
    <t>RHOaers</t>
  </si>
  <si>
    <r>
      <t>[kg.m</t>
    </r>
    <r>
      <rPr>
        <vertAlign val="superscript"/>
        <sz val="10"/>
        <rFont val="Calibri"/>
        <family val="2"/>
      </rPr>
      <t>-3</t>
    </r>
    <r>
      <rPr>
        <sz val="11"/>
        <color theme="1"/>
        <rFont val="Calibri"/>
        <family val="2"/>
        <scheme val="minor"/>
      </rPr>
      <t>]</t>
    </r>
  </si>
  <si>
    <t>kg.m-3</t>
  </si>
  <si>
    <t>Mineral DENSITY sediment and soil</t>
  </si>
  <si>
    <t>RHOsolid</t>
  </si>
  <si>
    <t>2,4-D</t>
  </si>
  <si>
    <t>acid</t>
  </si>
  <si>
    <t>E66*D48*C15</t>
  </si>
  <si>
    <t>organic acid</t>
  </si>
  <si>
    <t>[g.mol-1]</t>
  </si>
  <si>
    <t>Ksw</t>
  </si>
  <si>
    <t/>
  </si>
  <si>
    <t>Dimensionless gas/water PARTITION COEFFICIENT of the original species at 25 oC</t>
  </si>
  <si>
    <t>Kaw</t>
  </si>
  <si>
    <t>Octanol/water PARTITION COEFFICIENT of the original species</t>
  </si>
  <si>
    <t>Octanol/water PARTITION COEFFICIENT of alternate form</t>
  </si>
  <si>
    <t>Kow.alt</t>
  </si>
  <si>
    <t>Apparent octanol/water PARTITION COEFFICIENT at neutral pH</t>
  </si>
  <si>
    <t>VAPOR PRESSURE of original species at 25 oC</t>
  </si>
  <si>
    <t>Water SOLUBILITY of neutral species at 25 oC</t>
  </si>
  <si>
    <t>[mg.L-1]</t>
  </si>
  <si>
    <t>[oC]</t>
  </si>
  <si>
    <t>Gas phase degradation RATE CONSTANT at 25 oC</t>
  </si>
  <si>
    <t>[s-1]</t>
  </si>
  <si>
    <t>[cm-3]</t>
  </si>
  <si>
    <t>[cm3.s-1]</t>
  </si>
  <si>
    <t>Dissolved phase degradation RATE CONSTANT at 25 oC</t>
  </si>
  <si>
    <t>[CFU.mL-1]</t>
  </si>
  <si>
    <t>RATE INCREASE factor per 10 oC</t>
  </si>
  <si>
    <t>Bulk degradation RATE CONSTANT standard sediment at 25 oC</t>
  </si>
  <si>
    <t>Bulk degradation RATE CONSTANT standard soil at 25 oC</t>
  </si>
  <si>
    <t>[t.yr-1]</t>
  </si>
  <si>
    <t>EMISSION to fresh water</t>
  </si>
  <si>
    <t>EMISSION to sea water</t>
  </si>
  <si>
    <t>[km2]</t>
  </si>
  <si>
    <t>m2</t>
  </si>
  <si>
    <t>m.s-1</t>
  </si>
  <si>
    <t>mm.yr-1</t>
  </si>
  <si>
    <t>[m2.s-1]</t>
  </si>
  <si>
    <t>[kg.m-3]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</si>
</sst>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0E+00"/>
    <numFmt numFmtId="165" formatCode="0.0"/>
    <numFmt numFmtId="166" formatCode="0.000"/>
    <numFmt numFmtId="167" formatCode="0.0000"/>
    <numFmt numFmtId="168" formatCode="0.0E+00"/>
    <numFmt numFmtId="169" formatCode="0.00000E+00"/>
    <numFmt numFmtId="170" formatCode="General_)"/>
    <numFmt numFmtId="171" formatCode="0.0E+00_)"/>
    <numFmt numFmtId="172" formatCode="0.00E+00_)"/>
  </numFmts>
  <fonts count="3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vertAlign val="subscript"/>
      <sz val="10"/>
      <color indexed="9"/>
      <name val="Arial"/>
      <family val="2"/>
    </font>
    <font>
      <b/>
      <vertAlign val="superscript"/>
      <sz val="1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Arial"/>
      <family val="2"/>
    </font>
    <font>
      <u/>
      <sz val="10"/>
      <color indexed="12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vertAlign val="subscript"/>
      <sz val="10"/>
      <name val="Arial"/>
      <family val="2"/>
    </font>
    <font>
      <vertAlign val="superscript"/>
      <sz val="10"/>
      <name val="Arial"/>
      <family val="2"/>
    </font>
    <font>
      <i/>
      <vertAlign val="subscript"/>
      <sz val="10"/>
      <name val="Arial"/>
      <family val="2"/>
    </font>
    <font>
      <b/>
      <i/>
      <sz val="11"/>
      <name val="Calibri"/>
      <family val="2"/>
    </font>
    <font>
      <sz val="10"/>
      <color indexed="10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color rgb="FF0000FF"/>
      <name val="Calibri"/>
      <family val="2"/>
    </font>
    <font>
      <b/>
      <i/>
      <sz val="10"/>
      <name val="Calibri"/>
      <family val="2"/>
    </font>
    <font>
      <sz val="10"/>
      <color rgb="FFFF0000"/>
      <name val="Calibri"/>
      <family val="2"/>
    </font>
    <font>
      <sz val="10"/>
      <color rgb="FFDC0000"/>
      <name val="Calibri"/>
      <family val="2"/>
    </font>
    <font>
      <vertAlign val="superscript"/>
      <sz val="10"/>
      <name val="Calibri"/>
      <family val="2"/>
    </font>
    <font>
      <sz val="10"/>
      <color theme="1"/>
      <name val="Calibri"/>
      <family val="2"/>
    </font>
    <font>
      <i/>
      <sz val="10"/>
      <name val="Calibri"/>
      <family val="2"/>
    </font>
    <font>
      <sz val="10"/>
      <color theme="0" tint="-0.34998626667073579"/>
      <name val="Calibri"/>
      <family val="2"/>
    </font>
    <font>
      <i/>
      <sz val="10"/>
      <color theme="0" tint="-0.34998626667073579"/>
      <name val="Calibri"/>
      <family val="2"/>
    </font>
    <font>
      <sz val="10"/>
      <color rgb="FF008C00"/>
      <name val="Calibri"/>
      <family val="2"/>
    </font>
    <font>
      <u/>
      <sz val="1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D4D4D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34998626667073579"/>
      </bottom>
      <diagonal/>
    </border>
  </borders>
  <cellStyleXfs count="6">
    <xf numFmtId="0" fontId="0" fillId="0" borderId="0"/>
    <xf numFmtId="0" fontId="2" fillId="0" borderId="0"/>
    <xf numFmtId="0" fontId="4" fillId="0" borderId="0"/>
    <xf numFmtId="9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</cellStyleXfs>
  <cellXfs count="279">
    <xf numFmtId="0" fontId="0" fillId="0" borderId="0" xfId="0"/>
    <xf numFmtId="0" fontId="4" fillId="2" borderId="8" xfId="1" applyFont="1" applyFill="1" applyBorder="1" applyAlignment="1" applyProtection="1">
      <alignment wrapText="1"/>
      <protection locked="0"/>
    </xf>
    <xf numFmtId="0" fontId="2" fillId="0" borderId="10" xfId="1" applyBorder="1" applyProtection="1">
      <protection locked="0"/>
    </xf>
    <xf numFmtId="0" fontId="2" fillId="2" borderId="7" xfId="1" applyNumberFormat="1" applyFill="1" applyBorder="1" applyProtection="1">
      <protection locked="0"/>
    </xf>
    <xf numFmtId="11" fontId="2" fillId="2" borderId="7" xfId="1" applyNumberFormat="1" applyFill="1" applyBorder="1" applyProtection="1">
      <protection locked="0"/>
    </xf>
    <xf numFmtId="0" fontId="2" fillId="2" borderId="10" xfId="1" applyNumberFormat="1" applyFill="1" applyBorder="1" applyProtection="1">
      <protection locked="0"/>
    </xf>
    <xf numFmtId="11" fontId="2" fillId="2" borderId="10" xfId="1" applyNumberFormat="1" applyFill="1" applyBorder="1" applyProtection="1">
      <protection locked="0"/>
    </xf>
    <xf numFmtId="0" fontId="4" fillId="2" borderId="8" xfId="1" applyNumberFormat="1" applyFont="1" applyFill="1" applyBorder="1" applyProtection="1">
      <protection locked="0"/>
    </xf>
    <xf numFmtId="0" fontId="4" fillId="2" borderId="7" xfId="1" applyNumberFormat="1" applyFont="1" applyFill="1" applyBorder="1" applyProtection="1">
      <protection locked="0"/>
    </xf>
    <xf numFmtId="11" fontId="2" fillId="0" borderId="7" xfId="1" applyNumberFormat="1" applyBorder="1" applyProtection="1">
      <protection locked="0"/>
    </xf>
    <xf numFmtId="0" fontId="2" fillId="2" borderId="5" xfId="1" applyNumberFormat="1" applyFill="1" applyBorder="1" applyProtection="1">
      <protection locked="0"/>
    </xf>
    <xf numFmtId="0" fontId="2" fillId="2" borderId="6" xfId="1" applyNumberFormat="1" applyFill="1" applyBorder="1" applyProtection="1">
      <protection locked="0"/>
    </xf>
    <xf numFmtId="11" fontId="2" fillId="2" borderId="9" xfId="1" applyNumberFormat="1" applyFill="1" applyBorder="1" applyProtection="1">
      <protection locked="0"/>
    </xf>
    <xf numFmtId="0" fontId="2" fillId="0" borderId="12" xfId="1" applyFill="1" applyBorder="1" applyProtection="1"/>
    <xf numFmtId="0" fontId="2" fillId="2" borderId="0" xfId="1" applyFill="1" applyBorder="1" applyProtection="1"/>
    <xf numFmtId="0" fontId="3" fillId="2" borderId="0" xfId="1" applyFont="1" applyFill="1" applyBorder="1" applyProtection="1"/>
    <xf numFmtId="0" fontId="2" fillId="2" borderId="12" xfId="1" applyFill="1" applyBorder="1" applyProtection="1"/>
    <xf numFmtId="0" fontId="2" fillId="0" borderId="0" xfId="1" applyBorder="1" applyProtection="1"/>
    <xf numFmtId="11" fontId="4" fillId="3" borderId="7" xfId="1" applyNumberFormat="1" applyFont="1" applyFill="1" applyBorder="1" applyProtection="1">
      <protection locked="0"/>
    </xf>
    <xf numFmtId="0" fontId="4" fillId="3" borderId="3" xfId="1" applyFont="1" applyFill="1" applyBorder="1" applyProtection="1"/>
    <xf numFmtId="0" fontId="7" fillId="4" borderId="5" xfId="1" applyFont="1" applyFill="1" applyBorder="1" applyProtection="1"/>
    <xf numFmtId="0" fontId="7" fillId="4" borderId="6" xfId="1" applyFont="1" applyFill="1" applyBorder="1" applyProtection="1"/>
    <xf numFmtId="0" fontId="7" fillId="4" borderId="9" xfId="1" applyFont="1" applyFill="1" applyBorder="1" applyProtection="1"/>
    <xf numFmtId="0" fontId="7" fillId="4" borderId="5" xfId="1" applyFont="1" applyFill="1" applyBorder="1" applyAlignment="1" applyProtection="1">
      <alignment horizontal="left"/>
    </xf>
    <xf numFmtId="0" fontId="7" fillId="4" borderId="6" xfId="1" applyFont="1" applyFill="1" applyBorder="1" applyAlignment="1" applyProtection="1">
      <alignment horizontal="left"/>
    </xf>
    <xf numFmtId="0" fontId="7" fillId="4" borderId="7" xfId="1" applyFont="1" applyFill="1" applyBorder="1" applyProtection="1"/>
    <xf numFmtId="0" fontId="1" fillId="0" borderId="0" xfId="0" applyFont="1"/>
    <xf numFmtId="11" fontId="4" fillId="0" borderId="11" xfId="2" applyNumberFormat="1" applyFont="1" applyFill="1" applyBorder="1" applyProtection="1"/>
    <xf numFmtId="11" fontId="4" fillId="0" borderId="2" xfId="2" applyNumberFormat="1" applyFont="1" applyFill="1" applyBorder="1" applyProtection="1"/>
    <xf numFmtId="0" fontId="4" fillId="2" borderId="0" xfId="2" applyFill="1" applyBorder="1" applyProtection="1"/>
    <xf numFmtId="0" fontId="4" fillId="2" borderId="3" xfId="2" applyFill="1" applyBorder="1" applyProtection="1"/>
    <xf numFmtId="0" fontId="4" fillId="3" borderId="0" xfId="2" applyFill="1" applyBorder="1" applyProtection="1"/>
    <xf numFmtId="0" fontId="3" fillId="2" borderId="0" xfId="2" applyFont="1" applyFill="1" applyBorder="1" applyProtection="1"/>
    <xf numFmtId="0" fontId="3" fillId="2" borderId="0" xfId="2" applyFont="1" applyFill="1" applyBorder="1" applyAlignment="1" applyProtection="1">
      <alignment horizontal="left"/>
    </xf>
    <xf numFmtId="0" fontId="4" fillId="2" borderId="13" xfId="2" applyFont="1" applyFill="1" applyBorder="1" applyProtection="1"/>
    <xf numFmtId="0" fontId="3" fillId="2" borderId="3" xfId="2" applyFont="1" applyFill="1" applyBorder="1" applyProtection="1"/>
    <xf numFmtId="0" fontId="4" fillId="3" borderId="1" xfId="2" applyFont="1" applyFill="1" applyBorder="1" applyProtection="1"/>
    <xf numFmtId="0" fontId="3" fillId="3" borderId="3" xfId="2" applyFont="1" applyFill="1" applyBorder="1" applyProtection="1"/>
    <xf numFmtId="0" fontId="3" fillId="3" borderId="0" xfId="2" applyFont="1" applyFill="1" applyBorder="1" applyProtection="1"/>
    <xf numFmtId="0" fontId="7" fillId="3" borderId="1" xfId="2" applyFont="1" applyFill="1" applyBorder="1" applyProtection="1"/>
    <xf numFmtId="0" fontId="8" fillId="3" borderId="0" xfId="2" applyFont="1" applyFill="1" applyBorder="1" applyProtection="1"/>
    <xf numFmtId="0" fontId="4" fillId="2" borderId="0" xfId="2" applyFill="1" applyBorder="1" applyAlignment="1" applyProtection="1">
      <alignment vertical="top" wrapText="1"/>
    </xf>
    <xf numFmtId="0" fontId="7" fillId="4" borderId="5" xfId="2" applyFont="1" applyFill="1" applyBorder="1" applyProtection="1"/>
    <xf numFmtId="0" fontId="7" fillId="4" borderId="6" xfId="2" applyFont="1" applyFill="1" applyBorder="1" applyProtection="1"/>
    <xf numFmtId="0" fontId="7" fillId="4" borderId="9" xfId="2" applyFont="1" applyFill="1" applyBorder="1" applyProtection="1"/>
    <xf numFmtId="0" fontId="7" fillId="4" borderId="13" xfId="2" applyFont="1" applyFill="1" applyBorder="1" applyProtection="1"/>
    <xf numFmtId="0" fontId="7" fillId="4" borderId="7" xfId="2" applyFont="1" applyFill="1" applyBorder="1" applyProtection="1"/>
    <xf numFmtId="0" fontId="7" fillId="4" borderId="8" xfId="2" applyFont="1" applyFill="1" applyBorder="1" applyProtection="1"/>
    <xf numFmtId="0" fontId="7" fillId="4" borderId="10" xfId="2" applyFont="1" applyFill="1" applyBorder="1" applyProtection="1"/>
    <xf numFmtId="0" fontId="7" fillId="4" borderId="3" xfId="2" applyFont="1" applyFill="1" applyBorder="1" applyProtection="1"/>
    <xf numFmtId="0" fontId="4" fillId="0" borderId="1" xfId="2" applyFont="1" applyFill="1" applyBorder="1" applyProtection="1"/>
    <xf numFmtId="0" fontId="4" fillId="0" borderId="3" xfId="2" applyFont="1" applyFill="1" applyBorder="1" applyProtection="1"/>
    <xf numFmtId="0" fontId="4" fillId="0" borderId="11" xfId="2" applyFont="1" applyFill="1" applyBorder="1" applyProtection="1"/>
    <xf numFmtId="0" fontId="4" fillId="0" borderId="4" xfId="2" applyFont="1" applyFill="1" applyBorder="1" applyProtection="1"/>
    <xf numFmtId="0" fontId="4" fillId="0" borderId="0" xfId="2" applyFont="1" applyFill="1" applyBorder="1" applyProtection="1"/>
    <xf numFmtId="0" fontId="4" fillId="0" borderId="5" xfId="2" applyFont="1" applyFill="1" applyBorder="1" applyProtection="1"/>
    <xf numFmtId="0" fontId="4" fillId="0" borderId="6" xfId="2" applyFont="1" applyFill="1" applyBorder="1" applyProtection="1"/>
    <xf numFmtId="11" fontId="4" fillId="0" borderId="6" xfId="2" applyNumberFormat="1" applyFont="1" applyFill="1" applyBorder="1" applyProtection="1"/>
    <xf numFmtId="11" fontId="4" fillId="0" borderId="5" xfId="2" applyNumberFormat="1" applyFont="1" applyFill="1" applyBorder="1" applyProtection="1"/>
    <xf numFmtId="0" fontId="4" fillId="0" borderId="9" xfId="2" applyFont="1" applyFill="1" applyBorder="1" applyProtection="1"/>
    <xf numFmtId="11" fontId="12" fillId="0" borderId="0" xfId="4" applyNumberFormat="1" applyFont="1" applyFill="1" applyAlignment="1" applyProtection="1"/>
    <xf numFmtId="0" fontId="4" fillId="0" borderId="11" xfId="0" applyFont="1" applyFill="1" applyBorder="1" applyAlignment="1">
      <alignment horizontal="center"/>
    </xf>
    <xf numFmtId="11" fontId="4" fillId="0" borderId="11" xfId="0" applyNumberFormat="1" applyFont="1" applyFill="1" applyBorder="1" applyAlignment="1">
      <alignment horizontal="center"/>
    </xf>
    <xf numFmtId="11" fontId="4" fillId="0" borderId="2" xfId="0" applyNumberFormat="1" applyFont="1" applyFill="1" applyBorder="1" applyAlignment="1">
      <alignment horizontal="center" wrapText="1"/>
    </xf>
    <xf numFmtId="11" fontId="4" fillId="0" borderId="11" xfId="0" applyNumberFormat="1" applyFont="1" applyFill="1" applyBorder="1" applyAlignment="1">
      <alignment horizontal="center" wrapText="1"/>
    </xf>
    <xf numFmtId="165" fontId="4" fillId="0" borderId="11" xfId="0" applyNumberFormat="1" applyFont="1" applyFill="1" applyBorder="1" applyAlignment="1">
      <alignment horizontal="center"/>
    </xf>
    <xf numFmtId="165" fontId="4" fillId="0" borderId="4" xfId="0" applyNumberFormat="1" applyFont="1" applyFill="1" applyBorder="1" applyAlignment="1">
      <alignment horizontal="center"/>
    </xf>
    <xf numFmtId="11" fontId="4" fillId="0" borderId="0" xfId="0" applyNumberFormat="1" applyFont="1" applyFill="1"/>
    <xf numFmtId="11" fontId="4" fillId="0" borderId="2" xfId="0" applyNumberFormat="1" applyFont="1" applyFill="1" applyBorder="1"/>
    <xf numFmtId="0" fontId="14" fillId="0" borderId="11" xfId="0" applyFont="1" applyFill="1" applyBorder="1"/>
    <xf numFmtId="11" fontId="4" fillId="0" borderId="4" xfId="0" applyNumberFormat="1" applyFont="1" applyFill="1" applyBorder="1"/>
    <xf numFmtId="11" fontId="11" fillId="0" borderId="0" xfId="0" applyNumberFormat="1" applyFont="1" applyFill="1"/>
    <xf numFmtId="0" fontId="3" fillId="0" borderId="0" xfId="0" applyFont="1" applyFill="1"/>
    <xf numFmtId="0" fontId="4" fillId="0" borderId="0" xfId="0" applyFont="1" applyFill="1"/>
    <xf numFmtId="0" fontId="4" fillId="0" borderId="8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/>
    </xf>
    <xf numFmtId="0" fontId="4" fillId="0" borderId="7" xfId="0" applyFont="1" applyFill="1" applyBorder="1" applyAlignment="1">
      <alignment wrapText="1"/>
    </xf>
    <xf numFmtId="11" fontId="4" fillId="0" borderId="0" xfId="0" applyNumberFormat="1" applyFont="1" applyFill="1" applyAlignment="1">
      <alignment horizont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7" xfId="0" applyFont="1" applyFill="1" applyBorder="1"/>
    <xf numFmtId="0" fontId="4" fillId="0" borderId="0" xfId="0" applyFont="1" applyFill="1" applyAlignment="1">
      <alignment horizontal="center"/>
    </xf>
    <xf numFmtId="11" fontId="4" fillId="0" borderId="0" xfId="0" applyNumberFormat="1" applyFont="1" applyFill="1" applyAlignment="1">
      <alignment horizontal="center"/>
    </xf>
    <xf numFmtId="11" fontId="4" fillId="0" borderId="7" xfId="0" applyNumberFormat="1" applyFont="1" applyFill="1" applyBorder="1"/>
    <xf numFmtId="164" fontId="4" fillId="0" borderId="0" xfId="0" applyNumberFormat="1" applyFont="1" applyFill="1"/>
    <xf numFmtId="11" fontId="4" fillId="0" borderId="0" xfId="0" applyNumberFormat="1" applyFont="1" applyFill="1" applyAlignment="1">
      <alignment wrapText="1"/>
    </xf>
    <xf numFmtId="0" fontId="4" fillId="0" borderId="8" xfId="0" applyFont="1" applyFill="1" applyBorder="1"/>
    <xf numFmtId="0" fontId="14" fillId="0" borderId="7" xfId="0" applyFont="1" applyFill="1" applyBorder="1"/>
    <xf numFmtId="11" fontId="4" fillId="0" borderId="8" xfId="0" applyNumberFormat="1" applyFont="1" applyFill="1" applyBorder="1"/>
    <xf numFmtId="0" fontId="4" fillId="0" borderId="1" xfId="0" applyFont="1" applyFill="1" applyBorder="1"/>
    <xf numFmtId="0" fontId="14" fillId="0" borderId="10" xfId="0" applyFont="1" applyFill="1" applyBorder="1"/>
    <xf numFmtId="0" fontId="4" fillId="0" borderId="3" xfId="0" applyFont="1" applyFill="1" applyBorder="1" applyAlignment="1">
      <alignment horizontal="center"/>
    </xf>
    <xf numFmtId="11" fontId="14" fillId="0" borderId="0" xfId="0" applyNumberFormat="1" applyFont="1" applyFill="1" applyAlignment="1">
      <alignment wrapText="1"/>
    </xf>
    <xf numFmtId="0" fontId="14" fillId="0" borderId="0" xfId="0" applyFont="1" applyFill="1" applyAlignment="1">
      <alignment horizontal="left" vertical="center" wrapText="1"/>
    </xf>
    <xf numFmtId="11" fontId="14" fillId="0" borderId="0" xfId="0" applyNumberFormat="1" applyFont="1" applyFill="1"/>
    <xf numFmtId="11" fontId="4" fillId="0" borderId="11" xfId="0" applyNumberFormat="1" applyFont="1" applyFill="1" applyBorder="1" applyAlignment="1">
      <alignment wrapText="1"/>
    </xf>
    <xf numFmtId="11" fontId="4" fillId="0" borderId="11" xfId="0" applyNumberFormat="1" applyFont="1" applyFill="1" applyBorder="1"/>
    <xf numFmtId="0" fontId="4" fillId="0" borderId="0" xfId="0" applyFont="1" applyFill="1" applyAlignment="1">
      <alignment horizontal="center" wrapText="1"/>
    </xf>
    <xf numFmtId="11" fontId="4" fillId="0" borderId="10" xfId="0" applyNumberFormat="1" applyFont="1" applyFill="1" applyBorder="1"/>
    <xf numFmtId="0" fontId="4" fillId="0" borderId="3" xfId="0" applyFont="1" applyFill="1" applyBorder="1" applyAlignment="1">
      <alignment horizontal="center" wrapText="1"/>
    </xf>
    <xf numFmtId="11" fontId="4" fillId="0" borderId="3" xfId="0" applyNumberFormat="1" applyFont="1" applyFill="1" applyBorder="1"/>
    <xf numFmtId="165" fontId="4" fillId="0" borderId="4" xfId="0" applyNumberFormat="1" applyFont="1" applyFill="1" applyBorder="1"/>
    <xf numFmtId="0" fontId="4" fillId="0" borderId="1" xfId="0" applyFont="1" applyFill="1" applyBorder="1" applyAlignment="1">
      <alignment horizontal="right"/>
    </xf>
    <xf numFmtId="2" fontId="4" fillId="0" borderId="0" xfId="0" applyNumberFormat="1" applyFont="1" applyFill="1"/>
    <xf numFmtId="166" fontId="4" fillId="0" borderId="0" xfId="0" applyNumberFormat="1" applyFont="1" applyFill="1"/>
    <xf numFmtId="0" fontId="14" fillId="0" borderId="0" xfId="0" applyFont="1" applyFill="1"/>
    <xf numFmtId="0" fontId="4" fillId="0" borderId="10" xfId="0" applyFont="1" applyFill="1" applyBorder="1"/>
    <xf numFmtId="0" fontId="4" fillId="0" borderId="3" xfId="0" applyFont="1" applyFill="1" applyBorder="1"/>
    <xf numFmtId="11" fontId="4" fillId="0" borderId="1" xfId="0" applyNumberFormat="1" applyFont="1" applyFill="1" applyBorder="1"/>
    <xf numFmtId="11" fontId="14" fillId="0" borderId="7" xfId="0" applyNumberFormat="1" applyFont="1" applyFill="1" applyBorder="1"/>
    <xf numFmtId="165" fontId="4" fillId="0" borderId="0" xfId="0" applyNumberFormat="1" applyFont="1" applyFill="1" applyAlignment="1">
      <alignment horizontal="center"/>
    </xf>
    <xf numFmtId="2" fontId="4" fillId="0" borderId="0" xfId="0" applyNumberFormat="1" applyFont="1" applyFill="1" applyAlignment="1">
      <alignment horizontal="center"/>
    </xf>
    <xf numFmtId="2" fontId="4" fillId="0" borderId="11" xfId="0" applyNumberFormat="1" applyFont="1" applyFill="1" applyBorder="1" applyAlignment="1">
      <alignment horizontal="center"/>
    </xf>
    <xf numFmtId="11" fontId="14" fillId="0" borderId="10" xfId="0" applyNumberFormat="1" applyFont="1" applyFill="1" applyBorder="1"/>
    <xf numFmtId="2" fontId="4" fillId="0" borderId="3" xfId="0" applyNumberFormat="1" applyFont="1" applyFill="1" applyBorder="1"/>
    <xf numFmtId="11" fontId="4" fillId="0" borderId="3" xfId="0" applyNumberFormat="1" applyFont="1" applyFill="1" applyBorder="1" applyAlignment="1">
      <alignment horizontal="center"/>
    </xf>
    <xf numFmtId="11" fontId="4" fillId="0" borderId="4" xfId="0" applyNumberFormat="1" applyFont="1" applyFill="1" applyBorder="1" applyAlignment="1">
      <alignment horizontal="center"/>
    </xf>
    <xf numFmtId="165" fontId="4" fillId="0" borderId="0" xfId="0" applyNumberFormat="1" applyFont="1" applyFill="1"/>
    <xf numFmtId="11" fontId="4" fillId="0" borderId="8" xfId="0" applyNumberFormat="1" applyFont="1" applyFill="1" applyBorder="1" applyAlignment="1">
      <alignment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1" xfId="0" applyFont="1" applyFill="1" applyBorder="1"/>
    <xf numFmtId="11" fontId="14" fillId="0" borderId="11" xfId="0" applyNumberFormat="1" applyFont="1" applyFill="1" applyBorder="1"/>
    <xf numFmtId="165" fontId="14" fillId="0" borderId="0" xfId="0" applyNumberFormat="1" applyFont="1" applyFill="1"/>
    <xf numFmtId="165" fontId="14" fillId="0" borderId="11" xfId="0" applyNumberFormat="1" applyFont="1" applyFill="1" applyBorder="1"/>
    <xf numFmtId="2" fontId="14" fillId="0" borderId="7" xfId="0" applyNumberFormat="1" applyFont="1" applyFill="1" applyBorder="1"/>
    <xf numFmtId="1" fontId="14" fillId="0" borderId="7" xfId="0" applyNumberFormat="1" applyFont="1" applyFill="1" applyBorder="1"/>
    <xf numFmtId="1" fontId="14" fillId="0" borderId="11" xfId="0" applyNumberFormat="1" applyFont="1" applyFill="1" applyBorder="1"/>
    <xf numFmtId="165" fontId="4" fillId="0" borderId="7" xfId="0" applyNumberFormat="1" applyFont="1" applyFill="1" applyBorder="1"/>
    <xf numFmtId="1" fontId="4" fillId="0" borderId="0" xfId="0" applyNumberFormat="1" applyFont="1" applyFill="1"/>
    <xf numFmtId="1" fontId="4" fillId="0" borderId="7" xfId="0" applyNumberFormat="1" applyFont="1" applyFill="1" applyBorder="1"/>
    <xf numFmtId="165" fontId="4" fillId="0" borderId="11" xfId="0" applyNumberFormat="1" applyFont="1" applyFill="1" applyBorder="1"/>
    <xf numFmtId="11" fontId="14" fillId="0" borderId="8" xfId="0" applyNumberFormat="1" applyFont="1" applyFill="1" applyBorder="1"/>
    <xf numFmtId="2" fontId="14" fillId="0" borderId="8" xfId="0" applyNumberFormat="1" applyFont="1" applyFill="1" applyBorder="1"/>
    <xf numFmtId="2" fontId="4" fillId="0" borderId="7" xfId="0" applyNumberFormat="1" applyFont="1" applyFill="1" applyBorder="1"/>
    <xf numFmtId="2" fontId="4" fillId="0" borderId="11" xfId="0" applyNumberFormat="1" applyFont="1" applyFill="1" applyBorder="1"/>
    <xf numFmtId="166" fontId="4" fillId="0" borderId="7" xfId="0" applyNumberFormat="1" applyFont="1" applyFill="1" applyBorder="1"/>
    <xf numFmtId="167" fontId="4" fillId="0" borderId="11" xfId="0" applyNumberFormat="1" applyFont="1" applyFill="1" applyBorder="1"/>
    <xf numFmtId="164" fontId="4" fillId="0" borderId="7" xfId="0" applyNumberFormat="1" applyFont="1" applyFill="1" applyBorder="1"/>
    <xf numFmtId="164" fontId="4" fillId="0" borderId="11" xfId="0" applyNumberFormat="1" applyFont="1" applyFill="1" applyBorder="1"/>
    <xf numFmtId="168" fontId="4" fillId="0" borderId="4" xfId="0" applyNumberFormat="1" applyFont="1" applyFill="1" applyBorder="1"/>
    <xf numFmtId="164" fontId="4" fillId="0" borderId="10" xfId="0" applyNumberFormat="1" applyFont="1" applyFill="1" applyBorder="1"/>
    <xf numFmtId="164" fontId="4" fillId="0" borderId="3" xfId="0" applyNumberFormat="1" applyFont="1" applyFill="1" applyBorder="1"/>
    <xf numFmtId="164" fontId="4" fillId="0" borderId="4" xfId="0" applyNumberFormat="1" applyFont="1" applyFill="1" applyBorder="1"/>
    <xf numFmtId="168" fontId="4" fillId="0" borderId="0" xfId="0" applyNumberFormat="1" applyFont="1" applyFill="1"/>
    <xf numFmtId="11" fontId="4" fillId="0" borderId="7" xfId="0" applyNumberFormat="1" applyFont="1" applyFill="1" applyBorder="1" applyAlignment="1">
      <alignment horizontal="right" wrapText="1"/>
    </xf>
    <xf numFmtId="11" fontId="14" fillId="0" borderId="0" xfId="0" applyNumberFormat="1" applyFont="1" applyFill="1" applyAlignment="1">
      <alignment horizontal="center"/>
    </xf>
    <xf numFmtId="11" fontId="4" fillId="0" borderId="7" xfId="0" applyNumberFormat="1" applyFont="1" applyFill="1" applyBorder="1" applyAlignment="1">
      <alignment horizontal="right"/>
    </xf>
    <xf numFmtId="164" fontId="4" fillId="0" borderId="11" xfId="0" applyNumberFormat="1" applyFont="1" applyFill="1" applyBorder="1" applyAlignment="1">
      <alignment horizontal="center"/>
    </xf>
    <xf numFmtId="11" fontId="4" fillId="0" borderId="10" xfId="0" applyNumberFormat="1" applyFont="1" applyFill="1" applyBorder="1" applyAlignment="1">
      <alignment horizontal="right" wrapText="1"/>
    </xf>
    <xf numFmtId="11" fontId="4" fillId="0" borderId="0" xfId="0" quotePrefix="1" applyNumberFormat="1" applyFont="1" applyFill="1"/>
    <xf numFmtId="11" fontId="4" fillId="0" borderId="10" xfId="0" applyNumberFormat="1" applyFont="1" applyFill="1" applyBorder="1" applyAlignment="1">
      <alignment horizontal="right"/>
    </xf>
    <xf numFmtId="11" fontId="14" fillId="0" borderId="3" xfId="0" applyNumberFormat="1" applyFont="1" applyFill="1" applyBorder="1" applyAlignment="1">
      <alignment horizontal="center"/>
    </xf>
    <xf numFmtId="11" fontId="14" fillId="0" borderId="7" xfId="0" applyNumberFormat="1" applyFont="1" applyFill="1" applyBorder="1" applyAlignment="1">
      <alignment horizontal="right"/>
    </xf>
    <xf numFmtId="11" fontId="14" fillId="0" borderId="0" xfId="0" applyNumberFormat="1" applyFont="1" applyFill="1" applyAlignment="1">
      <alignment horizontal="right"/>
    </xf>
    <xf numFmtId="11" fontId="4" fillId="0" borderId="0" xfId="0" applyNumberFormat="1" applyFont="1" applyFill="1" applyAlignment="1">
      <alignment horizontal="right"/>
    </xf>
    <xf numFmtId="11" fontId="4" fillId="0" borderId="0" xfId="0" applyNumberFormat="1" applyFont="1" applyFill="1" applyAlignment="1">
      <alignment horizontal="left"/>
    </xf>
    <xf numFmtId="11" fontId="14" fillId="0" borderId="10" xfId="0" applyNumberFormat="1" applyFont="1" applyFill="1" applyBorder="1" applyAlignment="1">
      <alignment horizontal="right"/>
    </xf>
    <xf numFmtId="11" fontId="4" fillId="0" borderId="4" xfId="0" applyNumberFormat="1" applyFont="1" applyFill="1" applyBorder="1" applyAlignment="1">
      <alignment horizontal="left"/>
    </xf>
    <xf numFmtId="11" fontId="13" fillId="0" borderId="0" xfId="0" applyNumberFormat="1" applyFont="1" applyFill="1"/>
    <xf numFmtId="169" fontId="4" fillId="0" borderId="0" xfId="0" applyNumberFormat="1" applyFont="1" applyFill="1"/>
    <xf numFmtId="0" fontId="20" fillId="0" borderId="0" xfId="0" applyFont="1"/>
    <xf numFmtId="0" fontId="0" fillId="0" borderId="0" xfId="0" applyFill="1"/>
    <xf numFmtId="0" fontId="0" fillId="0" borderId="0" xfId="0" applyFill="1" applyAlignment="1">
      <alignment horizontal="left"/>
    </xf>
    <xf numFmtId="171" fontId="19" fillId="0" borderId="0" xfId="0" applyNumberFormat="1" applyFont="1" applyFill="1" applyAlignment="1">
      <alignment horizontal="right"/>
    </xf>
    <xf numFmtId="171" fontId="0" fillId="0" borderId="0" xfId="0" applyNumberFormat="1" applyFill="1"/>
    <xf numFmtId="172" fontId="0" fillId="0" borderId="0" xfId="0" applyNumberFormat="1" applyFill="1"/>
    <xf numFmtId="0" fontId="20" fillId="0" borderId="0" xfId="0" applyFont="1" applyFill="1" applyAlignment="1">
      <alignment horizontal="center"/>
    </xf>
    <xf numFmtId="0" fontId="20" fillId="0" borderId="0" xfId="0" applyFont="1" applyFill="1"/>
    <xf numFmtId="11" fontId="23" fillId="0" borderId="0" xfId="0" applyNumberFormat="1" applyFont="1" applyFill="1" applyAlignment="1">
      <alignment horizontal="center"/>
    </xf>
    <xf numFmtId="1" fontId="20" fillId="0" borderId="0" xfId="0" applyNumberFormat="1" applyFont="1" applyFill="1" applyAlignment="1">
      <alignment horizontal="center"/>
    </xf>
    <xf numFmtId="9" fontId="20" fillId="0" borderId="0" xfId="3" applyFont="1" applyFill="1" applyBorder="1" applyAlignment="1">
      <alignment horizontal="center"/>
    </xf>
    <xf numFmtId="171" fontId="24" fillId="0" borderId="0" xfId="0" applyNumberFormat="1" applyFont="1" applyFill="1" applyAlignment="1">
      <alignment horizontal="right"/>
    </xf>
    <xf numFmtId="171" fontId="22" fillId="0" borderId="0" xfId="0" applyNumberFormat="1" applyFont="1" applyFill="1"/>
    <xf numFmtId="11" fontId="0" fillId="0" borderId="0" xfId="0" applyNumberFormat="1" applyFill="1"/>
    <xf numFmtId="11" fontId="32" fillId="0" borderId="0" xfId="5" applyNumberFormat="1" applyFont="1" applyFill="1" applyAlignment="1" applyProtection="1"/>
    <xf numFmtId="2" fontId="33" fillId="0" borderId="0" xfId="0" applyNumberFormat="1" applyFont="1" applyFill="1"/>
    <xf numFmtId="0" fontId="33" fillId="0" borderId="0" xfId="0" applyFont="1" applyFill="1"/>
    <xf numFmtId="0" fontId="33" fillId="0" borderId="11" xfId="0" applyFont="1" applyFill="1" applyBorder="1"/>
    <xf numFmtId="11" fontId="33" fillId="0" borderId="0" xfId="0" applyNumberFormat="1" applyFont="1" applyFill="1" applyAlignment="1">
      <alignment horizontal="center"/>
    </xf>
    <xf numFmtId="11" fontId="33" fillId="0" borderId="3" xfId="0" applyNumberFormat="1" applyFont="1" applyFill="1" applyBorder="1" applyAlignment="1">
      <alignment horizontal="center"/>
    </xf>
    <xf numFmtId="11" fontId="33" fillId="0" borderId="0" xfId="0" applyNumberFormat="1" applyFont="1" applyFill="1"/>
    <xf numFmtId="11" fontId="33" fillId="0" borderId="0" xfId="0" quotePrefix="1" applyNumberFormat="1" applyFont="1" applyFill="1"/>
    <xf numFmtId="11" fontId="4" fillId="0" borderId="1" xfId="0" applyNumberFormat="1" applyFont="1" applyFill="1" applyBorder="1" applyAlignment="1">
      <alignment horizontal="center"/>
    </xf>
    <xf numFmtId="11" fontId="4" fillId="0" borderId="8" xfId="0" applyNumberFormat="1" applyFont="1" applyFill="1" applyBorder="1"/>
    <xf numFmtId="0" fontId="33" fillId="0" borderId="1" xfId="0" applyFont="1" applyFill="1" applyBorder="1"/>
    <xf numFmtId="0" fontId="33" fillId="0" borderId="2" xfId="0" applyFont="1" applyFill="1" applyBorder="1"/>
    <xf numFmtId="11" fontId="14" fillId="0" borderId="8" xfId="0" applyNumberFormat="1" applyFont="1" applyFill="1" applyBorder="1" applyAlignment="1">
      <alignment horizontal="center"/>
    </xf>
    <xf numFmtId="11" fontId="14" fillId="0" borderId="1" xfId="0" applyNumberFormat="1" applyFont="1" applyFill="1" applyBorder="1" applyAlignment="1">
      <alignment horizontal="center"/>
    </xf>
    <xf numFmtId="11" fontId="14" fillId="0" borderId="2" xfId="0" applyNumberFormat="1" applyFont="1" applyFill="1" applyBorder="1" applyAlignment="1">
      <alignment horizontal="center"/>
    </xf>
    <xf numFmtId="0" fontId="4" fillId="0" borderId="1" xfId="0" applyFont="1" applyFill="1" applyBorder="1"/>
    <xf numFmtId="0" fontId="4" fillId="0" borderId="2" xfId="0" applyFont="1" applyFill="1" applyBorder="1"/>
    <xf numFmtId="0" fontId="20" fillId="5" borderId="0" xfId="0" applyFont="1" applyFill="1" applyAlignment="1">
      <alignment horizontal="center"/>
    </xf>
    <xf numFmtId="11" fontId="23" fillId="5" borderId="0" xfId="0" applyNumberFormat="1" applyFont="1" applyFill="1" applyAlignment="1">
      <alignment horizontal="center"/>
    </xf>
    <xf numFmtId="1" fontId="20" fillId="5" borderId="0" xfId="0" applyNumberFormat="1" applyFont="1" applyFill="1" applyAlignment="1">
      <alignment horizontal="center"/>
    </xf>
    <xf numFmtId="171" fontId="25" fillId="6" borderId="11" xfId="0" applyNumberFormat="1" applyFont="1" applyFill="1" applyBorder="1" applyAlignment="1">
      <alignment horizontal="right" vertical="center"/>
    </xf>
    <xf numFmtId="170" fontId="25" fillId="6" borderId="11" xfId="0" applyNumberFormat="1" applyFont="1" applyFill="1" applyBorder="1" applyAlignment="1" applyProtection="1">
      <alignment horizontal="right"/>
      <protection locked="0"/>
    </xf>
    <xf numFmtId="9" fontId="20" fillId="5" borderId="0" xfId="3" applyFont="1" applyFill="1" applyBorder="1" applyAlignment="1">
      <alignment horizontal="center"/>
    </xf>
    <xf numFmtId="0" fontId="20" fillId="5" borderId="0" xfId="0" applyFont="1" applyFill="1"/>
    <xf numFmtId="171" fontId="25" fillId="6" borderId="11" xfId="0" applyNumberFormat="1" applyFont="1" applyFill="1" applyBorder="1" applyAlignment="1">
      <alignment horizontal="right"/>
    </xf>
    <xf numFmtId="171" fontId="25" fillId="6" borderId="11" xfId="0" applyNumberFormat="1" applyFont="1" applyFill="1" applyBorder="1" applyAlignment="1" applyProtection="1">
      <alignment horizontal="right"/>
      <protection locked="0"/>
    </xf>
    <xf numFmtId="171" fontId="29" fillId="6" borderId="11" xfId="0" applyNumberFormat="1" applyFont="1" applyFill="1" applyBorder="1" applyAlignment="1">
      <alignment horizontal="right"/>
    </xf>
    <xf numFmtId="171" fontId="25" fillId="6" borderId="11" xfId="0" applyNumberFormat="1" applyFont="1" applyFill="1" applyBorder="1"/>
    <xf numFmtId="170" fontId="18" fillId="6" borderId="0" xfId="0" applyNumberFormat="1" applyFont="1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left"/>
    </xf>
    <xf numFmtId="171" fontId="19" fillId="6" borderId="0" xfId="0" applyNumberFormat="1" applyFont="1" applyFill="1" applyAlignment="1">
      <alignment horizontal="right"/>
    </xf>
    <xf numFmtId="171" fontId="0" fillId="6" borderId="0" xfId="0" applyNumberFormat="1" applyFill="1"/>
    <xf numFmtId="172" fontId="0" fillId="6" borderId="0" xfId="0" applyNumberFormat="1" applyFill="1"/>
    <xf numFmtId="170" fontId="21" fillId="6" borderId="0" xfId="0" applyNumberFormat="1" applyFont="1" applyFill="1" applyAlignment="1">
      <alignment horizontal="left"/>
    </xf>
    <xf numFmtId="170" fontId="0" fillId="6" borderId="12" xfId="0" applyNumberFormat="1" applyFill="1" applyBorder="1" applyAlignment="1">
      <alignment horizontal="left"/>
    </xf>
    <xf numFmtId="0" fontId="0" fillId="6" borderId="12" xfId="0" applyFill="1" applyBorder="1"/>
    <xf numFmtId="0" fontId="0" fillId="6" borderId="12" xfId="0" applyFill="1" applyBorder="1" applyAlignment="1">
      <alignment horizontal="left"/>
    </xf>
    <xf numFmtId="171" fontId="0" fillId="6" borderId="12" xfId="0" applyNumberFormat="1" applyFill="1" applyBorder="1" applyAlignment="1">
      <alignment horizontal="center"/>
    </xf>
    <xf numFmtId="171" fontId="22" fillId="6" borderId="12" xfId="0" applyNumberFormat="1" applyFont="1" applyFill="1" applyBorder="1" applyAlignment="1">
      <alignment horizontal="center"/>
    </xf>
    <xf numFmtId="172" fontId="0" fillId="6" borderId="12" xfId="0" applyNumberFormat="1" applyFill="1" applyBorder="1" applyAlignment="1">
      <alignment horizontal="center"/>
    </xf>
    <xf numFmtId="170" fontId="0" fillId="6" borderId="0" xfId="0" applyNumberFormat="1" applyFill="1" applyAlignment="1">
      <alignment horizontal="left"/>
    </xf>
    <xf numFmtId="171" fontId="24" fillId="6" borderId="0" xfId="0" applyNumberFormat="1" applyFont="1" applyFill="1" applyAlignment="1">
      <alignment horizontal="center"/>
    </xf>
    <xf numFmtId="171" fontId="0" fillId="6" borderId="0" xfId="0" applyNumberFormat="1" applyFill="1" applyAlignment="1">
      <alignment horizontal="center"/>
    </xf>
    <xf numFmtId="172" fontId="0" fillId="6" borderId="0" xfId="0" applyNumberFormat="1" applyFill="1" applyAlignment="1">
      <alignment horizontal="center"/>
    </xf>
    <xf numFmtId="170" fontId="0" fillId="6" borderId="0" xfId="0" applyNumberFormat="1" applyFill="1" applyAlignment="1">
      <alignment horizontal="left" vertical="center"/>
    </xf>
    <xf numFmtId="172" fontId="0" fillId="6" borderId="0" xfId="0" applyNumberFormat="1" applyFill="1" applyAlignment="1">
      <alignment horizontal="left" vertical="center"/>
    </xf>
    <xf numFmtId="171" fontId="22" fillId="6" borderId="11" xfId="0" applyNumberFormat="1" applyFont="1" applyFill="1" applyBorder="1" applyAlignment="1">
      <alignment horizontal="center" vertical="center" wrapText="1"/>
    </xf>
    <xf numFmtId="171" fontId="0" fillId="6" borderId="11" xfId="0" applyNumberFormat="1" applyFill="1" applyBorder="1" applyAlignment="1" applyProtection="1">
      <alignment horizontal="right" vertical="center" wrapText="1"/>
      <protection locked="0"/>
    </xf>
    <xf numFmtId="172" fontId="0" fillId="6" borderId="0" xfId="0" applyNumberFormat="1" applyFill="1" applyAlignment="1">
      <alignment horizontal="right" vertical="center" wrapText="1"/>
    </xf>
    <xf numFmtId="0" fontId="0" fillId="6" borderId="0" xfId="0" applyFill="1" applyAlignment="1">
      <alignment vertical="center"/>
    </xf>
    <xf numFmtId="170" fontId="0" fillId="6" borderId="6" xfId="0" applyNumberFormat="1" applyFill="1" applyBorder="1"/>
    <xf numFmtId="172" fontId="0" fillId="6" borderId="7" xfId="0" applyNumberFormat="1" applyFill="1" applyBorder="1"/>
    <xf numFmtId="171" fontId="0" fillId="6" borderId="0" xfId="0" applyNumberFormat="1" applyFill="1" applyAlignment="1">
      <alignment horizontal="left"/>
    </xf>
    <xf numFmtId="172" fontId="0" fillId="6" borderId="0" xfId="0" applyNumberFormat="1" applyFill="1" applyAlignment="1">
      <alignment horizontal="left"/>
    </xf>
    <xf numFmtId="0" fontId="0" fillId="6" borderId="0" xfId="0" applyFill="1" applyAlignment="1">
      <alignment horizontal="right"/>
    </xf>
    <xf numFmtId="171" fontId="24" fillId="6" borderId="0" xfId="0" applyNumberFormat="1" applyFont="1" applyFill="1" applyAlignment="1">
      <alignment horizontal="right"/>
    </xf>
    <xf numFmtId="170" fontId="22" fillId="6" borderId="11" xfId="0" applyNumberFormat="1" applyFont="1" applyFill="1" applyBorder="1" applyAlignment="1">
      <alignment horizontal="right"/>
    </xf>
    <xf numFmtId="171" fontId="0" fillId="6" borderId="6" xfId="0" applyNumberFormat="1" applyFill="1" applyBorder="1" applyAlignment="1">
      <alignment horizontal="right" vertical="center"/>
    </xf>
    <xf numFmtId="172" fontId="0" fillId="6" borderId="7" xfId="0" applyNumberFormat="1" applyFill="1" applyBorder="1" applyAlignment="1">
      <alignment horizontal="right"/>
    </xf>
    <xf numFmtId="171" fontId="22" fillId="6" borderId="11" xfId="0" applyNumberFormat="1" applyFont="1" applyFill="1" applyBorder="1" applyAlignment="1">
      <alignment horizontal="right"/>
    </xf>
    <xf numFmtId="171" fontId="0" fillId="6" borderId="6" xfId="0" applyNumberFormat="1" applyFill="1" applyBorder="1"/>
    <xf numFmtId="171" fontId="22" fillId="6" borderId="0" xfId="0" applyNumberFormat="1" applyFont="1" applyFill="1"/>
    <xf numFmtId="172" fontId="0" fillId="6" borderId="0" xfId="0" quotePrefix="1" applyNumberFormat="1" applyFill="1" applyAlignment="1">
      <alignment horizontal="left"/>
    </xf>
    <xf numFmtId="170" fontId="0" fillId="6" borderId="0" xfId="0" quotePrefix="1" applyNumberFormat="1" applyFill="1" applyAlignment="1">
      <alignment horizontal="left"/>
    </xf>
    <xf numFmtId="171" fontId="27" fillId="6" borderId="6" xfId="0" applyNumberFormat="1" applyFont="1" applyFill="1" applyBorder="1"/>
    <xf numFmtId="172" fontId="21" fillId="6" borderId="7" xfId="0" applyNumberFormat="1" applyFont="1" applyFill="1" applyBorder="1"/>
    <xf numFmtId="171" fontId="0" fillId="6" borderId="6" xfId="0" applyNumberFormat="1" applyFill="1" applyBorder="1" applyAlignment="1">
      <alignment horizontal="right"/>
    </xf>
    <xf numFmtId="0" fontId="28" fillId="6" borderId="0" xfId="0" applyFont="1" applyFill="1"/>
    <xf numFmtId="171" fontId="0" fillId="6" borderId="0" xfId="0" applyNumberFormat="1" applyFill="1" applyAlignment="1">
      <alignment horizontal="right"/>
    </xf>
    <xf numFmtId="0" fontId="0" fillId="6" borderId="0" xfId="0" quotePrefix="1" applyFill="1"/>
    <xf numFmtId="170" fontId="0" fillId="6" borderId="0" xfId="0" applyNumberFormat="1" applyFill="1"/>
    <xf numFmtId="0" fontId="24" fillId="6" borderId="0" xfId="0" applyFont="1" applyFill="1"/>
    <xf numFmtId="0" fontId="30" fillId="6" borderId="14" xfId="0" applyFont="1" applyFill="1" applyBorder="1"/>
    <xf numFmtId="0" fontId="29" fillId="6" borderId="14" xfId="0" applyFont="1" applyFill="1" applyBorder="1"/>
    <xf numFmtId="0" fontId="29" fillId="6" borderId="14" xfId="0" applyFont="1" applyFill="1" applyBorder="1" applyAlignment="1">
      <alignment horizontal="right"/>
    </xf>
    <xf numFmtId="0" fontId="29" fillId="6" borderId="14" xfId="0" applyFont="1" applyFill="1" applyBorder="1" applyAlignment="1">
      <alignment horizontal="left"/>
    </xf>
    <xf numFmtId="171" fontId="29" fillId="6" borderId="14" xfId="0" applyNumberFormat="1" applyFont="1" applyFill="1" applyBorder="1" applyAlignment="1">
      <alignment horizontal="right"/>
    </xf>
    <xf numFmtId="172" fontId="29" fillId="6" borderId="14" xfId="0" applyNumberFormat="1" applyFont="1" applyFill="1" applyBorder="1" applyAlignment="1">
      <alignment horizontal="right"/>
    </xf>
    <xf numFmtId="170" fontId="29" fillId="6" borderId="14" xfId="0" applyNumberFormat="1" applyFont="1" applyFill="1" applyBorder="1" applyAlignment="1">
      <alignment horizontal="left"/>
    </xf>
    <xf numFmtId="170" fontId="29" fillId="6" borderId="0" xfId="0" applyNumberFormat="1" applyFont="1" applyFill="1" applyAlignment="1">
      <alignment horizontal="left"/>
    </xf>
    <xf numFmtId="171" fontId="29" fillId="6" borderId="0" xfId="0" applyNumberFormat="1" applyFont="1" applyFill="1"/>
    <xf numFmtId="171" fontId="24" fillId="6" borderId="0" xfId="0" applyNumberFormat="1" applyFont="1" applyFill="1"/>
    <xf numFmtId="172" fontId="24" fillId="6" borderId="0" xfId="0" applyNumberFormat="1" applyFont="1" applyFill="1"/>
    <xf numFmtId="172" fontId="29" fillId="6" borderId="0" xfId="0" applyNumberFormat="1" applyFont="1" applyFill="1"/>
    <xf numFmtId="171" fontId="29" fillId="6" borderId="14" xfId="0" applyNumberFormat="1" applyFont="1" applyFill="1" applyBorder="1"/>
    <xf numFmtId="171" fontId="24" fillId="6" borderId="14" xfId="0" applyNumberFormat="1" applyFont="1" applyFill="1" applyBorder="1"/>
    <xf numFmtId="172" fontId="24" fillId="6" borderId="14" xfId="0" applyNumberFormat="1" applyFont="1" applyFill="1" applyBorder="1"/>
    <xf numFmtId="170" fontId="28" fillId="6" borderId="0" xfId="0" applyNumberFormat="1" applyFont="1" applyFill="1" applyAlignment="1">
      <alignment horizontal="left"/>
    </xf>
    <xf numFmtId="171" fontId="31" fillId="6" borderId="11" xfId="0" applyNumberFormat="1" applyFont="1" applyFill="1" applyBorder="1" applyAlignment="1">
      <alignment horizontal="right"/>
    </xf>
    <xf numFmtId="172" fontId="0" fillId="6" borderId="0" xfId="0" applyNumberFormat="1" applyFill="1" applyAlignment="1">
      <alignment horizontal="right"/>
    </xf>
    <xf numFmtId="0" fontId="0" fillId="6" borderId="0" xfId="0" quotePrefix="1" applyFill="1" applyAlignment="1">
      <alignment horizontal="left"/>
    </xf>
    <xf numFmtId="2" fontId="0" fillId="6" borderId="0" xfId="0" applyNumberFormat="1" applyFill="1"/>
    <xf numFmtId="11" fontId="0" fillId="6" borderId="0" xfId="0" applyNumberFormat="1" applyFill="1"/>
    <xf numFmtId="171" fontId="0" fillId="6" borderId="11" xfId="0" applyNumberFormat="1" applyFill="1" applyBorder="1" applyAlignment="1">
      <alignment horizontal="right"/>
    </xf>
    <xf numFmtId="171" fontId="0" fillId="6" borderId="7" xfId="0" applyNumberFormat="1" applyFill="1" applyBorder="1" applyAlignment="1">
      <alignment horizontal="right"/>
    </xf>
    <xf numFmtId="171" fontId="0" fillId="6" borderId="7" xfId="0" applyNumberFormat="1" applyFill="1" applyBorder="1"/>
    <xf numFmtId="170" fontId="4" fillId="6" borderId="3" xfId="0" applyNumberFormat="1" applyFont="1" applyFill="1" applyBorder="1" applyAlignment="1">
      <alignment horizontal="left"/>
    </xf>
    <xf numFmtId="0" fontId="4" fillId="6" borderId="3" xfId="0" applyFont="1" applyFill="1" applyBorder="1"/>
    <xf numFmtId="0" fontId="4" fillId="6" borderId="3" xfId="0" applyFont="1" applyFill="1" applyBorder="1" applyAlignment="1">
      <alignment horizontal="left"/>
    </xf>
    <xf numFmtId="171" fontId="24" fillId="6" borderId="3" xfId="0" applyNumberFormat="1" applyFont="1" applyFill="1" applyBorder="1" applyAlignment="1">
      <alignment horizontal="right"/>
    </xf>
    <xf numFmtId="171" fontId="0" fillId="6" borderId="3" xfId="0" applyNumberFormat="1" applyFill="1" applyBorder="1"/>
    <xf numFmtId="172" fontId="0" fillId="6" borderId="3" xfId="0" applyNumberFormat="1" applyFill="1" applyBorder="1"/>
    <xf numFmtId="0" fontId="0" fillId="6" borderId="3" xfId="0" applyFill="1" applyBorder="1"/>
  </cellXfs>
  <cellStyles count="6">
    <cellStyle name="Hyperlink" xfId="4" builtinId="8"/>
    <cellStyle name="Hyperlink 2" xfId="5" xr:uid="{7EF02DFA-B319-4688-BB6E-2638AF8DF3B3}"/>
    <cellStyle name="Normal" xfId="0" builtinId="0"/>
    <cellStyle name="Normal 2" xfId="2" xr:uid="{CBC974C9-3CD4-4802-9556-D4B6470D8EE9}"/>
    <cellStyle name="Normal 3" xfId="1" xr:uid="{E11F324A-FEA1-4AFD-84F7-4AB5DE892EE9}"/>
    <cellStyle name="Percent" xfId="3" builtinId="5"/>
  </cellStyles>
  <dxfs count="11">
    <dxf>
      <numFmt numFmtId="170" formatCode="General_)"/>
    </dxf>
    <dxf>
      <numFmt numFmtId="170" formatCode="General_)"/>
    </dxf>
    <dxf>
      <numFmt numFmtId="170" formatCode="General_)"/>
    </dxf>
    <dxf>
      <numFmt numFmtId="170" formatCode="General_)"/>
    </dxf>
    <dxf>
      <numFmt numFmtId="170" formatCode="General_)"/>
    </dxf>
    <dxf>
      <numFmt numFmtId="170" formatCode="General_)"/>
    </dxf>
    <dxf>
      <font>
        <color rgb="FFCC00CC"/>
      </font>
    </dxf>
    <dxf>
      <font>
        <color rgb="FFCC00CC"/>
      </font>
    </dxf>
    <dxf>
      <numFmt numFmtId="170" formatCode="General_)"/>
    </dxf>
    <dxf>
      <font>
        <color rgb="FFCC00CC"/>
      </font>
    </dxf>
    <dxf>
      <numFmt numFmtId="170" formatCode="General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Total activities</a:t>
            </a:r>
          </a:p>
        </c:rich>
      </c:tx>
      <c:layout>
        <c:manualLayout>
          <c:xMode val="edge"/>
          <c:yMode val="edge"/>
          <c:x val="0.35180113566136639"/>
          <c:y val="3.64238628587268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606677424197954"/>
          <c:y val="0.16556291390728478"/>
          <c:w val="0.77008414409320913"/>
          <c:h val="0.5397350993377483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CC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9835-446F-9290-48A32DA72E1E}"/>
              </c:ext>
            </c:extLst>
          </c:dPt>
          <c:dPt>
            <c:idx val="1"/>
            <c:invertIfNegative val="0"/>
            <c:bubble3D val="0"/>
            <c:spPr>
              <a:solidFill>
                <a:srgbClr val="FFCC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9835-446F-9290-48A32DA72E1E}"/>
              </c:ext>
            </c:extLst>
          </c:dPt>
          <c:dPt>
            <c:idx val="2"/>
            <c:invertIfNegative val="0"/>
            <c:bubble3D val="0"/>
            <c:spPr>
              <a:solidFill>
                <a:srgbClr val="FFCC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9835-446F-9290-48A32DA72E1E}"/>
              </c:ext>
            </c:extLst>
          </c:dPt>
          <c:dPt>
            <c:idx val="3"/>
            <c:invertIfNegative val="0"/>
            <c:bubble3D val="0"/>
            <c:spPr>
              <a:solidFill>
                <a:srgbClr val="FFCC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9835-446F-9290-48A32DA72E1E}"/>
              </c:ext>
            </c:extLst>
          </c:dPt>
          <c:dPt>
            <c:idx val="4"/>
            <c:invertIfNegative val="0"/>
            <c:bubble3D val="0"/>
            <c:spPr>
              <a:solidFill>
                <a:srgbClr val="3366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9835-446F-9290-48A32DA72E1E}"/>
              </c:ext>
            </c:extLst>
          </c:dPt>
          <c:dPt>
            <c:idx val="5"/>
            <c:invertIfNegative val="0"/>
            <c:bubble3D val="0"/>
            <c:spPr>
              <a:solidFill>
                <a:srgbClr val="FF66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9835-446F-9290-48A32DA72E1E}"/>
              </c:ext>
            </c:extLst>
          </c:dPt>
          <c:dPt>
            <c:idx val="6"/>
            <c:invertIfNegative val="0"/>
            <c:bubble3D val="0"/>
            <c:spPr>
              <a:solidFill>
                <a:srgbClr val="00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9835-446F-9290-48A32DA72E1E}"/>
              </c:ext>
            </c:extLst>
          </c:dPt>
          <c:dPt>
            <c:idx val="7"/>
            <c:invertIfNegative val="0"/>
            <c:bubble3D val="0"/>
            <c:spPr>
              <a:solidFill>
                <a:srgbClr val="FF66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9835-446F-9290-48A32DA72E1E}"/>
              </c:ext>
            </c:extLst>
          </c:dPt>
          <c:cat>
            <c:strRef>
              <c:f>'[2]Level III'!$E$20:$E$27</c:f>
              <c:strCache>
                <c:ptCount val="8"/>
                <c:pt idx="0">
                  <c:v>air</c:v>
                </c:pt>
                <c:pt idx="1">
                  <c:v>natural soil</c:v>
                </c:pt>
                <c:pt idx="2">
                  <c:v>agr.soil</c:v>
                </c:pt>
                <c:pt idx="3">
                  <c:v>other soil</c:v>
                </c:pt>
                <c:pt idx="4">
                  <c:v>freshwater</c:v>
                </c:pt>
                <c:pt idx="5">
                  <c:v>freshw. sedim.</c:v>
                </c:pt>
                <c:pt idx="6">
                  <c:v>seawater</c:v>
                </c:pt>
                <c:pt idx="7">
                  <c:v>seaw. sedim.</c:v>
                </c:pt>
              </c:strCache>
            </c:strRef>
          </c:cat>
          <c:val>
            <c:numRef>
              <c:f>'[2]Level III'!$F$20:$F$27</c:f>
              <c:numCache>
                <c:formatCode>General</c:formatCode>
                <c:ptCount val="8"/>
                <c:pt idx="0">
                  <c:v>3.0381871048061254E-5</c:v>
                </c:pt>
                <c:pt idx="1">
                  <c:v>4.1611626255611497E-8</c:v>
                </c:pt>
                <c:pt idx="2">
                  <c:v>3.0757046218142034E-6</c:v>
                </c:pt>
                <c:pt idx="3">
                  <c:v>4.6664926364871609E-8</c:v>
                </c:pt>
                <c:pt idx="4">
                  <c:v>1.3381055501731355E-7</c:v>
                </c:pt>
                <c:pt idx="5">
                  <c:v>6.5707625155615237E-8</c:v>
                </c:pt>
                <c:pt idx="6">
                  <c:v>8.0496337454713789E-9</c:v>
                </c:pt>
                <c:pt idx="7">
                  <c:v>3.3036415948394324E-9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835-446F-9290-48A32DA72E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1516432"/>
        <c:axId val="1"/>
      </c:barChart>
      <c:catAx>
        <c:axId val="621516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9.9999999999999998E-13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logBase val="10"/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2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mol/m</a:t>
                </a:r>
                <a:r>
                  <a:rPr lang="en-US" sz="10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3</a:t>
                </a:r>
              </a:p>
            </c:rich>
          </c:tx>
          <c:layout>
            <c:manualLayout>
              <c:xMode val="edge"/>
              <c:yMode val="edge"/>
              <c:x val="1.3850415512465374E-2"/>
              <c:y val="0.35430437531942172"/>
            </c:manualLayout>
          </c:layout>
          <c:overlay val="0"/>
          <c:spPr>
            <a:noFill/>
            <a:ln w="25400">
              <a:noFill/>
            </a:ln>
          </c:spPr>
        </c:title>
        <c:numFmt formatCode="0.E+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21516432"/>
        <c:crosses val="autoZero"/>
        <c:crossBetween val="between"/>
        <c:majorUnit val="100"/>
      </c:valAx>
      <c:spPr>
        <a:noFill/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Total concentrations</a:t>
            </a:r>
          </a:p>
        </c:rich>
      </c:tx>
      <c:layout>
        <c:manualLayout>
          <c:xMode val="edge"/>
          <c:yMode val="edge"/>
          <c:x val="0.28342245989304815"/>
          <c:y val="3.63037021688078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7807486631016043"/>
          <c:y val="0.165017033496524"/>
          <c:w val="0.68716577540106949"/>
          <c:h val="0.54785655120845966"/>
        </c:manualLayout>
      </c:layout>
      <c:barChart>
        <c:barDir val="col"/>
        <c:grouping val="clustered"/>
        <c:varyColors val="0"/>
        <c:ser>
          <c:idx val="0"/>
          <c:order val="0"/>
          <c:tx>
            <c:v>total concentrations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CC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E9F3-40CE-A3B3-7D18F2ED04F3}"/>
              </c:ext>
            </c:extLst>
          </c:dPt>
          <c:dPt>
            <c:idx val="1"/>
            <c:invertIfNegative val="0"/>
            <c:bubble3D val="0"/>
            <c:spPr>
              <a:solidFill>
                <a:srgbClr val="FFCC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E9F3-40CE-A3B3-7D18F2ED04F3}"/>
              </c:ext>
            </c:extLst>
          </c:dPt>
          <c:dPt>
            <c:idx val="2"/>
            <c:invertIfNegative val="0"/>
            <c:bubble3D val="0"/>
            <c:spPr>
              <a:solidFill>
                <a:srgbClr val="FFCC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E9F3-40CE-A3B3-7D18F2ED04F3}"/>
              </c:ext>
            </c:extLst>
          </c:dPt>
          <c:dPt>
            <c:idx val="3"/>
            <c:invertIfNegative val="0"/>
            <c:bubble3D val="0"/>
            <c:spPr>
              <a:solidFill>
                <a:srgbClr val="FFCC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E9F3-40CE-A3B3-7D18F2ED04F3}"/>
              </c:ext>
            </c:extLst>
          </c:dPt>
          <c:dPt>
            <c:idx val="4"/>
            <c:invertIfNegative val="0"/>
            <c:bubble3D val="0"/>
            <c:spPr>
              <a:solidFill>
                <a:srgbClr val="3366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E9F3-40CE-A3B3-7D18F2ED04F3}"/>
              </c:ext>
            </c:extLst>
          </c:dPt>
          <c:dPt>
            <c:idx val="5"/>
            <c:invertIfNegative val="0"/>
            <c:bubble3D val="0"/>
            <c:spPr>
              <a:solidFill>
                <a:srgbClr val="FF66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E9F3-40CE-A3B3-7D18F2ED04F3}"/>
              </c:ext>
            </c:extLst>
          </c:dPt>
          <c:dPt>
            <c:idx val="6"/>
            <c:invertIfNegative val="0"/>
            <c:bubble3D val="0"/>
            <c:spPr>
              <a:solidFill>
                <a:srgbClr val="00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E9F3-40CE-A3B3-7D18F2ED04F3}"/>
              </c:ext>
            </c:extLst>
          </c:dPt>
          <c:dPt>
            <c:idx val="7"/>
            <c:invertIfNegative val="0"/>
            <c:bubble3D val="0"/>
            <c:spPr>
              <a:solidFill>
                <a:srgbClr val="FF66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E9F3-40CE-A3B3-7D18F2ED04F3}"/>
              </c:ext>
            </c:extLst>
          </c:dPt>
          <c:cat>
            <c:strRef>
              <c:f>'[2]Level III'!$E$20:$E$27</c:f>
              <c:strCache>
                <c:ptCount val="8"/>
                <c:pt idx="0">
                  <c:v>air</c:v>
                </c:pt>
                <c:pt idx="1">
                  <c:v>natural soil</c:v>
                </c:pt>
                <c:pt idx="2">
                  <c:v>agr.soil</c:v>
                </c:pt>
                <c:pt idx="3">
                  <c:v>other soil</c:v>
                </c:pt>
                <c:pt idx="4">
                  <c:v>freshwater</c:v>
                </c:pt>
                <c:pt idx="5">
                  <c:v>freshw. sedim.</c:v>
                </c:pt>
                <c:pt idx="6">
                  <c:v>seawater</c:v>
                </c:pt>
                <c:pt idx="7">
                  <c:v>seaw. sedim.</c:v>
                </c:pt>
              </c:strCache>
            </c:strRef>
          </c:cat>
          <c:val>
            <c:numRef>
              <c:f>'[2]Level III'!$G$20:$G$27</c:f>
              <c:numCache>
                <c:formatCode>General</c:formatCode>
                <c:ptCount val="8"/>
                <c:pt idx="0">
                  <c:v>9.5461996827094914E-13</c:v>
                </c:pt>
                <c:pt idx="1">
                  <c:v>1.2938801215496945E-7</c:v>
                </c:pt>
                <c:pt idx="2">
                  <c:v>8.4262962648075444E-6</c:v>
                </c:pt>
                <c:pt idx="3">
                  <c:v>1.2846725002274383E-7</c:v>
                </c:pt>
                <c:pt idx="4">
                  <c:v>1.419220511277414E-7</c:v>
                </c:pt>
                <c:pt idx="5">
                  <c:v>1.7951750274249736E-7</c:v>
                </c:pt>
                <c:pt idx="6">
                  <c:v>1.0911798547660233E-8</c:v>
                </c:pt>
                <c:pt idx="7">
                  <c:v>1.1532674773055441E-8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9F3-40CE-A3B3-7D18F2ED0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1517416"/>
        <c:axId val="1"/>
      </c:barChart>
      <c:catAx>
        <c:axId val="621517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1E-14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logBase val="10"/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925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mol/m</a:t>
                </a:r>
                <a:r>
                  <a:rPr lang="en-US" sz="925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3</a:t>
                </a:r>
              </a:p>
            </c:rich>
          </c:tx>
          <c:layout>
            <c:manualLayout>
              <c:xMode val="edge"/>
              <c:yMode val="edge"/>
              <c:x val="4.0106951871657755E-2"/>
              <c:y val="0.3696380715568448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21517416"/>
        <c:crosses val="autoZero"/>
        <c:crossBetween val="between"/>
        <c:majorUnit val="100"/>
      </c:valAx>
      <c:spPr>
        <a:noFill/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Mass distribution</a:t>
            </a:r>
          </a:p>
        </c:rich>
      </c:tx>
      <c:layout>
        <c:manualLayout>
          <c:xMode val="edge"/>
          <c:yMode val="edge"/>
          <c:x val="0.31805915389608558"/>
          <c:y val="3.548386548768783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31266846361185985"/>
          <c:y val="0.14516151896660623"/>
          <c:w val="0.67115902964959573"/>
          <c:h val="0.5193556567471912"/>
        </c:manualLayout>
      </c:layout>
      <c:barChart>
        <c:barDir val="col"/>
        <c:grouping val="clustered"/>
        <c:varyColors val="0"/>
        <c:ser>
          <c:idx val="0"/>
          <c:order val="0"/>
          <c:tx>
            <c:v>mass distribution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CC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9A73-4F6A-AD46-59270E82D010}"/>
              </c:ext>
            </c:extLst>
          </c:dPt>
          <c:dPt>
            <c:idx val="1"/>
            <c:invertIfNegative val="0"/>
            <c:bubble3D val="0"/>
            <c:spPr>
              <a:solidFill>
                <a:srgbClr val="FFCC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9A73-4F6A-AD46-59270E82D010}"/>
              </c:ext>
            </c:extLst>
          </c:dPt>
          <c:dPt>
            <c:idx val="2"/>
            <c:invertIfNegative val="0"/>
            <c:bubble3D val="0"/>
            <c:spPr>
              <a:solidFill>
                <a:srgbClr val="FFCC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9A73-4F6A-AD46-59270E82D010}"/>
              </c:ext>
            </c:extLst>
          </c:dPt>
          <c:dPt>
            <c:idx val="3"/>
            <c:invertIfNegative val="0"/>
            <c:bubble3D val="0"/>
            <c:spPr>
              <a:solidFill>
                <a:srgbClr val="FFCC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9A73-4F6A-AD46-59270E82D010}"/>
              </c:ext>
            </c:extLst>
          </c:dPt>
          <c:dPt>
            <c:idx val="4"/>
            <c:invertIfNegative val="0"/>
            <c:bubble3D val="0"/>
            <c:spPr>
              <a:solidFill>
                <a:srgbClr val="3366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9A73-4F6A-AD46-59270E82D010}"/>
              </c:ext>
            </c:extLst>
          </c:dPt>
          <c:dPt>
            <c:idx val="5"/>
            <c:invertIfNegative val="0"/>
            <c:bubble3D val="0"/>
            <c:spPr>
              <a:solidFill>
                <a:srgbClr val="FF66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9A73-4F6A-AD46-59270E82D010}"/>
              </c:ext>
            </c:extLst>
          </c:dPt>
          <c:dPt>
            <c:idx val="6"/>
            <c:invertIfNegative val="0"/>
            <c:bubble3D val="0"/>
            <c:spPr>
              <a:solidFill>
                <a:srgbClr val="00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9A73-4F6A-AD46-59270E82D010}"/>
              </c:ext>
            </c:extLst>
          </c:dPt>
          <c:dPt>
            <c:idx val="7"/>
            <c:invertIfNegative val="0"/>
            <c:bubble3D val="0"/>
            <c:spPr>
              <a:solidFill>
                <a:srgbClr val="FF66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9A73-4F6A-AD46-59270E82D010}"/>
              </c:ext>
            </c:extLst>
          </c:dPt>
          <c:cat>
            <c:strRef>
              <c:f>'[2]Level III'!$E$20:$E$27</c:f>
              <c:strCache>
                <c:ptCount val="8"/>
                <c:pt idx="0">
                  <c:v>air</c:v>
                </c:pt>
                <c:pt idx="1">
                  <c:v>natural soil</c:v>
                </c:pt>
                <c:pt idx="2">
                  <c:v>agr.soil</c:v>
                </c:pt>
                <c:pt idx="3">
                  <c:v>other soil</c:v>
                </c:pt>
                <c:pt idx="4">
                  <c:v>freshwater</c:v>
                </c:pt>
                <c:pt idx="5">
                  <c:v>freshw. sedim.</c:v>
                </c:pt>
                <c:pt idx="6">
                  <c:v>seawater</c:v>
                </c:pt>
                <c:pt idx="7">
                  <c:v>seaw. sedim.</c:v>
                </c:pt>
              </c:strCache>
            </c:strRef>
          </c:cat>
          <c:val>
            <c:numRef>
              <c:f>'[2]Level III'!$I$20:$I$27</c:f>
              <c:numCache>
                <c:formatCode>General</c:formatCode>
                <c:ptCount val="8"/>
                <c:pt idx="0">
                  <c:v>42.003278603921764</c:v>
                </c:pt>
                <c:pt idx="1">
                  <c:v>155.26561458596333</c:v>
                </c:pt>
                <c:pt idx="2">
                  <c:v>18200.799931984297</c:v>
                </c:pt>
                <c:pt idx="3">
                  <c:v>25.693450004548765</c:v>
                </c:pt>
                <c:pt idx="4">
                  <c:v>510.91938405986906</c:v>
                </c:pt>
                <c:pt idx="5">
                  <c:v>6.462630098729905</c:v>
                </c:pt>
                <c:pt idx="6">
                  <c:v>436.47194190640931</c:v>
                </c:pt>
                <c:pt idx="7">
                  <c:v>1.3839209727666528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A73-4F6A-AD46-59270E82D0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1519712"/>
        <c:axId val="1"/>
      </c:barChart>
      <c:catAx>
        <c:axId val="621519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logBase val="10"/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mol</a:t>
                </a:r>
              </a:p>
            </c:rich>
          </c:tx>
          <c:layout>
            <c:manualLayout>
              <c:xMode val="edge"/>
              <c:yMode val="edge"/>
              <c:x val="4.0431236418028392E-2"/>
              <c:y val="0.3580650476942809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21519712"/>
        <c:crosses val="autoZero"/>
        <c:crossBetween val="between"/>
      </c:valAx>
      <c:spPr>
        <a:noFill/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Total activities</a:t>
            </a:r>
          </a:p>
        </c:rich>
      </c:tx>
      <c:layout>
        <c:manualLayout>
          <c:xMode val="edge"/>
          <c:yMode val="edge"/>
          <c:x val="0.35180110819480898"/>
          <c:y val="3.642390602813992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606677424197954"/>
          <c:y val="0.16556291390728478"/>
          <c:w val="0.77008414409320913"/>
          <c:h val="0.5397350993377483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CC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84AB-48EA-8274-02890F293073}"/>
              </c:ext>
            </c:extLst>
          </c:dPt>
          <c:dPt>
            <c:idx val="1"/>
            <c:invertIfNegative val="0"/>
            <c:bubble3D val="0"/>
            <c:spPr>
              <a:solidFill>
                <a:srgbClr val="FFCC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84AB-48EA-8274-02890F293073}"/>
              </c:ext>
            </c:extLst>
          </c:dPt>
          <c:dPt>
            <c:idx val="2"/>
            <c:invertIfNegative val="0"/>
            <c:bubble3D val="0"/>
            <c:spPr>
              <a:solidFill>
                <a:srgbClr val="FFCC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84AB-48EA-8274-02890F293073}"/>
              </c:ext>
            </c:extLst>
          </c:dPt>
          <c:dPt>
            <c:idx val="3"/>
            <c:invertIfNegative val="0"/>
            <c:bubble3D val="0"/>
            <c:spPr>
              <a:solidFill>
                <a:srgbClr val="FFCC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84AB-48EA-8274-02890F293073}"/>
              </c:ext>
            </c:extLst>
          </c:dPt>
          <c:dPt>
            <c:idx val="4"/>
            <c:invertIfNegative val="0"/>
            <c:bubble3D val="0"/>
            <c:spPr>
              <a:solidFill>
                <a:srgbClr val="3366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84AB-48EA-8274-02890F293073}"/>
              </c:ext>
            </c:extLst>
          </c:dPt>
          <c:dPt>
            <c:idx val="5"/>
            <c:invertIfNegative val="0"/>
            <c:bubble3D val="0"/>
            <c:spPr>
              <a:solidFill>
                <a:srgbClr val="FF66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84AB-48EA-8274-02890F293073}"/>
              </c:ext>
            </c:extLst>
          </c:dPt>
          <c:dPt>
            <c:idx val="6"/>
            <c:invertIfNegative val="0"/>
            <c:bubble3D val="0"/>
            <c:spPr>
              <a:solidFill>
                <a:srgbClr val="00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84AB-48EA-8274-02890F293073}"/>
              </c:ext>
            </c:extLst>
          </c:dPt>
          <c:dPt>
            <c:idx val="7"/>
            <c:invertIfNegative val="0"/>
            <c:bubble3D val="0"/>
            <c:spPr>
              <a:solidFill>
                <a:srgbClr val="FF66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84AB-48EA-8274-02890F293073}"/>
              </c:ext>
            </c:extLst>
          </c:dPt>
          <c:cat>
            <c:strRef>
              <c:f>'[3]Level III'!$E$20:$E$27</c:f>
              <c:strCache>
                <c:ptCount val="8"/>
                <c:pt idx="0">
                  <c:v>air</c:v>
                </c:pt>
                <c:pt idx="1">
                  <c:v>natural soil</c:v>
                </c:pt>
                <c:pt idx="2">
                  <c:v>agr.soil</c:v>
                </c:pt>
                <c:pt idx="3">
                  <c:v>other soil</c:v>
                </c:pt>
                <c:pt idx="4">
                  <c:v>freshwater</c:v>
                </c:pt>
                <c:pt idx="5">
                  <c:v>freshw. sedim.</c:v>
                </c:pt>
                <c:pt idx="6">
                  <c:v>seawater</c:v>
                </c:pt>
                <c:pt idx="7">
                  <c:v>seaw. sedim.</c:v>
                </c:pt>
              </c:strCache>
            </c:strRef>
          </c:cat>
          <c:val>
            <c:numRef>
              <c:f>'[3]Level III'!$F$20:$F$27</c:f>
              <c:numCache>
                <c:formatCode>General</c:formatCode>
                <c:ptCount val="8"/>
                <c:pt idx="0">
                  <c:v>1.9626475849737704E-9</c:v>
                </c:pt>
                <c:pt idx="1">
                  <c:v>1.7744420200671257E-5</c:v>
                </c:pt>
                <c:pt idx="2">
                  <c:v>1.8652681423792834E-9</c:v>
                </c:pt>
                <c:pt idx="3">
                  <c:v>1.8940827064566259E-9</c:v>
                </c:pt>
                <c:pt idx="4">
                  <c:v>1.8833643390498171E-7</c:v>
                </c:pt>
                <c:pt idx="5">
                  <c:v>1.6010780001936834E-7</c:v>
                </c:pt>
                <c:pt idx="6">
                  <c:v>4.0634085168020682E-9</c:v>
                </c:pt>
                <c:pt idx="7">
                  <c:v>3.4550557469157129E-9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4AB-48EA-8274-02890F293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1075008"/>
        <c:axId val="1"/>
      </c:barChart>
      <c:catAx>
        <c:axId val="501075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9.9999999999999998E-13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logBase val="10"/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2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mol/m</a:t>
                </a:r>
                <a:r>
                  <a:rPr lang="en-US" sz="10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3</a:t>
                </a:r>
              </a:p>
            </c:rich>
          </c:tx>
          <c:layout>
            <c:manualLayout>
              <c:xMode val="edge"/>
              <c:yMode val="edge"/>
              <c:x val="1.3850393700787401E-2"/>
              <c:y val="0.35430420377780647"/>
            </c:manualLayout>
          </c:layout>
          <c:overlay val="0"/>
          <c:spPr>
            <a:noFill/>
            <a:ln w="25400">
              <a:noFill/>
            </a:ln>
          </c:spPr>
        </c:title>
        <c:numFmt formatCode="0.E+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01075008"/>
        <c:crosses val="autoZero"/>
        <c:crossBetween val="between"/>
        <c:majorUnit val="100"/>
      </c:valAx>
      <c:spPr>
        <a:noFill/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Total concentrations</a:t>
            </a:r>
          </a:p>
        </c:rich>
      </c:tx>
      <c:layout>
        <c:manualLayout>
          <c:xMode val="edge"/>
          <c:yMode val="edge"/>
          <c:x val="0.28342234700555197"/>
          <c:y val="3.630384437239462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7807486631016043"/>
          <c:y val="0.165017033496524"/>
          <c:w val="0.68716577540106949"/>
          <c:h val="0.54785655120845966"/>
        </c:manualLayout>
      </c:layout>
      <c:barChart>
        <c:barDir val="col"/>
        <c:grouping val="clustered"/>
        <c:varyColors val="0"/>
        <c:ser>
          <c:idx val="0"/>
          <c:order val="0"/>
          <c:tx>
            <c:v>total concentrations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CC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FB2C-4655-AD10-BA2255DE5DD2}"/>
              </c:ext>
            </c:extLst>
          </c:dPt>
          <c:dPt>
            <c:idx val="1"/>
            <c:invertIfNegative val="0"/>
            <c:bubble3D val="0"/>
            <c:spPr>
              <a:solidFill>
                <a:srgbClr val="FFCC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FB2C-4655-AD10-BA2255DE5DD2}"/>
              </c:ext>
            </c:extLst>
          </c:dPt>
          <c:dPt>
            <c:idx val="2"/>
            <c:invertIfNegative val="0"/>
            <c:bubble3D val="0"/>
            <c:spPr>
              <a:solidFill>
                <a:srgbClr val="FFCC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FB2C-4655-AD10-BA2255DE5DD2}"/>
              </c:ext>
            </c:extLst>
          </c:dPt>
          <c:dPt>
            <c:idx val="3"/>
            <c:invertIfNegative val="0"/>
            <c:bubble3D val="0"/>
            <c:spPr>
              <a:solidFill>
                <a:srgbClr val="FFCC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FB2C-4655-AD10-BA2255DE5DD2}"/>
              </c:ext>
            </c:extLst>
          </c:dPt>
          <c:dPt>
            <c:idx val="4"/>
            <c:invertIfNegative val="0"/>
            <c:bubble3D val="0"/>
            <c:spPr>
              <a:solidFill>
                <a:srgbClr val="3366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FB2C-4655-AD10-BA2255DE5DD2}"/>
              </c:ext>
            </c:extLst>
          </c:dPt>
          <c:dPt>
            <c:idx val="5"/>
            <c:invertIfNegative val="0"/>
            <c:bubble3D val="0"/>
            <c:spPr>
              <a:solidFill>
                <a:srgbClr val="FF66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FB2C-4655-AD10-BA2255DE5DD2}"/>
              </c:ext>
            </c:extLst>
          </c:dPt>
          <c:dPt>
            <c:idx val="6"/>
            <c:invertIfNegative val="0"/>
            <c:bubble3D val="0"/>
            <c:spPr>
              <a:solidFill>
                <a:srgbClr val="00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FB2C-4655-AD10-BA2255DE5DD2}"/>
              </c:ext>
            </c:extLst>
          </c:dPt>
          <c:dPt>
            <c:idx val="7"/>
            <c:invertIfNegative val="0"/>
            <c:bubble3D val="0"/>
            <c:spPr>
              <a:solidFill>
                <a:srgbClr val="FF66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FB2C-4655-AD10-BA2255DE5DD2}"/>
              </c:ext>
            </c:extLst>
          </c:dPt>
          <c:cat>
            <c:strRef>
              <c:f>'[3]Level III'!$E$20:$E$27</c:f>
              <c:strCache>
                <c:ptCount val="8"/>
                <c:pt idx="0">
                  <c:v>air</c:v>
                </c:pt>
                <c:pt idx="1">
                  <c:v>natural soil</c:v>
                </c:pt>
                <c:pt idx="2">
                  <c:v>agr.soil</c:v>
                </c:pt>
                <c:pt idx="3">
                  <c:v>other soil</c:v>
                </c:pt>
                <c:pt idx="4">
                  <c:v>freshwater</c:v>
                </c:pt>
                <c:pt idx="5">
                  <c:v>freshw. sedim.</c:v>
                </c:pt>
                <c:pt idx="6">
                  <c:v>seawater</c:v>
                </c:pt>
                <c:pt idx="7">
                  <c:v>seaw. sedim.</c:v>
                </c:pt>
              </c:strCache>
            </c:strRef>
          </c:cat>
          <c:val>
            <c:numRef>
              <c:f>'[3]Level III'!$G$20:$G$27</c:f>
              <c:numCache>
                <c:formatCode>General</c:formatCode>
                <c:ptCount val="8"/>
                <c:pt idx="0">
                  <c:v>2.9359072610166702E-9</c:v>
                </c:pt>
                <c:pt idx="1">
                  <c:v>4.3657339496831254E-5</c:v>
                </c:pt>
                <c:pt idx="2">
                  <c:v>4.5891972588315747E-9</c:v>
                </c:pt>
                <c:pt idx="3">
                  <c:v>4.660090936514554E-9</c:v>
                </c:pt>
                <c:pt idx="4">
                  <c:v>1.8797796836840902E-7</c:v>
                </c:pt>
                <c:pt idx="5">
                  <c:v>3.9496942993114209E-7</c:v>
                </c:pt>
                <c:pt idx="6">
                  <c:v>2.8768653232410244E-9</c:v>
                </c:pt>
                <c:pt idx="7">
                  <c:v>6.0465277744347965E-9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B2C-4655-AD10-BA2255DE5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2208488"/>
        <c:axId val="1"/>
      </c:barChart>
      <c:catAx>
        <c:axId val="502208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1E-14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logBase val="10"/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925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mol/m</a:t>
                </a:r>
                <a:r>
                  <a:rPr lang="en-US" sz="925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3</a:t>
                </a:r>
              </a:p>
            </c:rich>
          </c:tx>
          <c:layout>
            <c:manualLayout>
              <c:xMode val="edge"/>
              <c:yMode val="edge"/>
              <c:x val="4.0106957139740912E-2"/>
              <c:y val="0.369638206988832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02208488"/>
        <c:crosses val="autoZero"/>
        <c:crossBetween val="between"/>
        <c:majorUnit val="100"/>
      </c:valAx>
      <c:spPr>
        <a:noFill/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Mass distribution</a:t>
            </a:r>
          </a:p>
        </c:rich>
      </c:tx>
      <c:layout>
        <c:manualLayout>
          <c:xMode val="edge"/>
          <c:yMode val="edge"/>
          <c:x val="0.31805910143584992"/>
          <c:y val="3.548388182246450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31266846361185985"/>
          <c:y val="0.14516151896660623"/>
          <c:w val="0.67115902964959573"/>
          <c:h val="0.5193556567471912"/>
        </c:manualLayout>
      </c:layout>
      <c:barChart>
        <c:barDir val="col"/>
        <c:grouping val="clustered"/>
        <c:varyColors val="0"/>
        <c:ser>
          <c:idx val="0"/>
          <c:order val="0"/>
          <c:tx>
            <c:v>mass distribution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CC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03D0-46C7-BF4C-AABD5A9E4C14}"/>
              </c:ext>
            </c:extLst>
          </c:dPt>
          <c:dPt>
            <c:idx val="1"/>
            <c:invertIfNegative val="0"/>
            <c:bubble3D val="0"/>
            <c:spPr>
              <a:solidFill>
                <a:srgbClr val="FFCC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03D0-46C7-BF4C-AABD5A9E4C14}"/>
              </c:ext>
            </c:extLst>
          </c:dPt>
          <c:dPt>
            <c:idx val="2"/>
            <c:invertIfNegative val="0"/>
            <c:bubble3D val="0"/>
            <c:spPr>
              <a:solidFill>
                <a:srgbClr val="FFCC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03D0-46C7-BF4C-AABD5A9E4C14}"/>
              </c:ext>
            </c:extLst>
          </c:dPt>
          <c:dPt>
            <c:idx val="3"/>
            <c:invertIfNegative val="0"/>
            <c:bubble3D val="0"/>
            <c:spPr>
              <a:solidFill>
                <a:srgbClr val="FFCC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03D0-46C7-BF4C-AABD5A9E4C14}"/>
              </c:ext>
            </c:extLst>
          </c:dPt>
          <c:dPt>
            <c:idx val="4"/>
            <c:invertIfNegative val="0"/>
            <c:bubble3D val="0"/>
            <c:spPr>
              <a:solidFill>
                <a:srgbClr val="3366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03D0-46C7-BF4C-AABD5A9E4C14}"/>
              </c:ext>
            </c:extLst>
          </c:dPt>
          <c:dPt>
            <c:idx val="5"/>
            <c:invertIfNegative val="0"/>
            <c:bubble3D val="0"/>
            <c:spPr>
              <a:solidFill>
                <a:srgbClr val="FF66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03D0-46C7-BF4C-AABD5A9E4C14}"/>
              </c:ext>
            </c:extLst>
          </c:dPt>
          <c:dPt>
            <c:idx val="6"/>
            <c:invertIfNegative val="0"/>
            <c:bubble3D val="0"/>
            <c:spPr>
              <a:solidFill>
                <a:srgbClr val="00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03D0-46C7-BF4C-AABD5A9E4C14}"/>
              </c:ext>
            </c:extLst>
          </c:dPt>
          <c:dPt>
            <c:idx val="7"/>
            <c:invertIfNegative val="0"/>
            <c:bubble3D val="0"/>
            <c:spPr>
              <a:solidFill>
                <a:srgbClr val="FF66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03D0-46C7-BF4C-AABD5A9E4C14}"/>
              </c:ext>
            </c:extLst>
          </c:dPt>
          <c:cat>
            <c:strRef>
              <c:f>'[3]Level III'!$E$20:$E$27</c:f>
              <c:strCache>
                <c:ptCount val="8"/>
                <c:pt idx="0">
                  <c:v>air</c:v>
                </c:pt>
                <c:pt idx="1">
                  <c:v>natural soil</c:v>
                </c:pt>
                <c:pt idx="2">
                  <c:v>agr.soil</c:v>
                </c:pt>
                <c:pt idx="3">
                  <c:v>other soil</c:v>
                </c:pt>
                <c:pt idx="4">
                  <c:v>freshwater</c:v>
                </c:pt>
                <c:pt idx="5">
                  <c:v>freshw. sedim.</c:v>
                </c:pt>
                <c:pt idx="6">
                  <c:v>seawater</c:v>
                </c:pt>
                <c:pt idx="7">
                  <c:v>seaw. sedim.</c:v>
                </c:pt>
              </c:strCache>
            </c:strRef>
          </c:cat>
          <c:val>
            <c:numRef>
              <c:f>'[3]Level III'!$I$20:$I$27</c:f>
              <c:numCache>
                <c:formatCode>General</c:formatCode>
                <c:ptCount val="8"/>
                <c:pt idx="0">
                  <c:v>129179.91948473349</c:v>
                </c:pt>
                <c:pt idx="1">
                  <c:v>52388.807396197502</c:v>
                </c:pt>
                <c:pt idx="2">
                  <c:v>9.9126660790762013</c:v>
                </c:pt>
                <c:pt idx="3">
                  <c:v>0.93201818730291075</c:v>
                </c:pt>
                <c:pt idx="4">
                  <c:v>676.72068612627243</c:v>
                </c:pt>
                <c:pt idx="5">
                  <c:v>14.218899477521115</c:v>
                </c:pt>
                <c:pt idx="6">
                  <c:v>115.07461292964098</c:v>
                </c:pt>
                <c:pt idx="7">
                  <c:v>0.72558333293217558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3D0-46C7-BF4C-AABD5A9E4C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2209800"/>
        <c:axId val="1"/>
      </c:barChart>
      <c:catAx>
        <c:axId val="502209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logBase val="10"/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mol</a:t>
                </a:r>
              </a:p>
            </c:rich>
          </c:tx>
          <c:layout>
            <c:manualLayout>
              <c:xMode val="edge"/>
              <c:yMode val="edge"/>
              <c:x val="4.0431310792033347E-2"/>
              <c:y val="0.3580651457029409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02209800"/>
        <c:crosses val="autoZero"/>
        <c:crossBetween val="between"/>
      </c:valAx>
      <c:spPr>
        <a:noFill/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76200</xdr:rowOff>
    </xdr:from>
    <xdr:to>
      <xdr:col>7</xdr:col>
      <xdr:colOff>9525</xdr:colOff>
      <xdr:row>15</xdr:row>
      <xdr:rowOff>104775</xdr:rowOff>
    </xdr:to>
    <xdr:graphicFrame macro="">
      <xdr:nvGraphicFramePr>
        <xdr:cNvPr id="2" name="Chart 174">
          <a:extLst>
            <a:ext uri="{FF2B5EF4-FFF2-40B4-BE49-F238E27FC236}">
              <a16:creationId xmlns:a16="http://schemas.microsoft.com/office/drawing/2014/main" id="{7783CD14-FFB5-4A5E-9A4F-03D686690E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66675</xdr:colOff>
      <xdr:row>6</xdr:row>
      <xdr:rowOff>66675</xdr:rowOff>
    </xdr:from>
    <xdr:to>
      <xdr:col>10</xdr:col>
      <xdr:colOff>781050</xdr:colOff>
      <xdr:row>15</xdr:row>
      <xdr:rowOff>104775</xdr:rowOff>
    </xdr:to>
    <xdr:graphicFrame macro="">
      <xdr:nvGraphicFramePr>
        <xdr:cNvPr id="3" name="Chart 175">
          <a:extLst>
            <a:ext uri="{FF2B5EF4-FFF2-40B4-BE49-F238E27FC236}">
              <a16:creationId xmlns:a16="http://schemas.microsoft.com/office/drawing/2014/main" id="{43070C3C-D600-4496-A118-BEBE5C36E8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28575</xdr:colOff>
      <xdr:row>5</xdr:row>
      <xdr:rowOff>161925</xdr:rowOff>
    </xdr:from>
    <xdr:to>
      <xdr:col>15</xdr:col>
      <xdr:colOff>438150</xdr:colOff>
      <xdr:row>15</xdr:row>
      <xdr:rowOff>85725</xdr:rowOff>
    </xdr:to>
    <xdr:graphicFrame macro="">
      <xdr:nvGraphicFramePr>
        <xdr:cNvPr id="4" name="Chart 176">
          <a:extLst>
            <a:ext uri="{FF2B5EF4-FFF2-40B4-BE49-F238E27FC236}">
              <a16:creationId xmlns:a16="http://schemas.microsoft.com/office/drawing/2014/main" id="{18B24E0C-08AE-4F96-84A7-52E436DE33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76200</xdr:rowOff>
    </xdr:from>
    <xdr:to>
      <xdr:col>7</xdr:col>
      <xdr:colOff>9525</xdr:colOff>
      <xdr:row>15</xdr:row>
      <xdr:rowOff>104775</xdr:rowOff>
    </xdr:to>
    <xdr:graphicFrame macro="">
      <xdr:nvGraphicFramePr>
        <xdr:cNvPr id="2" name="Chart 174">
          <a:extLst>
            <a:ext uri="{FF2B5EF4-FFF2-40B4-BE49-F238E27FC236}">
              <a16:creationId xmlns:a16="http://schemas.microsoft.com/office/drawing/2014/main" id="{754D6991-79AC-4DC3-92B9-9A4194D54A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66675</xdr:colOff>
      <xdr:row>6</xdr:row>
      <xdr:rowOff>66675</xdr:rowOff>
    </xdr:from>
    <xdr:to>
      <xdr:col>10</xdr:col>
      <xdr:colOff>781050</xdr:colOff>
      <xdr:row>15</xdr:row>
      <xdr:rowOff>104775</xdr:rowOff>
    </xdr:to>
    <xdr:graphicFrame macro="">
      <xdr:nvGraphicFramePr>
        <xdr:cNvPr id="3" name="Chart 175">
          <a:extLst>
            <a:ext uri="{FF2B5EF4-FFF2-40B4-BE49-F238E27FC236}">
              <a16:creationId xmlns:a16="http://schemas.microsoft.com/office/drawing/2014/main" id="{F216A57D-EC58-467B-88BE-F4E02F1213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28575</xdr:colOff>
      <xdr:row>5</xdr:row>
      <xdr:rowOff>161925</xdr:rowOff>
    </xdr:from>
    <xdr:to>
      <xdr:col>15</xdr:col>
      <xdr:colOff>438150</xdr:colOff>
      <xdr:row>15</xdr:row>
      <xdr:rowOff>85725</xdr:rowOff>
    </xdr:to>
    <xdr:graphicFrame macro="">
      <xdr:nvGraphicFramePr>
        <xdr:cNvPr id="4" name="Chart 176">
          <a:extLst>
            <a:ext uri="{FF2B5EF4-FFF2-40B4-BE49-F238E27FC236}">
              <a16:creationId xmlns:a16="http://schemas.microsoft.com/office/drawing/2014/main" id="{02D2719A-10E1-44BA-870F-44A332C8ED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itong%20Zheng/Desktop/ChemFate_manuscript/Model%20Evaluation/Model%20Evaluation/model%20compare/SimpleBox4.0_web_benzen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itong%20Zheng/Desktop/ChemFate_manuscript/Model%20Evaluation/Model%20Evaluation/model%20compare/MAMI%20III%20-%20June%202010_2,4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itong%20Zheng/Desktop/ChemFate_manuscript/Model%20Evaluation/Model%20Evaluation/model%20compare/MAMI%20III%20-%20June%202010_benzen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"/>
      <sheetName val="input"/>
      <sheetName val="output"/>
      <sheetName val="dynamicR"/>
      <sheetName val="substances"/>
      <sheetName val="scenarios"/>
      <sheetName val="cases"/>
      <sheetName val="regional"/>
      <sheetName val="continental"/>
      <sheetName val="global"/>
      <sheetName val="engine"/>
      <sheetName val="formulas"/>
    </sheetNames>
    <sheetDataSet>
      <sheetData sheetId="0"/>
      <sheetData sheetId="1">
        <row r="10">
          <cell r="L10" t="str">
            <v>defaults only</v>
          </cell>
        </row>
      </sheetData>
      <sheetData sheetId="2"/>
      <sheetData sheetId="3"/>
      <sheetData sheetId="4">
        <row r="3">
          <cell r="A3" t="str">
            <v>Nr</v>
          </cell>
          <cell r="B3" t="str">
            <v>Name</v>
          </cell>
          <cell r="C3" t="str">
            <v>CAS</v>
          </cell>
          <cell r="D3" t="str">
            <v>ChemClass</v>
          </cell>
          <cell r="E3" t="str">
            <v>pKa</v>
          </cell>
          <cell r="F3" t="str">
            <v>MW</v>
          </cell>
          <cell r="G3" t="str">
            <v>Tm</v>
          </cell>
          <cell r="H3" t="str">
            <v>Pvap25</v>
          </cell>
          <cell r="I3" t="str">
            <v>Sol25</v>
          </cell>
          <cell r="J3" t="str">
            <v>Kaw</v>
          </cell>
          <cell r="K3" t="str">
            <v>Kow</v>
          </cell>
          <cell r="L3" t="str">
            <v>Ksw</v>
          </cell>
          <cell r="M3" t="str">
            <v>Kp(col)</v>
          </cell>
          <cell r="N3" t="str">
            <v>Kp(susp)</v>
          </cell>
          <cell r="O3" t="str">
            <v>Kp(sed)</v>
          </cell>
          <cell r="P3" t="str">
            <v>Kp(soil)</v>
          </cell>
          <cell r="Q3" t="str">
            <v>kdeg(air)</v>
          </cell>
          <cell r="R3" t="str">
            <v>kdeg(water)</v>
          </cell>
          <cell r="S3" t="str">
            <v>kdeg(sed)</v>
          </cell>
          <cell r="T3" t="str">
            <v>kdeg(soil)</v>
          </cell>
          <cell r="U3" t="str">
            <v>mu(logEC50)</v>
          </cell>
          <cell r="V3" t="str">
            <v>sd(logEC50)</v>
          </cell>
          <cell r="W3" t="str">
            <v>Use</v>
          </cell>
          <cell r="X3" t="str">
            <v>EF(air)</v>
          </cell>
          <cell r="Y3" t="str">
            <v>EF(water)</v>
          </cell>
          <cell r="Z3" t="str">
            <v>EF(soil)</v>
          </cell>
          <cell r="AA3"/>
          <cell r="AB3"/>
        </row>
        <row r="7">
          <cell r="B7"/>
          <cell r="C7"/>
          <cell r="D7"/>
          <cell r="E7"/>
          <cell r="F7"/>
          <cell r="G7"/>
          <cell r="H7"/>
          <cell r="I7"/>
          <cell r="J7"/>
          <cell r="K7"/>
          <cell r="L7"/>
          <cell r="M7"/>
          <cell r="N7"/>
          <cell r="O7"/>
          <cell r="P7"/>
          <cell r="Q7"/>
          <cell r="R7"/>
          <cell r="S7"/>
          <cell r="T7"/>
          <cell r="U7"/>
          <cell r="V7"/>
          <cell r="W7"/>
          <cell r="X7"/>
          <cell r="Y7"/>
          <cell r="Z7"/>
          <cell r="AA7"/>
        </row>
        <row r="8">
          <cell r="A8">
            <v>1</v>
          </cell>
          <cell r="B8" t="str">
            <v>default substance</v>
          </cell>
          <cell r="C8"/>
          <cell r="D8" t="str">
            <v>neutral</v>
          </cell>
          <cell r="E8" t="str">
            <v/>
          </cell>
          <cell r="F8">
            <v>147</v>
          </cell>
          <cell r="G8">
            <v>52.1</v>
          </cell>
          <cell r="H8">
            <v>232</v>
          </cell>
          <cell r="I8">
            <v>81.3</v>
          </cell>
          <cell r="J8"/>
          <cell r="K8">
            <v>2750</v>
          </cell>
          <cell r="L8"/>
          <cell r="M8"/>
          <cell r="N8"/>
          <cell r="O8"/>
          <cell r="P8"/>
          <cell r="Q8">
            <v>2.3999999999999998E-7</v>
          </cell>
          <cell r="R8">
            <v>2.1400000000000001E-7</v>
          </cell>
          <cell r="S8">
            <v>2.3800000000000001E-8</v>
          </cell>
          <cell r="T8">
            <v>1.0700000000000001E-7</v>
          </cell>
          <cell r="U8">
            <v>-1.9900000000000002</v>
          </cell>
          <cell r="V8">
            <v>0.4107142857142857</v>
          </cell>
          <cell r="W8">
            <v>30000</v>
          </cell>
          <cell r="X8">
            <v>0.33333333333333331</v>
          </cell>
          <cell r="Y8">
            <v>0.33333333333333331</v>
          </cell>
          <cell r="Z8">
            <v>0.33333333333333331</v>
          </cell>
          <cell r="AA8">
            <v>1</v>
          </cell>
        </row>
        <row r="9">
          <cell r="A9">
            <v>2</v>
          </cell>
          <cell r="B9" t="str">
            <v>neutral organic</v>
          </cell>
          <cell r="C9"/>
          <cell r="D9" t="str">
            <v>neutral</v>
          </cell>
          <cell r="E9"/>
          <cell r="F9">
            <v>261</v>
          </cell>
          <cell r="G9">
            <v>99.5</v>
          </cell>
          <cell r="H9">
            <v>0.24</v>
          </cell>
          <cell r="I9">
            <v>2.09</v>
          </cell>
          <cell r="J9"/>
          <cell r="K9">
            <v>24000</v>
          </cell>
          <cell r="L9"/>
          <cell r="M9"/>
          <cell r="N9"/>
          <cell r="O9"/>
          <cell r="P9"/>
          <cell r="Q9">
            <v>5.3899999999999998E-9</v>
          </cell>
          <cell r="R9">
            <v>4.4600000000000002E-8</v>
          </cell>
          <cell r="S9">
            <v>4.9499999999999997E-9</v>
          </cell>
          <cell r="T9">
            <v>2.2300000000000001E-8</v>
          </cell>
          <cell r="U9"/>
          <cell r="V9"/>
          <cell r="W9">
            <v>30000</v>
          </cell>
          <cell r="X9">
            <v>0.33333333333333331</v>
          </cell>
          <cell r="Y9">
            <v>0.33333333333333331</v>
          </cell>
          <cell r="Z9">
            <v>0.33333333333333331</v>
          </cell>
          <cell r="AA9">
            <v>2</v>
          </cell>
        </row>
        <row r="10">
          <cell r="A10">
            <v>3</v>
          </cell>
          <cell r="B10" t="str">
            <v>organic acid</v>
          </cell>
          <cell r="C10"/>
          <cell r="D10" t="str">
            <v>acid</v>
          </cell>
          <cell r="E10">
            <v>7.89</v>
          </cell>
          <cell r="F10">
            <v>163</v>
          </cell>
          <cell r="G10">
            <v>45</v>
          </cell>
          <cell r="H10">
            <v>12</v>
          </cell>
          <cell r="I10">
            <v>4500</v>
          </cell>
          <cell r="J10"/>
          <cell r="K10">
            <v>1148.1500000000001</v>
          </cell>
          <cell r="L10"/>
          <cell r="M10"/>
          <cell r="N10"/>
          <cell r="O10"/>
          <cell r="P10"/>
          <cell r="Q10">
            <v>7.9500000000000001E-7</v>
          </cell>
          <cell r="R10">
            <v>2.1400000000000001E-7</v>
          </cell>
          <cell r="S10">
            <v>2.3800000000000001E-8</v>
          </cell>
          <cell r="T10">
            <v>1.0700000000000001E-7</v>
          </cell>
          <cell r="U10"/>
          <cell r="V10"/>
          <cell r="W10">
            <v>30000</v>
          </cell>
          <cell r="X10">
            <v>0.33333333333333331</v>
          </cell>
          <cell r="Y10">
            <v>0.33333333333333331</v>
          </cell>
          <cell r="Z10">
            <v>0.33333333333333331</v>
          </cell>
          <cell r="AA10">
            <v>3</v>
          </cell>
        </row>
        <row r="11">
          <cell r="A11">
            <v>4</v>
          </cell>
          <cell r="B11" t="str">
            <v>organic base</v>
          </cell>
          <cell r="C11"/>
          <cell r="D11" t="str">
            <v>base</v>
          </cell>
          <cell r="E11">
            <v>5.13</v>
          </cell>
          <cell r="F11">
            <v>140</v>
          </cell>
          <cell r="G11">
            <v>65.099999999999994</v>
          </cell>
          <cell r="H11">
            <v>0.53300000000000003</v>
          </cell>
          <cell r="I11">
            <v>449000</v>
          </cell>
          <cell r="J11"/>
          <cell r="K11">
            <v>7.08E-5</v>
          </cell>
          <cell r="L11"/>
          <cell r="M11"/>
          <cell r="N11"/>
          <cell r="O11"/>
          <cell r="P11"/>
          <cell r="Q11">
            <v>3.8200000000000002E-4</v>
          </cell>
          <cell r="R11">
            <v>1.3400000000000001E-7</v>
          </cell>
          <cell r="S11">
            <v>1.4899999999999999E-8</v>
          </cell>
          <cell r="T11">
            <v>6.6899999999999997E-8</v>
          </cell>
          <cell r="U11"/>
          <cell r="V11"/>
          <cell r="W11">
            <v>30000</v>
          </cell>
          <cell r="X11">
            <v>0.33333333333333331</v>
          </cell>
          <cell r="Y11">
            <v>0.33333333333333331</v>
          </cell>
          <cell r="Z11">
            <v>0.33333333333333331</v>
          </cell>
          <cell r="AA11">
            <v>4</v>
          </cell>
        </row>
        <row r="12">
          <cell r="A12">
            <v>5</v>
          </cell>
          <cell r="B12" t="str">
            <v>trace metal</v>
          </cell>
          <cell r="C12"/>
          <cell r="D12" t="str">
            <v>metal</v>
          </cell>
          <cell r="E12"/>
          <cell r="F12">
            <v>65.38</v>
          </cell>
          <cell r="G12">
            <v>420</v>
          </cell>
          <cell r="H12">
            <v>9.9999999999999995E-21</v>
          </cell>
          <cell r="I12"/>
          <cell r="J12"/>
          <cell r="K12"/>
          <cell r="L12"/>
          <cell r="M12">
            <v>126000</v>
          </cell>
          <cell r="N12">
            <v>500</v>
          </cell>
          <cell r="O12">
            <v>12600</v>
          </cell>
          <cell r="P12">
            <v>950</v>
          </cell>
          <cell r="Q12">
            <v>9.9999999999999995E-21</v>
          </cell>
          <cell r="R12">
            <v>9.9999999999999995E-21</v>
          </cell>
          <cell r="S12">
            <v>9.9999999999999995E-21</v>
          </cell>
          <cell r="T12">
            <v>9.9999999999999995E-21</v>
          </cell>
          <cell r="U12"/>
          <cell r="V12"/>
          <cell r="W12">
            <v>30000</v>
          </cell>
          <cell r="X12">
            <v>0.33333333333333331</v>
          </cell>
          <cell r="Y12">
            <v>0.33333333333333331</v>
          </cell>
          <cell r="Z12">
            <v>0.33333333333333331</v>
          </cell>
          <cell r="AA12">
            <v>5</v>
          </cell>
        </row>
        <row r="13">
          <cell r="A13">
            <v>6</v>
          </cell>
          <cell r="B13" t="str">
            <v>median substance SimpleBox vs 3</v>
          </cell>
          <cell r="C13"/>
          <cell r="D13" t="str">
            <v/>
          </cell>
          <cell r="E13"/>
          <cell r="F13">
            <v>201.22</v>
          </cell>
          <cell r="G13">
            <v>43</v>
          </cell>
          <cell r="H13">
            <v>0.13300000000000001</v>
          </cell>
          <cell r="I13">
            <v>75</v>
          </cell>
          <cell r="J13"/>
          <cell r="K13">
            <v>1348.96288259165</v>
          </cell>
          <cell r="L13"/>
          <cell r="M13"/>
          <cell r="N13"/>
          <cell r="O13"/>
          <cell r="P13"/>
          <cell r="Q13">
            <v>3.5007433361613397E-6</v>
          </cell>
          <cell r="R13">
            <v>3.5007433361613399E-7</v>
          </cell>
          <cell r="S13">
            <v>3.5007433361613399E-8</v>
          </cell>
          <cell r="T13">
            <v>1.1325934322874922E-7</v>
          </cell>
          <cell r="U13">
            <v>-3.5012239326625707</v>
          </cell>
          <cell r="V13">
            <v>0.44070556766650409</v>
          </cell>
          <cell r="W13">
            <v>30000</v>
          </cell>
          <cell r="X13">
            <v>0.33333333333333331</v>
          </cell>
          <cell r="Y13">
            <v>0.33333333333333331</v>
          </cell>
          <cell r="Z13">
            <v>0.33333333333333331</v>
          </cell>
          <cell r="AA13">
            <v>6</v>
          </cell>
        </row>
        <row r="14">
          <cell r="A14">
            <v>7</v>
          </cell>
          <cell r="B14" t="str">
            <v>acrylonitrile</v>
          </cell>
          <cell r="C14" t="str">
            <v>107-13-1</v>
          </cell>
          <cell r="D14" t="str">
            <v/>
          </cell>
          <cell r="E14"/>
          <cell r="F14">
            <v>53</v>
          </cell>
          <cell r="G14">
            <v>-83</v>
          </cell>
          <cell r="H14">
            <v>13000</v>
          </cell>
          <cell r="I14">
            <v>70000</v>
          </cell>
          <cell r="J14"/>
          <cell r="K14">
            <v>1.4</v>
          </cell>
          <cell r="L14"/>
          <cell r="M14"/>
          <cell r="N14"/>
          <cell r="O14"/>
          <cell r="P14"/>
          <cell r="Q14">
            <v>9.0000000000000002E-6</v>
          </cell>
          <cell r="R14">
            <v>5.3000000000000001E-7</v>
          </cell>
          <cell r="S14"/>
          <cell r="T14">
            <v>4.3000000000000001E-7</v>
          </cell>
          <cell r="U14"/>
          <cell r="V14"/>
          <cell r="W14">
            <v>30000</v>
          </cell>
          <cell r="X14">
            <v>0.33333333333333331</v>
          </cell>
          <cell r="Y14">
            <v>0.33333333333333331</v>
          </cell>
          <cell r="Z14">
            <v>0.33333333333333331</v>
          </cell>
          <cell r="AA14"/>
        </row>
        <row r="15">
          <cell r="A15">
            <v>8</v>
          </cell>
          <cell r="B15" t="str">
            <v>chloroform</v>
          </cell>
          <cell r="C15" t="str">
            <v>67-66-3</v>
          </cell>
          <cell r="D15" t="str">
            <v/>
          </cell>
          <cell r="E15"/>
          <cell r="F15">
            <v>120</v>
          </cell>
          <cell r="G15">
            <v>-64</v>
          </cell>
          <cell r="H15">
            <v>21000</v>
          </cell>
          <cell r="I15">
            <v>8000</v>
          </cell>
          <cell r="J15"/>
          <cell r="K15">
            <v>100</v>
          </cell>
          <cell r="L15"/>
          <cell r="M15"/>
          <cell r="N15"/>
          <cell r="O15"/>
          <cell r="P15"/>
          <cell r="Q15">
            <v>2.3999999999999998E-7</v>
          </cell>
          <cell r="R15">
            <v>5.3000000000000003E-10</v>
          </cell>
          <cell r="S15"/>
          <cell r="T15">
            <v>4.4999999999999998E-7</v>
          </cell>
          <cell r="U15"/>
          <cell r="V15"/>
          <cell r="W15">
            <v>30000</v>
          </cell>
          <cell r="X15">
            <v>0.33333333333333331</v>
          </cell>
          <cell r="Y15">
            <v>0.33333333333333331</v>
          </cell>
          <cell r="Z15">
            <v>0.33333333333333331</v>
          </cell>
          <cell r="AA15"/>
        </row>
        <row r="16">
          <cell r="A16">
            <v>9</v>
          </cell>
          <cell r="B16" t="str">
            <v>ethyl acetoacetate</v>
          </cell>
          <cell r="C16" t="str">
            <v>141-97-9</v>
          </cell>
          <cell r="D16" t="str">
            <v/>
          </cell>
          <cell r="E16"/>
          <cell r="F16">
            <v>130</v>
          </cell>
          <cell r="G16">
            <v>-42</v>
          </cell>
          <cell r="H16">
            <v>100</v>
          </cell>
          <cell r="I16">
            <v>120000</v>
          </cell>
          <cell r="J16"/>
          <cell r="K16">
            <v>1.8</v>
          </cell>
          <cell r="L16"/>
          <cell r="M16"/>
          <cell r="N16"/>
          <cell r="O16"/>
          <cell r="P16"/>
          <cell r="Q16">
            <v>1.1000000000000001E-6</v>
          </cell>
          <cell r="R16">
            <v>5.3000000000000001E-7</v>
          </cell>
          <cell r="S16"/>
          <cell r="T16">
            <v>5.7000000000000005E-7</v>
          </cell>
          <cell r="U16"/>
          <cell r="V16"/>
          <cell r="W16">
            <v>30000</v>
          </cell>
          <cell r="X16">
            <v>0.33333333333333331</v>
          </cell>
          <cell r="Y16">
            <v>0.33333333333333331</v>
          </cell>
          <cell r="Z16">
            <v>0.33333333333333331</v>
          </cell>
          <cell r="AA16"/>
        </row>
        <row r="17">
          <cell r="A17">
            <v>10</v>
          </cell>
          <cell r="B17" t="str">
            <v>2-butoxyethyl acetate</v>
          </cell>
          <cell r="C17" t="str">
            <v>112-07-2</v>
          </cell>
          <cell r="D17" t="str">
            <v/>
          </cell>
          <cell r="E17"/>
          <cell r="F17">
            <v>160</v>
          </cell>
          <cell r="G17">
            <v>-64</v>
          </cell>
          <cell r="H17">
            <v>31</v>
          </cell>
          <cell r="I17">
            <v>7800</v>
          </cell>
          <cell r="J17"/>
          <cell r="K17">
            <v>32</v>
          </cell>
          <cell r="L17"/>
          <cell r="M17"/>
          <cell r="N17"/>
          <cell r="O17"/>
          <cell r="P17"/>
          <cell r="Q17"/>
          <cell r="R17">
            <v>5.3000000000000001E-7</v>
          </cell>
          <cell r="S17"/>
          <cell r="T17"/>
          <cell r="U17"/>
          <cell r="V17"/>
          <cell r="W17">
            <v>30000</v>
          </cell>
          <cell r="X17">
            <v>0.33333333333333331</v>
          </cell>
          <cell r="Y17">
            <v>0.33333333333333331</v>
          </cell>
          <cell r="Z17">
            <v>0.33333333333333331</v>
          </cell>
          <cell r="AA17"/>
        </row>
        <row r="18">
          <cell r="A18">
            <v>11</v>
          </cell>
          <cell r="B18" t="str">
            <v>2-aminonaphthalene-1-sulphonic acid</v>
          </cell>
          <cell r="C18" t="str">
            <v>81-16-3</v>
          </cell>
          <cell r="D18" t="str">
            <v/>
          </cell>
          <cell r="E18"/>
          <cell r="F18">
            <v>223</v>
          </cell>
          <cell r="G18"/>
          <cell r="H18">
            <v>1.6000000000000001E-8</v>
          </cell>
          <cell r="I18">
            <v>1800</v>
          </cell>
          <cell r="J18"/>
          <cell r="K18">
            <v>6.9000000000000006E-2</v>
          </cell>
          <cell r="L18"/>
          <cell r="M18"/>
          <cell r="N18"/>
          <cell r="O18"/>
          <cell r="P18"/>
          <cell r="Q18"/>
          <cell r="R18">
            <v>5.3000000000000003E-10</v>
          </cell>
          <cell r="S18"/>
          <cell r="T18"/>
          <cell r="U18"/>
          <cell r="V18"/>
          <cell r="W18">
            <v>30000</v>
          </cell>
          <cell r="X18">
            <v>0.33333333333333331</v>
          </cell>
          <cell r="Y18">
            <v>0.33333333333333331</v>
          </cell>
          <cell r="Z18">
            <v>0.33333333333333331</v>
          </cell>
          <cell r="AA18"/>
        </row>
        <row r="19">
          <cell r="A19">
            <v>12</v>
          </cell>
          <cell r="B19" t="str">
            <v>1-vinyl-2-pyrrolidone</v>
          </cell>
          <cell r="C19" t="str">
            <v>88-12-0</v>
          </cell>
          <cell r="D19" t="str">
            <v/>
          </cell>
          <cell r="E19"/>
          <cell r="F19">
            <v>111</v>
          </cell>
          <cell r="G19">
            <v>14</v>
          </cell>
          <cell r="H19">
            <v>12</v>
          </cell>
          <cell r="I19">
            <v>1.6</v>
          </cell>
          <cell r="J19"/>
          <cell r="K19">
            <v>2.5</v>
          </cell>
          <cell r="L19"/>
          <cell r="M19"/>
          <cell r="N19"/>
          <cell r="O19"/>
          <cell r="P19"/>
          <cell r="Q19"/>
          <cell r="R19">
            <v>5.3000000000000003E-10</v>
          </cell>
          <cell r="S19"/>
          <cell r="T19"/>
          <cell r="U19"/>
          <cell r="V19"/>
          <cell r="W19">
            <v>30000</v>
          </cell>
          <cell r="X19">
            <v>0.33333333333333331</v>
          </cell>
          <cell r="Y19">
            <v>0.33333333333333331</v>
          </cell>
          <cell r="Z19">
            <v>0.33333333333333331</v>
          </cell>
          <cell r="AA19"/>
        </row>
        <row r="20">
          <cell r="A20">
            <v>13</v>
          </cell>
          <cell r="B20" t="str">
            <v>chloroethylene</v>
          </cell>
          <cell r="C20">
            <v>27398</v>
          </cell>
          <cell r="D20" t="str">
            <v/>
          </cell>
          <cell r="E20"/>
          <cell r="F20">
            <v>63</v>
          </cell>
          <cell r="G20">
            <v>-154</v>
          </cell>
          <cell r="H20">
            <v>330000</v>
          </cell>
          <cell r="I20">
            <v>2700</v>
          </cell>
          <cell r="J20"/>
          <cell r="K20">
            <v>38</v>
          </cell>
          <cell r="L20"/>
          <cell r="M20"/>
          <cell r="N20"/>
          <cell r="O20"/>
          <cell r="P20"/>
          <cell r="Q20">
            <v>2.3E-5</v>
          </cell>
          <cell r="R20">
            <v>5.3000000000000003E-10</v>
          </cell>
          <cell r="S20"/>
          <cell r="T20">
            <v>7.5000000000000002E-7</v>
          </cell>
          <cell r="U20"/>
          <cell r="V20"/>
          <cell r="W20">
            <v>30000</v>
          </cell>
          <cell r="X20">
            <v>0.33333333333333331</v>
          </cell>
          <cell r="Y20">
            <v>0.33333333333333331</v>
          </cell>
          <cell r="Z20">
            <v>0.33333333333333331</v>
          </cell>
          <cell r="AA20"/>
        </row>
        <row r="21">
          <cell r="A21">
            <v>14</v>
          </cell>
          <cell r="B21" t="str">
            <v>methyl methacrylate</v>
          </cell>
          <cell r="C21" t="str">
            <v>80-62-6</v>
          </cell>
          <cell r="D21" t="str">
            <v/>
          </cell>
          <cell r="E21"/>
          <cell r="F21">
            <v>100</v>
          </cell>
          <cell r="G21">
            <v>-50</v>
          </cell>
          <cell r="H21">
            <v>5300</v>
          </cell>
          <cell r="I21">
            <v>15000</v>
          </cell>
          <cell r="J21"/>
          <cell r="K21">
            <v>11</v>
          </cell>
          <cell r="L21"/>
          <cell r="M21"/>
          <cell r="N21"/>
          <cell r="O21"/>
          <cell r="P21"/>
          <cell r="Q21"/>
          <cell r="R21">
            <v>5.2999999999999998E-8</v>
          </cell>
          <cell r="S21"/>
          <cell r="T21"/>
          <cell r="U21"/>
          <cell r="V21"/>
          <cell r="W21">
            <v>30000</v>
          </cell>
          <cell r="X21">
            <v>0.33333333333333331</v>
          </cell>
          <cell r="Y21">
            <v>0.33333333333333331</v>
          </cell>
          <cell r="Z21">
            <v>0.33333333333333331</v>
          </cell>
          <cell r="AA21"/>
        </row>
        <row r="22">
          <cell r="A22">
            <v>15</v>
          </cell>
          <cell r="B22" t="str">
            <v>1,2-dichloro-4-nitrobenzene</v>
          </cell>
          <cell r="C22" t="str">
            <v>99-54-7</v>
          </cell>
          <cell r="D22" t="str">
            <v/>
          </cell>
          <cell r="E22"/>
          <cell r="F22">
            <v>192</v>
          </cell>
          <cell r="G22">
            <v>40</v>
          </cell>
          <cell r="H22">
            <v>1</v>
          </cell>
          <cell r="I22">
            <v>150</v>
          </cell>
          <cell r="J22"/>
          <cell r="K22">
            <v>990</v>
          </cell>
          <cell r="L22"/>
          <cell r="M22"/>
          <cell r="N22"/>
          <cell r="O22"/>
          <cell r="P22"/>
          <cell r="Q22">
            <v>3.2999999999999998E-8</v>
          </cell>
          <cell r="R22">
            <v>5.3000000000000003E-10</v>
          </cell>
          <cell r="S22"/>
          <cell r="T22">
            <v>5.5000000000000003E-8</v>
          </cell>
          <cell r="U22"/>
          <cell r="V22"/>
          <cell r="W22">
            <v>30000</v>
          </cell>
          <cell r="X22">
            <v>0.33333333333333331</v>
          </cell>
          <cell r="Y22">
            <v>0.33333333333333331</v>
          </cell>
          <cell r="Z22">
            <v>0.33333333333333331</v>
          </cell>
          <cell r="AA22"/>
        </row>
        <row r="23">
          <cell r="A23">
            <v>16</v>
          </cell>
          <cell r="B23" t="str">
            <v>2-ethylhexyl nitrate</v>
          </cell>
          <cell r="C23" t="str">
            <v>27247-96-7</v>
          </cell>
          <cell r="D23" t="str">
            <v/>
          </cell>
          <cell r="E23"/>
          <cell r="F23">
            <v>175</v>
          </cell>
          <cell r="G23">
            <v>-50</v>
          </cell>
          <cell r="H23">
            <v>4.7</v>
          </cell>
          <cell r="I23">
            <v>3.9</v>
          </cell>
          <cell r="J23"/>
          <cell r="K23">
            <v>14000</v>
          </cell>
          <cell r="L23"/>
          <cell r="M23"/>
          <cell r="N23"/>
          <cell r="O23"/>
          <cell r="P23"/>
          <cell r="Q23"/>
          <cell r="R23">
            <v>5.3000000000000003E-10</v>
          </cell>
          <cell r="S23"/>
          <cell r="T23"/>
          <cell r="U23"/>
          <cell r="V23"/>
          <cell r="W23">
            <v>30000</v>
          </cell>
          <cell r="X23">
            <v>0.33333333333333331</v>
          </cell>
          <cell r="Y23">
            <v>0.33333333333333331</v>
          </cell>
          <cell r="Z23">
            <v>0.33333333333333331</v>
          </cell>
          <cell r="AA23"/>
        </row>
        <row r="24">
          <cell r="A24">
            <v>17</v>
          </cell>
          <cell r="B24" t="str">
            <v>2-(2-(2-methoxyethoxy)ethoxy)ethanol</v>
          </cell>
          <cell r="C24" t="str">
            <v>112-35-6</v>
          </cell>
          <cell r="D24" t="str">
            <v/>
          </cell>
          <cell r="E24"/>
          <cell r="F24">
            <v>164</v>
          </cell>
          <cell r="G24">
            <v>-45</v>
          </cell>
          <cell r="H24">
            <v>10</v>
          </cell>
          <cell r="I24">
            <v>5.8</v>
          </cell>
          <cell r="J24"/>
          <cell r="K24">
            <v>7.3999999999999996E-2</v>
          </cell>
          <cell r="L24"/>
          <cell r="M24"/>
          <cell r="N24"/>
          <cell r="O24"/>
          <cell r="P24"/>
          <cell r="Q24"/>
          <cell r="R24">
            <v>5.3000000000000003E-10</v>
          </cell>
          <cell r="S24"/>
          <cell r="T24"/>
          <cell r="U24"/>
          <cell r="V24"/>
          <cell r="W24">
            <v>30000</v>
          </cell>
          <cell r="X24">
            <v>0.33333333333333331</v>
          </cell>
          <cell r="Y24">
            <v>0.33333333333333331</v>
          </cell>
          <cell r="Z24">
            <v>0.33333333333333331</v>
          </cell>
          <cell r="AA24"/>
        </row>
        <row r="25">
          <cell r="A25">
            <v>18</v>
          </cell>
          <cell r="B25" t="str">
            <v>linalool</v>
          </cell>
          <cell r="C25" t="str">
            <v>78-70-6</v>
          </cell>
          <cell r="D25" t="str">
            <v/>
          </cell>
          <cell r="E25"/>
          <cell r="F25">
            <v>154</v>
          </cell>
          <cell r="G25"/>
          <cell r="H25">
            <v>10</v>
          </cell>
          <cell r="I25">
            <v>1400</v>
          </cell>
          <cell r="J25"/>
          <cell r="K25">
            <v>930</v>
          </cell>
          <cell r="L25"/>
          <cell r="M25"/>
          <cell r="N25"/>
          <cell r="O25"/>
          <cell r="P25"/>
          <cell r="Q25"/>
          <cell r="R25">
            <v>5.3000000000000001E-7</v>
          </cell>
          <cell r="S25"/>
          <cell r="T25"/>
          <cell r="U25"/>
          <cell r="V25"/>
          <cell r="W25">
            <v>30000</v>
          </cell>
          <cell r="X25">
            <v>0.33333333333333331</v>
          </cell>
          <cell r="Y25">
            <v>0.33333333333333331</v>
          </cell>
          <cell r="Z25">
            <v>0.33333333333333331</v>
          </cell>
          <cell r="AA25"/>
        </row>
        <row r="26">
          <cell r="A26">
            <v>19</v>
          </cell>
          <cell r="B26" t="str">
            <v>1-methoxypropan-2-ol</v>
          </cell>
          <cell r="C26" t="str">
            <v>107-98-2</v>
          </cell>
          <cell r="D26" t="str">
            <v/>
          </cell>
          <cell r="E26"/>
          <cell r="F26">
            <v>90</v>
          </cell>
          <cell r="G26">
            <v>-96</v>
          </cell>
          <cell r="H26">
            <v>1200</v>
          </cell>
          <cell r="I26">
            <v>1.9</v>
          </cell>
          <cell r="J26"/>
          <cell r="K26">
            <v>0.37</v>
          </cell>
          <cell r="L26"/>
          <cell r="M26"/>
          <cell r="N26"/>
          <cell r="O26"/>
          <cell r="P26"/>
          <cell r="Q26">
            <v>1.2999999999999999E-5</v>
          </cell>
          <cell r="R26">
            <v>5.3000000000000001E-7</v>
          </cell>
          <cell r="S26"/>
          <cell r="T26">
            <v>5.9999999999999997E-7</v>
          </cell>
          <cell r="U26"/>
          <cell r="V26"/>
          <cell r="W26">
            <v>30000</v>
          </cell>
          <cell r="X26">
            <v>0.33333333333333331</v>
          </cell>
          <cell r="Y26">
            <v>0.33333333333333331</v>
          </cell>
          <cell r="Z26">
            <v>0.33333333333333331</v>
          </cell>
          <cell r="AA26"/>
        </row>
        <row r="27">
          <cell r="A27">
            <v>20</v>
          </cell>
          <cell r="B27" t="str">
            <v>2',4'-dimethylacetoacetanilide</v>
          </cell>
          <cell r="C27" t="str">
            <v>97-36-9</v>
          </cell>
          <cell r="D27" t="str">
            <v/>
          </cell>
          <cell r="E27"/>
          <cell r="F27">
            <v>205</v>
          </cell>
          <cell r="G27">
            <v>88</v>
          </cell>
          <cell r="H27">
            <v>2.2000000000000001E-4</v>
          </cell>
          <cell r="I27">
            <v>3.6999999999999998E-2</v>
          </cell>
          <cell r="J27"/>
          <cell r="K27">
            <v>32</v>
          </cell>
          <cell r="L27"/>
          <cell r="M27"/>
          <cell r="N27"/>
          <cell r="O27"/>
          <cell r="P27"/>
          <cell r="Q27"/>
          <cell r="R27">
            <v>5.3000000000000003E-10</v>
          </cell>
          <cell r="S27"/>
          <cell r="T27"/>
          <cell r="U27"/>
          <cell r="V27"/>
          <cell r="W27">
            <v>30000</v>
          </cell>
          <cell r="X27">
            <v>0.33333333333333331</v>
          </cell>
          <cell r="Y27">
            <v>0.33333333333333331</v>
          </cell>
          <cell r="Z27">
            <v>0.33333333333333331</v>
          </cell>
          <cell r="AA27"/>
        </row>
        <row r="28">
          <cell r="A28">
            <v>21</v>
          </cell>
          <cell r="B28" t="str">
            <v>1,3-dichloro-4-nitrobenzene</v>
          </cell>
          <cell r="C28" t="str">
            <v>611-06-3</v>
          </cell>
          <cell r="D28" t="str">
            <v/>
          </cell>
          <cell r="E28"/>
          <cell r="F28">
            <v>192</v>
          </cell>
          <cell r="G28">
            <v>30</v>
          </cell>
          <cell r="H28">
            <v>1</v>
          </cell>
          <cell r="I28">
            <v>190</v>
          </cell>
          <cell r="J28"/>
          <cell r="K28">
            <v>1200</v>
          </cell>
          <cell r="L28"/>
          <cell r="M28"/>
          <cell r="N28"/>
          <cell r="O28"/>
          <cell r="P28"/>
          <cell r="Q28"/>
          <cell r="R28">
            <v>5.3000000000000003E-10</v>
          </cell>
          <cell r="S28"/>
          <cell r="T28"/>
          <cell r="U28"/>
          <cell r="V28"/>
          <cell r="W28">
            <v>30000</v>
          </cell>
          <cell r="X28">
            <v>0.33333333333333331</v>
          </cell>
          <cell r="Y28">
            <v>0.33333333333333331</v>
          </cell>
          <cell r="Z28">
            <v>0.33333333333333331</v>
          </cell>
          <cell r="AA28"/>
        </row>
        <row r="29">
          <cell r="A29">
            <v>22</v>
          </cell>
          <cell r="B29" t="str">
            <v>1,2-dichlorobenzene</v>
          </cell>
          <cell r="C29" t="str">
            <v>95-50-1</v>
          </cell>
          <cell r="D29" t="str">
            <v/>
          </cell>
          <cell r="E29"/>
          <cell r="F29">
            <v>147</v>
          </cell>
          <cell r="G29">
            <v>-17</v>
          </cell>
          <cell r="H29">
            <v>130</v>
          </cell>
          <cell r="I29">
            <v>160</v>
          </cell>
          <cell r="J29"/>
          <cell r="K29">
            <v>2500</v>
          </cell>
          <cell r="L29"/>
          <cell r="M29"/>
          <cell r="N29"/>
          <cell r="O29"/>
          <cell r="P29"/>
          <cell r="Q29">
            <v>2.3999999999999998E-7</v>
          </cell>
          <cell r="R29">
            <v>5.3000000000000003E-10</v>
          </cell>
          <cell r="S29"/>
          <cell r="T29">
            <v>1.4999999999999999E-7</v>
          </cell>
          <cell r="U29"/>
          <cell r="V29"/>
          <cell r="W29">
            <v>30000</v>
          </cell>
          <cell r="X29">
            <v>0.33333333333333331</v>
          </cell>
          <cell r="Y29">
            <v>0.33333333333333331</v>
          </cell>
          <cell r="Z29">
            <v>0.33333333333333331</v>
          </cell>
          <cell r="AA29"/>
        </row>
        <row r="30">
          <cell r="A30">
            <v>23</v>
          </cell>
          <cell r="B30" t="str">
            <v>alpha,alpha,alpha-trichlorotoluene</v>
          </cell>
          <cell r="C30">
            <v>35983</v>
          </cell>
          <cell r="D30" t="str">
            <v/>
          </cell>
          <cell r="E30"/>
          <cell r="F30">
            <v>195</v>
          </cell>
          <cell r="G30">
            <v>-6</v>
          </cell>
          <cell r="H30">
            <v>16</v>
          </cell>
          <cell r="I30">
            <v>10</v>
          </cell>
          <cell r="J30"/>
          <cell r="K30">
            <v>3000</v>
          </cell>
          <cell r="L30"/>
          <cell r="M30"/>
          <cell r="N30"/>
          <cell r="O30"/>
          <cell r="P30"/>
          <cell r="Q30">
            <v>9.9999999999999995E-7</v>
          </cell>
          <cell r="R30">
            <v>5.3000000000000003E-10</v>
          </cell>
          <cell r="S30"/>
          <cell r="T30">
            <v>5.2E-7</v>
          </cell>
          <cell r="U30"/>
          <cell r="V30"/>
          <cell r="W30">
            <v>30000</v>
          </cell>
          <cell r="X30">
            <v>0.33333333333333331</v>
          </cell>
          <cell r="Y30">
            <v>0.33333333333333331</v>
          </cell>
          <cell r="Z30">
            <v>0.33333333333333331</v>
          </cell>
          <cell r="AA30"/>
        </row>
        <row r="31">
          <cell r="A31">
            <v>24</v>
          </cell>
          <cell r="B31" t="str">
            <v>N-cyclohexylbenzothiazole-2-sulphenamide</v>
          </cell>
          <cell r="C31" t="str">
            <v>95-33-0</v>
          </cell>
          <cell r="D31" t="str">
            <v/>
          </cell>
          <cell r="E31"/>
          <cell r="F31">
            <v>232</v>
          </cell>
          <cell r="G31">
            <v>96</v>
          </cell>
          <cell r="H31">
            <v>1.5E-6</v>
          </cell>
          <cell r="I31">
            <v>38</v>
          </cell>
          <cell r="J31"/>
          <cell r="K31">
            <v>6600</v>
          </cell>
          <cell r="L31"/>
          <cell r="M31"/>
          <cell r="N31"/>
          <cell r="O31"/>
          <cell r="P31"/>
          <cell r="Q31">
            <v>5.8999999999999998E-5</v>
          </cell>
          <cell r="R31">
            <v>5.3000000000000003E-10</v>
          </cell>
          <cell r="S31"/>
          <cell r="T31">
            <v>1.9000000000000001E-7</v>
          </cell>
          <cell r="U31"/>
          <cell r="V31"/>
          <cell r="W31">
            <v>30000</v>
          </cell>
          <cell r="X31">
            <v>0.33333333333333331</v>
          </cell>
          <cell r="Y31">
            <v>0.33333333333333331</v>
          </cell>
          <cell r="Z31">
            <v>0.33333333333333331</v>
          </cell>
          <cell r="AA31"/>
        </row>
        <row r="32">
          <cell r="A32">
            <v>25</v>
          </cell>
          <cell r="B32" t="str">
            <v>2-ethyl-2-[[(1-oxoallyl)oxy]methyl]-1,3-propanediyl diacrylate</v>
          </cell>
          <cell r="C32" t="str">
            <v>15625-89-5</v>
          </cell>
          <cell r="D32" t="str">
            <v/>
          </cell>
          <cell r="E32"/>
          <cell r="F32">
            <v>296</v>
          </cell>
          <cell r="G32"/>
          <cell r="H32">
            <v>2.2000000000000001E-6</v>
          </cell>
          <cell r="I32">
            <v>3800</v>
          </cell>
          <cell r="J32"/>
          <cell r="K32">
            <v>180</v>
          </cell>
          <cell r="L32"/>
          <cell r="M32"/>
          <cell r="N32"/>
          <cell r="O32"/>
          <cell r="P32"/>
          <cell r="Q32"/>
          <cell r="R32">
            <v>5.3000000000000003E-10</v>
          </cell>
          <cell r="S32"/>
          <cell r="T32"/>
          <cell r="U32"/>
          <cell r="V32"/>
          <cell r="W32">
            <v>30000</v>
          </cell>
          <cell r="X32">
            <v>0.33333333333333331</v>
          </cell>
          <cell r="Y32">
            <v>0.33333333333333331</v>
          </cell>
          <cell r="Z32">
            <v>0.33333333333333331</v>
          </cell>
          <cell r="AA32"/>
        </row>
        <row r="33">
          <cell r="A33">
            <v>26</v>
          </cell>
          <cell r="B33" t="str">
            <v>2-methoxy-1-methylethyl acetate</v>
          </cell>
          <cell r="C33" t="str">
            <v>108-65-6</v>
          </cell>
          <cell r="D33" t="str">
            <v/>
          </cell>
          <cell r="E33"/>
          <cell r="F33">
            <v>132</v>
          </cell>
          <cell r="G33">
            <v>-87</v>
          </cell>
          <cell r="H33">
            <v>340</v>
          </cell>
          <cell r="I33">
            <v>20000</v>
          </cell>
          <cell r="J33"/>
          <cell r="K33">
            <v>2.7</v>
          </cell>
          <cell r="L33"/>
          <cell r="M33"/>
          <cell r="N33"/>
          <cell r="O33"/>
          <cell r="P33"/>
          <cell r="Q33">
            <v>8.8999999999999995E-6</v>
          </cell>
          <cell r="R33">
            <v>5.2999999999999998E-8</v>
          </cell>
          <cell r="S33"/>
          <cell r="T33">
            <v>2.0999999999999998E-6</v>
          </cell>
          <cell r="U33"/>
          <cell r="V33"/>
          <cell r="W33">
            <v>30000</v>
          </cell>
          <cell r="X33">
            <v>0.33333333333333331</v>
          </cell>
          <cell r="Y33">
            <v>0.33333333333333331</v>
          </cell>
          <cell r="Z33">
            <v>0.33333333333333331</v>
          </cell>
          <cell r="AA33"/>
        </row>
        <row r="34">
          <cell r="A34">
            <v>27</v>
          </cell>
          <cell r="B34" t="str">
            <v>2-(2-ethoxyethoxy)ethanol</v>
          </cell>
          <cell r="C34" t="str">
            <v>111-90-0</v>
          </cell>
          <cell r="D34" t="str">
            <v/>
          </cell>
          <cell r="E34"/>
          <cell r="F34">
            <v>134</v>
          </cell>
          <cell r="G34">
            <v>-10</v>
          </cell>
          <cell r="H34">
            <v>1800</v>
          </cell>
          <cell r="I34">
            <v>1.3</v>
          </cell>
          <cell r="J34"/>
          <cell r="K34">
            <v>0.16</v>
          </cell>
          <cell r="L34"/>
          <cell r="M34"/>
          <cell r="N34"/>
          <cell r="O34"/>
          <cell r="P34"/>
          <cell r="Q34">
            <v>2.4000000000000001E-5</v>
          </cell>
          <cell r="R34">
            <v>5.3000000000000001E-7</v>
          </cell>
          <cell r="S34"/>
          <cell r="T34">
            <v>4.1000000000000003E-8</v>
          </cell>
          <cell r="U34"/>
          <cell r="V34"/>
          <cell r="W34">
            <v>30000</v>
          </cell>
          <cell r="X34">
            <v>0.33333333333333331</v>
          </cell>
          <cell r="Y34">
            <v>0.33333333333333331</v>
          </cell>
          <cell r="Z34">
            <v>0.33333333333333331</v>
          </cell>
          <cell r="AA34"/>
        </row>
        <row r="35">
          <cell r="A35">
            <v>28</v>
          </cell>
          <cell r="B35" t="str">
            <v>o-phenylenediamine</v>
          </cell>
          <cell r="C35" t="str">
            <v>95-54-5</v>
          </cell>
          <cell r="D35" t="str">
            <v/>
          </cell>
          <cell r="E35"/>
          <cell r="F35">
            <v>108</v>
          </cell>
          <cell r="G35">
            <v>101</v>
          </cell>
          <cell r="H35">
            <v>1.3</v>
          </cell>
          <cell r="I35">
            <v>54000</v>
          </cell>
          <cell r="J35"/>
          <cell r="K35">
            <v>1.6</v>
          </cell>
          <cell r="L35"/>
          <cell r="M35"/>
          <cell r="N35"/>
          <cell r="O35"/>
          <cell r="P35"/>
          <cell r="Q35">
            <v>1.8000000000000001E-4</v>
          </cell>
          <cell r="R35">
            <v>5.3000000000000003E-10</v>
          </cell>
          <cell r="S35"/>
          <cell r="T35">
            <v>1.1999999999999999E-7</v>
          </cell>
          <cell r="U35"/>
          <cell r="V35"/>
          <cell r="W35">
            <v>30000</v>
          </cell>
          <cell r="X35">
            <v>0.33333333333333331</v>
          </cell>
          <cell r="Y35">
            <v>0.33333333333333331</v>
          </cell>
          <cell r="Z35">
            <v>0.33333333333333331</v>
          </cell>
          <cell r="AA35"/>
        </row>
        <row r="36">
          <cell r="A36">
            <v>29</v>
          </cell>
          <cell r="B36" t="str">
            <v>isobutyl methacrylate</v>
          </cell>
          <cell r="C36" t="str">
            <v>97-86-9</v>
          </cell>
          <cell r="D36" t="str">
            <v/>
          </cell>
          <cell r="E36"/>
          <cell r="F36">
            <v>142</v>
          </cell>
          <cell r="G36">
            <v>-36</v>
          </cell>
          <cell r="H36">
            <v>130</v>
          </cell>
          <cell r="I36">
            <v>130</v>
          </cell>
          <cell r="J36"/>
          <cell r="K36">
            <v>130</v>
          </cell>
          <cell r="L36"/>
          <cell r="M36"/>
          <cell r="N36"/>
          <cell r="O36"/>
          <cell r="P36"/>
          <cell r="Q36">
            <v>2.5000000000000001E-5</v>
          </cell>
          <cell r="R36">
            <v>5.3000000000000001E-7</v>
          </cell>
          <cell r="S36"/>
          <cell r="T36">
            <v>5.4000000000000002E-7</v>
          </cell>
          <cell r="U36"/>
          <cell r="V36"/>
          <cell r="W36">
            <v>30000</v>
          </cell>
          <cell r="X36">
            <v>0.33333333333333331</v>
          </cell>
          <cell r="Y36">
            <v>0.33333333333333331</v>
          </cell>
          <cell r="Z36">
            <v>0.33333333333333331</v>
          </cell>
          <cell r="AA36"/>
        </row>
        <row r="37">
          <cell r="A37">
            <v>30</v>
          </cell>
          <cell r="B37" t="str">
            <v>2-(dimethylamino)ethyl acrylate</v>
          </cell>
          <cell r="C37" t="str">
            <v>2439-35-2</v>
          </cell>
          <cell r="D37" t="str">
            <v/>
          </cell>
          <cell r="E37"/>
          <cell r="F37">
            <v>143</v>
          </cell>
          <cell r="G37">
            <v>-60</v>
          </cell>
          <cell r="H37">
            <v>68</v>
          </cell>
          <cell r="I37">
            <v>0.11</v>
          </cell>
          <cell r="J37"/>
          <cell r="K37">
            <v>5.8</v>
          </cell>
          <cell r="L37"/>
          <cell r="M37"/>
          <cell r="N37"/>
          <cell r="O37"/>
          <cell r="P37"/>
          <cell r="Q37">
            <v>6.8999999999999997E-5</v>
          </cell>
          <cell r="R37">
            <v>5.3000000000000001E-7</v>
          </cell>
          <cell r="S37"/>
          <cell r="T37">
            <v>9.4E-7</v>
          </cell>
          <cell r="U37"/>
          <cell r="V37"/>
          <cell r="W37">
            <v>30000</v>
          </cell>
          <cell r="X37">
            <v>0.33333333333333331</v>
          </cell>
          <cell r="Y37">
            <v>0.33333333333333331</v>
          </cell>
          <cell r="Z37">
            <v>0.33333333333333331</v>
          </cell>
          <cell r="AA37"/>
        </row>
        <row r="38">
          <cell r="A38">
            <v>31</v>
          </cell>
          <cell r="B38" t="str">
            <v>pentane</v>
          </cell>
          <cell r="C38" t="str">
            <v>109-66-0</v>
          </cell>
          <cell r="D38" t="str">
            <v/>
          </cell>
          <cell r="E38"/>
          <cell r="F38">
            <v>72</v>
          </cell>
          <cell r="G38">
            <v>-50</v>
          </cell>
          <cell r="H38">
            <v>68000</v>
          </cell>
          <cell r="I38">
            <v>38</v>
          </cell>
          <cell r="J38"/>
          <cell r="K38">
            <v>2500</v>
          </cell>
          <cell r="L38"/>
          <cell r="M38"/>
          <cell r="N38"/>
          <cell r="O38"/>
          <cell r="P38"/>
          <cell r="Q38">
            <v>3.0000000000000001E-6</v>
          </cell>
          <cell r="R38">
            <v>5.3000000000000003E-10</v>
          </cell>
          <cell r="S38"/>
          <cell r="T38">
            <v>6.3E-7</v>
          </cell>
          <cell r="U38"/>
          <cell r="V38"/>
          <cell r="W38">
            <v>30000</v>
          </cell>
          <cell r="X38">
            <v>0.33333333333333331</v>
          </cell>
          <cell r="Y38">
            <v>0.33333333333333331</v>
          </cell>
          <cell r="Z38">
            <v>0.33333333333333331</v>
          </cell>
          <cell r="AA38"/>
        </row>
        <row r="39">
          <cell r="A39">
            <v>32</v>
          </cell>
          <cell r="B39" t="str">
            <v>dibutyl maleate</v>
          </cell>
          <cell r="C39" t="str">
            <v>105-76-0</v>
          </cell>
          <cell r="D39" t="str">
            <v/>
          </cell>
          <cell r="E39"/>
          <cell r="F39">
            <v>228</v>
          </cell>
          <cell r="G39">
            <v>-53</v>
          </cell>
          <cell r="H39">
            <v>2.3999999999999998E-3</v>
          </cell>
          <cell r="I39">
            <v>350</v>
          </cell>
          <cell r="J39"/>
          <cell r="K39">
            <v>2400</v>
          </cell>
          <cell r="L39"/>
          <cell r="M39"/>
          <cell r="N39"/>
          <cell r="O39"/>
          <cell r="P39"/>
          <cell r="Q39">
            <v>1.5E-5</v>
          </cell>
          <cell r="R39">
            <v>5.3000000000000001E-7</v>
          </cell>
          <cell r="S39"/>
          <cell r="T39">
            <v>3.4000000000000001E-6</v>
          </cell>
          <cell r="U39"/>
          <cell r="V39"/>
          <cell r="W39">
            <v>30000</v>
          </cell>
          <cell r="X39">
            <v>0.33333333333333331</v>
          </cell>
          <cell r="Y39">
            <v>0.33333333333333331</v>
          </cell>
          <cell r="Z39">
            <v>0.33333333333333331</v>
          </cell>
          <cell r="AA39"/>
        </row>
        <row r="40">
          <cell r="A40">
            <v>33</v>
          </cell>
          <cell r="B40" t="str">
            <v>diphenylamine</v>
          </cell>
          <cell r="C40" t="str">
            <v>122-39-4</v>
          </cell>
          <cell r="D40" t="str">
            <v/>
          </cell>
          <cell r="E40"/>
          <cell r="F40">
            <v>169</v>
          </cell>
          <cell r="G40">
            <v>54</v>
          </cell>
          <cell r="H40">
            <v>2.1999999999999999E-2</v>
          </cell>
          <cell r="I40">
            <v>50</v>
          </cell>
          <cell r="J40"/>
          <cell r="K40">
            <v>3200</v>
          </cell>
          <cell r="L40"/>
          <cell r="M40"/>
          <cell r="N40"/>
          <cell r="O40"/>
          <cell r="P40"/>
          <cell r="Q40">
            <v>1.4999999999999999E-4</v>
          </cell>
          <cell r="R40">
            <v>5.3000000000000003E-10</v>
          </cell>
          <cell r="S40"/>
          <cell r="T40">
            <v>2.2999999999999999E-7</v>
          </cell>
          <cell r="U40"/>
          <cell r="V40"/>
          <cell r="W40">
            <v>30000</v>
          </cell>
          <cell r="X40">
            <v>0.33333333333333331</v>
          </cell>
          <cell r="Y40">
            <v>0.33333333333333331</v>
          </cell>
          <cell r="Z40">
            <v>0.33333333333333331</v>
          </cell>
          <cell r="AA40"/>
        </row>
        <row r="41">
          <cell r="A41">
            <v>34</v>
          </cell>
          <cell r="B41" t="str">
            <v>butanone oxime</v>
          </cell>
          <cell r="C41" t="str">
            <v>96-29-7</v>
          </cell>
          <cell r="D41" t="str">
            <v/>
          </cell>
          <cell r="E41"/>
          <cell r="F41">
            <v>87</v>
          </cell>
          <cell r="G41">
            <v>-22</v>
          </cell>
          <cell r="H41">
            <v>350</v>
          </cell>
          <cell r="I41">
            <v>110000</v>
          </cell>
          <cell r="J41"/>
          <cell r="K41">
            <v>4.5</v>
          </cell>
          <cell r="L41"/>
          <cell r="M41"/>
          <cell r="N41"/>
          <cell r="O41"/>
          <cell r="P41"/>
          <cell r="Q41">
            <v>1.1000000000000001E-6</v>
          </cell>
          <cell r="R41">
            <v>5.3000000000000001E-7</v>
          </cell>
          <cell r="S41"/>
          <cell r="T41">
            <v>2.6E-7</v>
          </cell>
          <cell r="U41"/>
          <cell r="V41"/>
          <cell r="W41">
            <v>30000</v>
          </cell>
          <cell r="X41">
            <v>0.33333333333333331</v>
          </cell>
          <cell r="Y41">
            <v>0.33333333333333331</v>
          </cell>
          <cell r="Z41">
            <v>0.33333333333333331</v>
          </cell>
          <cell r="AA41"/>
        </row>
        <row r="42">
          <cell r="A42">
            <v>35</v>
          </cell>
          <cell r="B42" t="str">
            <v>glycerol</v>
          </cell>
          <cell r="C42" t="str">
            <v>56-81-5</v>
          </cell>
          <cell r="D42" t="str">
            <v/>
          </cell>
          <cell r="E42"/>
          <cell r="F42">
            <v>92</v>
          </cell>
          <cell r="G42">
            <v>18</v>
          </cell>
          <cell r="H42">
            <v>1.0999999999999999E-2</v>
          </cell>
          <cell r="I42">
            <v>280000000</v>
          </cell>
          <cell r="J42"/>
          <cell r="K42">
            <v>6.6E-3</v>
          </cell>
          <cell r="L42"/>
          <cell r="M42"/>
          <cell r="N42"/>
          <cell r="O42"/>
          <cell r="P42"/>
          <cell r="Q42">
            <v>1.4E-5</v>
          </cell>
          <cell r="R42">
            <v>5.3000000000000001E-7</v>
          </cell>
          <cell r="S42"/>
          <cell r="T42">
            <v>4.5000000000000001E-6</v>
          </cell>
          <cell r="U42"/>
          <cell r="V42"/>
          <cell r="W42">
            <v>30000</v>
          </cell>
          <cell r="X42">
            <v>0.33333333333333331</v>
          </cell>
          <cell r="Y42">
            <v>0.33333333333333331</v>
          </cell>
          <cell r="Z42">
            <v>0.33333333333333331</v>
          </cell>
          <cell r="AA42"/>
        </row>
        <row r="43">
          <cell r="A43">
            <v>36</v>
          </cell>
          <cell r="B43" t="str">
            <v>amitrole</v>
          </cell>
          <cell r="C43" t="str">
            <v>61-82-5</v>
          </cell>
          <cell r="D43" t="str">
            <v/>
          </cell>
          <cell r="E43"/>
          <cell r="F43">
            <v>297</v>
          </cell>
          <cell r="G43">
            <v>153</v>
          </cell>
          <cell r="H43">
            <v>5.8E-5</v>
          </cell>
          <cell r="I43">
            <v>330000</v>
          </cell>
          <cell r="J43"/>
          <cell r="K43">
            <v>0.11</v>
          </cell>
          <cell r="L43"/>
          <cell r="M43"/>
          <cell r="N43"/>
          <cell r="O43"/>
          <cell r="P43"/>
          <cell r="Q43"/>
          <cell r="R43">
            <v>5.3000000000000003E-10</v>
          </cell>
          <cell r="S43"/>
          <cell r="T43">
            <v>5.7000000000000005E-7</v>
          </cell>
          <cell r="U43"/>
          <cell r="V43"/>
          <cell r="W43">
            <v>30000</v>
          </cell>
          <cell r="X43">
            <v>0.33333333333333331</v>
          </cell>
          <cell r="Y43">
            <v>0.33333333333333331</v>
          </cell>
          <cell r="Z43">
            <v>0.33333333333333331</v>
          </cell>
          <cell r="AA43"/>
        </row>
        <row r="44">
          <cell r="A44">
            <v>37</v>
          </cell>
          <cell r="B44" t="str">
            <v>isobutyl acetate</v>
          </cell>
          <cell r="C44" t="str">
            <v>110-19-0</v>
          </cell>
          <cell r="D44" t="str">
            <v/>
          </cell>
          <cell r="E44"/>
          <cell r="F44">
            <v>116</v>
          </cell>
          <cell r="G44">
            <v>-88</v>
          </cell>
          <cell r="H44">
            <v>1700</v>
          </cell>
          <cell r="I44">
            <v>53000</v>
          </cell>
          <cell r="J44"/>
          <cell r="K44">
            <v>52</v>
          </cell>
          <cell r="L44"/>
          <cell r="M44"/>
          <cell r="N44"/>
          <cell r="O44"/>
          <cell r="P44"/>
          <cell r="Q44">
            <v>3.1E-6</v>
          </cell>
          <cell r="R44">
            <v>5.3000000000000001E-7</v>
          </cell>
          <cell r="S44"/>
          <cell r="T44">
            <v>1.1999999999999999E-6</v>
          </cell>
          <cell r="U44"/>
          <cell r="V44"/>
          <cell r="W44">
            <v>30000</v>
          </cell>
          <cell r="X44">
            <v>0.33333333333333331</v>
          </cell>
          <cell r="Y44">
            <v>0.33333333333333331</v>
          </cell>
          <cell r="Z44">
            <v>0.33333333333333331</v>
          </cell>
          <cell r="AA44"/>
        </row>
        <row r="45">
          <cell r="A45">
            <v>38</v>
          </cell>
          <cell r="B45" t="str">
            <v>3,5,5-trimethylcyclohex-2-enone</v>
          </cell>
          <cell r="C45" t="str">
            <v>78-59-1</v>
          </cell>
          <cell r="D45" t="str">
            <v/>
          </cell>
          <cell r="E45"/>
          <cell r="F45">
            <v>138</v>
          </cell>
          <cell r="G45">
            <v>-8</v>
          </cell>
          <cell r="H45">
            <v>40</v>
          </cell>
          <cell r="I45">
            <v>12000</v>
          </cell>
          <cell r="J45"/>
          <cell r="K45">
            <v>46</v>
          </cell>
          <cell r="L45"/>
          <cell r="M45"/>
          <cell r="N45"/>
          <cell r="O45"/>
          <cell r="P45"/>
          <cell r="Q45">
            <v>1.3999999999999999E-4</v>
          </cell>
          <cell r="R45">
            <v>5.2999999999999998E-8</v>
          </cell>
          <cell r="S45"/>
          <cell r="T45">
            <v>2.3999999999999998E-7</v>
          </cell>
          <cell r="U45"/>
          <cell r="V45"/>
          <cell r="W45">
            <v>30000</v>
          </cell>
          <cell r="X45">
            <v>0.33333333333333331</v>
          </cell>
          <cell r="Y45">
            <v>0.33333333333333331</v>
          </cell>
          <cell r="Z45">
            <v>0.33333333333333331</v>
          </cell>
          <cell r="AA45"/>
        </row>
        <row r="46">
          <cell r="A46">
            <v>39</v>
          </cell>
          <cell r="B46" t="str">
            <v>2-methylpentane-2,4-diol</v>
          </cell>
          <cell r="C46" t="str">
            <v>107-41-5</v>
          </cell>
          <cell r="D46" t="str">
            <v/>
          </cell>
          <cell r="E46"/>
          <cell r="F46">
            <v>118</v>
          </cell>
          <cell r="G46">
            <v>40</v>
          </cell>
          <cell r="H46">
            <v>7</v>
          </cell>
          <cell r="I46">
            <v>4.9000000000000004</v>
          </cell>
          <cell r="J46"/>
          <cell r="K46">
            <v>0.54</v>
          </cell>
          <cell r="L46"/>
          <cell r="M46"/>
          <cell r="N46"/>
          <cell r="O46"/>
          <cell r="P46"/>
          <cell r="Q46"/>
          <cell r="R46">
            <v>5.3000000000000001E-7</v>
          </cell>
          <cell r="S46"/>
          <cell r="T46"/>
          <cell r="U46"/>
          <cell r="V46"/>
          <cell r="W46">
            <v>30000</v>
          </cell>
          <cell r="X46">
            <v>0.33333333333333331</v>
          </cell>
          <cell r="Y46">
            <v>0.33333333333333331</v>
          </cell>
          <cell r="Z46">
            <v>0.33333333333333331</v>
          </cell>
          <cell r="AA46"/>
        </row>
        <row r="47">
          <cell r="A47">
            <v>40</v>
          </cell>
          <cell r="B47" t="str">
            <v>pin-2(3)-ene</v>
          </cell>
          <cell r="C47" t="str">
            <v>80-56-8</v>
          </cell>
          <cell r="D47" t="str">
            <v/>
          </cell>
          <cell r="E47"/>
          <cell r="F47">
            <v>136</v>
          </cell>
          <cell r="G47">
            <v>-55</v>
          </cell>
          <cell r="H47">
            <v>59</v>
          </cell>
          <cell r="I47">
            <v>2.5</v>
          </cell>
          <cell r="J47"/>
          <cell r="K47">
            <v>68000</v>
          </cell>
          <cell r="L47"/>
          <cell r="M47"/>
          <cell r="N47"/>
          <cell r="O47"/>
          <cell r="P47"/>
          <cell r="Q47">
            <v>3.1E-4</v>
          </cell>
          <cell r="R47">
            <v>5.3000000000000003E-10</v>
          </cell>
          <cell r="S47"/>
          <cell r="T47">
            <v>2.1E-7</v>
          </cell>
          <cell r="U47"/>
          <cell r="V47"/>
          <cell r="W47">
            <v>30000</v>
          </cell>
          <cell r="X47">
            <v>0.33333333333333331</v>
          </cell>
          <cell r="Y47">
            <v>0.33333333333333331</v>
          </cell>
          <cell r="Z47">
            <v>0.33333333333333331</v>
          </cell>
          <cell r="AA47"/>
        </row>
        <row r="48">
          <cell r="A48">
            <v>41</v>
          </cell>
          <cell r="B48" t="str">
            <v>benzyl butyl phthalate</v>
          </cell>
          <cell r="C48" t="str">
            <v>85-68-7</v>
          </cell>
          <cell r="D48" t="str">
            <v/>
          </cell>
          <cell r="E48"/>
          <cell r="F48">
            <v>312</v>
          </cell>
          <cell r="G48">
            <v>-35</v>
          </cell>
          <cell r="H48">
            <v>4.1E-5</v>
          </cell>
          <cell r="I48">
            <v>2.7</v>
          </cell>
          <cell r="J48"/>
          <cell r="K48">
            <v>17000</v>
          </cell>
          <cell r="L48"/>
          <cell r="M48"/>
          <cell r="N48"/>
          <cell r="O48"/>
          <cell r="P48"/>
          <cell r="Q48">
            <v>7.3E-7</v>
          </cell>
          <cell r="R48">
            <v>5.3000000000000001E-7</v>
          </cell>
          <cell r="S48"/>
          <cell r="T48">
            <v>4.5000000000000001E-6</v>
          </cell>
          <cell r="U48"/>
          <cell r="V48"/>
          <cell r="W48">
            <v>30000</v>
          </cell>
          <cell r="X48">
            <v>0.33333333333333331</v>
          </cell>
          <cell r="Y48">
            <v>0.33333333333333331</v>
          </cell>
          <cell r="Z48">
            <v>0.33333333333333331</v>
          </cell>
          <cell r="AA48"/>
        </row>
        <row r="49">
          <cell r="A49">
            <v>42</v>
          </cell>
          <cell r="B49" t="str">
            <v>ethylbenzene</v>
          </cell>
          <cell r="C49" t="str">
            <v>100-41-4</v>
          </cell>
          <cell r="D49" t="str">
            <v/>
          </cell>
          <cell r="E49"/>
          <cell r="F49">
            <v>106</v>
          </cell>
          <cell r="G49">
            <v>-95</v>
          </cell>
          <cell r="H49">
            <v>950</v>
          </cell>
          <cell r="I49">
            <v>200</v>
          </cell>
          <cell r="J49"/>
          <cell r="K49">
            <v>1400</v>
          </cell>
          <cell r="L49"/>
          <cell r="M49"/>
          <cell r="N49"/>
          <cell r="O49"/>
          <cell r="P49"/>
          <cell r="Q49">
            <v>2.3E-5</v>
          </cell>
          <cell r="R49">
            <v>5.3000000000000003E-10</v>
          </cell>
          <cell r="S49"/>
          <cell r="T49">
            <v>3.9999999999999998E-7</v>
          </cell>
          <cell r="U49"/>
          <cell r="V49"/>
          <cell r="W49">
            <v>30000</v>
          </cell>
          <cell r="X49">
            <v>0.33333333333333331</v>
          </cell>
          <cell r="Y49">
            <v>0.33333333333333331</v>
          </cell>
          <cell r="Z49">
            <v>0.33333333333333331</v>
          </cell>
          <cell r="AA49"/>
        </row>
        <row r="50">
          <cell r="A50">
            <v>43</v>
          </cell>
          <cell r="B50" t="str">
            <v>hydroquinone</v>
          </cell>
          <cell r="C50" t="str">
            <v>123-31-9</v>
          </cell>
          <cell r="D50" t="str">
            <v/>
          </cell>
          <cell r="E50"/>
          <cell r="F50">
            <v>110</v>
          </cell>
          <cell r="G50">
            <v>171</v>
          </cell>
          <cell r="H50">
            <v>2E-3</v>
          </cell>
          <cell r="I50">
            <v>73000</v>
          </cell>
          <cell r="J50"/>
          <cell r="K50">
            <v>3.5</v>
          </cell>
          <cell r="L50"/>
          <cell r="M50"/>
          <cell r="N50"/>
          <cell r="O50"/>
          <cell r="P50"/>
          <cell r="Q50"/>
          <cell r="R50">
            <v>5.3000000000000001E-7</v>
          </cell>
          <cell r="S50"/>
          <cell r="T50"/>
          <cell r="U50"/>
          <cell r="V50"/>
          <cell r="W50">
            <v>30000</v>
          </cell>
          <cell r="X50">
            <v>0.33333333333333331</v>
          </cell>
          <cell r="Y50">
            <v>0.33333333333333331</v>
          </cell>
          <cell r="Z50">
            <v>0.33333333333333331</v>
          </cell>
          <cell r="AA50"/>
        </row>
        <row r="51">
          <cell r="A51">
            <v>44</v>
          </cell>
          <cell r="B51" t="str">
            <v>3a,4,7,7a-tetrahydro-4,7-methanoindene</v>
          </cell>
          <cell r="C51" t="str">
            <v>77-73-6</v>
          </cell>
          <cell r="D51" t="str">
            <v/>
          </cell>
          <cell r="E51"/>
          <cell r="F51">
            <v>132</v>
          </cell>
          <cell r="G51">
            <v>33</v>
          </cell>
          <cell r="H51">
            <v>190</v>
          </cell>
          <cell r="I51">
            <v>40</v>
          </cell>
          <cell r="J51"/>
          <cell r="K51">
            <v>780</v>
          </cell>
          <cell r="L51"/>
          <cell r="M51"/>
          <cell r="N51"/>
          <cell r="O51"/>
          <cell r="P51"/>
          <cell r="Q51">
            <v>3.6999999999999999E-4</v>
          </cell>
          <cell r="R51">
            <v>5.3000000000000003E-10</v>
          </cell>
          <cell r="S51"/>
          <cell r="T51">
            <v>4.0999999999999999E-7</v>
          </cell>
          <cell r="U51"/>
          <cell r="V51"/>
          <cell r="W51">
            <v>30000</v>
          </cell>
          <cell r="X51">
            <v>0.33333333333333331</v>
          </cell>
          <cell r="Y51">
            <v>0.33333333333333331</v>
          </cell>
          <cell r="Z51">
            <v>0.33333333333333331</v>
          </cell>
          <cell r="AA51"/>
        </row>
        <row r="52">
          <cell r="A52">
            <v>45</v>
          </cell>
          <cell r="B52" t="str">
            <v>4,5-dihydroxy-1,3-bis(hydroxymethyl)imidazolidin-2-one</v>
          </cell>
          <cell r="C52" t="str">
            <v>1854-26-8</v>
          </cell>
          <cell r="D52" t="str">
            <v/>
          </cell>
          <cell r="E52"/>
          <cell r="F52">
            <v>178</v>
          </cell>
          <cell r="G52">
            <v>-33</v>
          </cell>
          <cell r="H52">
            <v>1.5E-6</v>
          </cell>
          <cell r="I52">
            <v>76</v>
          </cell>
          <cell r="J52"/>
          <cell r="K52">
            <v>6.3E-3</v>
          </cell>
          <cell r="L52"/>
          <cell r="M52"/>
          <cell r="N52"/>
          <cell r="O52"/>
          <cell r="P52"/>
          <cell r="Q52">
            <v>5.5000000000000002E-5</v>
          </cell>
          <cell r="R52">
            <v>5.3000000000000003E-10</v>
          </cell>
          <cell r="S52"/>
          <cell r="T52">
            <v>6.7999999999999995E-7</v>
          </cell>
          <cell r="U52"/>
          <cell r="V52"/>
          <cell r="W52">
            <v>30000</v>
          </cell>
          <cell r="X52">
            <v>0.33333333333333331</v>
          </cell>
          <cell r="Y52">
            <v>0.33333333333333331</v>
          </cell>
          <cell r="Z52">
            <v>0.33333333333333331</v>
          </cell>
          <cell r="AA52"/>
        </row>
        <row r="53">
          <cell r="A53">
            <v>46</v>
          </cell>
          <cell r="B53" t="str">
            <v>6,6'-di-tert-butyl-2,2'-methylenedi-p-cresol</v>
          </cell>
          <cell r="C53" t="str">
            <v>119-47-1</v>
          </cell>
          <cell r="D53" t="str">
            <v/>
          </cell>
          <cell r="E53"/>
          <cell r="F53">
            <v>341</v>
          </cell>
          <cell r="G53">
            <v>125</v>
          </cell>
          <cell r="H53">
            <v>4.5E-11</v>
          </cell>
          <cell r="I53">
            <v>10</v>
          </cell>
          <cell r="J53"/>
          <cell r="K53">
            <v>580000</v>
          </cell>
          <cell r="L53"/>
          <cell r="M53"/>
          <cell r="N53"/>
          <cell r="O53"/>
          <cell r="P53"/>
          <cell r="Q53"/>
          <cell r="R53">
            <v>5.3000000000000003E-10</v>
          </cell>
          <cell r="S53"/>
          <cell r="T53"/>
          <cell r="U53"/>
          <cell r="V53"/>
          <cell r="W53">
            <v>30000</v>
          </cell>
          <cell r="X53">
            <v>0.33333333333333331</v>
          </cell>
          <cell r="Y53">
            <v>0.33333333333333331</v>
          </cell>
          <cell r="Z53">
            <v>0.33333333333333331</v>
          </cell>
          <cell r="AA53"/>
        </row>
        <row r="54">
          <cell r="A54">
            <v>47</v>
          </cell>
          <cell r="B54" t="str">
            <v>methyloxirane</v>
          </cell>
          <cell r="C54" t="str">
            <v>75-56-9</v>
          </cell>
          <cell r="D54" t="str">
            <v/>
          </cell>
          <cell r="E54"/>
          <cell r="F54">
            <v>58</v>
          </cell>
          <cell r="G54">
            <v>-110</v>
          </cell>
          <cell r="H54">
            <v>44000</v>
          </cell>
          <cell r="I54">
            <v>400000</v>
          </cell>
          <cell r="J54"/>
          <cell r="K54">
            <v>0.8</v>
          </cell>
          <cell r="L54"/>
          <cell r="M54"/>
          <cell r="N54"/>
          <cell r="O54"/>
          <cell r="P54"/>
          <cell r="Q54">
            <v>5.2E-7</v>
          </cell>
          <cell r="R54">
            <v>5.3000000000000003E-10</v>
          </cell>
          <cell r="S54"/>
          <cell r="T54">
            <v>2.7000000000000001E-7</v>
          </cell>
          <cell r="U54"/>
          <cell r="V54"/>
          <cell r="W54">
            <v>30000</v>
          </cell>
          <cell r="X54">
            <v>0.33333333333333331</v>
          </cell>
          <cell r="Y54">
            <v>0.33333333333333331</v>
          </cell>
          <cell r="Z54">
            <v>0.33333333333333331</v>
          </cell>
          <cell r="AA54"/>
        </row>
        <row r="55">
          <cell r="A55">
            <v>48</v>
          </cell>
          <cell r="B55" t="str">
            <v>1,2,3-trichloropropane</v>
          </cell>
          <cell r="C55" t="str">
            <v>96-18-4</v>
          </cell>
          <cell r="D55" t="str">
            <v/>
          </cell>
          <cell r="E55"/>
          <cell r="F55">
            <v>147</v>
          </cell>
          <cell r="G55">
            <v>-15</v>
          </cell>
          <cell r="H55">
            <v>490</v>
          </cell>
          <cell r="I55">
            <v>2000</v>
          </cell>
          <cell r="J55"/>
          <cell r="K55">
            <v>99</v>
          </cell>
          <cell r="L55"/>
          <cell r="M55"/>
          <cell r="N55"/>
          <cell r="O55"/>
          <cell r="P55"/>
          <cell r="Q55"/>
          <cell r="R55">
            <v>5.3000000000000003E-10</v>
          </cell>
          <cell r="S55"/>
          <cell r="T55"/>
          <cell r="U55"/>
          <cell r="V55"/>
          <cell r="W55">
            <v>30000</v>
          </cell>
          <cell r="X55">
            <v>0.33333333333333331</v>
          </cell>
          <cell r="Y55">
            <v>0.33333333333333331</v>
          </cell>
          <cell r="Z55">
            <v>0.33333333333333331</v>
          </cell>
          <cell r="AA55"/>
        </row>
        <row r="56">
          <cell r="A56">
            <v>49</v>
          </cell>
          <cell r="B56" t="str">
            <v>diisopropyl ether</v>
          </cell>
          <cell r="C56" t="str">
            <v>108-20-3</v>
          </cell>
          <cell r="D56" t="str">
            <v/>
          </cell>
          <cell r="E56"/>
          <cell r="F56">
            <v>102</v>
          </cell>
          <cell r="G56">
            <v>-86</v>
          </cell>
          <cell r="H56">
            <v>16000</v>
          </cell>
          <cell r="I56">
            <v>11000</v>
          </cell>
          <cell r="J56"/>
          <cell r="K56">
            <v>33</v>
          </cell>
          <cell r="L56"/>
          <cell r="M56"/>
          <cell r="N56"/>
          <cell r="O56"/>
          <cell r="P56"/>
          <cell r="Q56">
            <v>2.4000000000000001E-5</v>
          </cell>
          <cell r="R56">
            <v>5.3000000000000003E-10</v>
          </cell>
          <cell r="S56"/>
          <cell r="T56">
            <v>1.1999999999999999E-7</v>
          </cell>
          <cell r="U56"/>
          <cell r="V56"/>
          <cell r="W56">
            <v>30000</v>
          </cell>
          <cell r="X56">
            <v>0.33333333333333331</v>
          </cell>
          <cell r="Y56">
            <v>0.33333333333333331</v>
          </cell>
          <cell r="Z56">
            <v>0.33333333333333331</v>
          </cell>
          <cell r="AA56"/>
        </row>
        <row r="57">
          <cell r="A57">
            <v>50</v>
          </cell>
          <cell r="B57" t="str">
            <v>resorcinol</v>
          </cell>
          <cell r="C57" t="str">
            <v>108-46-3</v>
          </cell>
          <cell r="D57" t="str">
            <v/>
          </cell>
          <cell r="E57"/>
          <cell r="F57">
            <v>110</v>
          </cell>
          <cell r="G57">
            <v>110</v>
          </cell>
          <cell r="H57">
            <v>2.7E-2</v>
          </cell>
          <cell r="I57">
            <v>1400000</v>
          </cell>
          <cell r="J57"/>
          <cell r="K57">
            <v>7.7</v>
          </cell>
          <cell r="L57"/>
          <cell r="M57"/>
          <cell r="N57"/>
          <cell r="O57"/>
          <cell r="P57"/>
          <cell r="Q57">
            <v>5.0000000000000002E-5</v>
          </cell>
          <cell r="R57">
            <v>5.2999999999999998E-8</v>
          </cell>
          <cell r="S57"/>
          <cell r="T57">
            <v>4.5000000000000001E-6</v>
          </cell>
          <cell r="U57"/>
          <cell r="V57"/>
          <cell r="W57">
            <v>30000</v>
          </cell>
          <cell r="X57">
            <v>0.33333333333333331</v>
          </cell>
          <cell r="Y57">
            <v>0.33333333333333331</v>
          </cell>
          <cell r="Z57">
            <v>0.33333333333333331</v>
          </cell>
          <cell r="AA57"/>
        </row>
        <row r="58">
          <cell r="A58">
            <v>51</v>
          </cell>
          <cell r="B58" t="str">
            <v>isobutyric acid</v>
          </cell>
          <cell r="C58" t="str">
            <v>79-31-2</v>
          </cell>
          <cell r="D58" t="str">
            <v/>
          </cell>
          <cell r="E58"/>
          <cell r="F58">
            <v>88</v>
          </cell>
          <cell r="G58">
            <v>-46</v>
          </cell>
          <cell r="H58">
            <v>200</v>
          </cell>
          <cell r="I58">
            <v>210000</v>
          </cell>
          <cell r="J58"/>
          <cell r="K58">
            <v>7.6</v>
          </cell>
          <cell r="L58"/>
          <cell r="M58"/>
          <cell r="N58"/>
          <cell r="O58"/>
          <cell r="P58"/>
          <cell r="Q58">
            <v>2.5000000000000002E-6</v>
          </cell>
          <cell r="R58">
            <v>5.3000000000000003E-10</v>
          </cell>
          <cell r="S58"/>
          <cell r="T58">
            <v>1.1999999999999999E-6</v>
          </cell>
          <cell r="U58"/>
          <cell r="V58"/>
          <cell r="W58">
            <v>30000</v>
          </cell>
          <cell r="X58">
            <v>0.33333333333333331</v>
          </cell>
          <cell r="Y58">
            <v>0.33333333333333331</v>
          </cell>
          <cell r="Z58">
            <v>0.33333333333333331</v>
          </cell>
          <cell r="AA58"/>
        </row>
        <row r="59">
          <cell r="A59">
            <v>52</v>
          </cell>
          <cell r="B59" t="str">
            <v>triethyl orthoformate</v>
          </cell>
          <cell r="C59" t="str">
            <v>122-51-0</v>
          </cell>
          <cell r="D59" t="str">
            <v/>
          </cell>
          <cell r="E59"/>
          <cell r="F59">
            <v>148</v>
          </cell>
          <cell r="G59">
            <v>-61</v>
          </cell>
          <cell r="H59">
            <v>400</v>
          </cell>
          <cell r="I59">
            <v>1300</v>
          </cell>
          <cell r="J59"/>
          <cell r="K59">
            <v>16</v>
          </cell>
          <cell r="L59"/>
          <cell r="M59"/>
          <cell r="N59"/>
          <cell r="O59"/>
          <cell r="P59"/>
          <cell r="Q59"/>
          <cell r="R59">
            <v>5.2999999999999998E-8</v>
          </cell>
          <cell r="S59"/>
          <cell r="T59"/>
          <cell r="U59"/>
          <cell r="V59"/>
          <cell r="W59">
            <v>30000</v>
          </cell>
          <cell r="X59">
            <v>0.33333333333333331</v>
          </cell>
          <cell r="Y59">
            <v>0.33333333333333331</v>
          </cell>
          <cell r="Z59">
            <v>0.33333333333333331</v>
          </cell>
          <cell r="AA59"/>
        </row>
        <row r="60">
          <cell r="A60">
            <v>53</v>
          </cell>
          <cell r="B60" t="str">
            <v>dicyclohexyl phthalate</v>
          </cell>
          <cell r="C60" t="str">
            <v>84-61-7</v>
          </cell>
          <cell r="D60" t="str">
            <v/>
          </cell>
          <cell r="E60"/>
          <cell r="F60">
            <v>330</v>
          </cell>
          <cell r="G60">
            <v>64</v>
          </cell>
          <cell r="H60">
            <v>3.8E-6</v>
          </cell>
          <cell r="I60">
            <v>0.2</v>
          </cell>
          <cell r="J60"/>
          <cell r="K60">
            <v>400000</v>
          </cell>
          <cell r="L60"/>
          <cell r="M60"/>
          <cell r="N60"/>
          <cell r="O60"/>
          <cell r="P60"/>
          <cell r="Q60"/>
          <cell r="R60">
            <v>5.3000000000000003E-10</v>
          </cell>
          <cell r="S60"/>
          <cell r="T60"/>
          <cell r="U60"/>
          <cell r="V60"/>
          <cell r="W60">
            <v>30000</v>
          </cell>
          <cell r="X60">
            <v>0.33333333333333331</v>
          </cell>
          <cell r="Y60">
            <v>0.33333333333333331</v>
          </cell>
          <cell r="Z60">
            <v>0.33333333333333331</v>
          </cell>
          <cell r="AA60"/>
        </row>
        <row r="61">
          <cell r="A61">
            <v>54</v>
          </cell>
          <cell r="B61" t="str">
            <v>2-ethylhexyl acrylate</v>
          </cell>
          <cell r="C61" t="str">
            <v>103-11-7</v>
          </cell>
          <cell r="D61" t="str">
            <v/>
          </cell>
          <cell r="E61"/>
          <cell r="F61">
            <v>184</v>
          </cell>
          <cell r="G61">
            <v>-90</v>
          </cell>
          <cell r="H61">
            <v>10</v>
          </cell>
          <cell r="I61">
            <v>100</v>
          </cell>
          <cell r="J61"/>
          <cell r="K61">
            <v>44000</v>
          </cell>
          <cell r="L61"/>
          <cell r="M61"/>
          <cell r="N61"/>
          <cell r="O61"/>
          <cell r="P61"/>
          <cell r="Q61"/>
          <cell r="R61">
            <v>5.3000000000000003E-10</v>
          </cell>
          <cell r="S61"/>
          <cell r="T61"/>
          <cell r="U61"/>
          <cell r="V61"/>
          <cell r="W61">
            <v>30000</v>
          </cell>
          <cell r="X61">
            <v>0.33333333333333331</v>
          </cell>
          <cell r="Y61">
            <v>0.33333333333333331</v>
          </cell>
          <cell r="Z61">
            <v>0.33333333333333331</v>
          </cell>
          <cell r="AA61"/>
        </row>
        <row r="62">
          <cell r="A62">
            <v>55</v>
          </cell>
          <cell r="B62" t="str">
            <v>2,4-D</v>
          </cell>
          <cell r="C62" t="str">
            <v>94-75-7</v>
          </cell>
          <cell r="D62" t="str">
            <v/>
          </cell>
          <cell r="E62"/>
          <cell r="F62">
            <v>221</v>
          </cell>
          <cell r="G62">
            <v>140</v>
          </cell>
          <cell r="H62">
            <v>1.1E-5</v>
          </cell>
          <cell r="I62">
            <v>310</v>
          </cell>
          <cell r="J62"/>
          <cell r="K62">
            <v>510</v>
          </cell>
          <cell r="L62"/>
          <cell r="M62"/>
          <cell r="N62"/>
          <cell r="O62"/>
          <cell r="P62"/>
          <cell r="Q62"/>
          <cell r="R62">
            <v>5.3000000000000001E-7</v>
          </cell>
          <cell r="S62"/>
          <cell r="T62">
            <v>7.9999999999999996E-7</v>
          </cell>
          <cell r="U62"/>
          <cell r="V62"/>
          <cell r="W62">
            <v>30000</v>
          </cell>
          <cell r="X62">
            <v>0.33333333333333331</v>
          </cell>
          <cell r="Y62">
            <v>0.33333333333333331</v>
          </cell>
          <cell r="Z62">
            <v>0.33333333333333331</v>
          </cell>
          <cell r="AA62"/>
        </row>
        <row r="63">
          <cell r="A63">
            <v>56</v>
          </cell>
          <cell r="B63" t="str">
            <v>diphenyl ether, octabromo derivative</v>
          </cell>
          <cell r="C63" t="str">
            <v>32536-52-0</v>
          </cell>
          <cell r="D63" t="str">
            <v/>
          </cell>
          <cell r="E63"/>
          <cell r="F63">
            <v>801</v>
          </cell>
          <cell r="G63">
            <v>212</v>
          </cell>
          <cell r="H63">
            <v>5.4000000000000001E-11</v>
          </cell>
          <cell r="I63">
            <v>1000</v>
          </cell>
          <cell r="J63"/>
          <cell r="K63">
            <v>100</v>
          </cell>
          <cell r="L63"/>
          <cell r="M63"/>
          <cell r="N63"/>
          <cell r="O63"/>
          <cell r="P63"/>
          <cell r="Q63"/>
          <cell r="R63">
            <v>5.3000000000000003E-10</v>
          </cell>
          <cell r="S63"/>
          <cell r="T63"/>
          <cell r="U63"/>
          <cell r="V63"/>
          <cell r="W63">
            <v>30000</v>
          </cell>
          <cell r="X63">
            <v>0.33333333333333331</v>
          </cell>
          <cell r="Y63">
            <v>0.33333333333333331</v>
          </cell>
          <cell r="Z63">
            <v>0.33333333333333331</v>
          </cell>
          <cell r="AA63"/>
        </row>
        <row r="64">
          <cell r="A64">
            <v>57</v>
          </cell>
          <cell r="B64" t="str">
            <v>aniline</v>
          </cell>
          <cell r="C64" t="str">
            <v>62-53-3</v>
          </cell>
          <cell r="D64" t="str">
            <v/>
          </cell>
          <cell r="E64"/>
          <cell r="F64">
            <v>93</v>
          </cell>
          <cell r="G64">
            <v>-6</v>
          </cell>
          <cell r="H64">
            <v>40</v>
          </cell>
          <cell r="I64">
            <v>36000</v>
          </cell>
          <cell r="J64"/>
          <cell r="K64">
            <v>8</v>
          </cell>
          <cell r="L64"/>
          <cell r="M64"/>
          <cell r="N64"/>
          <cell r="O64"/>
          <cell r="P64"/>
          <cell r="Q64"/>
          <cell r="R64">
            <v>5.3000000000000001E-7</v>
          </cell>
          <cell r="S64"/>
          <cell r="T64"/>
          <cell r="U64"/>
          <cell r="V64"/>
          <cell r="W64">
            <v>30000</v>
          </cell>
          <cell r="X64">
            <v>0.33333333333333331</v>
          </cell>
          <cell r="Y64">
            <v>0.33333333333333331</v>
          </cell>
          <cell r="Z64">
            <v>0.33333333333333331</v>
          </cell>
          <cell r="AA64"/>
        </row>
        <row r="65">
          <cell r="A65">
            <v>58</v>
          </cell>
          <cell r="B65" t="str">
            <v>N-ethylaniline</v>
          </cell>
          <cell r="C65" t="str">
            <v>103-69-5</v>
          </cell>
          <cell r="D65" t="str">
            <v/>
          </cell>
          <cell r="E65"/>
          <cell r="F65">
            <v>121</v>
          </cell>
          <cell r="G65"/>
          <cell r="H65">
            <v>1.4</v>
          </cell>
          <cell r="I65">
            <v>1600</v>
          </cell>
          <cell r="J65"/>
          <cell r="K65">
            <v>150</v>
          </cell>
          <cell r="L65"/>
          <cell r="M65"/>
          <cell r="N65"/>
          <cell r="O65"/>
          <cell r="P65"/>
          <cell r="Q65"/>
          <cell r="R65">
            <v>5.3000000000000003E-10</v>
          </cell>
          <cell r="S65"/>
          <cell r="T65"/>
          <cell r="U65"/>
          <cell r="V65"/>
          <cell r="W65">
            <v>30000</v>
          </cell>
          <cell r="X65">
            <v>0.33333333333333331</v>
          </cell>
          <cell r="Y65">
            <v>0.33333333333333331</v>
          </cell>
          <cell r="Z65">
            <v>0.33333333333333331</v>
          </cell>
          <cell r="AA65"/>
        </row>
        <row r="66">
          <cell r="A66">
            <v>59</v>
          </cell>
          <cell r="B66" t="str">
            <v>diuron</v>
          </cell>
          <cell r="C66" t="str">
            <v>330-54-1</v>
          </cell>
          <cell r="D66" t="str">
            <v/>
          </cell>
          <cell r="E66"/>
          <cell r="F66">
            <v>233</v>
          </cell>
          <cell r="G66">
            <v>157</v>
          </cell>
          <cell r="H66">
            <v>2.2999999999999999E-7</v>
          </cell>
          <cell r="I66">
            <v>35</v>
          </cell>
          <cell r="J66"/>
          <cell r="K66">
            <v>660</v>
          </cell>
          <cell r="L66"/>
          <cell r="M66"/>
          <cell r="N66"/>
          <cell r="O66"/>
          <cell r="P66"/>
          <cell r="Q66">
            <v>8.1999999999999994E-6</v>
          </cell>
          <cell r="R66">
            <v>5.3000000000000003E-10</v>
          </cell>
          <cell r="S66"/>
          <cell r="T66">
            <v>1.1999999999999999E-7</v>
          </cell>
          <cell r="U66"/>
          <cell r="V66"/>
          <cell r="W66">
            <v>30000</v>
          </cell>
          <cell r="X66">
            <v>0.33333333333333331</v>
          </cell>
          <cell r="Y66">
            <v>0.33333333333333331</v>
          </cell>
          <cell r="Z66">
            <v>0.33333333333333331</v>
          </cell>
          <cell r="AA66"/>
        </row>
        <row r="67">
          <cell r="A67">
            <v>60</v>
          </cell>
          <cell r="B67" t="str">
            <v>2-[(p-aminophenyl)sulphonyl]ethyl hydrogensulphate</v>
          </cell>
          <cell r="C67" t="str">
            <v>2494-89-5</v>
          </cell>
          <cell r="D67" t="str">
            <v/>
          </cell>
          <cell r="E67"/>
          <cell r="F67">
            <v>281</v>
          </cell>
          <cell r="G67">
            <v>277</v>
          </cell>
          <cell r="H67">
            <v>1.2000000000000001E-11</v>
          </cell>
          <cell r="I67">
            <v>3500</v>
          </cell>
          <cell r="J67"/>
          <cell r="K67">
            <v>0.54</v>
          </cell>
          <cell r="L67"/>
          <cell r="M67"/>
          <cell r="N67"/>
          <cell r="O67"/>
          <cell r="P67"/>
          <cell r="Q67"/>
          <cell r="R67">
            <v>5.3000000000000003E-10</v>
          </cell>
          <cell r="S67"/>
          <cell r="T67"/>
          <cell r="U67"/>
          <cell r="V67"/>
          <cell r="W67">
            <v>30000</v>
          </cell>
          <cell r="X67">
            <v>0.33333333333333331</v>
          </cell>
          <cell r="Y67">
            <v>0.33333333333333331</v>
          </cell>
          <cell r="Z67">
            <v>0.33333333333333331</v>
          </cell>
          <cell r="AA67"/>
        </row>
        <row r="68">
          <cell r="A68">
            <v>61</v>
          </cell>
          <cell r="B68" t="str">
            <v>1,4-dimethoxybenzene</v>
          </cell>
          <cell r="C68" t="str">
            <v>150-78-7</v>
          </cell>
          <cell r="D68" t="str">
            <v/>
          </cell>
          <cell r="E68"/>
          <cell r="F68">
            <v>138</v>
          </cell>
          <cell r="G68">
            <v>55</v>
          </cell>
          <cell r="H68">
            <v>1.1000000000000001</v>
          </cell>
          <cell r="I68">
            <v>830</v>
          </cell>
          <cell r="J68"/>
          <cell r="K68">
            <v>110</v>
          </cell>
          <cell r="L68"/>
          <cell r="M68"/>
          <cell r="N68"/>
          <cell r="O68"/>
          <cell r="P68"/>
          <cell r="Q68"/>
          <cell r="R68">
            <v>5.3000000000000003E-10</v>
          </cell>
          <cell r="S68"/>
          <cell r="T68"/>
          <cell r="U68"/>
          <cell r="V68"/>
          <cell r="W68">
            <v>30000</v>
          </cell>
          <cell r="X68">
            <v>0.33333333333333331</v>
          </cell>
          <cell r="Y68">
            <v>0.33333333333333331</v>
          </cell>
          <cell r="Z68">
            <v>0.33333333333333331</v>
          </cell>
          <cell r="AA68"/>
        </row>
        <row r="69">
          <cell r="A69">
            <v>62</v>
          </cell>
          <cell r="B69" t="str">
            <v>tetrachloroethylene</v>
          </cell>
          <cell r="C69" t="str">
            <v>127-18-4</v>
          </cell>
          <cell r="D69" t="str">
            <v/>
          </cell>
          <cell r="E69"/>
          <cell r="F69">
            <v>166</v>
          </cell>
          <cell r="G69">
            <v>-21</v>
          </cell>
          <cell r="H69">
            <v>1800</v>
          </cell>
          <cell r="I69">
            <v>160</v>
          </cell>
          <cell r="J69"/>
          <cell r="K69">
            <v>920</v>
          </cell>
          <cell r="L69"/>
          <cell r="M69"/>
          <cell r="N69"/>
          <cell r="O69"/>
          <cell r="P69"/>
          <cell r="Q69">
            <v>2.3999999999999998E-7</v>
          </cell>
          <cell r="R69">
            <v>5.3000000000000003E-10</v>
          </cell>
          <cell r="S69"/>
          <cell r="T69">
            <v>4.1000000000000003E-8</v>
          </cell>
          <cell r="U69"/>
          <cell r="V69"/>
          <cell r="W69">
            <v>30000</v>
          </cell>
          <cell r="X69">
            <v>0.33333333333333331</v>
          </cell>
          <cell r="Y69">
            <v>0.33333333333333331</v>
          </cell>
          <cell r="Z69">
            <v>0.33333333333333331</v>
          </cell>
          <cell r="AA69"/>
        </row>
        <row r="70">
          <cell r="A70">
            <v>63</v>
          </cell>
          <cell r="B70" t="str">
            <v>isobutyraldehyde</v>
          </cell>
          <cell r="C70" t="str">
            <v>78-84-2</v>
          </cell>
          <cell r="D70" t="str">
            <v/>
          </cell>
          <cell r="E70"/>
          <cell r="F70">
            <v>72</v>
          </cell>
          <cell r="G70">
            <v>-59</v>
          </cell>
          <cell r="H70">
            <v>19000</v>
          </cell>
          <cell r="I70">
            <v>75000</v>
          </cell>
          <cell r="J70"/>
          <cell r="K70">
            <v>5.9</v>
          </cell>
          <cell r="L70"/>
          <cell r="M70"/>
          <cell r="N70"/>
          <cell r="O70"/>
          <cell r="P70"/>
          <cell r="Q70">
            <v>2.0000000000000002E-5</v>
          </cell>
          <cell r="R70">
            <v>5.3000000000000003E-10</v>
          </cell>
          <cell r="S70"/>
          <cell r="T70">
            <v>1.3999999999999999E-6</v>
          </cell>
          <cell r="U70"/>
          <cell r="V70"/>
          <cell r="W70">
            <v>30000</v>
          </cell>
          <cell r="X70">
            <v>0.33333333333333331</v>
          </cell>
          <cell r="Y70">
            <v>0.33333333333333331</v>
          </cell>
          <cell r="Z70">
            <v>0.33333333333333331</v>
          </cell>
          <cell r="AA70"/>
        </row>
        <row r="71">
          <cell r="A71">
            <v>64</v>
          </cell>
          <cell r="B71" t="str">
            <v>2,2'-iminodi(ethylamine)</v>
          </cell>
          <cell r="C71" t="str">
            <v>111-40-0</v>
          </cell>
          <cell r="D71" t="str">
            <v/>
          </cell>
          <cell r="E71"/>
          <cell r="F71">
            <v>103</v>
          </cell>
          <cell r="G71">
            <v>-39</v>
          </cell>
          <cell r="H71">
            <v>7.4</v>
          </cell>
          <cell r="I71">
            <v>26</v>
          </cell>
          <cell r="J71"/>
          <cell r="K71">
            <v>0.05</v>
          </cell>
          <cell r="L71"/>
          <cell r="M71"/>
          <cell r="N71"/>
          <cell r="O71"/>
          <cell r="P71"/>
          <cell r="Q71"/>
          <cell r="R71">
            <v>5.3000000000000003E-10</v>
          </cell>
          <cell r="S71"/>
          <cell r="T71"/>
          <cell r="U71"/>
          <cell r="V71"/>
          <cell r="W71">
            <v>30000</v>
          </cell>
          <cell r="X71">
            <v>0.33333333333333331</v>
          </cell>
          <cell r="Y71">
            <v>0.33333333333333331</v>
          </cell>
          <cell r="Z71">
            <v>0.33333333333333331</v>
          </cell>
          <cell r="AA71"/>
        </row>
        <row r="72">
          <cell r="A72">
            <v>65</v>
          </cell>
          <cell r="B72" t="str">
            <v>trichloroethylene</v>
          </cell>
          <cell r="C72">
            <v>28861</v>
          </cell>
          <cell r="D72" t="str">
            <v/>
          </cell>
          <cell r="E72"/>
          <cell r="F72">
            <v>132</v>
          </cell>
          <cell r="G72">
            <v>-81</v>
          </cell>
          <cell r="H72">
            <v>7700</v>
          </cell>
          <cell r="I72">
            <v>1100</v>
          </cell>
          <cell r="J72"/>
          <cell r="K72">
            <v>200</v>
          </cell>
          <cell r="L72"/>
          <cell r="M72"/>
          <cell r="N72"/>
          <cell r="O72"/>
          <cell r="P72"/>
          <cell r="Q72">
            <v>4.8999999999999997E-6</v>
          </cell>
          <cell r="R72">
            <v>5.3000000000000003E-10</v>
          </cell>
          <cell r="S72"/>
          <cell r="T72">
            <v>2.8000000000000002E-7</v>
          </cell>
          <cell r="U72"/>
          <cell r="V72"/>
          <cell r="W72">
            <v>30000</v>
          </cell>
          <cell r="X72">
            <v>0.33333333333333331</v>
          </cell>
          <cell r="Y72">
            <v>0.33333333333333331</v>
          </cell>
          <cell r="Z72">
            <v>0.33333333333333331</v>
          </cell>
          <cell r="AA72"/>
        </row>
        <row r="73">
          <cell r="A73">
            <v>66</v>
          </cell>
          <cell r="B73" t="str">
            <v>4-nitrophenol</v>
          </cell>
          <cell r="C73" t="str">
            <v>100-02-7</v>
          </cell>
          <cell r="D73" t="str">
            <v/>
          </cell>
          <cell r="E73"/>
          <cell r="F73">
            <v>139</v>
          </cell>
          <cell r="G73">
            <v>113</v>
          </cell>
          <cell r="H73">
            <v>5.4000000000000003E-3</v>
          </cell>
          <cell r="I73">
            <v>15000</v>
          </cell>
          <cell r="J73"/>
          <cell r="K73">
            <v>89</v>
          </cell>
          <cell r="L73"/>
          <cell r="M73"/>
          <cell r="N73"/>
          <cell r="O73"/>
          <cell r="P73"/>
          <cell r="Q73"/>
          <cell r="R73">
            <v>5.3000000000000003E-10</v>
          </cell>
          <cell r="S73"/>
          <cell r="T73"/>
          <cell r="U73"/>
          <cell r="V73"/>
          <cell r="W73">
            <v>30000</v>
          </cell>
          <cell r="X73">
            <v>0.33333333333333331</v>
          </cell>
          <cell r="Y73">
            <v>0.33333333333333331</v>
          </cell>
          <cell r="Z73">
            <v>0.33333333333333331</v>
          </cell>
          <cell r="AA73"/>
        </row>
        <row r="74">
          <cell r="A74">
            <v>67</v>
          </cell>
          <cell r="B74" t="str">
            <v>1-aminoanthraquinone</v>
          </cell>
          <cell r="C74" t="str">
            <v>82-45-1</v>
          </cell>
          <cell r="D74" t="str">
            <v/>
          </cell>
          <cell r="E74"/>
          <cell r="F74">
            <v>223</v>
          </cell>
          <cell r="G74">
            <v>260</v>
          </cell>
          <cell r="H74">
            <v>9.9999999999999995E-8</v>
          </cell>
          <cell r="I74">
            <v>20</v>
          </cell>
          <cell r="J74"/>
          <cell r="K74">
            <v>160</v>
          </cell>
          <cell r="L74"/>
          <cell r="M74"/>
          <cell r="N74"/>
          <cell r="O74"/>
          <cell r="P74"/>
          <cell r="Q74"/>
          <cell r="R74">
            <v>5.3000000000000003E-10</v>
          </cell>
          <cell r="S74"/>
          <cell r="T74"/>
          <cell r="U74"/>
          <cell r="V74"/>
          <cell r="W74">
            <v>30000</v>
          </cell>
          <cell r="X74">
            <v>0.33333333333333331</v>
          </cell>
          <cell r="Y74">
            <v>0.33333333333333331</v>
          </cell>
          <cell r="Z74">
            <v>0.33333333333333331</v>
          </cell>
          <cell r="AA74"/>
        </row>
        <row r="75">
          <cell r="A75">
            <v>68</v>
          </cell>
          <cell r="B75" t="str">
            <v>triphenyl phosphate</v>
          </cell>
          <cell r="C75" t="str">
            <v>115-86-6</v>
          </cell>
          <cell r="D75" t="str">
            <v/>
          </cell>
          <cell r="E75"/>
          <cell r="F75">
            <v>326</v>
          </cell>
          <cell r="G75">
            <v>50</v>
          </cell>
          <cell r="H75">
            <v>1.4999999999999999E-4</v>
          </cell>
          <cell r="I75">
            <v>0.75</v>
          </cell>
          <cell r="J75"/>
          <cell r="K75">
            <v>43000</v>
          </cell>
          <cell r="L75"/>
          <cell r="M75"/>
          <cell r="N75"/>
          <cell r="O75"/>
          <cell r="P75"/>
          <cell r="Q75"/>
          <cell r="R75">
            <v>5.2999999999999998E-8</v>
          </cell>
          <cell r="S75"/>
          <cell r="T75"/>
          <cell r="U75"/>
          <cell r="V75"/>
          <cell r="W75">
            <v>30000</v>
          </cell>
          <cell r="X75">
            <v>0.33333333333333331</v>
          </cell>
          <cell r="Y75">
            <v>0.33333333333333331</v>
          </cell>
          <cell r="Z75">
            <v>0.33333333333333331</v>
          </cell>
          <cell r="AA75"/>
        </row>
        <row r="76">
          <cell r="A76">
            <v>69</v>
          </cell>
          <cell r="B76" t="str">
            <v>nonylphenol</v>
          </cell>
          <cell r="C76" t="str">
            <v>25154-52-3</v>
          </cell>
          <cell r="D76" t="str">
            <v/>
          </cell>
          <cell r="E76"/>
          <cell r="F76">
            <v>220</v>
          </cell>
          <cell r="G76">
            <v>6</v>
          </cell>
          <cell r="H76">
            <v>4.5999999999999999E-3</v>
          </cell>
          <cell r="I76">
            <v>11</v>
          </cell>
          <cell r="J76"/>
          <cell r="K76">
            <v>1900</v>
          </cell>
          <cell r="L76"/>
          <cell r="M76"/>
          <cell r="N76"/>
          <cell r="O76"/>
          <cell r="P76"/>
          <cell r="Q76">
            <v>3.1999999999999999E-5</v>
          </cell>
          <cell r="R76">
            <v>5.3000000000000003E-10</v>
          </cell>
          <cell r="S76"/>
          <cell r="T76">
            <v>4.0000000000000001E-8</v>
          </cell>
          <cell r="U76"/>
          <cell r="V76"/>
          <cell r="W76">
            <v>30000</v>
          </cell>
          <cell r="X76">
            <v>0.33333333333333331</v>
          </cell>
          <cell r="Y76">
            <v>0.33333333333333331</v>
          </cell>
          <cell r="Z76">
            <v>0.33333333333333331</v>
          </cell>
          <cell r="AA76"/>
        </row>
        <row r="77">
          <cell r="A77">
            <v>70</v>
          </cell>
          <cell r="B77" t="str">
            <v>1,2,3,6-tetrahydrophthalic anhydride</v>
          </cell>
          <cell r="C77" t="str">
            <v>85-43-8</v>
          </cell>
          <cell r="D77" t="str">
            <v/>
          </cell>
          <cell r="E77"/>
          <cell r="F77">
            <v>152</v>
          </cell>
          <cell r="G77">
            <v>100</v>
          </cell>
          <cell r="H77">
            <v>0.03</v>
          </cell>
          <cell r="I77">
            <v>10000</v>
          </cell>
          <cell r="J77"/>
          <cell r="K77">
            <v>1</v>
          </cell>
          <cell r="L77"/>
          <cell r="M77"/>
          <cell r="N77"/>
          <cell r="O77"/>
          <cell r="P77"/>
          <cell r="Q77"/>
          <cell r="R77">
            <v>5.3000000000000003E-10</v>
          </cell>
          <cell r="S77"/>
          <cell r="T77"/>
          <cell r="U77"/>
          <cell r="V77"/>
          <cell r="W77">
            <v>30000</v>
          </cell>
          <cell r="X77">
            <v>0.33333333333333331</v>
          </cell>
          <cell r="Y77">
            <v>0.33333333333333331</v>
          </cell>
          <cell r="Z77">
            <v>0.33333333333333331</v>
          </cell>
          <cell r="AA77"/>
        </row>
        <row r="78">
          <cell r="A78">
            <v>71</v>
          </cell>
          <cell r="B78" t="str">
            <v>3-aminopropyldimethylamine</v>
          </cell>
          <cell r="C78" t="str">
            <v>109-55-7</v>
          </cell>
          <cell r="D78" t="str">
            <v/>
          </cell>
          <cell r="E78"/>
          <cell r="F78">
            <v>102</v>
          </cell>
          <cell r="G78">
            <v>-60</v>
          </cell>
          <cell r="H78">
            <v>1000</v>
          </cell>
          <cell r="I78">
            <v>11</v>
          </cell>
          <cell r="J78"/>
          <cell r="K78">
            <v>0.44</v>
          </cell>
          <cell r="L78"/>
          <cell r="M78"/>
          <cell r="N78"/>
          <cell r="O78"/>
          <cell r="P78"/>
          <cell r="Q78"/>
          <cell r="R78">
            <v>5.2999999999999998E-8</v>
          </cell>
          <cell r="S78"/>
          <cell r="T78"/>
          <cell r="U78"/>
          <cell r="V78"/>
          <cell r="W78">
            <v>30000</v>
          </cell>
          <cell r="X78">
            <v>0.33333333333333331</v>
          </cell>
          <cell r="Y78">
            <v>0.33333333333333331</v>
          </cell>
          <cell r="Z78">
            <v>0.33333333333333331</v>
          </cell>
          <cell r="AA78"/>
        </row>
        <row r="79">
          <cell r="A79">
            <v>72</v>
          </cell>
          <cell r="B79" t="str">
            <v>1,4-dichlorobenzene</v>
          </cell>
          <cell r="C79" t="str">
            <v>106-46-7</v>
          </cell>
          <cell r="D79" t="str">
            <v/>
          </cell>
          <cell r="E79"/>
          <cell r="F79">
            <v>147</v>
          </cell>
          <cell r="G79">
            <v>54</v>
          </cell>
          <cell r="H79">
            <v>230</v>
          </cell>
          <cell r="I79">
            <v>60</v>
          </cell>
          <cell r="J79"/>
          <cell r="K79">
            <v>3700</v>
          </cell>
          <cell r="L79"/>
          <cell r="M79"/>
          <cell r="N79"/>
          <cell r="O79"/>
          <cell r="P79"/>
          <cell r="Q79">
            <v>5.2E-7</v>
          </cell>
          <cell r="R79">
            <v>5.3000000000000003E-10</v>
          </cell>
          <cell r="S79"/>
          <cell r="T79">
            <v>9.6999999999999995E-8</v>
          </cell>
          <cell r="U79"/>
          <cell r="V79"/>
          <cell r="W79">
            <v>30000</v>
          </cell>
          <cell r="X79">
            <v>0.33333333333333331</v>
          </cell>
          <cell r="Y79">
            <v>0.33333333333333331</v>
          </cell>
          <cell r="Z79">
            <v>0.33333333333333331</v>
          </cell>
          <cell r="AA79"/>
        </row>
        <row r="80">
          <cell r="A80">
            <v>73</v>
          </cell>
          <cell r="B80" t="str">
            <v>2-dimethylaminoethyl methacrylate</v>
          </cell>
          <cell r="C80" t="str">
            <v>2867-47-2</v>
          </cell>
          <cell r="D80" t="str">
            <v/>
          </cell>
          <cell r="E80"/>
          <cell r="F80">
            <v>157</v>
          </cell>
          <cell r="G80">
            <v>-40</v>
          </cell>
          <cell r="H80">
            <v>1</v>
          </cell>
          <cell r="I80">
            <v>500000</v>
          </cell>
          <cell r="J80"/>
          <cell r="K80">
            <v>2.8</v>
          </cell>
          <cell r="L80"/>
          <cell r="M80"/>
          <cell r="N80"/>
          <cell r="O80"/>
          <cell r="P80"/>
          <cell r="Q80"/>
          <cell r="R80">
            <v>5.3000000000000001E-7</v>
          </cell>
          <cell r="S80"/>
          <cell r="T80"/>
          <cell r="U80"/>
          <cell r="V80"/>
          <cell r="W80">
            <v>30000</v>
          </cell>
          <cell r="X80">
            <v>0.33333333333333331</v>
          </cell>
          <cell r="Y80">
            <v>0.33333333333333331</v>
          </cell>
          <cell r="Z80">
            <v>0.33333333333333331</v>
          </cell>
          <cell r="AA80"/>
        </row>
        <row r="81">
          <cell r="A81">
            <v>74</v>
          </cell>
          <cell r="B81" t="str">
            <v>bis(2-ethylhexyl) adipate</v>
          </cell>
          <cell r="C81" t="str">
            <v>103-23-1</v>
          </cell>
          <cell r="D81" t="str">
            <v/>
          </cell>
          <cell r="E81"/>
          <cell r="F81">
            <v>371</v>
          </cell>
          <cell r="G81">
            <v>-76</v>
          </cell>
          <cell r="H81">
            <v>1E-8</v>
          </cell>
          <cell r="I81">
            <v>0.5</v>
          </cell>
          <cell r="J81"/>
          <cell r="K81">
            <v>130000000</v>
          </cell>
          <cell r="L81"/>
          <cell r="M81"/>
          <cell r="N81"/>
          <cell r="O81"/>
          <cell r="P81"/>
          <cell r="Q81">
            <v>1.4E-5</v>
          </cell>
          <cell r="R81">
            <v>5.3000000000000001E-7</v>
          </cell>
          <cell r="S81"/>
          <cell r="T81">
            <v>8.8999999999999995E-6</v>
          </cell>
          <cell r="U81"/>
          <cell r="V81"/>
          <cell r="W81">
            <v>30000</v>
          </cell>
          <cell r="X81">
            <v>0.33333333333333331</v>
          </cell>
          <cell r="Y81">
            <v>0.33333333333333331</v>
          </cell>
          <cell r="Z81">
            <v>0.33333333333333331</v>
          </cell>
          <cell r="AA81"/>
        </row>
        <row r="82">
          <cell r="A82">
            <v>75</v>
          </cell>
          <cell r="B82" t="str">
            <v>1,2,4-triazole</v>
          </cell>
          <cell r="C82" t="str">
            <v>288-88-0</v>
          </cell>
          <cell r="D82" t="str">
            <v/>
          </cell>
          <cell r="E82"/>
          <cell r="F82">
            <v>69</v>
          </cell>
          <cell r="G82">
            <v>120</v>
          </cell>
          <cell r="H82">
            <v>0.22</v>
          </cell>
          <cell r="I82">
            <v>1200000</v>
          </cell>
          <cell r="J82"/>
          <cell r="K82">
            <v>0.26</v>
          </cell>
          <cell r="L82"/>
          <cell r="M82"/>
          <cell r="N82"/>
          <cell r="O82"/>
          <cell r="P82"/>
          <cell r="Q82"/>
          <cell r="R82">
            <v>5.3000000000000003E-10</v>
          </cell>
          <cell r="S82"/>
          <cell r="T82"/>
          <cell r="U82"/>
          <cell r="V82"/>
          <cell r="W82">
            <v>30000</v>
          </cell>
          <cell r="X82">
            <v>0.33333333333333331</v>
          </cell>
          <cell r="Y82">
            <v>0.33333333333333331</v>
          </cell>
          <cell r="Z82">
            <v>0.33333333333333331</v>
          </cell>
          <cell r="AA82"/>
        </row>
        <row r="83">
          <cell r="A83">
            <v>76</v>
          </cell>
          <cell r="B83" t="str">
            <v>cyclohexyldimethylamine</v>
          </cell>
          <cell r="C83" t="str">
            <v>98-94-2</v>
          </cell>
          <cell r="D83" t="str">
            <v/>
          </cell>
          <cell r="E83"/>
          <cell r="F83">
            <v>127</v>
          </cell>
          <cell r="G83">
            <v>-60</v>
          </cell>
          <cell r="H83">
            <v>360</v>
          </cell>
          <cell r="I83">
            <v>20000</v>
          </cell>
          <cell r="J83"/>
          <cell r="K83">
            <v>100</v>
          </cell>
          <cell r="L83"/>
          <cell r="M83"/>
          <cell r="N83"/>
          <cell r="O83"/>
          <cell r="P83"/>
          <cell r="Q83">
            <v>7.7000000000000001E-5</v>
          </cell>
          <cell r="R83">
            <v>5.3000000000000003E-10</v>
          </cell>
          <cell r="S83"/>
          <cell r="T83">
            <v>1.8E-7</v>
          </cell>
          <cell r="U83"/>
          <cell r="V83"/>
          <cell r="W83">
            <v>30000</v>
          </cell>
          <cell r="X83">
            <v>0.33333333333333331</v>
          </cell>
          <cell r="Y83">
            <v>0.33333333333333331</v>
          </cell>
          <cell r="Z83">
            <v>0.33333333333333331</v>
          </cell>
          <cell r="AA83"/>
        </row>
        <row r="84">
          <cell r="A84">
            <v>77</v>
          </cell>
          <cell r="B84" t="str">
            <v>2-(2-aminoethylamino)ethanol</v>
          </cell>
          <cell r="C84" t="str">
            <v>111-41-1</v>
          </cell>
          <cell r="D84" t="str">
            <v/>
          </cell>
          <cell r="E84"/>
          <cell r="F84">
            <v>104</v>
          </cell>
          <cell r="G84">
            <v>-18</v>
          </cell>
          <cell r="H84">
            <v>2.6</v>
          </cell>
          <cell r="I84">
            <v>33</v>
          </cell>
          <cell r="J84"/>
          <cell r="K84">
            <v>4.2999999999999997E-2</v>
          </cell>
          <cell r="L84"/>
          <cell r="M84"/>
          <cell r="N84"/>
          <cell r="O84"/>
          <cell r="P84"/>
          <cell r="Q84"/>
          <cell r="R84">
            <v>5.3000000000000003E-10</v>
          </cell>
          <cell r="S84"/>
          <cell r="T84"/>
          <cell r="U84"/>
          <cell r="V84"/>
          <cell r="W84">
            <v>30000</v>
          </cell>
          <cell r="X84">
            <v>0.33333333333333331</v>
          </cell>
          <cell r="Y84">
            <v>0.33333333333333331</v>
          </cell>
          <cell r="Z84">
            <v>0.33333333333333331</v>
          </cell>
          <cell r="AA84"/>
        </row>
        <row r="85">
          <cell r="A85">
            <v>78</v>
          </cell>
          <cell r="B85" t="str">
            <v>edetic acid</v>
          </cell>
          <cell r="C85" t="str">
            <v>60-00-4</v>
          </cell>
          <cell r="D85" t="str">
            <v/>
          </cell>
          <cell r="E85"/>
          <cell r="F85">
            <v>292</v>
          </cell>
          <cell r="G85">
            <v>220</v>
          </cell>
          <cell r="H85">
            <v>2.4E-8</v>
          </cell>
          <cell r="I85">
            <v>500</v>
          </cell>
          <cell r="J85"/>
          <cell r="K85">
            <v>6.7000000000000002E-5</v>
          </cell>
          <cell r="L85"/>
          <cell r="M85"/>
          <cell r="N85"/>
          <cell r="O85"/>
          <cell r="P85"/>
          <cell r="Q85"/>
          <cell r="R85">
            <v>5.3000000000000003E-10</v>
          </cell>
          <cell r="S85"/>
          <cell r="T85"/>
          <cell r="U85"/>
          <cell r="V85"/>
          <cell r="W85">
            <v>30000</v>
          </cell>
          <cell r="X85">
            <v>0.33333333333333331</v>
          </cell>
          <cell r="Y85">
            <v>0.33333333333333331</v>
          </cell>
          <cell r="Z85">
            <v>0.33333333333333331</v>
          </cell>
          <cell r="AA85"/>
        </row>
        <row r="86">
          <cell r="A86">
            <v>79</v>
          </cell>
          <cell r="B86" t="str">
            <v>2-hydroxyethyl methacrylate</v>
          </cell>
          <cell r="C86" t="str">
            <v>868-77-9</v>
          </cell>
          <cell r="D86" t="str">
            <v/>
          </cell>
          <cell r="E86"/>
          <cell r="F86">
            <v>130</v>
          </cell>
          <cell r="G86">
            <v>-36</v>
          </cell>
          <cell r="H86">
            <v>10</v>
          </cell>
          <cell r="I86">
            <v>0.39</v>
          </cell>
          <cell r="J86"/>
          <cell r="K86">
            <v>1.7E+23</v>
          </cell>
          <cell r="L86"/>
          <cell r="M86"/>
          <cell r="N86"/>
          <cell r="O86"/>
          <cell r="P86"/>
          <cell r="Q86"/>
          <cell r="R86">
            <v>5.3000000000000001E-7</v>
          </cell>
          <cell r="S86"/>
          <cell r="T86"/>
          <cell r="U86"/>
          <cell r="V86"/>
          <cell r="W86">
            <v>30000</v>
          </cell>
          <cell r="X86">
            <v>0.33333333333333331</v>
          </cell>
          <cell r="Y86">
            <v>0.33333333333333331</v>
          </cell>
          <cell r="Z86">
            <v>0.33333333333333331</v>
          </cell>
          <cell r="AA86"/>
        </row>
        <row r="87">
          <cell r="A87">
            <v>80</v>
          </cell>
          <cell r="B87" t="str">
            <v>adiponitrile</v>
          </cell>
          <cell r="C87" t="str">
            <v>111-69-3</v>
          </cell>
          <cell r="D87" t="str">
            <v/>
          </cell>
          <cell r="E87"/>
          <cell r="F87">
            <v>108</v>
          </cell>
          <cell r="G87">
            <v>1</v>
          </cell>
          <cell r="H87">
            <v>0.33</v>
          </cell>
          <cell r="I87">
            <v>83000</v>
          </cell>
          <cell r="J87"/>
          <cell r="K87">
            <v>0.48</v>
          </cell>
          <cell r="L87"/>
          <cell r="M87"/>
          <cell r="N87"/>
          <cell r="O87"/>
          <cell r="P87"/>
          <cell r="Q87">
            <v>6.0999999999999998E-7</v>
          </cell>
          <cell r="R87">
            <v>5.2999999999999998E-8</v>
          </cell>
          <cell r="S87"/>
          <cell r="T87">
            <v>2.8000000000000002E-7</v>
          </cell>
          <cell r="U87"/>
          <cell r="V87"/>
          <cell r="W87">
            <v>30000</v>
          </cell>
          <cell r="X87">
            <v>0.33333333333333331</v>
          </cell>
          <cell r="Y87">
            <v>0.33333333333333331</v>
          </cell>
          <cell r="Z87">
            <v>0.33333333333333331</v>
          </cell>
          <cell r="AA87"/>
        </row>
        <row r="88">
          <cell r="A88">
            <v>81</v>
          </cell>
          <cell r="B88" t="str">
            <v>sulphanilic acid</v>
          </cell>
          <cell r="C88" t="str">
            <v>121-57-3</v>
          </cell>
          <cell r="D88" t="str">
            <v/>
          </cell>
          <cell r="E88"/>
          <cell r="F88">
            <v>173</v>
          </cell>
          <cell r="G88">
            <v>289</v>
          </cell>
          <cell r="H88">
            <v>3.1999999999999999E-6</v>
          </cell>
          <cell r="I88">
            <v>10000</v>
          </cell>
          <cell r="J88"/>
          <cell r="K88">
            <v>0.13</v>
          </cell>
          <cell r="L88"/>
          <cell r="M88"/>
          <cell r="N88"/>
          <cell r="O88"/>
          <cell r="P88"/>
          <cell r="Q88"/>
          <cell r="R88">
            <v>5.3000000000000003E-10</v>
          </cell>
          <cell r="S88"/>
          <cell r="T88"/>
          <cell r="U88"/>
          <cell r="V88"/>
          <cell r="W88">
            <v>30000</v>
          </cell>
          <cell r="X88">
            <v>0.33333333333333331</v>
          </cell>
          <cell r="Y88">
            <v>0.33333333333333331</v>
          </cell>
          <cell r="Z88">
            <v>0.33333333333333331</v>
          </cell>
          <cell r="AA88"/>
        </row>
        <row r="89">
          <cell r="A89">
            <v>82</v>
          </cell>
          <cell r="B89" t="str">
            <v>cyclohexanone</v>
          </cell>
          <cell r="C89" t="str">
            <v>108-94-1</v>
          </cell>
          <cell r="D89" t="str">
            <v/>
          </cell>
          <cell r="E89"/>
          <cell r="F89">
            <v>98</v>
          </cell>
          <cell r="G89">
            <v>-29</v>
          </cell>
          <cell r="H89">
            <v>450</v>
          </cell>
          <cell r="I89">
            <v>95000</v>
          </cell>
          <cell r="J89"/>
          <cell r="K89">
            <v>7.2</v>
          </cell>
          <cell r="L89"/>
          <cell r="M89"/>
          <cell r="N89"/>
          <cell r="O89"/>
          <cell r="P89"/>
          <cell r="Q89">
            <v>4.5000000000000001E-6</v>
          </cell>
          <cell r="R89">
            <v>5.3000000000000001E-7</v>
          </cell>
          <cell r="S89"/>
          <cell r="T89">
            <v>5.6000000000000004E-7</v>
          </cell>
          <cell r="U89"/>
          <cell r="V89"/>
          <cell r="W89">
            <v>30000</v>
          </cell>
          <cell r="X89">
            <v>0.33333333333333331</v>
          </cell>
          <cell r="Y89">
            <v>0.33333333333333331</v>
          </cell>
          <cell r="Z89">
            <v>0.33333333333333331</v>
          </cell>
          <cell r="AA89"/>
        </row>
        <row r="90">
          <cell r="A90">
            <v>83</v>
          </cell>
          <cell r="B90" t="str">
            <v>hexamethylenediamine</v>
          </cell>
          <cell r="C90" t="str">
            <v>124-09-4</v>
          </cell>
          <cell r="D90" t="str">
            <v/>
          </cell>
          <cell r="E90"/>
          <cell r="F90">
            <v>116</v>
          </cell>
          <cell r="G90">
            <v>41</v>
          </cell>
          <cell r="H90">
            <v>4</v>
          </cell>
          <cell r="I90">
            <v>0.55000000000000004</v>
          </cell>
          <cell r="J90"/>
          <cell r="K90">
            <v>1</v>
          </cell>
          <cell r="L90"/>
          <cell r="M90"/>
          <cell r="N90"/>
          <cell r="O90"/>
          <cell r="P90"/>
          <cell r="Q90"/>
          <cell r="R90">
            <v>5.3000000000000003E-10</v>
          </cell>
          <cell r="S90"/>
          <cell r="T90"/>
          <cell r="U90"/>
          <cell r="V90"/>
          <cell r="W90">
            <v>30000</v>
          </cell>
          <cell r="X90">
            <v>0.33333333333333331</v>
          </cell>
          <cell r="Y90">
            <v>0.33333333333333331</v>
          </cell>
          <cell r="Z90">
            <v>0.33333333333333331</v>
          </cell>
          <cell r="AA90"/>
        </row>
        <row r="91">
          <cell r="A91">
            <v>84</v>
          </cell>
          <cell r="B91" t="str">
            <v>dodecanedioic acid</v>
          </cell>
          <cell r="C91" t="str">
            <v>693-23-2</v>
          </cell>
          <cell r="D91" t="str">
            <v/>
          </cell>
          <cell r="E91"/>
          <cell r="F91">
            <v>230</v>
          </cell>
          <cell r="G91">
            <v>128</v>
          </cell>
          <cell r="H91">
            <v>1.4999999999999999E-4</v>
          </cell>
          <cell r="I91">
            <v>100</v>
          </cell>
          <cell r="J91"/>
          <cell r="K91">
            <v>1200</v>
          </cell>
          <cell r="L91"/>
          <cell r="M91"/>
          <cell r="N91"/>
          <cell r="O91"/>
          <cell r="P91"/>
          <cell r="Q91"/>
          <cell r="R91">
            <v>5.3000000000000001E-7</v>
          </cell>
          <cell r="S91"/>
          <cell r="T91"/>
          <cell r="U91"/>
          <cell r="V91"/>
          <cell r="W91">
            <v>30000</v>
          </cell>
          <cell r="X91">
            <v>0.33333333333333331</v>
          </cell>
          <cell r="Y91">
            <v>0.33333333333333331</v>
          </cell>
          <cell r="Z91">
            <v>0.33333333333333331</v>
          </cell>
          <cell r="AA91"/>
        </row>
        <row r="92">
          <cell r="A92">
            <v>85</v>
          </cell>
          <cell r="B92" t="str">
            <v>1-methyl-2-pyrrolidone</v>
          </cell>
          <cell r="C92" t="str">
            <v>872-50-4</v>
          </cell>
          <cell r="D92" t="str">
            <v/>
          </cell>
          <cell r="E92"/>
          <cell r="F92">
            <v>99</v>
          </cell>
          <cell r="G92">
            <v>-24</v>
          </cell>
          <cell r="H92">
            <v>25</v>
          </cell>
          <cell r="I92">
            <v>1000000</v>
          </cell>
          <cell r="J92"/>
          <cell r="K92">
            <v>0.35</v>
          </cell>
          <cell r="L92"/>
          <cell r="M92"/>
          <cell r="N92"/>
          <cell r="O92"/>
          <cell r="P92"/>
          <cell r="Q92">
            <v>2.5000000000000001E-5</v>
          </cell>
          <cell r="R92">
            <v>5.3000000000000001E-7</v>
          </cell>
          <cell r="S92"/>
          <cell r="T92">
            <v>1.3999999999999999E-6</v>
          </cell>
          <cell r="U92"/>
          <cell r="V92"/>
          <cell r="W92">
            <v>30000</v>
          </cell>
          <cell r="X92">
            <v>0.33333333333333331</v>
          </cell>
          <cell r="Y92">
            <v>0.33333333333333331</v>
          </cell>
          <cell r="Z92">
            <v>0.33333333333333331</v>
          </cell>
          <cell r="AA92"/>
        </row>
        <row r="93">
          <cell r="A93">
            <v>86</v>
          </cell>
          <cell r="B93" t="str">
            <v>2-methylpropene</v>
          </cell>
          <cell r="C93" t="str">
            <v>115-11-7</v>
          </cell>
          <cell r="D93" t="str">
            <v/>
          </cell>
          <cell r="E93"/>
          <cell r="F93">
            <v>56</v>
          </cell>
          <cell r="G93">
            <v>-142</v>
          </cell>
          <cell r="H93">
            <v>260000</v>
          </cell>
          <cell r="I93">
            <v>260</v>
          </cell>
          <cell r="J93"/>
          <cell r="K93">
            <v>130</v>
          </cell>
          <cell r="L93"/>
          <cell r="M93"/>
          <cell r="N93"/>
          <cell r="O93"/>
          <cell r="P93"/>
          <cell r="Q93">
            <v>4.0000000000000003E-5</v>
          </cell>
          <cell r="R93">
            <v>5.3000000000000003E-10</v>
          </cell>
          <cell r="S93"/>
          <cell r="T93">
            <v>9.1999999999999998E-7</v>
          </cell>
          <cell r="U93"/>
          <cell r="V93"/>
          <cell r="W93">
            <v>30000</v>
          </cell>
          <cell r="X93">
            <v>0.33333333333333331</v>
          </cell>
          <cell r="Y93">
            <v>0.33333333333333331</v>
          </cell>
          <cell r="Z93">
            <v>0.33333333333333331</v>
          </cell>
          <cell r="AA93"/>
        </row>
        <row r="94">
          <cell r="A94">
            <v>87</v>
          </cell>
          <cell r="B94" t="str">
            <v>3,6,9,12-tetraoxotridecanol</v>
          </cell>
          <cell r="C94" t="str">
            <v>23783-42-8</v>
          </cell>
          <cell r="D94" t="str">
            <v/>
          </cell>
          <cell r="E94"/>
          <cell r="F94">
            <v>208</v>
          </cell>
          <cell r="G94">
            <v>-39</v>
          </cell>
          <cell r="H94">
            <v>1.2999999999999999E-2</v>
          </cell>
          <cell r="I94">
            <v>6.1</v>
          </cell>
          <cell r="J94"/>
          <cell r="K94">
            <v>0.25</v>
          </cell>
          <cell r="L94"/>
          <cell r="M94"/>
          <cell r="N94"/>
          <cell r="O94"/>
          <cell r="P94"/>
          <cell r="Q94"/>
          <cell r="R94">
            <v>5.3000000000000003E-10</v>
          </cell>
          <cell r="S94"/>
          <cell r="T94"/>
          <cell r="U94"/>
          <cell r="V94"/>
          <cell r="W94">
            <v>30000</v>
          </cell>
          <cell r="X94">
            <v>0.33333333333333331</v>
          </cell>
          <cell r="Y94">
            <v>0.33333333333333331</v>
          </cell>
          <cell r="Z94">
            <v>0.33333333333333331</v>
          </cell>
          <cell r="AA94"/>
        </row>
        <row r="95">
          <cell r="A95">
            <v>88</v>
          </cell>
          <cell r="B95" t="str">
            <v>1,1'-oxydipropan-2-ol</v>
          </cell>
          <cell r="C95" t="str">
            <v>110-98-5</v>
          </cell>
          <cell r="D95" t="str">
            <v/>
          </cell>
          <cell r="E95"/>
          <cell r="F95">
            <v>134</v>
          </cell>
          <cell r="G95">
            <v>-35</v>
          </cell>
          <cell r="H95">
            <v>0.28999999999999998</v>
          </cell>
          <cell r="I95">
            <v>5.8</v>
          </cell>
          <cell r="J95"/>
          <cell r="K95">
            <v>6.3E-2</v>
          </cell>
          <cell r="L95"/>
          <cell r="M95"/>
          <cell r="N95"/>
          <cell r="O95"/>
          <cell r="P95"/>
          <cell r="Q95">
            <v>1.9000000000000001E-5</v>
          </cell>
          <cell r="R95">
            <v>5.3000000000000003E-10</v>
          </cell>
          <cell r="S95"/>
          <cell r="T95">
            <v>5.9999999999999997E-7</v>
          </cell>
          <cell r="U95"/>
          <cell r="V95"/>
          <cell r="W95">
            <v>30000</v>
          </cell>
          <cell r="X95">
            <v>0.33333333333333331</v>
          </cell>
          <cell r="Y95">
            <v>0.33333333333333331</v>
          </cell>
          <cell r="Z95">
            <v>0.33333333333333331</v>
          </cell>
          <cell r="AA95"/>
        </row>
        <row r="96">
          <cell r="A96">
            <v>89</v>
          </cell>
          <cell r="B96" t="str">
            <v>2-(2-(2-butoxyethoxy)ethoxy)ethanol</v>
          </cell>
          <cell r="C96" t="str">
            <v>143-22-6</v>
          </cell>
          <cell r="D96" t="str">
            <v/>
          </cell>
          <cell r="E96"/>
          <cell r="F96">
            <v>206</v>
          </cell>
          <cell r="G96">
            <v>-35</v>
          </cell>
          <cell r="H96">
            <v>10</v>
          </cell>
          <cell r="I96">
            <v>8.2000000000000003E-2</v>
          </cell>
          <cell r="J96"/>
          <cell r="K96">
            <v>3.2</v>
          </cell>
          <cell r="L96"/>
          <cell r="M96"/>
          <cell r="N96"/>
          <cell r="O96"/>
          <cell r="P96"/>
          <cell r="Q96"/>
          <cell r="R96">
            <v>5.3000000000000003E-10</v>
          </cell>
          <cell r="S96"/>
          <cell r="T96"/>
          <cell r="U96"/>
          <cell r="V96"/>
          <cell r="W96">
            <v>30000</v>
          </cell>
          <cell r="X96">
            <v>0.33333333333333331</v>
          </cell>
          <cell r="Y96">
            <v>0.33333333333333331</v>
          </cell>
          <cell r="Z96">
            <v>0.33333333333333331</v>
          </cell>
          <cell r="AA96"/>
        </row>
        <row r="97">
          <cell r="A97">
            <v>90</v>
          </cell>
          <cell r="B97" t="str">
            <v>triacetin</v>
          </cell>
          <cell r="C97" t="str">
            <v>102-76-1</v>
          </cell>
          <cell r="D97" t="str">
            <v/>
          </cell>
          <cell r="E97"/>
          <cell r="F97">
            <v>218</v>
          </cell>
          <cell r="G97">
            <v>2</v>
          </cell>
          <cell r="H97">
            <v>0.33</v>
          </cell>
          <cell r="I97">
            <v>0.48</v>
          </cell>
          <cell r="J97"/>
          <cell r="K97">
            <v>1.7</v>
          </cell>
          <cell r="L97"/>
          <cell r="M97"/>
          <cell r="N97"/>
          <cell r="O97"/>
          <cell r="P97"/>
          <cell r="Q97">
            <v>6.3999999999999997E-6</v>
          </cell>
          <cell r="R97">
            <v>5.3000000000000001E-7</v>
          </cell>
          <cell r="S97"/>
          <cell r="T97">
            <v>4.8999999999999997E-6</v>
          </cell>
          <cell r="U97"/>
          <cell r="V97"/>
          <cell r="W97">
            <v>30000</v>
          </cell>
          <cell r="X97">
            <v>0.33333333333333331</v>
          </cell>
          <cell r="Y97">
            <v>0.33333333333333331</v>
          </cell>
          <cell r="Z97">
            <v>0.33333333333333331</v>
          </cell>
          <cell r="AA97"/>
        </row>
        <row r="98">
          <cell r="A98">
            <v>91</v>
          </cell>
          <cell r="B98" t="str">
            <v>1-chloro-2-nitrobenzene</v>
          </cell>
          <cell r="C98" t="str">
            <v>88-73-3</v>
          </cell>
          <cell r="D98" t="str">
            <v/>
          </cell>
          <cell r="E98"/>
          <cell r="F98">
            <v>158</v>
          </cell>
          <cell r="G98">
            <v>32</v>
          </cell>
          <cell r="H98">
            <v>5.8</v>
          </cell>
          <cell r="I98">
            <v>590</v>
          </cell>
          <cell r="J98"/>
          <cell r="K98">
            <v>200</v>
          </cell>
          <cell r="L98"/>
          <cell r="M98"/>
          <cell r="N98"/>
          <cell r="O98"/>
          <cell r="P98"/>
          <cell r="Q98">
            <v>1.3E-7</v>
          </cell>
          <cell r="R98">
            <v>5.3000000000000003E-10</v>
          </cell>
          <cell r="S98"/>
          <cell r="T98">
            <v>4.0000000000000001E-8</v>
          </cell>
          <cell r="U98"/>
          <cell r="V98"/>
          <cell r="W98">
            <v>30000</v>
          </cell>
          <cell r="X98">
            <v>0.33333333333333331</v>
          </cell>
          <cell r="Y98">
            <v>0.33333333333333331</v>
          </cell>
          <cell r="Z98">
            <v>0.33333333333333331</v>
          </cell>
          <cell r="AA98"/>
        </row>
        <row r="99">
          <cell r="A99">
            <v>92</v>
          </cell>
          <cell r="B99" t="str">
            <v>propanil</v>
          </cell>
          <cell r="C99" t="str">
            <v>709-98-8</v>
          </cell>
          <cell r="D99" t="str">
            <v/>
          </cell>
          <cell r="E99"/>
          <cell r="F99">
            <v>218</v>
          </cell>
          <cell r="G99">
            <v>85</v>
          </cell>
          <cell r="H99">
            <v>1.2E-4</v>
          </cell>
          <cell r="I99">
            <v>55</v>
          </cell>
          <cell r="J99"/>
          <cell r="K99">
            <v>190</v>
          </cell>
          <cell r="L99"/>
          <cell r="M99"/>
          <cell r="N99"/>
          <cell r="O99"/>
          <cell r="P99"/>
          <cell r="Q99">
            <v>2.7999999999999999E-6</v>
          </cell>
          <cell r="R99">
            <v>5.3000000000000003E-10</v>
          </cell>
          <cell r="S99"/>
          <cell r="T99">
            <v>4.0999999999999997E-6</v>
          </cell>
          <cell r="U99"/>
          <cell r="V99"/>
          <cell r="W99">
            <v>30000</v>
          </cell>
          <cell r="X99">
            <v>0.33333333333333331</v>
          </cell>
          <cell r="Y99">
            <v>0.33333333333333331</v>
          </cell>
          <cell r="Z99">
            <v>0.33333333333333331</v>
          </cell>
          <cell r="AA99"/>
        </row>
        <row r="100">
          <cell r="A100">
            <v>93</v>
          </cell>
          <cell r="B100" t="str">
            <v>acetonitrile</v>
          </cell>
          <cell r="C100">
            <v>27522</v>
          </cell>
          <cell r="D100" t="str">
            <v/>
          </cell>
          <cell r="E100"/>
          <cell r="F100">
            <v>41</v>
          </cell>
          <cell r="G100">
            <v>-45</v>
          </cell>
          <cell r="H100">
            <v>7300</v>
          </cell>
          <cell r="I100">
            <v>1000000</v>
          </cell>
          <cell r="J100"/>
          <cell r="K100">
            <v>0.46</v>
          </cell>
          <cell r="L100"/>
          <cell r="M100"/>
          <cell r="N100"/>
          <cell r="O100"/>
          <cell r="P100"/>
          <cell r="Q100">
            <v>1.9000000000000001E-8</v>
          </cell>
          <cell r="R100">
            <v>5.3000000000000001E-7</v>
          </cell>
          <cell r="S100"/>
          <cell r="T100">
            <v>8.2999999999999999E-7</v>
          </cell>
          <cell r="U100"/>
          <cell r="V100"/>
          <cell r="W100">
            <v>30000</v>
          </cell>
          <cell r="X100">
            <v>0.33333333333333331</v>
          </cell>
          <cell r="Y100">
            <v>0.33333333333333331</v>
          </cell>
          <cell r="Z100">
            <v>0.33333333333333331</v>
          </cell>
          <cell r="AA100"/>
        </row>
        <row r="101">
          <cell r="A101">
            <v>94</v>
          </cell>
          <cell r="B101" t="str">
            <v>carbon tetrachloride</v>
          </cell>
          <cell r="C101" t="str">
            <v>56-23-5</v>
          </cell>
          <cell r="D101" t="str">
            <v/>
          </cell>
          <cell r="E101"/>
          <cell r="F101">
            <v>154</v>
          </cell>
          <cell r="G101">
            <v>-23</v>
          </cell>
          <cell r="H101">
            <v>12000</v>
          </cell>
          <cell r="I101">
            <v>800</v>
          </cell>
          <cell r="J101"/>
          <cell r="K101">
            <v>560</v>
          </cell>
          <cell r="L101"/>
          <cell r="M101"/>
          <cell r="N101"/>
          <cell r="O101"/>
          <cell r="P101"/>
          <cell r="Q101">
            <v>9.2999999999999999E-7</v>
          </cell>
          <cell r="R101">
            <v>5.3000000000000003E-10</v>
          </cell>
          <cell r="S101"/>
          <cell r="T101">
            <v>4.0000000000000001E-8</v>
          </cell>
          <cell r="U101"/>
          <cell r="V101"/>
          <cell r="W101">
            <v>30000</v>
          </cell>
          <cell r="X101">
            <v>0.33333333333333331</v>
          </cell>
          <cell r="Y101">
            <v>0.33333333333333331</v>
          </cell>
          <cell r="Z101">
            <v>0.33333333333333331</v>
          </cell>
          <cell r="AA101"/>
        </row>
        <row r="102">
          <cell r="A102">
            <v>95</v>
          </cell>
          <cell r="B102" t="str">
            <v>cyclohexanol</v>
          </cell>
          <cell r="C102" t="str">
            <v>108-93-0</v>
          </cell>
          <cell r="D102" t="str">
            <v/>
          </cell>
          <cell r="E102"/>
          <cell r="F102">
            <v>100</v>
          </cell>
          <cell r="G102">
            <v>24</v>
          </cell>
          <cell r="H102">
            <v>130</v>
          </cell>
          <cell r="I102">
            <v>40000</v>
          </cell>
          <cell r="J102"/>
          <cell r="K102">
            <v>18</v>
          </cell>
          <cell r="L102"/>
          <cell r="M102"/>
          <cell r="N102"/>
          <cell r="O102"/>
          <cell r="P102"/>
          <cell r="Q102">
            <v>1.2999999999999999E-5</v>
          </cell>
          <cell r="R102">
            <v>5.3000000000000001E-7</v>
          </cell>
          <cell r="S102"/>
          <cell r="T102">
            <v>4.0000000000000001E-8</v>
          </cell>
          <cell r="U102"/>
          <cell r="V102"/>
          <cell r="W102">
            <v>30000</v>
          </cell>
          <cell r="X102">
            <v>0.33333333333333331</v>
          </cell>
          <cell r="Y102">
            <v>0.33333333333333331</v>
          </cell>
          <cell r="Z102">
            <v>0.33333333333333331</v>
          </cell>
          <cell r="AA102"/>
        </row>
        <row r="103">
          <cell r="A103">
            <v>96</v>
          </cell>
          <cell r="B103" t="str">
            <v>methyl acetoacetate</v>
          </cell>
          <cell r="C103" t="str">
            <v>105-45-3</v>
          </cell>
          <cell r="D103" t="str">
            <v/>
          </cell>
          <cell r="E103"/>
          <cell r="F103">
            <v>116</v>
          </cell>
          <cell r="G103">
            <v>-35</v>
          </cell>
          <cell r="H103">
            <v>4.7</v>
          </cell>
          <cell r="I103">
            <v>460000</v>
          </cell>
          <cell r="J103"/>
          <cell r="K103">
            <v>0.33</v>
          </cell>
          <cell r="L103"/>
          <cell r="M103"/>
          <cell r="N103"/>
          <cell r="O103"/>
          <cell r="P103"/>
          <cell r="Q103">
            <v>2.6E-7</v>
          </cell>
          <cell r="R103">
            <v>5.3000000000000003E-10</v>
          </cell>
          <cell r="S103"/>
          <cell r="T103">
            <v>3.1999999999999999E-6</v>
          </cell>
          <cell r="U103"/>
          <cell r="V103"/>
          <cell r="W103">
            <v>30000</v>
          </cell>
          <cell r="X103">
            <v>0.33333333333333331</v>
          </cell>
          <cell r="Y103">
            <v>0.33333333333333331</v>
          </cell>
          <cell r="Z103">
            <v>0.33333333333333331</v>
          </cell>
          <cell r="AA103"/>
        </row>
        <row r="104">
          <cell r="A104">
            <v>97</v>
          </cell>
          <cell r="B104" t="str">
            <v>2-aminoethanol</v>
          </cell>
          <cell r="C104" t="str">
            <v>141-43-5</v>
          </cell>
          <cell r="D104" t="str">
            <v/>
          </cell>
          <cell r="E104"/>
          <cell r="F104">
            <v>61</v>
          </cell>
          <cell r="G104">
            <v>11</v>
          </cell>
          <cell r="H104">
            <v>18</v>
          </cell>
          <cell r="I104">
            <v>15</v>
          </cell>
          <cell r="J104"/>
          <cell r="K104">
            <v>1.2E-2</v>
          </cell>
          <cell r="L104"/>
          <cell r="M104"/>
          <cell r="N104"/>
          <cell r="O104"/>
          <cell r="P104"/>
          <cell r="Q104">
            <v>1.1E-5</v>
          </cell>
          <cell r="R104">
            <v>5.3000000000000001E-7</v>
          </cell>
          <cell r="S104"/>
          <cell r="T104">
            <v>4.1000000000000003E-8</v>
          </cell>
          <cell r="U104"/>
          <cell r="V104"/>
          <cell r="W104">
            <v>30000</v>
          </cell>
          <cell r="X104">
            <v>0.33333333333333331</v>
          </cell>
          <cell r="Y104">
            <v>0.33333333333333331</v>
          </cell>
          <cell r="Z104">
            <v>0.33333333333333331</v>
          </cell>
          <cell r="AA104"/>
        </row>
        <row r="105">
          <cell r="A105">
            <v>98</v>
          </cell>
          <cell r="B105" t="str">
            <v>dimethyl adipate</v>
          </cell>
          <cell r="C105" t="str">
            <v>627-93-0</v>
          </cell>
          <cell r="D105" t="str">
            <v/>
          </cell>
          <cell r="E105"/>
          <cell r="F105">
            <v>174</v>
          </cell>
          <cell r="G105">
            <v>9</v>
          </cell>
          <cell r="H105">
            <v>17</v>
          </cell>
          <cell r="I105">
            <v>30000</v>
          </cell>
          <cell r="J105"/>
          <cell r="K105">
            <v>4.5</v>
          </cell>
          <cell r="L105"/>
          <cell r="M105"/>
          <cell r="N105"/>
          <cell r="O105"/>
          <cell r="P105"/>
          <cell r="Q105"/>
          <cell r="R105">
            <v>5.3000000000000003E-10</v>
          </cell>
          <cell r="S105"/>
          <cell r="T105"/>
          <cell r="U105"/>
          <cell r="V105"/>
          <cell r="W105">
            <v>30000</v>
          </cell>
          <cell r="X105">
            <v>0.33333333333333331</v>
          </cell>
          <cell r="Y105">
            <v>0.33333333333333331</v>
          </cell>
          <cell r="Z105">
            <v>0.33333333333333331</v>
          </cell>
          <cell r="AA105"/>
        </row>
        <row r="106">
          <cell r="A106">
            <v>99</v>
          </cell>
          <cell r="B106" t="str">
            <v>4-tert-butylphenol</v>
          </cell>
          <cell r="C106" t="str">
            <v>98-54-4</v>
          </cell>
          <cell r="D106" t="str">
            <v/>
          </cell>
          <cell r="E106"/>
          <cell r="F106">
            <v>150</v>
          </cell>
          <cell r="G106">
            <v>100</v>
          </cell>
          <cell r="H106">
            <v>0.5</v>
          </cell>
          <cell r="I106">
            <v>800</v>
          </cell>
          <cell r="J106"/>
          <cell r="K106">
            <v>280</v>
          </cell>
          <cell r="L106"/>
          <cell r="M106"/>
          <cell r="N106"/>
          <cell r="O106"/>
          <cell r="P106"/>
          <cell r="Q106">
            <v>2.5000000000000001E-5</v>
          </cell>
          <cell r="R106">
            <v>5.3000000000000001E-7</v>
          </cell>
          <cell r="S106"/>
          <cell r="T106">
            <v>8.4999999999999994E-8</v>
          </cell>
          <cell r="U106"/>
          <cell r="V106"/>
          <cell r="W106">
            <v>30000</v>
          </cell>
          <cell r="X106">
            <v>0.33333333333333331</v>
          </cell>
          <cell r="Y106">
            <v>0.33333333333333331</v>
          </cell>
          <cell r="Z106">
            <v>0.33333333333333331</v>
          </cell>
          <cell r="AA106"/>
        </row>
        <row r="107">
          <cell r="A107">
            <v>100</v>
          </cell>
          <cell r="B107" t="str">
            <v>dichloromethane</v>
          </cell>
          <cell r="C107">
            <v>27639</v>
          </cell>
          <cell r="D107" t="str">
            <v/>
          </cell>
          <cell r="E107"/>
          <cell r="F107">
            <v>85</v>
          </cell>
          <cell r="G107">
            <v>-95</v>
          </cell>
          <cell r="H107">
            <v>47000</v>
          </cell>
          <cell r="I107">
            <v>20000</v>
          </cell>
          <cell r="J107"/>
          <cell r="K107">
            <v>18</v>
          </cell>
          <cell r="L107"/>
          <cell r="M107"/>
          <cell r="N107"/>
          <cell r="O107"/>
          <cell r="P107"/>
          <cell r="Q107">
            <v>7.4000000000000001E-7</v>
          </cell>
          <cell r="R107">
            <v>5.2999999999999998E-8</v>
          </cell>
          <cell r="S107"/>
          <cell r="T107">
            <v>4.5000000000000001E-6</v>
          </cell>
          <cell r="U107"/>
          <cell r="V107"/>
          <cell r="W107">
            <v>30000</v>
          </cell>
          <cell r="X107">
            <v>0.33333333333333331</v>
          </cell>
          <cell r="Y107">
            <v>0.33333333333333331</v>
          </cell>
          <cell r="Z107">
            <v>0.33333333333333331</v>
          </cell>
          <cell r="AA107"/>
        </row>
        <row r="108">
          <cell r="A108">
            <v>101</v>
          </cell>
          <cell r="B108" t="str">
            <v>exo-1,7,7-trimethylbicyclo[2.2.1]hept-2-yl acetate</v>
          </cell>
          <cell r="C108" t="str">
            <v>125-12-2</v>
          </cell>
          <cell r="D108" t="str">
            <v/>
          </cell>
          <cell r="E108"/>
          <cell r="F108">
            <v>196</v>
          </cell>
          <cell r="G108"/>
          <cell r="H108">
            <v>13</v>
          </cell>
          <cell r="I108">
            <v>1000</v>
          </cell>
          <cell r="J108"/>
          <cell r="K108">
            <v>4800</v>
          </cell>
          <cell r="L108"/>
          <cell r="M108"/>
          <cell r="N108"/>
          <cell r="O108"/>
          <cell r="P108"/>
          <cell r="Q108">
            <v>6.1E-6</v>
          </cell>
          <cell r="R108">
            <v>5.3000000000000003E-10</v>
          </cell>
          <cell r="S108"/>
          <cell r="T108">
            <v>1.6999999999999999E-7</v>
          </cell>
          <cell r="U108"/>
          <cell r="V108"/>
          <cell r="W108">
            <v>30000</v>
          </cell>
          <cell r="X108">
            <v>0.33333333333333331</v>
          </cell>
          <cell r="Y108">
            <v>0.33333333333333331</v>
          </cell>
          <cell r="Z108">
            <v>0.33333333333333331</v>
          </cell>
          <cell r="AA108"/>
        </row>
        <row r="109">
          <cell r="A109">
            <v>102</v>
          </cell>
          <cell r="B109" t="str">
            <v>l-(+)-lactic acid</v>
          </cell>
          <cell r="C109" t="str">
            <v>79-33-4</v>
          </cell>
          <cell r="D109" t="str">
            <v/>
          </cell>
          <cell r="E109"/>
          <cell r="F109">
            <v>90</v>
          </cell>
          <cell r="G109">
            <v>54</v>
          </cell>
          <cell r="H109">
            <v>0.22</v>
          </cell>
          <cell r="I109">
            <v>4.7</v>
          </cell>
          <cell r="J109"/>
          <cell r="K109">
            <v>0.24</v>
          </cell>
          <cell r="L109"/>
          <cell r="M109"/>
          <cell r="N109"/>
          <cell r="O109"/>
          <cell r="P109"/>
          <cell r="Q109">
            <v>4.4000000000000002E-6</v>
          </cell>
          <cell r="R109">
            <v>5.3000000000000001E-7</v>
          </cell>
          <cell r="S109"/>
          <cell r="T109">
            <v>1.3999999999999999E-6</v>
          </cell>
          <cell r="U109"/>
          <cell r="V109"/>
          <cell r="W109">
            <v>30000</v>
          </cell>
          <cell r="X109">
            <v>0.33333333333333331</v>
          </cell>
          <cell r="Y109">
            <v>0.33333333333333331</v>
          </cell>
          <cell r="Z109">
            <v>0.33333333333333331</v>
          </cell>
          <cell r="AA109"/>
        </row>
        <row r="110">
          <cell r="A110">
            <v>103</v>
          </cell>
          <cell r="B110" t="str">
            <v>4-hydroxy-4-methylpentan-2-one</v>
          </cell>
          <cell r="C110" t="str">
            <v>123-42-2</v>
          </cell>
          <cell r="D110" t="str">
            <v/>
          </cell>
          <cell r="E110"/>
          <cell r="F110">
            <v>116</v>
          </cell>
          <cell r="G110">
            <v>54</v>
          </cell>
          <cell r="H110">
            <v>110</v>
          </cell>
          <cell r="I110">
            <v>0.94</v>
          </cell>
          <cell r="J110"/>
          <cell r="K110">
            <v>11</v>
          </cell>
          <cell r="L110"/>
          <cell r="M110"/>
          <cell r="N110"/>
          <cell r="O110"/>
          <cell r="P110"/>
          <cell r="Q110"/>
          <cell r="R110">
            <v>5.3000000000000001E-7</v>
          </cell>
          <cell r="S110"/>
          <cell r="T110"/>
          <cell r="U110"/>
          <cell r="V110"/>
          <cell r="W110">
            <v>30000</v>
          </cell>
          <cell r="X110">
            <v>0.33333333333333331</v>
          </cell>
          <cell r="Y110">
            <v>0.33333333333333331</v>
          </cell>
          <cell r="Z110">
            <v>0.33333333333333331</v>
          </cell>
          <cell r="AA110"/>
        </row>
        <row r="111">
          <cell r="A111">
            <v>104</v>
          </cell>
          <cell r="B111" t="str">
            <v>2,4,6-trichloro-1,3,5-triazine</v>
          </cell>
          <cell r="C111" t="str">
            <v>108-77-0</v>
          </cell>
          <cell r="D111" t="str">
            <v/>
          </cell>
          <cell r="E111"/>
          <cell r="F111">
            <v>184</v>
          </cell>
          <cell r="G111">
            <v>146</v>
          </cell>
          <cell r="H111">
            <v>0.6</v>
          </cell>
          <cell r="I111">
            <v>440</v>
          </cell>
          <cell r="J111"/>
          <cell r="K111">
            <v>3.3</v>
          </cell>
          <cell r="L111"/>
          <cell r="M111"/>
          <cell r="N111"/>
          <cell r="O111"/>
          <cell r="P111"/>
          <cell r="Q111">
            <v>2.7999999999999998E-9</v>
          </cell>
          <cell r="R111">
            <v>5.3000000000000003E-10</v>
          </cell>
          <cell r="S111"/>
          <cell r="T111">
            <v>1.1999999999999999E-7</v>
          </cell>
          <cell r="U111"/>
          <cell r="V111"/>
          <cell r="W111">
            <v>30000</v>
          </cell>
          <cell r="X111">
            <v>0.33333333333333331</v>
          </cell>
          <cell r="Y111">
            <v>0.33333333333333331</v>
          </cell>
          <cell r="Z111">
            <v>0.33333333333333331</v>
          </cell>
          <cell r="AA111"/>
        </row>
        <row r="112">
          <cell r="A112">
            <v>105</v>
          </cell>
          <cell r="B112" t="str">
            <v>2-ethylhexan-1-ol</v>
          </cell>
          <cell r="C112" t="str">
            <v>104-76-7</v>
          </cell>
          <cell r="D112" t="str">
            <v/>
          </cell>
          <cell r="E112"/>
          <cell r="F112">
            <v>130</v>
          </cell>
          <cell r="G112">
            <v>-67</v>
          </cell>
          <cell r="H112">
            <v>5</v>
          </cell>
          <cell r="I112">
            <v>1100</v>
          </cell>
          <cell r="J112"/>
          <cell r="K112">
            <v>1300</v>
          </cell>
          <cell r="L112"/>
          <cell r="M112"/>
          <cell r="N112"/>
          <cell r="O112"/>
          <cell r="P112"/>
          <cell r="Q112">
            <v>1.5999999999999999E-5</v>
          </cell>
          <cell r="R112">
            <v>5.2999999999999998E-8</v>
          </cell>
          <cell r="S112"/>
          <cell r="T112">
            <v>4.1000000000000003E-8</v>
          </cell>
          <cell r="U112"/>
          <cell r="V112"/>
          <cell r="W112">
            <v>30000</v>
          </cell>
          <cell r="X112">
            <v>0.33333333333333331</v>
          </cell>
          <cell r="Y112">
            <v>0.33333333333333331</v>
          </cell>
          <cell r="Z112">
            <v>0.33333333333333331</v>
          </cell>
          <cell r="AA112"/>
        </row>
        <row r="113">
          <cell r="A113">
            <v>106</v>
          </cell>
          <cell r="B113" t="str">
            <v>2,2',6,6'-tetrabromo-4,4'-isopropylidenediphenol</v>
          </cell>
          <cell r="C113" t="str">
            <v>79-94-7</v>
          </cell>
          <cell r="D113" t="str">
            <v/>
          </cell>
          <cell r="E113"/>
          <cell r="F113">
            <v>544</v>
          </cell>
          <cell r="G113">
            <v>178</v>
          </cell>
          <cell r="H113">
            <v>4.1999999999999998E-13</v>
          </cell>
          <cell r="I113">
            <v>4.2</v>
          </cell>
          <cell r="J113"/>
          <cell r="K113">
            <v>35000</v>
          </cell>
          <cell r="L113"/>
          <cell r="M113"/>
          <cell r="N113"/>
          <cell r="O113"/>
          <cell r="P113"/>
          <cell r="Q113">
            <v>2.2000000000000001E-6</v>
          </cell>
          <cell r="R113">
            <v>5.3000000000000003E-10</v>
          </cell>
          <cell r="S113"/>
          <cell r="T113">
            <v>7.1E-8</v>
          </cell>
          <cell r="U113"/>
          <cell r="V113"/>
          <cell r="W113">
            <v>30000</v>
          </cell>
          <cell r="X113">
            <v>0.33333333333333331</v>
          </cell>
          <cell r="Y113">
            <v>0.33333333333333331</v>
          </cell>
          <cell r="Z113">
            <v>0.33333333333333331</v>
          </cell>
          <cell r="AA113"/>
        </row>
        <row r="114">
          <cell r="A114">
            <v>107</v>
          </cell>
          <cell r="B114" t="str">
            <v>2-chloro-4-nitrotoluene</v>
          </cell>
          <cell r="C114" t="str">
            <v>121-86-8</v>
          </cell>
          <cell r="D114" t="str">
            <v/>
          </cell>
          <cell r="E114"/>
          <cell r="F114">
            <v>172</v>
          </cell>
          <cell r="G114">
            <v>63</v>
          </cell>
          <cell r="H114">
            <v>0.52</v>
          </cell>
          <cell r="I114">
            <v>49</v>
          </cell>
          <cell r="J114"/>
          <cell r="K114">
            <v>1600</v>
          </cell>
          <cell r="L114"/>
          <cell r="M114"/>
          <cell r="N114"/>
          <cell r="O114"/>
          <cell r="P114"/>
          <cell r="Q114"/>
          <cell r="R114">
            <v>5.3000000000000003E-10</v>
          </cell>
          <cell r="S114"/>
          <cell r="T114"/>
          <cell r="U114"/>
          <cell r="V114"/>
          <cell r="W114">
            <v>30000</v>
          </cell>
          <cell r="X114">
            <v>0.33333333333333331</v>
          </cell>
          <cell r="Y114">
            <v>0.33333333333333331</v>
          </cell>
          <cell r="Z114">
            <v>0.33333333333333331</v>
          </cell>
          <cell r="AA114"/>
        </row>
        <row r="115">
          <cell r="A115">
            <v>108</v>
          </cell>
          <cell r="B115" t="str">
            <v>2-ethoxyethyl acetate</v>
          </cell>
          <cell r="C115" t="str">
            <v>111-15-9</v>
          </cell>
          <cell r="D115" t="str">
            <v/>
          </cell>
          <cell r="E115"/>
          <cell r="F115">
            <v>132</v>
          </cell>
          <cell r="G115">
            <v>-62</v>
          </cell>
          <cell r="H115">
            <v>8.4</v>
          </cell>
          <cell r="I115">
            <v>230000</v>
          </cell>
          <cell r="J115"/>
          <cell r="K115">
            <v>1.7</v>
          </cell>
          <cell r="L115"/>
          <cell r="M115"/>
          <cell r="N115"/>
          <cell r="O115"/>
          <cell r="P115"/>
          <cell r="Q115"/>
          <cell r="R115">
            <v>5.2999999999999998E-8</v>
          </cell>
          <cell r="S115"/>
          <cell r="T115"/>
          <cell r="U115"/>
          <cell r="V115"/>
          <cell r="W115">
            <v>30000</v>
          </cell>
          <cell r="X115">
            <v>0.33333333333333331</v>
          </cell>
          <cell r="Y115">
            <v>0.33333333333333331</v>
          </cell>
          <cell r="Z115">
            <v>0.33333333333333331</v>
          </cell>
          <cell r="AA115"/>
        </row>
        <row r="116">
          <cell r="A116">
            <v>109</v>
          </cell>
          <cell r="B116" t="str">
            <v>2-(2-butoxyethoxy)ethyl acetate</v>
          </cell>
          <cell r="C116" t="str">
            <v>124-17-4</v>
          </cell>
          <cell r="D116" t="str">
            <v/>
          </cell>
          <cell r="E116"/>
          <cell r="F116">
            <v>204</v>
          </cell>
          <cell r="G116">
            <v>-32</v>
          </cell>
          <cell r="H116">
            <v>1.3</v>
          </cell>
          <cell r="I116">
            <v>65000</v>
          </cell>
          <cell r="J116"/>
          <cell r="K116">
            <v>59</v>
          </cell>
          <cell r="L116"/>
          <cell r="M116"/>
          <cell r="N116"/>
          <cell r="O116"/>
          <cell r="P116"/>
          <cell r="Q116"/>
          <cell r="R116">
            <v>5.3000000000000001E-7</v>
          </cell>
          <cell r="S116"/>
          <cell r="T116"/>
          <cell r="U116"/>
          <cell r="V116"/>
          <cell r="W116">
            <v>30000</v>
          </cell>
          <cell r="X116">
            <v>0.33333333333333331</v>
          </cell>
          <cell r="Y116">
            <v>0.33333333333333331</v>
          </cell>
          <cell r="Z116">
            <v>0.33333333333333331</v>
          </cell>
          <cell r="AA116"/>
        </row>
        <row r="117">
          <cell r="A117">
            <v>110</v>
          </cell>
          <cell r="B117" t="str">
            <v>tetrasodium ethylenediaminetetraacetate</v>
          </cell>
          <cell r="C117">
            <v>23415</v>
          </cell>
          <cell r="D117" t="str">
            <v/>
          </cell>
          <cell r="E117"/>
          <cell r="F117">
            <v>380</v>
          </cell>
          <cell r="G117">
            <v>350</v>
          </cell>
          <cell r="H117">
            <v>2.0000000000000001E-10</v>
          </cell>
          <cell r="I117">
            <v>1100000</v>
          </cell>
          <cell r="J117"/>
          <cell r="K117">
            <v>1.2</v>
          </cell>
          <cell r="L117"/>
          <cell r="M117"/>
          <cell r="N117"/>
          <cell r="O117"/>
          <cell r="P117"/>
          <cell r="Q117"/>
          <cell r="R117">
            <v>5.3000000000000003E-10</v>
          </cell>
          <cell r="S117"/>
          <cell r="T117"/>
          <cell r="U117"/>
          <cell r="V117"/>
          <cell r="W117">
            <v>30000</v>
          </cell>
          <cell r="X117">
            <v>0.33333333333333331</v>
          </cell>
          <cell r="Y117">
            <v>0.33333333333333331</v>
          </cell>
          <cell r="Z117">
            <v>0.33333333333333331</v>
          </cell>
          <cell r="AA117"/>
        </row>
        <row r="118">
          <cell r="A118">
            <v>111</v>
          </cell>
          <cell r="B118" t="str">
            <v>acrylic acid</v>
          </cell>
          <cell r="C118">
            <v>29135</v>
          </cell>
          <cell r="D118" t="str">
            <v/>
          </cell>
          <cell r="E118"/>
          <cell r="F118">
            <v>72</v>
          </cell>
          <cell r="G118">
            <v>13</v>
          </cell>
          <cell r="H118">
            <v>380</v>
          </cell>
          <cell r="I118">
            <v>0.28000000000000003</v>
          </cell>
          <cell r="J118"/>
          <cell r="K118">
            <v>2.6</v>
          </cell>
          <cell r="L118"/>
          <cell r="M118"/>
          <cell r="N118"/>
          <cell r="O118"/>
          <cell r="P118"/>
          <cell r="Q118"/>
          <cell r="R118">
            <v>5.2999999999999998E-8</v>
          </cell>
          <cell r="S118"/>
          <cell r="T118"/>
          <cell r="U118"/>
          <cell r="V118"/>
          <cell r="W118">
            <v>30000</v>
          </cell>
          <cell r="X118">
            <v>0.33333333333333331</v>
          </cell>
          <cell r="Y118">
            <v>0.33333333333333331</v>
          </cell>
          <cell r="Z118">
            <v>0.33333333333333331</v>
          </cell>
          <cell r="AA118"/>
        </row>
        <row r="119">
          <cell r="A119">
            <v>112</v>
          </cell>
          <cell r="B119" t="str">
            <v>2-(2-butoxyethoxy)ethanol</v>
          </cell>
          <cell r="C119" t="str">
            <v>112-34-5</v>
          </cell>
          <cell r="D119" t="str">
            <v/>
          </cell>
          <cell r="E119"/>
          <cell r="F119">
            <v>162</v>
          </cell>
          <cell r="G119">
            <v>-68</v>
          </cell>
          <cell r="H119">
            <v>2</v>
          </cell>
          <cell r="I119">
            <v>1000000</v>
          </cell>
          <cell r="J119"/>
          <cell r="K119">
            <v>4</v>
          </cell>
          <cell r="L119"/>
          <cell r="M119"/>
          <cell r="N119"/>
          <cell r="O119"/>
          <cell r="P119"/>
          <cell r="Q119">
            <v>3.0000000000000001E-5</v>
          </cell>
          <cell r="R119">
            <v>5.3000000000000001E-7</v>
          </cell>
          <cell r="S119"/>
          <cell r="T119">
            <v>4.1000000000000003E-8</v>
          </cell>
          <cell r="U119"/>
          <cell r="V119"/>
          <cell r="W119">
            <v>30000</v>
          </cell>
          <cell r="X119">
            <v>0.33333333333333331</v>
          </cell>
          <cell r="Y119">
            <v>0.33333333333333331</v>
          </cell>
          <cell r="Z119">
            <v>0.33333333333333331</v>
          </cell>
          <cell r="AA119"/>
        </row>
        <row r="120">
          <cell r="A120">
            <v>113</v>
          </cell>
          <cell r="B120" t="str">
            <v>dodecan-1-ol</v>
          </cell>
          <cell r="C120" t="str">
            <v>112-53-8</v>
          </cell>
          <cell r="D120" t="str">
            <v/>
          </cell>
          <cell r="E120"/>
          <cell r="F120">
            <v>186</v>
          </cell>
          <cell r="G120">
            <v>24</v>
          </cell>
          <cell r="H120">
            <v>2.4</v>
          </cell>
          <cell r="I120">
            <v>20</v>
          </cell>
          <cell r="J120"/>
          <cell r="K120">
            <v>180000</v>
          </cell>
          <cell r="L120"/>
          <cell r="M120"/>
          <cell r="N120"/>
          <cell r="O120"/>
          <cell r="P120"/>
          <cell r="Q120">
            <v>1.4E-5</v>
          </cell>
          <cell r="R120">
            <v>5.3000000000000001E-7</v>
          </cell>
          <cell r="S120"/>
          <cell r="T120">
            <v>7.6000000000000003E-7</v>
          </cell>
          <cell r="U120"/>
          <cell r="V120"/>
          <cell r="W120">
            <v>30000</v>
          </cell>
          <cell r="X120">
            <v>0.33333333333333331</v>
          </cell>
          <cell r="Y120">
            <v>0.33333333333333331</v>
          </cell>
          <cell r="Z120">
            <v>0.33333333333333331</v>
          </cell>
          <cell r="AA120"/>
        </row>
        <row r="121">
          <cell r="A121">
            <v>114</v>
          </cell>
          <cell r="B121" t="str">
            <v>diphenyl ether</v>
          </cell>
          <cell r="C121" t="str">
            <v>101-84-8</v>
          </cell>
          <cell r="D121" t="str">
            <v/>
          </cell>
          <cell r="E121"/>
          <cell r="F121">
            <v>170</v>
          </cell>
          <cell r="G121">
            <v>27</v>
          </cell>
          <cell r="H121">
            <v>1.6999999999999999E-3</v>
          </cell>
          <cell r="I121">
            <v>21</v>
          </cell>
          <cell r="J121"/>
          <cell r="K121">
            <v>17000</v>
          </cell>
          <cell r="L121"/>
          <cell r="M121"/>
          <cell r="N121"/>
          <cell r="O121"/>
          <cell r="P121"/>
          <cell r="Q121"/>
          <cell r="R121">
            <v>5.3000000000000001E-7</v>
          </cell>
          <cell r="S121"/>
          <cell r="T121"/>
          <cell r="U121"/>
          <cell r="V121"/>
          <cell r="W121">
            <v>30000</v>
          </cell>
          <cell r="X121">
            <v>0.33333333333333331</v>
          </cell>
          <cell r="Y121">
            <v>0.33333333333333331</v>
          </cell>
          <cell r="Z121">
            <v>0.33333333333333331</v>
          </cell>
          <cell r="AA121"/>
        </row>
        <row r="122">
          <cell r="A122">
            <v>115</v>
          </cell>
          <cell r="B122" t="str">
            <v>thiodiglycol</v>
          </cell>
          <cell r="C122" t="str">
            <v>111-48-8</v>
          </cell>
          <cell r="D122" t="str">
            <v/>
          </cell>
          <cell r="E122"/>
          <cell r="F122">
            <v>122</v>
          </cell>
          <cell r="G122">
            <v>-18</v>
          </cell>
          <cell r="H122">
            <v>1.4999999999999999E-2</v>
          </cell>
          <cell r="I122">
            <v>7.5</v>
          </cell>
          <cell r="J122"/>
          <cell r="K122">
            <v>0.18</v>
          </cell>
          <cell r="L122"/>
          <cell r="M122"/>
          <cell r="N122"/>
          <cell r="O122"/>
          <cell r="P122"/>
          <cell r="Q122"/>
          <cell r="R122">
            <v>5.3000000000000003E-10</v>
          </cell>
          <cell r="S122"/>
          <cell r="T122"/>
          <cell r="U122"/>
          <cell r="V122"/>
          <cell r="W122">
            <v>30000</v>
          </cell>
          <cell r="X122">
            <v>0.33333333333333331</v>
          </cell>
          <cell r="Y122">
            <v>0.33333333333333331</v>
          </cell>
          <cell r="Z122">
            <v>0.33333333333333331</v>
          </cell>
          <cell r="AA122"/>
        </row>
        <row r="123">
          <cell r="A123">
            <v>116</v>
          </cell>
          <cell r="B123" t="str">
            <v>tris(2-chloroethyl) phosphate</v>
          </cell>
          <cell r="C123" t="str">
            <v>115-96-8</v>
          </cell>
          <cell r="D123" t="str">
            <v/>
          </cell>
          <cell r="E123"/>
          <cell r="F123">
            <v>285</v>
          </cell>
          <cell r="G123">
            <v>-57</v>
          </cell>
          <cell r="H123">
            <v>1.6999999999999999E-3</v>
          </cell>
          <cell r="I123">
            <v>7800</v>
          </cell>
          <cell r="J123"/>
          <cell r="K123">
            <v>60</v>
          </cell>
          <cell r="L123"/>
          <cell r="M123"/>
          <cell r="N123"/>
          <cell r="O123"/>
          <cell r="P123"/>
          <cell r="Q123">
            <v>8.6999999999999997E-6</v>
          </cell>
          <cell r="R123">
            <v>5.3000000000000003E-10</v>
          </cell>
          <cell r="S123"/>
          <cell r="T123">
            <v>8.0000000000000002E-8</v>
          </cell>
          <cell r="U123"/>
          <cell r="V123"/>
          <cell r="W123">
            <v>30000</v>
          </cell>
          <cell r="X123">
            <v>0.33333333333333331</v>
          </cell>
          <cell r="Y123">
            <v>0.33333333333333331</v>
          </cell>
          <cell r="Z123">
            <v>0.33333333333333331</v>
          </cell>
          <cell r="AA123"/>
        </row>
        <row r="124">
          <cell r="A124">
            <v>117</v>
          </cell>
          <cell r="B124" t="str">
            <v>acetoacetanilide</v>
          </cell>
          <cell r="C124" t="str">
            <v>102-01-2</v>
          </cell>
          <cell r="D124" t="str">
            <v/>
          </cell>
          <cell r="E124"/>
          <cell r="F124">
            <v>177</v>
          </cell>
          <cell r="G124">
            <v>82</v>
          </cell>
          <cell r="H124">
            <v>1</v>
          </cell>
          <cell r="I124">
            <v>10000</v>
          </cell>
          <cell r="J124"/>
          <cell r="K124">
            <v>5.8</v>
          </cell>
          <cell r="L124"/>
          <cell r="M124"/>
          <cell r="N124"/>
          <cell r="O124"/>
          <cell r="P124"/>
          <cell r="Q124"/>
          <cell r="R124">
            <v>5.2999999999999998E-8</v>
          </cell>
          <cell r="S124"/>
          <cell r="T124"/>
          <cell r="U124"/>
          <cell r="V124"/>
          <cell r="W124">
            <v>30000</v>
          </cell>
          <cell r="X124">
            <v>0.33333333333333331</v>
          </cell>
          <cell r="Y124">
            <v>0.33333333333333331</v>
          </cell>
          <cell r="Z124">
            <v>0.33333333333333331</v>
          </cell>
          <cell r="AA124"/>
        </row>
        <row r="125">
          <cell r="A125">
            <v>118</v>
          </cell>
          <cell r="B125" t="str">
            <v>salicylic acid</v>
          </cell>
          <cell r="C125" t="str">
            <v>69-72-7</v>
          </cell>
          <cell r="D125" t="str">
            <v/>
          </cell>
          <cell r="E125"/>
          <cell r="F125">
            <v>138</v>
          </cell>
          <cell r="G125">
            <v>159</v>
          </cell>
          <cell r="H125">
            <v>9.3000000000000005E-4</v>
          </cell>
          <cell r="I125">
            <v>2100</v>
          </cell>
          <cell r="J125"/>
          <cell r="K125">
            <v>170</v>
          </cell>
          <cell r="L125"/>
          <cell r="M125"/>
          <cell r="N125"/>
          <cell r="O125"/>
          <cell r="P125"/>
          <cell r="Q125"/>
          <cell r="R125">
            <v>5.3000000000000001E-7</v>
          </cell>
          <cell r="S125"/>
          <cell r="T125"/>
          <cell r="U125"/>
          <cell r="V125"/>
          <cell r="W125">
            <v>30000</v>
          </cell>
          <cell r="X125">
            <v>0.33333333333333331</v>
          </cell>
          <cell r="Y125">
            <v>0.33333333333333331</v>
          </cell>
          <cell r="Z125">
            <v>0.33333333333333331</v>
          </cell>
          <cell r="AA125"/>
        </row>
        <row r="126">
          <cell r="A126">
            <v>119</v>
          </cell>
          <cell r="B126" t="str">
            <v>ethane-1,2-diol</v>
          </cell>
          <cell r="C126" t="str">
            <v>107-21-1</v>
          </cell>
          <cell r="D126" t="str">
            <v/>
          </cell>
          <cell r="E126"/>
          <cell r="F126">
            <v>62</v>
          </cell>
          <cell r="G126">
            <v>-13</v>
          </cell>
          <cell r="H126">
            <v>7.9</v>
          </cell>
          <cell r="I126">
            <v>18</v>
          </cell>
          <cell r="J126"/>
          <cell r="K126">
            <v>4.2999999999999997E-2</v>
          </cell>
          <cell r="L126"/>
          <cell r="M126"/>
          <cell r="N126"/>
          <cell r="O126"/>
          <cell r="P126"/>
          <cell r="Q126">
            <v>3.1999999999999999E-6</v>
          </cell>
          <cell r="R126">
            <v>5.3000000000000001E-7</v>
          </cell>
          <cell r="S126"/>
          <cell r="T126">
            <v>4.1000000000000003E-8</v>
          </cell>
          <cell r="U126"/>
          <cell r="V126"/>
          <cell r="W126">
            <v>30000</v>
          </cell>
          <cell r="X126">
            <v>0.33333333333333331</v>
          </cell>
          <cell r="Y126">
            <v>0.33333333333333331</v>
          </cell>
          <cell r="Z126">
            <v>0.33333333333333331</v>
          </cell>
          <cell r="AA126"/>
        </row>
        <row r="127">
          <cell r="A127">
            <v>120</v>
          </cell>
          <cell r="B127" t="str">
            <v>2-dimethylaminoethanol</v>
          </cell>
          <cell r="C127" t="str">
            <v>108-01-0</v>
          </cell>
          <cell r="D127" t="str">
            <v/>
          </cell>
          <cell r="E127"/>
          <cell r="F127">
            <v>89</v>
          </cell>
          <cell r="G127">
            <v>-59</v>
          </cell>
          <cell r="H127">
            <v>5</v>
          </cell>
          <cell r="I127">
            <v>2.8</v>
          </cell>
          <cell r="J127"/>
          <cell r="K127">
            <v>0.28000000000000003</v>
          </cell>
          <cell r="L127"/>
          <cell r="M127"/>
          <cell r="N127"/>
          <cell r="O127"/>
          <cell r="P127"/>
          <cell r="Q127">
            <v>8.7000000000000001E-5</v>
          </cell>
          <cell r="R127">
            <v>5.3000000000000001E-7</v>
          </cell>
          <cell r="S127"/>
          <cell r="T127">
            <v>9.2999999999999999E-7</v>
          </cell>
          <cell r="U127"/>
          <cell r="V127"/>
          <cell r="W127">
            <v>30000</v>
          </cell>
          <cell r="X127">
            <v>0.33333333333333331</v>
          </cell>
          <cell r="Y127">
            <v>0.33333333333333331</v>
          </cell>
          <cell r="Z127">
            <v>0.33333333333333331</v>
          </cell>
          <cell r="AA127"/>
        </row>
        <row r="128">
          <cell r="A128">
            <v>121</v>
          </cell>
          <cell r="B128" t="str">
            <v>2-(4-chloro-2-methylphenoxy)propionic acid</v>
          </cell>
          <cell r="C128" t="str">
            <v>93-65-2</v>
          </cell>
          <cell r="D128" t="str">
            <v/>
          </cell>
          <cell r="E128"/>
          <cell r="F128">
            <v>215</v>
          </cell>
          <cell r="G128">
            <v>94</v>
          </cell>
          <cell r="H128">
            <v>0.08</v>
          </cell>
          <cell r="I128">
            <v>730</v>
          </cell>
          <cell r="J128"/>
          <cell r="K128">
            <v>15</v>
          </cell>
          <cell r="L128"/>
          <cell r="M128"/>
          <cell r="N128"/>
          <cell r="O128"/>
          <cell r="P128"/>
          <cell r="Q128"/>
          <cell r="R128">
            <v>5.3000000000000003E-10</v>
          </cell>
          <cell r="S128"/>
          <cell r="T128"/>
          <cell r="U128"/>
          <cell r="V128"/>
          <cell r="W128">
            <v>30000</v>
          </cell>
          <cell r="X128">
            <v>0.33333333333333331</v>
          </cell>
          <cell r="Y128">
            <v>0.33333333333333331</v>
          </cell>
          <cell r="Z128">
            <v>0.33333333333333331</v>
          </cell>
          <cell r="AA128"/>
        </row>
        <row r="129">
          <cell r="A129">
            <v>122</v>
          </cell>
          <cell r="B129" t="str">
            <v>2,2'-iminodiethanol</v>
          </cell>
          <cell r="C129" t="str">
            <v>111-42-2</v>
          </cell>
          <cell r="D129" t="str">
            <v/>
          </cell>
          <cell r="E129"/>
          <cell r="F129">
            <v>105</v>
          </cell>
          <cell r="G129">
            <v>28</v>
          </cell>
          <cell r="H129">
            <v>3.6999999999999998E-2</v>
          </cell>
          <cell r="I129">
            <v>95000</v>
          </cell>
          <cell r="J129"/>
          <cell r="K129">
            <v>6.6E-3</v>
          </cell>
          <cell r="L129"/>
          <cell r="M129"/>
          <cell r="N129"/>
          <cell r="O129"/>
          <cell r="P129"/>
          <cell r="Q129"/>
          <cell r="R129">
            <v>5.2999999999999998E-8</v>
          </cell>
          <cell r="S129"/>
          <cell r="T129"/>
          <cell r="U129"/>
          <cell r="V129"/>
          <cell r="W129">
            <v>30000</v>
          </cell>
          <cell r="X129">
            <v>0.33333333333333331</v>
          </cell>
          <cell r="Y129">
            <v>0.33333333333333331</v>
          </cell>
          <cell r="Z129">
            <v>0.33333333333333331</v>
          </cell>
          <cell r="AA129"/>
        </row>
        <row r="130">
          <cell r="A130">
            <v>123</v>
          </cell>
          <cell r="B130" t="str">
            <v>chloroethane</v>
          </cell>
          <cell r="C130" t="str">
            <v>75-00-3</v>
          </cell>
          <cell r="D130" t="str">
            <v/>
          </cell>
          <cell r="E130"/>
          <cell r="F130">
            <v>65</v>
          </cell>
          <cell r="G130">
            <v>-139</v>
          </cell>
          <cell r="H130">
            <v>130000</v>
          </cell>
          <cell r="I130">
            <v>5800</v>
          </cell>
          <cell r="J130"/>
          <cell r="K130">
            <v>33</v>
          </cell>
          <cell r="L130"/>
          <cell r="M130"/>
          <cell r="N130"/>
          <cell r="O130"/>
          <cell r="P130"/>
          <cell r="Q130">
            <v>1.9999999999999999E-7</v>
          </cell>
          <cell r="R130">
            <v>5.3000000000000003E-10</v>
          </cell>
          <cell r="S130"/>
          <cell r="T130">
            <v>7.5000000000000002E-7</v>
          </cell>
          <cell r="U130"/>
          <cell r="V130"/>
          <cell r="W130">
            <v>30000</v>
          </cell>
          <cell r="X130">
            <v>0.33333333333333331</v>
          </cell>
          <cell r="Y130">
            <v>0.33333333333333331</v>
          </cell>
          <cell r="Z130">
            <v>0.33333333333333331</v>
          </cell>
          <cell r="AA130"/>
        </row>
        <row r="131">
          <cell r="A131">
            <v>124</v>
          </cell>
          <cell r="B131" t="str">
            <v>naphthalene, pure</v>
          </cell>
          <cell r="C131" t="str">
            <v>91-20-3</v>
          </cell>
          <cell r="D131" t="str">
            <v/>
          </cell>
          <cell r="E131"/>
          <cell r="F131">
            <v>128</v>
          </cell>
          <cell r="G131">
            <v>79</v>
          </cell>
          <cell r="H131">
            <v>8</v>
          </cell>
          <cell r="I131">
            <v>34</v>
          </cell>
          <cell r="J131"/>
          <cell r="K131">
            <v>2200</v>
          </cell>
          <cell r="L131"/>
          <cell r="M131"/>
          <cell r="N131"/>
          <cell r="O131"/>
          <cell r="P131"/>
          <cell r="Q131">
            <v>4.0000000000000003E-5</v>
          </cell>
          <cell r="R131">
            <v>5.2999999999999998E-8</v>
          </cell>
          <cell r="S131"/>
          <cell r="T131">
            <v>1.6999999999999999E-7</v>
          </cell>
          <cell r="U131"/>
          <cell r="V131"/>
          <cell r="W131">
            <v>30000</v>
          </cell>
          <cell r="X131">
            <v>0.33333333333333331</v>
          </cell>
          <cell r="Y131">
            <v>0.33333333333333331</v>
          </cell>
          <cell r="Z131">
            <v>0.33333333333333331</v>
          </cell>
          <cell r="AA131"/>
        </row>
        <row r="132">
          <cell r="A132">
            <v>125</v>
          </cell>
          <cell r="B132" t="str">
            <v>octadecylamine</v>
          </cell>
          <cell r="C132" t="str">
            <v>124-30-1</v>
          </cell>
          <cell r="D132" t="str">
            <v/>
          </cell>
          <cell r="E132"/>
          <cell r="F132">
            <v>270</v>
          </cell>
          <cell r="G132">
            <v>51</v>
          </cell>
          <cell r="H132">
            <v>1.1999999999999999E-3</v>
          </cell>
          <cell r="I132">
            <v>9.5000000000000005E-5</v>
          </cell>
          <cell r="J132"/>
          <cell r="K132">
            <v>15000000</v>
          </cell>
          <cell r="L132"/>
          <cell r="M132"/>
          <cell r="N132"/>
          <cell r="O132"/>
          <cell r="P132"/>
          <cell r="Q132">
            <v>4.5000000000000003E-5</v>
          </cell>
          <cell r="R132">
            <v>5.2999999999999998E-8</v>
          </cell>
          <cell r="S132"/>
          <cell r="T132">
            <v>1.5E-6</v>
          </cell>
          <cell r="U132"/>
          <cell r="V132"/>
          <cell r="W132">
            <v>30000</v>
          </cell>
          <cell r="X132">
            <v>0.33333333333333331</v>
          </cell>
          <cell r="Y132">
            <v>0.33333333333333331</v>
          </cell>
          <cell r="Z132">
            <v>0.33333333333333331</v>
          </cell>
          <cell r="AA132"/>
        </row>
        <row r="133">
          <cell r="A133">
            <v>126</v>
          </cell>
          <cell r="B133" t="str">
            <v>2,4-dinitrotoluene</v>
          </cell>
          <cell r="C133" t="str">
            <v>121-14-2</v>
          </cell>
          <cell r="D133" t="str">
            <v/>
          </cell>
          <cell r="E133"/>
          <cell r="F133">
            <v>182</v>
          </cell>
          <cell r="G133">
            <v>69</v>
          </cell>
          <cell r="H133">
            <v>11</v>
          </cell>
          <cell r="I133">
            <v>300</v>
          </cell>
          <cell r="J133"/>
          <cell r="K133">
            <v>110</v>
          </cell>
          <cell r="L133"/>
          <cell r="M133"/>
          <cell r="N133"/>
          <cell r="O133"/>
          <cell r="P133"/>
          <cell r="Q133">
            <v>2.5999999999999998E-5</v>
          </cell>
          <cell r="R133">
            <v>5.3000000000000003E-10</v>
          </cell>
          <cell r="S133"/>
          <cell r="T133">
            <v>7.7000000000000004E-7</v>
          </cell>
          <cell r="U133"/>
          <cell r="V133"/>
          <cell r="W133">
            <v>30000</v>
          </cell>
          <cell r="X133">
            <v>0.33333333333333331</v>
          </cell>
          <cell r="Y133">
            <v>0.33333333333333331</v>
          </cell>
          <cell r="Z133">
            <v>0.33333333333333331</v>
          </cell>
          <cell r="AA133"/>
        </row>
        <row r="134">
          <cell r="A134">
            <v>127</v>
          </cell>
          <cell r="B134" t="str">
            <v>acrylamide</v>
          </cell>
          <cell r="C134">
            <v>29007</v>
          </cell>
          <cell r="D134" t="str">
            <v/>
          </cell>
          <cell r="E134"/>
          <cell r="F134">
            <v>71</v>
          </cell>
          <cell r="G134">
            <v>60</v>
          </cell>
          <cell r="H134">
            <v>2000</v>
          </cell>
          <cell r="I134">
            <v>2000000</v>
          </cell>
          <cell r="J134"/>
          <cell r="K134">
            <v>0.11</v>
          </cell>
          <cell r="L134"/>
          <cell r="M134"/>
          <cell r="N134"/>
          <cell r="O134"/>
          <cell r="P134"/>
          <cell r="Q134">
            <v>9.5999999999999996E-6</v>
          </cell>
          <cell r="R134">
            <v>5.3000000000000001E-7</v>
          </cell>
          <cell r="S134"/>
          <cell r="T134">
            <v>4.5000000000000001E-6</v>
          </cell>
          <cell r="U134"/>
          <cell r="V134"/>
          <cell r="W134">
            <v>30000</v>
          </cell>
          <cell r="X134">
            <v>0.33333333333333331</v>
          </cell>
          <cell r="Y134">
            <v>0.33333333333333331</v>
          </cell>
          <cell r="Z134">
            <v>0.33333333333333331</v>
          </cell>
          <cell r="AA134"/>
        </row>
        <row r="135">
          <cell r="A135">
            <v>128</v>
          </cell>
          <cell r="B135" t="str">
            <v>cumene</v>
          </cell>
          <cell r="C135" t="str">
            <v>98-82-8</v>
          </cell>
          <cell r="D135" t="str">
            <v/>
          </cell>
          <cell r="E135"/>
          <cell r="F135">
            <v>120</v>
          </cell>
          <cell r="G135">
            <v>-96</v>
          </cell>
          <cell r="H135">
            <v>500</v>
          </cell>
          <cell r="I135">
            <v>61</v>
          </cell>
          <cell r="J135"/>
          <cell r="K135">
            <v>3500</v>
          </cell>
          <cell r="L135"/>
          <cell r="M135"/>
          <cell r="N135"/>
          <cell r="O135"/>
          <cell r="P135"/>
          <cell r="Q135">
            <v>6.8000000000000001E-6</v>
          </cell>
          <cell r="R135">
            <v>5.3000000000000003E-10</v>
          </cell>
          <cell r="S135"/>
          <cell r="T135">
            <v>1.9000000000000001E-7</v>
          </cell>
          <cell r="U135"/>
          <cell r="V135"/>
          <cell r="W135">
            <v>30000</v>
          </cell>
          <cell r="X135">
            <v>0.33333333333333331</v>
          </cell>
          <cell r="Y135">
            <v>0.33333333333333331</v>
          </cell>
          <cell r="Z135">
            <v>0.33333333333333331</v>
          </cell>
          <cell r="AA135"/>
        </row>
        <row r="136">
          <cell r="A136">
            <v>129</v>
          </cell>
          <cell r="B136" t="str">
            <v>propan-1-ol</v>
          </cell>
          <cell r="C136" t="str">
            <v>71-23-8</v>
          </cell>
          <cell r="D136" t="str">
            <v/>
          </cell>
          <cell r="E136"/>
          <cell r="F136">
            <v>60</v>
          </cell>
          <cell r="G136">
            <v>-96</v>
          </cell>
          <cell r="H136">
            <v>1900</v>
          </cell>
          <cell r="I136">
            <v>1000000</v>
          </cell>
          <cell r="J136"/>
          <cell r="K136">
            <v>2</v>
          </cell>
          <cell r="L136"/>
          <cell r="M136"/>
          <cell r="N136"/>
          <cell r="O136"/>
          <cell r="P136"/>
          <cell r="Q136">
            <v>2.7E-6</v>
          </cell>
          <cell r="R136">
            <v>5.2999999999999998E-8</v>
          </cell>
          <cell r="S136"/>
          <cell r="T136">
            <v>4.1000000000000003E-8</v>
          </cell>
          <cell r="U136"/>
          <cell r="V136"/>
          <cell r="W136">
            <v>30000</v>
          </cell>
          <cell r="X136">
            <v>0.33333333333333331</v>
          </cell>
          <cell r="Y136">
            <v>0.33333333333333331</v>
          </cell>
          <cell r="Z136">
            <v>0.33333333333333331</v>
          </cell>
          <cell r="AA136"/>
        </row>
        <row r="137">
          <cell r="A137">
            <v>130</v>
          </cell>
          <cell r="B137" t="str">
            <v>anthraquinone</v>
          </cell>
          <cell r="C137" t="str">
            <v>84-65-1</v>
          </cell>
          <cell r="D137" t="str">
            <v/>
          </cell>
          <cell r="E137"/>
          <cell r="F137">
            <v>208</v>
          </cell>
          <cell r="G137">
            <v>286</v>
          </cell>
          <cell r="H137">
            <v>7.4000000000000001E-7</v>
          </cell>
          <cell r="I137">
            <v>0.13</v>
          </cell>
          <cell r="J137"/>
          <cell r="K137">
            <v>2500</v>
          </cell>
          <cell r="L137"/>
          <cell r="M137"/>
          <cell r="N137"/>
          <cell r="O137"/>
          <cell r="P137"/>
          <cell r="Q137"/>
          <cell r="R137">
            <v>5.3000000000000003E-10</v>
          </cell>
          <cell r="S137"/>
          <cell r="T137"/>
          <cell r="U137"/>
          <cell r="V137"/>
          <cell r="W137">
            <v>30000</v>
          </cell>
          <cell r="X137">
            <v>0.33333333333333331</v>
          </cell>
          <cell r="Y137">
            <v>0.33333333333333331</v>
          </cell>
          <cell r="Z137">
            <v>0.33333333333333331</v>
          </cell>
          <cell r="AA137"/>
        </row>
        <row r="138">
          <cell r="A138">
            <v>131</v>
          </cell>
          <cell r="B138" t="str">
            <v>propane-1,2-diol</v>
          </cell>
          <cell r="C138" t="str">
            <v>57-55-6</v>
          </cell>
          <cell r="D138" t="str">
            <v/>
          </cell>
          <cell r="E138"/>
          <cell r="F138">
            <v>76</v>
          </cell>
          <cell r="G138">
            <v>-60</v>
          </cell>
          <cell r="H138">
            <v>11</v>
          </cell>
          <cell r="I138">
            <v>9.4</v>
          </cell>
          <cell r="J138"/>
          <cell r="K138">
            <v>0.2</v>
          </cell>
          <cell r="L138"/>
          <cell r="M138"/>
          <cell r="N138"/>
          <cell r="O138"/>
          <cell r="P138"/>
          <cell r="Q138">
            <v>6.8000000000000001E-6</v>
          </cell>
          <cell r="R138">
            <v>5.3000000000000001E-7</v>
          </cell>
          <cell r="S138"/>
          <cell r="T138">
            <v>3.1000000000000001E-5</v>
          </cell>
          <cell r="U138"/>
          <cell r="V138"/>
          <cell r="W138">
            <v>30000</v>
          </cell>
          <cell r="X138">
            <v>0.33333333333333331</v>
          </cell>
          <cell r="Y138">
            <v>0.33333333333333331</v>
          </cell>
          <cell r="Z138">
            <v>0.33333333333333331</v>
          </cell>
          <cell r="AA138"/>
        </row>
        <row r="139">
          <cell r="A139">
            <v>132</v>
          </cell>
          <cell r="B139" t="str">
            <v>vinyltoluene</v>
          </cell>
          <cell r="C139" t="str">
            <v>25013-15-4</v>
          </cell>
          <cell r="D139" t="str">
            <v/>
          </cell>
          <cell r="E139"/>
          <cell r="F139">
            <v>118</v>
          </cell>
          <cell r="G139">
            <v>-77</v>
          </cell>
          <cell r="H139">
            <v>150</v>
          </cell>
          <cell r="I139">
            <v>89</v>
          </cell>
          <cell r="J139"/>
          <cell r="K139">
            <v>2300</v>
          </cell>
          <cell r="L139"/>
          <cell r="M139"/>
          <cell r="N139"/>
          <cell r="O139"/>
          <cell r="P139"/>
          <cell r="Q139"/>
          <cell r="R139">
            <v>5.3000000000000003E-10</v>
          </cell>
          <cell r="S139"/>
          <cell r="T139"/>
          <cell r="U139"/>
          <cell r="V139"/>
          <cell r="W139">
            <v>30000</v>
          </cell>
          <cell r="X139">
            <v>0.33333333333333331</v>
          </cell>
          <cell r="Y139">
            <v>0.33333333333333331</v>
          </cell>
          <cell r="Z139">
            <v>0.33333333333333331</v>
          </cell>
          <cell r="AA139"/>
        </row>
        <row r="140">
          <cell r="A140">
            <v>133</v>
          </cell>
          <cell r="B140" t="str">
            <v>7-methyl-3-methyleneocta-1,6-diene</v>
          </cell>
          <cell r="C140" t="str">
            <v>123-35-3</v>
          </cell>
          <cell r="D140" t="str">
            <v/>
          </cell>
          <cell r="E140"/>
          <cell r="F140">
            <v>136</v>
          </cell>
          <cell r="G140"/>
          <cell r="H140">
            <v>2.2000000000000002</v>
          </cell>
          <cell r="I140">
            <v>4.7</v>
          </cell>
          <cell r="J140"/>
          <cell r="K140">
            <v>20000</v>
          </cell>
          <cell r="L140"/>
          <cell r="M140"/>
          <cell r="N140"/>
          <cell r="O140"/>
          <cell r="P140"/>
          <cell r="Q140"/>
          <cell r="R140">
            <v>5.3000000000000001E-7</v>
          </cell>
          <cell r="S140"/>
          <cell r="T140"/>
          <cell r="U140"/>
          <cell r="V140"/>
          <cell r="W140">
            <v>30000</v>
          </cell>
          <cell r="X140">
            <v>0.33333333333333331</v>
          </cell>
          <cell r="Y140">
            <v>0.33333333333333331</v>
          </cell>
          <cell r="Z140">
            <v>0.33333333333333331</v>
          </cell>
          <cell r="AA140"/>
        </row>
        <row r="141">
          <cell r="A141">
            <v>134</v>
          </cell>
          <cell r="B141" t="str">
            <v>isophthalic acid</v>
          </cell>
          <cell r="C141" t="str">
            <v>121-91-5</v>
          </cell>
          <cell r="D141" t="str">
            <v/>
          </cell>
          <cell r="E141"/>
          <cell r="F141">
            <v>166</v>
          </cell>
          <cell r="G141">
            <v>347</v>
          </cell>
          <cell r="H141">
            <v>1.2999999999999999E-4</v>
          </cell>
          <cell r="I141">
            <v>5400</v>
          </cell>
          <cell r="J141"/>
          <cell r="K141">
            <v>4.4999999999999997E-3</v>
          </cell>
          <cell r="L141"/>
          <cell r="M141"/>
          <cell r="N141"/>
          <cell r="O141"/>
          <cell r="P141"/>
          <cell r="Q141"/>
          <cell r="R141">
            <v>5.3000000000000001E-7</v>
          </cell>
          <cell r="S141"/>
          <cell r="T141"/>
          <cell r="U141"/>
          <cell r="V141"/>
          <cell r="W141">
            <v>30000</v>
          </cell>
          <cell r="X141">
            <v>0.33333333333333331</v>
          </cell>
          <cell r="Y141">
            <v>0.33333333333333331</v>
          </cell>
          <cell r="Z141">
            <v>0.33333333333333331</v>
          </cell>
          <cell r="AA141"/>
        </row>
        <row r="142">
          <cell r="A142">
            <v>135</v>
          </cell>
          <cell r="B142" t="str">
            <v>2,2'-[(3,3'-dichloro[1,1'-biphenyl]-4,4'-diyl)bis(azo)]bis[3-oxo-N-phenylbutyramide]</v>
          </cell>
          <cell r="C142" t="str">
            <v>6358-85-6</v>
          </cell>
          <cell r="D142" t="str">
            <v/>
          </cell>
          <cell r="E142"/>
          <cell r="F142">
            <v>630</v>
          </cell>
          <cell r="G142">
            <v>350</v>
          </cell>
          <cell r="H142">
            <v>1.5E-21</v>
          </cell>
          <cell r="I142">
            <v>1.4999999999999999E-2</v>
          </cell>
          <cell r="J142"/>
          <cell r="K142">
            <v>1100000</v>
          </cell>
          <cell r="L142"/>
          <cell r="M142"/>
          <cell r="N142"/>
          <cell r="O142"/>
          <cell r="P142"/>
          <cell r="Q142"/>
          <cell r="R142">
            <v>5.3000000000000003E-10</v>
          </cell>
          <cell r="S142"/>
          <cell r="T142"/>
          <cell r="U142"/>
          <cell r="V142"/>
          <cell r="W142">
            <v>30000</v>
          </cell>
          <cell r="X142">
            <v>0.33333333333333331</v>
          </cell>
          <cell r="Y142">
            <v>0.33333333333333331</v>
          </cell>
          <cell r="Z142">
            <v>0.33333333333333331</v>
          </cell>
          <cell r="AA142"/>
        </row>
        <row r="143">
          <cell r="A143">
            <v>136</v>
          </cell>
          <cell r="B143" t="str">
            <v>2-naphthol</v>
          </cell>
          <cell r="C143" t="str">
            <v>135-19-3</v>
          </cell>
          <cell r="D143" t="str">
            <v/>
          </cell>
          <cell r="E143"/>
          <cell r="F143">
            <v>144</v>
          </cell>
          <cell r="G143">
            <v>121</v>
          </cell>
          <cell r="H143">
            <v>2.2000000000000001E-3</v>
          </cell>
          <cell r="I143">
            <v>600</v>
          </cell>
          <cell r="J143"/>
          <cell r="K143">
            <v>450</v>
          </cell>
          <cell r="L143"/>
          <cell r="M143"/>
          <cell r="N143"/>
          <cell r="O143"/>
          <cell r="P143"/>
          <cell r="Q143">
            <v>4.1999999999999998E-5</v>
          </cell>
          <cell r="R143">
            <v>5.3000000000000001E-7</v>
          </cell>
          <cell r="S143"/>
          <cell r="T143">
            <v>1.1000000000000001E-6</v>
          </cell>
          <cell r="U143"/>
          <cell r="V143"/>
          <cell r="W143">
            <v>30000</v>
          </cell>
          <cell r="X143">
            <v>0.33333333333333331</v>
          </cell>
          <cell r="Y143">
            <v>0.33333333333333331</v>
          </cell>
          <cell r="Z143">
            <v>0.33333333333333331</v>
          </cell>
          <cell r="AA143"/>
        </row>
        <row r="144">
          <cell r="A144">
            <v>137</v>
          </cell>
          <cell r="B144" t="str">
            <v>tris(2-chloro-1-methylethyl) phosphate</v>
          </cell>
          <cell r="C144" t="str">
            <v>13674-84-5</v>
          </cell>
          <cell r="D144" t="str">
            <v/>
          </cell>
          <cell r="E144"/>
          <cell r="F144">
            <v>322</v>
          </cell>
          <cell r="G144">
            <v>-36</v>
          </cell>
          <cell r="H144">
            <v>1.1E-4</v>
          </cell>
          <cell r="I144">
            <v>1600</v>
          </cell>
          <cell r="J144"/>
          <cell r="K144">
            <v>2100</v>
          </cell>
          <cell r="L144"/>
          <cell r="M144"/>
          <cell r="N144"/>
          <cell r="O144"/>
          <cell r="P144"/>
          <cell r="Q144"/>
          <cell r="R144">
            <v>5.3000000000000003E-10</v>
          </cell>
          <cell r="S144"/>
          <cell r="T144"/>
          <cell r="U144"/>
          <cell r="V144"/>
          <cell r="W144">
            <v>30000</v>
          </cell>
          <cell r="X144">
            <v>0.33333333333333331</v>
          </cell>
          <cell r="Y144">
            <v>0.33333333333333331</v>
          </cell>
          <cell r="Z144">
            <v>0.33333333333333331</v>
          </cell>
          <cell r="AA144"/>
        </row>
        <row r="145">
          <cell r="A145">
            <v>138</v>
          </cell>
          <cell r="B145" t="str">
            <v>2,2-dimethylpropane-1,3-diol</v>
          </cell>
          <cell r="C145" t="str">
            <v>126-30-7</v>
          </cell>
          <cell r="D145" t="str">
            <v/>
          </cell>
          <cell r="E145"/>
          <cell r="F145">
            <v>104</v>
          </cell>
          <cell r="G145">
            <v>127</v>
          </cell>
          <cell r="H145">
            <v>3</v>
          </cell>
          <cell r="I145">
            <v>4400000</v>
          </cell>
          <cell r="J145"/>
          <cell r="K145">
            <v>1.3</v>
          </cell>
          <cell r="L145"/>
          <cell r="M145"/>
          <cell r="N145"/>
          <cell r="O145"/>
          <cell r="P145"/>
          <cell r="Q145">
            <v>6.1E-6</v>
          </cell>
          <cell r="R145">
            <v>5.3000000000000003E-10</v>
          </cell>
          <cell r="S145"/>
          <cell r="T145">
            <v>4.5999999999999999E-7</v>
          </cell>
          <cell r="U145"/>
          <cell r="V145"/>
          <cell r="W145">
            <v>30000</v>
          </cell>
          <cell r="X145">
            <v>0.33333333333333331</v>
          </cell>
          <cell r="Y145">
            <v>0.33333333333333331</v>
          </cell>
          <cell r="Z145">
            <v>0.33333333333333331</v>
          </cell>
          <cell r="AA145"/>
        </row>
        <row r="146">
          <cell r="A146">
            <v>139</v>
          </cell>
          <cell r="B146" t="str">
            <v>cyclohexylamine</v>
          </cell>
          <cell r="C146" t="str">
            <v>108-91-8</v>
          </cell>
          <cell r="D146" t="str">
            <v/>
          </cell>
          <cell r="E146"/>
          <cell r="F146">
            <v>99</v>
          </cell>
          <cell r="G146">
            <v>-18</v>
          </cell>
          <cell r="H146">
            <v>840</v>
          </cell>
          <cell r="I146">
            <v>1.2999999999999999E-2</v>
          </cell>
          <cell r="J146"/>
          <cell r="K146">
            <v>16</v>
          </cell>
          <cell r="L146"/>
          <cell r="M146"/>
          <cell r="N146"/>
          <cell r="O146"/>
          <cell r="P146"/>
          <cell r="Q146"/>
          <cell r="R146">
            <v>5.2999999999999998E-8</v>
          </cell>
          <cell r="S146"/>
          <cell r="T146"/>
          <cell r="U146"/>
          <cell r="V146"/>
          <cell r="W146">
            <v>30000</v>
          </cell>
          <cell r="X146">
            <v>0.33333333333333331</v>
          </cell>
          <cell r="Y146">
            <v>0.33333333333333331</v>
          </cell>
          <cell r="Z146">
            <v>0.33333333333333331</v>
          </cell>
          <cell r="AA146"/>
        </row>
        <row r="147">
          <cell r="A147">
            <v>140</v>
          </cell>
          <cell r="B147" t="str">
            <v>1-chloro-2,4-dinitrobenzene</v>
          </cell>
          <cell r="C147" t="str">
            <v>97-00-7</v>
          </cell>
          <cell r="D147" t="str">
            <v/>
          </cell>
          <cell r="E147"/>
          <cell r="F147">
            <v>203</v>
          </cell>
          <cell r="G147">
            <v>50</v>
          </cell>
          <cell r="H147">
            <v>0.01</v>
          </cell>
          <cell r="I147">
            <v>360</v>
          </cell>
          <cell r="J147"/>
          <cell r="K147">
            <v>130</v>
          </cell>
          <cell r="L147"/>
          <cell r="M147"/>
          <cell r="N147"/>
          <cell r="O147"/>
          <cell r="P147"/>
          <cell r="Q147">
            <v>1.3000000000000001E-8</v>
          </cell>
          <cell r="R147">
            <v>5.3000000000000003E-10</v>
          </cell>
          <cell r="S147"/>
          <cell r="T147">
            <v>7.1999999999999996E-8</v>
          </cell>
          <cell r="U147"/>
          <cell r="V147"/>
          <cell r="W147">
            <v>30000</v>
          </cell>
          <cell r="X147">
            <v>0.33333333333333331</v>
          </cell>
          <cell r="Y147">
            <v>0.33333333333333331</v>
          </cell>
          <cell r="Z147">
            <v>0.33333333333333331</v>
          </cell>
          <cell r="AA147"/>
        </row>
        <row r="148">
          <cell r="A148">
            <v>141</v>
          </cell>
          <cell r="B148" t="str">
            <v>1,1,1-trichloroethane</v>
          </cell>
          <cell r="C148" t="str">
            <v>71-55-6</v>
          </cell>
          <cell r="D148" t="str">
            <v/>
          </cell>
          <cell r="E148"/>
          <cell r="F148">
            <v>133</v>
          </cell>
          <cell r="G148">
            <v>-33</v>
          </cell>
          <cell r="H148">
            <v>13000</v>
          </cell>
          <cell r="I148">
            <v>4400</v>
          </cell>
          <cell r="J148"/>
          <cell r="K148">
            <v>300</v>
          </cell>
          <cell r="L148"/>
          <cell r="M148"/>
          <cell r="N148"/>
          <cell r="O148"/>
          <cell r="P148"/>
          <cell r="Q148">
            <v>2.1999999999999998E-8</v>
          </cell>
          <cell r="R148">
            <v>5.3000000000000003E-10</v>
          </cell>
          <cell r="S148"/>
          <cell r="T148">
            <v>1.1000000000000001E-6</v>
          </cell>
          <cell r="U148"/>
          <cell r="V148"/>
          <cell r="W148">
            <v>30000</v>
          </cell>
          <cell r="X148">
            <v>0.33333333333333331</v>
          </cell>
          <cell r="Y148">
            <v>0.33333333333333331</v>
          </cell>
          <cell r="Z148">
            <v>0.33333333333333331</v>
          </cell>
          <cell r="AA148"/>
        </row>
        <row r="149">
          <cell r="A149">
            <v>142</v>
          </cell>
          <cell r="B149" t="str">
            <v>diisobutyl phthalate</v>
          </cell>
          <cell r="C149" t="str">
            <v>84-69-5</v>
          </cell>
          <cell r="D149" t="str">
            <v/>
          </cell>
          <cell r="E149"/>
          <cell r="F149">
            <v>278</v>
          </cell>
          <cell r="G149">
            <v>-52</v>
          </cell>
          <cell r="H149">
            <v>1.2</v>
          </cell>
          <cell r="I149">
            <v>20</v>
          </cell>
          <cell r="J149"/>
          <cell r="K149">
            <v>13000</v>
          </cell>
          <cell r="L149"/>
          <cell r="M149"/>
          <cell r="N149"/>
          <cell r="O149"/>
          <cell r="P149"/>
          <cell r="Q149">
            <v>5.5999999999999997E-6</v>
          </cell>
          <cell r="R149">
            <v>5.3000000000000001E-7</v>
          </cell>
          <cell r="S149"/>
          <cell r="T149">
            <v>8.7000000000000003E-7</v>
          </cell>
          <cell r="U149"/>
          <cell r="V149"/>
          <cell r="W149">
            <v>30000</v>
          </cell>
          <cell r="X149">
            <v>0.33333333333333331</v>
          </cell>
          <cell r="Y149">
            <v>0.33333333333333331</v>
          </cell>
          <cell r="Z149">
            <v>0.33333333333333331</v>
          </cell>
          <cell r="AA149"/>
        </row>
        <row r="150">
          <cell r="A150">
            <v>143</v>
          </cell>
          <cell r="B150" t="str">
            <v>2-ethylhexyl mercaptoacetate</v>
          </cell>
          <cell r="C150" t="str">
            <v>7659-86-1</v>
          </cell>
          <cell r="D150" t="str">
            <v/>
          </cell>
          <cell r="E150"/>
          <cell r="F150">
            <v>204</v>
          </cell>
          <cell r="G150"/>
          <cell r="H150">
            <v>0.8</v>
          </cell>
          <cell r="I150">
            <v>30</v>
          </cell>
          <cell r="J150"/>
          <cell r="K150">
            <v>270</v>
          </cell>
          <cell r="L150"/>
          <cell r="M150"/>
          <cell r="N150"/>
          <cell r="O150"/>
          <cell r="P150"/>
          <cell r="Q150"/>
          <cell r="R150">
            <v>5.3000000000000003E-10</v>
          </cell>
          <cell r="S150"/>
          <cell r="T150"/>
          <cell r="U150"/>
          <cell r="V150"/>
          <cell r="W150">
            <v>30000</v>
          </cell>
          <cell r="X150">
            <v>0.33333333333333331</v>
          </cell>
          <cell r="Y150">
            <v>0.33333333333333331</v>
          </cell>
          <cell r="Z150">
            <v>0.33333333333333331</v>
          </cell>
          <cell r="AA150"/>
        </row>
        <row r="151">
          <cell r="A151">
            <v>144</v>
          </cell>
          <cell r="B151" t="str">
            <v>tert-butyl hydroperoxide</v>
          </cell>
          <cell r="C151" t="str">
            <v>75-91-2</v>
          </cell>
          <cell r="D151" t="str">
            <v/>
          </cell>
          <cell r="E151"/>
          <cell r="F151">
            <v>90</v>
          </cell>
          <cell r="G151">
            <v>-3</v>
          </cell>
          <cell r="H151">
            <v>3100</v>
          </cell>
          <cell r="I151">
            <v>20000</v>
          </cell>
          <cell r="J151"/>
          <cell r="K151">
            <v>5</v>
          </cell>
          <cell r="L151"/>
          <cell r="M151"/>
          <cell r="N151"/>
          <cell r="O151"/>
          <cell r="P151"/>
          <cell r="Q151">
            <v>4.8999999999999997E-6</v>
          </cell>
          <cell r="R151">
            <v>5.3000000000000003E-10</v>
          </cell>
          <cell r="S151"/>
          <cell r="T151">
            <v>4.7E-7</v>
          </cell>
          <cell r="U151"/>
          <cell r="V151"/>
          <cell r="W151">
            <v>30000</v>
          </cell>
          <cell r="X151">
            <v>0.33333333333333331</v>
          </cell>
          <cell r="Y151">
            <v>0.33333333333333331</v>
          </cell>
          <cell r="Z151">
            <v>0.33333333333333331</v>
          </cell>
          <cell r="AA151"/>
        </row>
        <row r="152">
          <cell r="A152">
            <v>145</v>
          </cell>
          <cell r="B152" t="str">
            <v>N-isopropyl-N'-phenyl-p-phenylenediamine</v>
          </cell>
          <cell r="C152" t="str">
            <v>101-72-4</v>
          </cell>
          <cell r="D152" t="str">
            <v/>
          </cell>
          <cell r="E152"/>
          <cell r="F152">
            <v>226</v>
          </cell>
          <cell r="G152">
            <v>74</v>
          </cell>
          <cell r="H152">
            <v>1.7E-6</v>
          </cell>
          <cell r="I152">
            <v>19</v>
          </cell>
          <cell r="J152"/>
          <cell r="K152">
            <v>10000</v>
          </cell>
          <cell r="L152"/>
          <cell r="M152"/>
          <cell r="N152"/>
          <cell r="O152"/>
          <cell r="P152"/>
          <cell r="Q152">
            <v>1.6000000000000001E-4</v>
          </cell>
          <cell r="R152">
            <v>5.3000000000000003E-10</v>
          </cell>
          <cell r="S152"/>
          <cell r="T152">
            <v>3.8000000000000001E-7</v>
          </cell>
          <cell r="U152"/>
          <cell r="V152"/>
          <cell r="W152">
            <v>30000</v>
          </cell>
          <cell r="X152">
            <v>0.33333333333333331</v>
          </cell>
          <cell r="Y152">
            <v>0.33333333333333331</v>
          </cell>
          <cell r="Z152">
            <v>0.33333333333333331</v>
          </cell>
          <cell r="AA152"/>
        </row>
        <row r="153">
          <cell r="A153">
            <v>146</v>
          </cell>
          <cell r="B153" t="str">
            <v>butyric acid</v>
          </cell>
          <cell r="C153" t="str">
            <v>107-92-6</v>
          </cell>
          <cell r="D153" t="str">
            <v/>
          </cell>
          <cell r="E153"/>
          <cell r="F153">
            <v>88</v>
          </cell>
          <cell r="G153">
            <v>-6</v>
          </cell>
          <cell r="H153">
            <v>56</v>
          </cell>
          <cell r="I153">
            <v>5.2999999999999999E-2</v>
          </cell>
          <cell r="J153"/>
          <cell r="K153">
            <v>6.2</v>
          </cell>
          <cell r="L153"/>
          <cell r="M153"/>
          <cell r="N153"/>
          <cell r="O153"/>
          <cell r="P153"/>
          <cell r="Q153"/>
          <cell r="R153">
            <v>5.3000000000000003E-10</v>
          </cell>
          <cell r="S153"/>
          <cell r="T153"/>
          <cell r="U153"/>
          <cell r="V153"/>
          <cell r="W153">
            <v>30000</v>
          </cell>
          <cell r="X153">
            <v>0.33333333333333331</v>
          </cell>
          <cell r="Y153">
            <v>0.33333333333333331</v>
          </cell>
          <cell r="Z153">
            <v>0.33333333333333331</v>
          </cell>
          <cell r="AA153"/>
        </row>
        <row r="154">
          <cell r="A154">
            <v>147</v>
          </cell>
          <cell r="B154" t="str">
            <v>hexabromocyclododecane</v>
          </cell>
          <cell r="C154" t="str">
            <v>25637-99-4</v>
          </cell>
          <cell r="D154" t="str">
            <v/>
          </cell>
          <cell r="E154"/>
          <cell r="F154">
            <v>642</v>
          </cell>
          <cell r="G154">
            <v>185</v>
          </cell>
          <cell r="H154">
            <v>1</v>
          </cell>
          <cell r="I154">
            <v>8.0000000000000002E-3</v>
          </cell>
          <cell r="J154"/>
          <cell r="K154">
            <v>650000</v>
          </cell>
          <cell r="L154"/>
          <cell r="M154"/>
          <cell r="N154"/>
          <cell r="O154"/>
          <cell r="P154"/>
          <cell r="Q154">
            <v>4.6E-6</v>
          </cell>
          <cell r="R154">
            <v>5.3000000000000003E-10</v>
          </cell>
          <cell r="S154"/>
          <cell r="T154">
            <v>1.3E-7</v>
          </cell>
          <cell r="U154"/>
          <cell r="V154"/>
          <cell r="W154">
            <v>30000</v>
          </cell>
          <cell r="X154">
            <v>0.33333333333333331</v>
          </cell>
          <cell r="Y154">
            <v>0.33333333333333331</v>
          </cell>
          <cell r="Z154">
            <v>0.33333333333333331</v>
          </cell>
          <cell r="AA154"/>
        </row>
        <row r="155">
          <cell r="A155">
            <v>148</v>
          </cell>
          <cell r="B155" t="str">
            <v>dichlorodifluoromethane</v>
          </cell>
          <cell r="C155" t="str">
            <v>75-71-8</v>
          </cell>
          <cell r="D155" t="str">
            <v/>
          </cell>
          <cell r="E155"/>
          <cell r="F155">
            <v>121</v>
          </cell>
          <cell r="G155">
            <v>-158</v>
          </cell>
          <cell r="H155">
            <v>860</v>
          </cell>
          <cell r="I155">
            <v>330</v>
          </cell>
          <cell r="J155"/>
          <cell r="K155">
            <v>160</v>
          </cell>
          <cell r="L155"/>
          <cell r="M155"/>
          <cell r="N155"/>
          <cell r="O155"/>
          <cell r="P155"/>
          <cell r="Q155">
            <v>5.0000000000000003E-10</v>
          </cell>
          <cell r="R155">
            <v>5.3000000000000003E-10</v>
          </cell>
          <cell r="S155"/>
          <cell r="T155">
            <v>1.6E-7</v>
          </cell>
          <cell r="U155"/>
          <cell r="V155"/>
          <cell r="W155">
            <v>30000</v>
          </cell>
          <cell r="X155">
            <v>0.33333333333333331</v>
          </cell>
          <cell r="Y155">
            <v>0.33333333333333331</v>
          </cell>
          <cell r="Z155">
            <v>0.33333333333333331</v>
          </cell>
          <cell r="AA155"/>
        </row>
        <row r="156">
          <cell r="A156">
            <v>149</v>
          </cell>
          <cell r="B156" t="str">
            <v>dibutyl phthalate</v>
          </cell>
          <cell r="C156" t="str">
            <v>84-74-2</v>
          </cell>
          <cell r="D156" t="str">
            <v/>
          </cell>
          <cell r="E156"/>
          <cell r="F156">
            <v>278</v>
          </cell>
          <cell r="G156">
            <v>-35</v>
          </cell>
          <cell r="H156">
            <v>9.7000000000000003E-3</v>
          </cell>
          <cell r="I156">
            <v>10</v>
          </cell>
          <cell r="J156"/>
          <cell r="K156">
            <v>37000</v>
          </cell>
          <cell r="L156"/>
          <cell r="M156"/>
          <cell r="N156"/>
          <cell r="O156"/>
          <cell r="P156"/>
          <cell r="Q156">
            <v>2.7999999999999999E-6</v>
          </cell>
          <cell r="R156">
            <v>5.3000000000000001E-7</v>
          </cell>
          <cell r="S156"/>
          <cell r="T156">
            <v>4.1000000000000003E-8</v>
          </cell>
          <cell r="U156"/>
          <cell r="V156"/>
          <cell r="W156">
            <v>30000</v>
          </cell>
          <cell r="X156">
            <v>0.33333333333333331</v>
          </cell>
          <cell r="Y156">
            <v>0.33333333333333331</v>
          </cell>
          <cell r="Z156">
            <v>0.33333333333333331</v>
          </cell>
          <cell r="AA156"/>
        </row>
        <row r="157">
          <cell r="A157">
            <v>150</v>
          </cell>
          <cell r="B157" t="str">
            <v>decan-1-ol</v>
          </cell>
          <cell r="C157" t="str">
            <v>112-30-1</v>
          </cell>
          <cell r="D157" t="str">
            <v/>
          </cell>
          <cell r="E157"/>
          <cell r="F157">
            <v>158</v>
          </cell>
          <cell r="G157">
            <v>6</v>
          </cell>
          <cell r="H157">
            <v>0.28999999999999998</v>
          </cell>
          <cell r="I157">
            <v>37</v>
          </cell>
          <cell r="J157"/>
          <cell r="K157">
            <v>15000</v>
          </cell>
          <cell r="L157"/>
          <cell r="M157"/>
          <cell r="N157"/>
          <cell r="O157"/>
          <cell r="P157"/>
          <cell r="Q157">
            <v>1.2E-5</v>
          </cell>
          <cell r="R157">
            <v>5.3000000000000001E-7</v>
          </cell>
          <cell r="S157"/>
          <cell r="T157">
            <v>5.7999999999999995E-7</v>
          </cell>
          <cell r="U157"/>
          <cell r="V157"/>
          <cell r="W157">
            <v>30000</v>
          </cell>
          <cell r="X157">
            <v>0.33333333333333331</v>
          </cell>
          <cell r="Y157">
            <v>0.33333333333333331</v>
          </cell>
          <cell r="Z157">
            <v>0.33333333333333331</v>
          </cell>
          <cell r="AA157"/>
        </row>
        <row r="158">
          <cell r="A158">
            <v>151</v>
          </cell>
          <cell r="B158" t="str">
            <v>2,6-di-tert-butyl-p-cresol</v>
          </cell>
          <cell r="C158" t="str">
            <v>128-37-0</v>
          </cell>
          <cell r="D158" t="str">
            <v/>
          </cell>
          <cell r="E158"/>
          <cell r="F158">
            <v>220</v>
          </cell>
          <cell r="G158">
            <v>70</v>
          </cell>
          <cell r="H158">
            <v>1.3</v>
          </cell>
          <cell r="I158">
            <v>0.6</v>
          </cell>
          <cell r="J158"/>
          <cell r="K158">
            <v>150000</v>
          </cell>
          <cell r="L158"/>
          <cell r="M158"/>
          <cell r="N158"/>
          <cell r="O158"/>
          <cell r="P158"/>
          <cell r="Q158">
            <v>1.4E-5</v>
          </cell>
          <cell r="R158">
            <v>5.3000000000000003E-10</v>
          </cell>
          <cell r="S158"/>
          <cell r="T158">
            <v>4.1000000000000003E-8</v>
          </cell>
          <cell r="U158"/>
          <cell r="V158"/>
          <cell r="W158">
            <v>30000</v>
          </cell>
          <cell r="X158">
            <v>0.33333333333333331</v>
          </cell>
          <cell r="Y158">
            <v>0.33333333333333331</v>
          </cell>
          <cell r="Z158">
            <v>0.33333333333333331</v>
          </cell>
          <cell r="AA158"/>
        </row>
        <row r="159">
          <cell r="A159">
            <v>152</v>
          </cell>
          <cell r="B159" t="str">
            <v>4-aminotoluene-3-sulphonic acid</v>
          </cell>
          <cell r="C159" t="str">
            <v>88-44-8</v>
          </cell>
          <cell r="D159" t="str">
            <v/>
          </cell>
          <cell r="E159"/>
          <cell r="F159">
            <v>187</v>
          </cell>
          <cell r="G159">
            <v>312</v>
          </cell>
          <cell r="H159">
            <v>2.0999999999999998E-6</v>
          </cell>
          <cell r="I159">
            <v>4700</v>
          </cell>
          <cell r="J159"/>
          <cell r="K159">
            <v>0.43</v>
          </cell>
          <cell r="L159"/>
          <cell r="M159"/>
          <cell r="N159"/>
          <cell r="O159"/>
          <cell r="P159"/>
          <cell r="Q159"/>
          <cell r="R159">
            <v>5.3000000000000003E-10</v>
          </cell>
          <cell r="S159"/>
          <cell r="T159"/>
          <cell r="U159"/>
          <cell r="V159"/>
          <cell r="W159">
            <v>30000</v>
          </cell>
          <cell r="X159">
            <v>0.33333333333333331</v>
          </cell>
          <cell r="Y159">
            <v>0.33333333333333331</v>
          </cell>
          <cell r="Z159">
            <v>0.33333333333333331</v>
          </cell>
          <cell r="AA159"/>
        </row>
        <row r="160">
          <cell r="A160">
            <v>153</v>
          </cell>
          <cell r="B160" t="str">
            <v>2-nitroaniline</v>
          </cell>
          <cell r="C160" t="str">
            <v>88-74-4</v>
          </cell>
          <cell r="D160" t="str">
            <v/>
          </cell>
          <cell r="E160"/>
          <cell r="F160">
            <v>138</v>
          </cell>
          <cell r="G160">
            <v>70</v>
          </cell>
          <cell r="H160">
            <v>0.04</v>
          </cell>
          <cell r="I160">
            <v>5800</v>
          </cell>
          <cell r="J160"/>
          <cell r="K160">
            <v>47</v>
          </cell>
          <cell r="L160"/>
          <cell r="M160"/>
          <cell r="N160"/>
          <cell r="O160"/>
          <cell r="P160"/>
          <cell r="Q160"/>
          <cell r="R160">
            <v>5.3000000000000003E-10</v>
          </cell>
          <cell r="S160"/>
          <cell r="T160"/>
          <cell r="U160"/>
          <cell r="V160"/>
          <cell r="W160">
            <v>30000</v>
          </cell>
          <cell r="X160">
            <v>0.33333333333333331</v>
          </cell>
          <cell r="Y160">
            <v>0.33333333333333331</v>
          </cell>
          <cell r="Z160">
            <v>0.33333333333333331</v>
          </cell>
          <cell r="AA160"/>
        </row>
        <row r="161">
          <cell r="A161">
            <v>154</v>
          </cell>
          <cell r="B161" t="str">
            <v>trientine</v>
          </cell>
          <cell r="C161" t="str">
            <v>112-24-3</v>
          </cell>
          <cell r="D161" t="str">
            <v/>
          </cell>
          <cell r="E161"/>
          <cell r="F161">
            <v>146</v>
          </cell>
          <cell r="G161">
            <v>12</v>
          </cell>
          <cell r="H161">
            <v>1.3</v>
          </cell>
          <cell r="I161">
            <v>49</v>
          </cell>
          <cell r="J161"/>
          <cell r="K161">
            <v>2.9000000000000001E-2</v>
          </cell>
          <cell r="L161"/>
          <cell r="M161"/>
          <cell r="N161"/>
          <cell r="O161"/>
          <cell r="P161"/>
          <cell r="Q161">
            <v>1.7000000000000001E-4</v>
          </cell>
          <cell r="R161">
            <v>5.3000000000000003E-10</v>
          </cell>
          <cell r="S161"/>
          <cell r="T161">
            <v>1.9999999999999999E-7</v>
          </cell>
          <cell r="U161"/>
          <cell r="V161"/>
          <cell r="W161">
            <v>30000</v>
          </cell>
          <cell r="X161">
            <v>0.33333333333333331</v>
          </cell>
          <cell r="Y161">
            <v>0.33333333333333331</v>
          </cell>
          <cell r="Z161">
            <v>0.33333333333333331</v>
          </cell>
          <cell r="AA161"/>
        </row>
        <row r="162">
          <cell r="A162">
            <v>155</v>
          </cell>
          <cell r="B162" t="str">
            <v>O-acetylsalicylic acid</v>
          </cell>
          <cell r="C162" t="str">
            <v>50-78-2</v>
          </cell>
          <cell r="D162" t="str">
            <v/>
          </cell>
          <cell r="E162"/>
          <cell r="F162">
            <v>180</v>
          </cell>
          <cell r="G162">
            <v>137</v>
          </cell>
          <cell r="H162">
            <v>1.1000000000000001E-3</v>
          </cell>
          <cell r="I162">
            <v>4600</v>
          </cell>
          <cell r="J162"/>
          <cell r="K162">
            <v>15</v>
          </cell>
          <cell r="L162"/>
          <cell r="M162"/>
          <cell r="N162"/>
          <cell r="O162"/>
          <cell r="P162"/>
          <cell r="Q162"/>
          <cell r="R162">
            <v>5.3000000000000001E-7</v>
          </cell>
          <cell r="S162"/>
          <cell r="T162"/>
          <cell r="U162"/>
          <cell r="V162"/>
          <cell r="W162">
            <v>30000</v>
          </cell>
          <cell r="X162">
            <v>0.33333333333333331</v>
          </cell>
          <cell r="Y162">
            <v>0.33333333333333331</v>
          </cell>
          <cell r="Z162">
            <v>0.33333333333333331</v>
          </cell>
          <cell r="AA162"/>
        </row>
        <row r="163">
          <cell r="A163">
            <v>156</v>
          </cell>
          <cell r="B163" t="str">
            <v>butane-1,4-diol</v>
          </cell>
          <cell r="C163" t="str">
            <v>110-63-4</v>
          </cell>
          <cell r="D163" t="str">
            <v/>
          </cell>
          <cell r="E163"/>
          <cell r="F163">
            <v>90</v>
          </cell>
          <cell r="G163">
            <v>20</v>
          </cell>
          <cell r="H163">
            <v>1.9</v>
          </cell>
          <cell r="I163">
            <v>15</v>
          </cell>
          <cell r="J163"/>
          <cell r="K163">
            <v>0.13</v>
          </cell>
          <cell r="L163"/>
          <cell r="M163"/>
          <cell r="N163"/>
          <cell r="O163"/>
          <cell r="P163"/>
          <cell r="Q163"/>
          <cell r="R163">
            <v>5.3000000000000001E-7</v>
          </cell>
          <cell r="S163"/>
          <cell r="T163"/>
          <cell r="U163"/>
          <cell r="V163"/>
          <cell r="W163">
            <v>30000</v>
          </cell>
          <cell r="X163">
            <v>0.33333333333333331</v>
          </cell>
          <cell r="Y163">
            <v>0.33333333333333331</v>
          </cell>
          <cell r="Z163">
            <v>0.33333333333333331</v>
          </cell>
          <cell r="AA163"/>
        </row>
        <row r="164">
          <cell r="A164">
            <v>157</v>
          </cell>
          <cell r="B164" t="str">
            <v>octadecan-1-ol</v>
          </cell>
          <cell r="C164" t="str">
            <v>112-92-5</v>
          </cell>
          <cell r="D164" t="str">
            <v/>
          </cell>
          <cell r="E164"/>
          <cell r="F164">
            <v>271</v>
          </cell>
          <cell r="G164">
            <v>58</v>
          </cell>
          <cell r="H164">
            <v>2.6000000000000001E-6</v>
          </cell>
          <cell r="I164">
            <v>1.1000000000000001E-3</v>
          </cell>
          <cell r="J164"/>
          <cell r="K164">
            <v>15000000</v>
          </cell>
          <cell r="L164"/>
          <cell r="M164"/>
          <cell r="N164"/>
          <cell r="O164"/>
          <cell r="P164"/>
          <cell r="Q164">
            <v>2.0000000000000002E-5</v>
          </cell>
          <cell r="R164">
            <v>5.3000000000000003E-10</v>
          </cell>
          <cell r="S164"/>
          <cell r="T164">
            <v>8.0000000000000002E-8</v>
          </cell>
          <cell r="U164"/>
          <cell r="V164"/>
          <cell r="W164">
            <v>30000</v>
          </cell>
          <cell r="X164">
            <v>0.33333333333333331</v>
          </cell>
          <cell r="Y164">
            <v>0.33333333333333331</v>
          </cell>
          <cell r="Z164">
            <v>0.33333333333333331</v>
          </cell>
          <cell r="AA164"/>
        </row>
        <row r="165">
          <cell r="A165">
            <v>158</v>
          </cell>
          <cell r="B165" t="str">
            <v>butyl acrylate</v>
          </cell>
          <cell r="C165" t="str">
            <v>141-32-2</v>
          </cell>
          <cell r="D165" t="str">
            <v/>
          </cell>
          <cell r="E165"/>
          <cell r="F165">
            <v>128</v>
          </cell>
          <cell r="G165">
            <v>-65</v>
          </cell>
          <cell r="H165">
            <v>430</v>
          </cell>
          <cell r="I165">
            <v>2000</v>
          </cell>
          <cell r="J165"/>
          <cell r="K165">
            <v>240</v>
          </cell>
          <cell r="L165"/>
          <cell r="M165"/>
          <cell r="N165"/>
          <cell r="O165"/>
          <cell r="P165"/>
          <cell r="Q165"/>
          <cell r="R165">
            <v>5.2999999999999998E-8</v>
          </cell>
          <cell r="S165"/>
          <cell r="T165"/>
          <cell r="U165"/>
          <cell r="V165"/>
          <cell r="W165">
            <v>30000</v>
          </cell>
          <cell r="X165">
            <v>0.33333333333333331</v>
          </cell>
          <cell r="Y165">
            <v>0.33333333333333331</v>
          </cell>
          <cell r="Z165">
            <v>0.33333333333333331</v>
          </cell>
          <cell r="AA165"/>
        </row>
        <row r="166">
          <cell r="A166">
            <v>159</v>
          </cell>
          <cell r="B166" t="str">
            <v>2-furaldehyde</v>
          </cell>
          <cell r="C166">
            <v>35796</v>
          </cell>
          <cell r="D166" t="str">
            <v/>
          </cell>
          <cell r="E166"/>
          <cell r="F166">
            <v>96</v>
          </cell>
          <cell r="G166">
            <v>-38</v>
          </cell>
          <cell r="H166">
            <v>100</v>
          </cell>
          <cell r="I166">
            <v>83000</v>
          </cell>
          <cell r="J166"/>
          <cell r="K166">
            <v>3.1</v>
          </cell>
          <cell r="L166"/>
          <cell r="M166"/>
          <cell r="N166"/>
          <cell r="O166"/>
          <cell r="P166"/>
          <cell r="Q166">
            <v>2.8E-5</v>
          </cell>
          <cell r="R166">
            <v>5.3000000000000001E-7</v>
          </cell>
          <cell r="S166"/>
          <cell r="T166">
            <v>7.0999999999999998E-7</v>
          </cell>
          <cell r="U166"/>
          <cell r="V166"/>
          <cell r="W166">
            <v>30000</v>
          </cell>
          <cell r="X166">
            <v>0.33333333333333331</v>
          </cell>
          <cell r="Y166">
            <v>0.33333333333333331</v>
          </cell>
          <cell r="Z166">
            <v>0.33333333333333331</v>
          </cell>
          <cell r="AA166"/>
        </row>
        <row r="167">
          <cell r="A167">
            <v>160</v>
          </cell>
          <cell r="B167" t="str">
            <v>2-methoxyethanol</v>
          </cell>
          <cell r="C167" t="str">
            <v>109-86-4</v>
          </cell>
          <cell r="D167" t="str">
            <v/>
          </cell>
          <cell r="E167"/>
          <cell r="F167">
            <v>76</v>
          </cell>
          <cell r="G167">
            <v>-85</v>
          </cell>
          <cell r="H167">
            <v>810</v>
          </cell>
          <cell r="I167">
            <v>3.9</v>
          </cell>
          <cell r="J167"/>
          <cell r="K167">
            <v>0.16</v>
          </cell>
          <cell r="L167"/>
          <cell r="M167"/>
          <cell r="N167"/>
          <cell r="O167"/>
          <cell r="P167"/>
          <cell r="Q167">
            <v>9.7999999999999993E-6</v>
          </cell>
          <cell r="R167">
            <v>5.3000000000000003E-10</v>
          </cell>
          <cell r="S167"/>
          <cell r="T167">
            <v>9.3000000000000007E-6</v>
          </cell>
          <cell r="U167"/>
          <cell r="V167"/>
          <cell r="W167">
            <v>30000</v>
          </cell>
          <cell r="X167">
            <v>0.33333333333333331</v>
          </cell>
          <cell r="Y167">
            <v>0.33333333333333331</v>
          </cell>
          <cell r="Z167">
            <v>0.33333333333333331</v>
          </cell>
          <cell r="AA167"/>
        </row>
        <row r="168">
          <cell r="A168">
            <v>161</v>
          </cell>
          <cell r="B168" t="str">
            <v>di-''isodecyl'' phthalate</v>
          </cell>
          <cell r="C168" t="str">
            <v>26761-40-0</v>
          </cell>
          <cell r="D168" t="str">
            <v/>
          </cell>
          <cell r="E168"/>
          <cell r="F168">
            <v>447</v>
          </cell>
          <cell r="G168">
            <v>-45</v>
          </cell>
          <cell r="H168">
            <v>10</v>
          </cell>
          <cell r="I168">
            <v>1.2</v>
          </cell>
          <cell r="J168"/>
          <cell r="K168">
            <v>230000000</v>
          </cell>
          <cell r="L168"/>
          <cell r="M168"/>
          <cell r="N168"/>
          <cell r="O168"/>
          <cell r="P168"/>
          <cell r="Q168">
            <v>2.0000000000000002E-5</v>
          </cell>
          <cell r="R168">
            <v>5.3000000000000001E-7</v>
          </cell>
          <cell r="S168"/>
          <cell r="T168">
            <v>7.5000000000000002E-7</v>
          </cell>
          <cell r="U168"/>
          <cell r="V168"/>
          <cell r="W168">
            <v>30000</v>
          </cell>
          <cell r="X168">
            <v>0.33333333333333331</v>
          </cell>
          <cell r="Y168">
            <v>0.33333333333333331</v>
          </cell>
          <cell r="Z168">
            <v>0.33333333333333331</v>
          </cell>
          <cell r="AA168"/>
        </row>
        <row r="169">
          <cell r="A169">
            <v>162</v>
          </cell>
          <cell r="B169" t="str">
            <v>m-phenylenediamine</v>
          </cell>
          <cell r="C169" t="str">
            <v>108-45-2</v>
          </cell>
          <cell r="D169" t="str">
            <v/>
          </cell>
          <cell r="E169"/>
          <cell r="F169">
            <v>108</v>
          </cell>
          <cell r="G169">
            <v>63</v>
          </cell>
          <cell r="H169">
            <v>0.5</v>
          </cell>
          <cell r="I169">
            <v>1.6</v>
          </cell>
          <cell r="J169"/>
          <cell r="K169">
            <v>0.49</v>
          </cell>
          <cell r="L169"/>
          <cell r="M169"/>
          <cell r="N169"/>
          <cell r="O169"/>
          <cell r="P169"/>
          <cell r="Q169">
            <v>1.4999999999999999E-4</v>
          </cell>
          <cell r="R169">
            <v>5.3000000000000003E-10</v>
          </cell>
          <cell r="S169"/>
          <cell r="T169">
            <v>9.9999999999999995E-8</v>
          </cell>
          <cell r="U169"/>
          <cell r="V169"/>
          <cell r="W169">
            <v>30000</v>
          </cell>
          <cell r="X169">
            <v>0.33333333333333331</v>
          </cell>
          <cell r="Y169">
            <v>0.33333333333333331</v>
          </cell>
          <cell r="Z169">
            <v>0.33333333333333331</v>
          </cell>
          <cell r="AA169"/>
        </row>
        <row r="170">
          <cell r="A170">
            <v>163</v>
          </cell>
          <cell r="B170" t="str">
            <v>isopropylamine</v>
          </cell>
          <cell r="C170" t="str">
            <v>75-31-0</v>
          </cell>
          <cell r="D170" t="str">
            <v/>
          </cell>
          <cell r="E170"/>
          <cell r="F170">
            <v>59</v>
          </cell>
          <cell r="G170">
            <v>-80</v>
          </cell>
          <cell r="H170">
            <v>63000</v>
          </cell>
          <cell r="I170">
            <v>0.19</v>
          </cell>
          <cell r="J170"/>
          <cell r="K170">
            <v>1.8</v>
          </cell>
          <cell r="L170"/>
          <cell r="M170"/>
          <cell r="N170"/>
          <cell r="O170"/>
          <cell r="P170"/>
          <cell r="Q170">
            <v>2.9E-5</v>
          </cell>
          <cell r="R170">
            <v>5.3000000000000001E-7</v>
          </cell>
          <cell r="S170"/>
          <cell r="T170">
            <v>8.5000000000000001E-7</v>
          </cell>
          <cell r="U170"/>
          <cell r="V170"/>
          <cell r="W170">
            <v>30000</v>
          </cell>
          <cell r="X170">
            <v>0.33333333333333331</v>
          </cell>
          <cell r="Y170">
            <v>0.33333333333333331</v>
          </cell>
          <cell r="Z170">
            <v>0.33333333333333331</v>
          </cell>
          <cell r="AA170"/>
        </row>
        <row r="171">
          <cell r="A171">
            <v>164</v>
          </cell>
          <cell r="B171" t="str">
            <v>chlorobenzene</v>
          </cell>
          <cell r="C171" t="str">
            <v>108-90-7</v>
          </cell>
          <cell r="D171" t="str">
            <v/>
          </cell>
          <cell r="E171"/>
          <cell r="F171">
            <v>113</v>
          </cell>
          <cell r="G171">
            <v>-45</v>
          </cell>
          <cell r="H171">
            <v>1200</v>
          </cell>
          <cell r="I171">
            <v>470</v>
          </cell>
          <cell r="J171"/>
          <cell r="K171">
            <v>320</v>
          </cell>
          <cell r="L171"/>
          <cell r="M171"/>
          <cell r="N171"/>
          <cell r="O171"/>
          <cell r="P171"/>
          <cell r="Q171">
            <v>1.1999999999999999E-6</v>
          </cell>
          <cell r="R171">
            <v>5.3000000000000003E-10</v>
          </cell>
          <cell r="S171"/>
          <cell r="T171">
            <v>3.3999999999999997E-7</v>
          </cell>
          <cell r="U171"/>
          <cell r="V171"/>
          <cell r="W171">
            <v>30000</v>
          </cell>
          <cell r="X171">
            <v>0.33333333333333331</v>
          </cell>
          <cell r="Y171">
            <v>0.33333333333333331</v>
          </cell>
          <cell r="Z171">
            <v>0.33333333333333331</v>
          </cell>
          <cell r="AA171"/>
        </row>
        <row r="172">
          <cell r="A172">
            <v>165</v>
          </cell>
          <cell r="B172" t="str">
            <v>4-chlorotoluene</v>
          </cell>
          <cell r="C172" t="str">
            <v>106-43-4</v>
          </cell>
          <cell r="D172" t="str">
            <v/>
          </cell>
          <cell r="E172"/>
          <cell r="F172">
            <v>127</v>
          </cell>
          <cell r="G172">
            <v>7</v>
          </cell>
          <cell r="H172">
            <v>360</v>
          </cell>
          <cell r="I172">
            <v>150</v>
          </cell>
          <cell r="J172"/>
          <cell r="K172">
            <v>2100</v>
          </cell>
          <cell r="L172"/>
          <cell r="M172"/>
          <cell r="N172"/>
          <cell r="O172"/>
          <cell r="P172"/>
          <cell r="Q172">
            <v>1.3999999999999999E-6</v>
          </cell>
          <cell r="R172">
            <v>5.3000000000000003E-10</v>
          </cell>
          <cell r="S172"/>
          <cell r="T172">
            <v>4.9999999999999998E-8</v>
          </cell>
          <cell r="U172"/>
          <cell r="V172"/>
          <cell r="W172">
            <v>30000</v>
          </cell>
          <cell r="X172">
            <v>0.33333333333333331</v>
          </cell>
          <cell r="Y172">
            <v>0.33333333333333331</v>
          </cell>
          <cell r="Z172">
            <v>0.33333333333333331</v>
          </cell>
          <cell r="AA172"/>
        </row>
        <row r="173">
          <cell r="A173">
            <v>166</v>
          </cell>
          <cell r="B173" t="str">
            <v>buta-1,3-diene</v>
          </cell>
          <cell r="C173" t="str">
            <v>106-99-0</v>
          </cell>
          <cell r="D173" t="str">
            <v/>
          </cell>
          <cell r="E173"/>
          <cell r="F173">
            <v>54</v>
          </cell>
          <cell r="G173">
            <v>-109</v>
          </cell>
          <cell r="H173">
            <v>240000</v>
          </cell>
          <cell r="I173">
            <v>500</v>
          </cell>
          <cell r="J173"/>
          <cell r="K173">
            <v>71</v>
          </cell>
          <cell r="L173"/>
          <cell r="M173"/>
          <cell r="N173"/>
          <cell r="O173"/>
          <cell r="P173"/>
          <cell r="Q173">
            <v>7.7999999999999999E-5</v>
          </cell>
          <cell r="R173">
            <v>5.3000000000000003E-10</v>
          </cell>
          <cell r="S173"/>
          <cell r="T173">
            <v>9.1999999999999998E-7</v>
          </cell>
          <cell r="U173"/>
          <cell r="V173"/>
          <cell r="W173">
            <v>30000</v>
          </cell>
          <cell r="X173">
            <v>0.33333333333333331</v>
          </cell>
          <cell r="Y173">
            <v>0.33333333333333331</v>
          </cell>
          <cell r="Z173">
            <v>0.33333333333333331</v>
          </cell>
          <cell r="AA173"/>
        </row>
        <row r="174">
          <cell r="A174">
            <v>167</v>
          </cell>
          <cell r="B174" t="str">
            <v>toluene</v>
          </cell>
          <cell r="C174" t="str">
            <v>108-88-3</v>
          </cell>
          <cell r="D174" t="str">
            <v/>
          </cell>
          <cell r="E174"/>
          <cell r="F174">
            <v>92</v>
          </cell>
          <cell r="G174">
            <v>-95</v>
          </cell>
          <cell r="H174">
            <v>2900</v>
          </cell>
          <cell r="I174">
            <v>550</v>
          </cell>
          <cell r="J174"/>
          <cell r="K174">
            <v>6700</v>
          </cell>
          <cell r="L174"/>
          <cell r="M174"/>
          <cell r="N174"/>
          <cell r="O174"/>
          <cell r="P174"/>
          <cell r="Q174">
            <v>2.8E-5</v>
          </cell>
          <cell r="R174">
            <v>5.3000000000000001E-7</v>
          </cell>
          <cell r="S174"/>
          <cell r="T174">
            <v>4.0999999999999999E-7</v>
          </cell>
          <cell r="U174"/>
          <cell r="V174"/>
          <cell r="W174">
            <v>30000</v>
          </cell>
          <cell r="X174">
            <v>0.33333333333333331</v>
          </cell>
          <cell r="Y174">
            <v>0.33333333333333331</v>
          </cell>
          <cell r="Z174">
            <v>0.33333333333333331</v>
          </cell>
          <cell r="AA174"/>
        </row>
        <row r="175">
          <cell r="A175">
            <v>168</v>
          </cell>
          <cell r="B175" t="str">
            <v>phenol</v>
          </cell>
          <cell r="C175" t="str">
            <v>108-95-2</v>
          </cell>
          <cell r="D175" t="str">
            <v/>
          </cell>
          <cell r="E175"/>
          <cell r="F175">
            <v>94</v>
          </cell>
          <cell r="G175">
            <v>41</v>
          </cell>
          <cell r="H175">
            <v>20</v>
          </cell>
          <cell r="I175">
            <v>88000</v>
          </cell>
          <cell r="J175"/>
          <cell r="K175">
            <v>31</v>
          </cell>
          <cell r="L175"/>
          <cell r="M175"/>
          <cell r="N175"/>
          <cell r="O175"/>
          <cell r="P175"/>
          <cell r="Q175">
            <v>2.4000000000000001E-4</v>
          </cell>
          <cell r="R175">
            <v>5.3000000000000001E-7</v>
          </cell>
          <cell r="S175"/>
          <cell r="T175">
            <v>4.5000000000000001E-6</v>
          </cell>
          <cell r="U175"/>
          <cell r="V175"/>
          <cell r="W175">
            <v>30000</v>
          </cell>
          <cell r="X175">
            <v>0.33333333333333331</v>
          </cell>
          <cell r="Y175">
            <v>0.33333333333333331</v>
          </cell>
          <cell r="Z175">
            <v>0.33333333333333331</v>
          </cell>
          <cell r="AA175"/>
        </row>
        <row r="176">
          <cell r="A176">
            <v>169</v>
          </cell>
          <cell r="B176" t="str">
            <v>benzene</v>
          </cell>
          <cell r="C176" t="str">
            <v>71-43-2</v>
          </cell>
          <cell r="D176" t="str">
            <v/>
          </cell>
          <cell r="E176"/>
          <cell r="F176">
            <v>78</v>
          </cell>
          <cell r="G176">
            <v>5</v>
          </cell>
          <cell r="H176">
            <v>10000</v>
          </cell>
          <cell r="I176">
            <v>1800</v>
          </cell>
          <cell r="J176"/>
          <cell r="K176">
            <v>100</v>
          </cell>
          <cell r="L176"/>
          <cell r="M176"/>
          <cell r="N176"/>
          <cell r="O176"/>
          <cell r="P176"/>
          <cell r="Q176">
            <v>1.5E-6</v>
          </cell>
          <cell r="R176">
            <v>5.3000000000000001E-7</v>
          </cell>
          <cell r="S176"/>
          <cell r="T176">
            <v>5.6000000000000004E-7</v>
          </cell>
          <cell r="U176"/>
          <cell r="V176"/>
          <cell r="W176">
            <v>30000</v>
          </cell>
          <cell r="X176">
            <v>0.33333333333333331</v>
          </cell>
          <cell r="Y176">
            <v>0.33333333333333331</v>
          </cell>
          <cell r="Z176">
            <v>0.33333333333333331</v>
          </cell>
          <cell r="AA176"/>
        </row>
        <row r="177">
          <cell r="A177">
            <v>170</v>
          </cell>
          <cell r="B177" t="str">
            <v>cresol, pure</v>
          </cell>
          <cell r="C177" t="str">
            <v>1319-77-3</v>
          </cell>
          <cell r="D177" t="str">
            <v/>
          </cell>
          <cell r="E177"/>
          <cell r="F177">
            <v>108</v>
          </cell>
          <cell r="G177">
            <v>23</v>
          </cell>
          <cell r="H177">
            <v>1100</v>
          </cell>
          <cell r="I177">
            <v>25000</v>
          </cell>
          <cell r="J177"/>
          <cell r="K177">
            <v>100</v>
          </cell>
          <cell r="L177"/>
          <cell r="M177"/>
          <cell r="N177"/>
          <cell r="O177"/>
          <cell r="P177"/>
          <cell r="Q177">
            <v>3.1000000000000001E-5</v>
          </cell>
          <cell r="R177">
            <v>5.3000000000000003E-10</v>
          </cell>
          <cell r="S177"/>
          <cell r="T177">
            <v>8.8999999999999995E-6</v>
          </cell>
          <cell r="U177"/>
          <cell r="V177"/>
          <cell r="W177">
            <v>30000</v>
          </cell>
          <cell r="X177">
            <v>0.33333333333333331</v>
          </cell>
          <cell r="Y177">
            <v>0.33333333333333331</v>
          </cell>
          <cell r="Z177">
            <v>0.33333333333333331</v>
          </cell>
          <cell r="AA177"/>
        </row>
        <row r="178">
          <cell r="A178">
            <v>171</v>
          </cell>
          <cell r="B178" t="str">
            <v>4-chloro-o-cresol</v>
          </cell>
          <cell r="C178" t="str">
            <v>1570-64-5</v>
          </cell>
          <cell r="D178" t="str">
            <v/>
          </cell>
          <cell r="E178"/>
          <cell r="F178">
            <v>143</v>
          </cell>
          <cell r="G178">
            <v>50</v>
          </cell>
          <cell r="H178">
            <v>2.5000000000000001E-2</v>
          </cell>
          <cell r="I178">
            <v>7600</v>
          </cell>
          <cell r="J178"/>
          <cell r="K178">
            <v>1200</v>
          </cell>
          <cell r="L178"/>
          <cell r="M178"/>
          <cell r="N178"/>
          <cell r="O178"/>
          <cell r="P178"/>
          <cell r="Q178"/>
          <cell r="R178">
            <v>5.3000000000000003E-10</v>
          </cell>
          <cell r="S178"/>
          <cell r="T178"/>
          <cell r="U178"/>
          <cell r="V178"/>
          <cell r="W178">
            <v>30000</v>
          </cell>
          <cell r="X178">
            <v>0.33333333333333331</v>
          </cell>
          <cell r="Y178">
            <v>0.33333333333333331</v>
          </cell>
          <cell r="Z178">
            <v>0.33333333333333331</v>
          </cell>
          <cell r="AA178"/>
        </row>
        <row r="179">
          <cell r="A179">
            <v>172</v>
          </cell>
          <cell r="B179" t="str">
            <v>4,4'-isopropylidenediphenol</v>
          </cell>
          <cell r="C179">
            <v>29348</v>
          </cell>
          <cell r="D179" t="str">
            <v/>
          </cell>
          <cell r="E179"/>
          <cell r="F179">
            <v>228</v>
          </cell>
          <cell r="G179">
            <v>153</v>
          </cell>
          <cell r="H179">
            <v>3.9999999999999998E-6</v>
          </cell>
          <cell r="I179">
            <v>300</v>
          </cell>
          <cell r="J179"/>
          <cell r="K179">
            <v>580</v>
          </cell>
          <cell r="L179"/>
          <cell r="M179"/>
          <cell r="N179"/>
          <cell r="O179"/>
          <cell r="P179"/>
          <cell r="Q179">
            <v>6.0000000000000002E-5</v>
          </cell>
          <cell r="R179">
            <v>5.3000000000000001E-7</v>
          </cell>
          <cell r="S179"/>
          <cell r="T179">
            <v>3.2000000000000001E-7</v>
          </cell>
          <cell r="U179"/>
          <cell r="V179"/>
          <cell r="W179">
            <v>30000</v>
          </cell>
          <cell r="X179">
            <v>0.33333333333333331</v>
          </cell>
          <cell r="Y179">
            <v>0.33333333333333331</v>
          </cell>
          <cell r="Z179">
            <v>0.33333333333333331</v>
          </cell>
          <cell r="AA179"/>
        </row>
        <row r="180">
          <cell r="A180">
            <v>173</v>
          </cell>
          <cell r="B180" t="str">
            <v>1,4-dichloro-2-nitrobenzene</v>
          </cell>
          <cell r="C180" t="str">
            <v>89-61-2</v>
          </cell>
          <cell r="D180" t="str">
            <v/>
          </cell>
          <cell r="E180"/>
          <cell r="F180">
            <v>192</v>
          </cell>
          <cell r="G180">
            <v>53</v>
          </cell>
          <cell r="H180">
            <v>4.2000000000000002E-4</v>
          </cell>
          <cell r="I180">
            <v>83</v>
          </cell>
          <cell r="J180"/>
          <cell r="K180">
            <v>1000</v>
          </cell>
          <cell r="L180"/>
          <cell r="M180"/>
          <cell r="N180"/>
          <cell r="O180"/>
          <cell r="P180"/>
          <cell r="Q180"/>
          <cell r="R180">
            <v>5.3000000000000003E-10</v>
          </cell>
          <cell r="S180"/>
          <cell r="T180"/>
          <cell r="U180"/>
          <cell r="V180"/>
          <cell r="W180">
            <v>30000</v>
          </cell>
          <cell r="X180">
            <v>0.33333333333333331</v>
          </cell>
          <cell r="Y180">
            <v>0.33333333333333331</v>
          </cell>
          <cell r="Z180">
            <v>0.33333333333333331</v>
          </cell>
          <cell r="AA180"/>
        </row>
        <row r="181">
          <cell r="A181">
            <v>174</v>
          </cell>
          <cell r="B181" t="str">
            <v>chlorodifluoromethane</v>
          </cell>
          <cell r="C181" t="str">
            <v>75-45-6</v>
          </cell>
          <cell r="D181" t="str">
            <v/>
          </cell>
          <cell r="E181"/>
          <cell r="F181">
            <v>87</v>
          </cell>
          <cell r="G181">
            <v>-160</v>
          </cell>
          <cell r="H181">
            <v>910000</v>
          </cell>
          <cell r="I181">
            <v>3000</v>
          </cell>
          <cell r="J181"/>
          <cell r="K181">
            <v>13</v>
          </cell>
          <cell r="L181"/>
          <cell r="M181"/>
          <cell r="N181"/>
          <cell r="O181"/>
          <cell r="P181"/>
          <cell r="Q181">
            <v>7.8999999999999996E-9</v>
          </cell>
          <cell r="R181">
            <v>5.3000000000000003E-10</v>
          </cell>
          <cell r="S181"/>
          <cell r="T181">
            <v>3.3000000000000002E-7</v>
          </cell>
          <cell r="U181"/>
          <cell r="V181"/>
          <cell r="W181">
            <v>30000</v>
          </cell>
          <cell r="X181">
            <v>0.33333333333333331</v>
          </cell>
          <cell r="Y181">
            <v>0.33333333333333331</v>
          </cell>
          <cell r="Z181">
            <v>0.33333333333333331</v>
          </cell>
          <cell r="AA181"/>
        </row>
        <row r="182">
          <cell r="A182">
            <v>175</v>
          </cell>
          <cell r="B182" t="str">
            <v>2-(2-methoxyethoxy)ethanol</v>
          </cell>
          <cell r="C182" t="str">
            <v>111-77-3</v>
          </cell>
          <cell r="D182" t="str">
            <v/>
          </cell>
          <cell r="E182"/>
          <cell r="F182">
            <v>120</v>
          </cell>
          <cell r="G182">
            <v>-85</v>
          </cell>
          <cell r="H182">
            <v>26</v>
          </cell>
          <cell r="I182">
            <v>5.0999999999999996</v>
          </cell>
          <cell r="J182"/>
          <cell r="K182">
            <v>0.18</v>
          </cell>
          <cell r="L182"/>
          <cell r="M182"/>
          <cell r="N182"/>
          <cell r="O182"/>
          <cell r="P182"/>
          <cell r="Q182">
            <v>1.8E-5</v>
          </cell>
          <cell r="R182">
            <v>5.3000000000000003E-10</v>
          </cell>
          <cell r="S182"/>
          <cell r="T182">
            <v>8.0000000000000002E-8</v>
          </cell>
          <cell r="U182"/>
          <cell r="V182"/>
          <cell r="W182">
            <v>30000</v>
          </cell>
          <cell r="X182">
            <v>0.33333333333333331</v>
          </cell>
          <cell r="Y182">
            <v>0.33333333333333331</v>
          </cell>
          <cell r="Z182">
            <v>0.33333333333333331</v>
          </cell>
          <cell r="AA182"/>
        </row>
        <row r="183">
          <cell r="A183">
            <v>176</v>
          </cell>
          <cell r="B183" t="str">
            <v>2-butoxyethanol</v>
          </cell>
          <cell r="C183" t="str">
            <v>111-76-2</v>
          </cell>
          <cell r="D183" t="str">
            <v/>
          </cell>
          <cell r="E183"/>
          <cell r="F183">
            <v>118</v>
          </cell>
          <cell r="G183">
            <v>-72</v>
          </cell>
          <cell r="H183">
            <v>79</v>
          </cell>
          <cell r="I183">
            <v>6.7000000000000004E-2</v>
          </cell>
          <cell r="J183"/>
          <cell r="K183">
            <v>6.5</v>
          </cell>
          <cell r="L183"/>
          <cell r="M183"/>
          <cell r="N183"/>
          <cell r="O183"/>
          <cell r="P183"/>
          <cell r="Q183">
            <v>3.7000000000000002E-6</v>
          </cell>
          <cell r="R183">
            <v>5.2999999999999998E-8</v>
          </cell>
          <cell r="S183"/>
          <cell r="T183">
            <v>4.1000000000000003E-8</v>
          </cell>
          <cell r="U183"/>
          <cell r="V183"/>
          <cell r="W183">
            <v>30000</v>
          </cell>
          <cell r="X183">
            <v>0.33333333333333331</v>
          </cell>
          <cell r="Y183">
            <v>0.33333333333333331</v>
          </cell>
          <cell r="Z183">
            <v>0.33333333333333331</v>
          </cell>
          <cell r="AA183"/>
        </row>
        <row r="184">
          <cell r="A184">
            <v>177</v>
          </cell>
          <cell r="B184" t="str">
            <v>vinyl acetate</v>
          </cell>
          <cell r="C184" t="str">
            <v>108-05-4</v>
          </cell>
          <cell r="D184" t="str">
            <v/>
          </cell>
          <cell r="E184"/>
          <cell r="F184">
            <v>86</v>
          </cell>
          <cell r="G184">
            <v>-93</v>
          </cell>
          <cell r="H184">
            <v>1.1000000000000001</v>
          </cell>
          <cell r="I184">
            <v>25000</v>
          </cell>
          <cell r="J184"/>
          <cell r="K184">
            <v>3</v>
          </cell>
          <cell r="L184"/>
          <cell r="M184"/>
          <cell r="N184"/>
          <cell r="O184"/>
          <cell r="P184"/>
          <cell r="Q184">
            <v>2.5000000000000001E-5</v>
          </cell>
          <cell r="R184">
            <v>5.3000000000000001E-7</v>
          </cell>
          <cell r="S184"/>
          <cell r="T184">
            <v>6.4000000000000001E-7</v>
          </cell>
          <cell r="U184"/>
          <cell r="V184"/>
          <cell r="W184">
            <v>30000</v>
          </cell>
          <cell r="X184">
            <v>0.33333333333333331</v>
          </cell>
          <cell r="Y184">
            <v>0.33333333333333331</v>
          </cell>
          <cell r="Z184">
            <v>0.33333333333333331</v>
          </cell>
          <cell r="AA184"/>
        </row>
        <row r="185">
          <cell r="A185">
            <v>178</v>
          </cell>
          <cell r="B185" t="str">
            <v>cyanuric acid</v>
          </cell>
          <cell r="C185" t="str">
            <v>108-80-5</v>
          </cell>
          <cell r="D185" t="str">
            <v/>
          </cell>
          <cell r="E185"/>
          <cell r="F185">
            <v>129</v>
          </cell>
          <cell r="G185">
            <v>325</v>
          </cell>
          <cell r="H185">
            <v>1.2999999999999999E-4</v>
          </cell>
          <cell r="I185">
            <v>2000</v>
          </cell>
          <cell r="J185"/>
          <cell r="K185">
            <v>8.5</v>
          </cell>
          <cell r="L185"/>
          <cell r="M185"/>
          <cell r="N185"/>
          <cell r="O185"/>
          <cell r="P185"/>
          <cell r="Q185"/>
          <cell r="R185">
            <v>5.3000000000000003E-10</v>
          </cell>
          <cell r="S185"/>
          <cell r="T185"/>
          <cell r="U185"/>
          <cell r="V185"/>
          <cell r="W185">
            <v>30000</v>
          </cell>
          <cell r="X185">
            <v>0.33333333333333331</v>
          </cell>
          <cell r="Y185">
            <v>0.33333333333333331</v>
          </cell>
          <cell r="Z185">
            <v>0.33333333333333331</v>
          </cell>
          <cell r="AA185"/>
        </row>
        <row r="186">
          <cell r="A186">
            <v>179</v>
          </cell>
          <cell r="B186" t="str">
            <v>ibuprofen</v>
          </cell>
          <cell r="C186" t="str">
            <v>15687-27-1</v>
          </cell>
          <cell r="D186" t="str">
            <v/>
          </cell>
          <cell r="E186"/>
          <cell r="F186">
            <v>206</v>
          </cell>
          <cell r="G186">
            <v>76</v>
          </cell>
          <cell r="H186">
            <v>1.1999999999999999E-3</v>
          </cell>
          <cell r="I186">
            <v>25</v>
          </cell>
          <cell r="J186"/>
          <cell r="K186">
            <v>72</v>
          </cell>
          <cell r="L186"/>
          <cell r="M186"/>
          <cell r="N186"/>
          <cell r="O186"/>
          <cell r="P186"/>
          <cell r="Q186">
            <v>8.8999999999999995E-6</v>
          </cell>
          <cell r="R186">
            <v>5.2999999999999998E-8</v>
          </cell>
          <cell r="S186"/>
          <cell r="T186">
            <v>4.5999999999999999E-7</v>
          </cell>
          <cell r="U186"/>
          <cell r="V186"/>
          <cell r="W186">
            <v>30000</v>
          </cell>
          <cell r="X186">
            <v>0.33333333333333331</v>
          </cell>
          <cell r="Y186">
            <v>0.33333333333333331</v>
          </cell>
          <cell r="Z186">
            <v>0.33333333333333331</v>
          </cell>
          <cell r="AA186"/>
        </row>
        <row r="187">
          <cell r="A187">
            <v>180</v>
          </cell>
          <cell r="B187" t="str">
            <v>bis(2-methoxyethyl) ether</v>
          </cell>
          <cell r="C187" t="str">
            <v>111-96-6</v>
          </cell>
          <cell r="D187" t="str">
            <v/>
          </cell>
          <cell r="E187"/>
          <cell r="F187">
            <v>134</v>
          </cell>
          <cell r="G187">
            <v>-64</v>
          </cell>
          <cell r="H187">
            <v>200</v>
          </cell>
          <cell r="I187">
            <v>0.98</v>
          </cell>
          <cell r="J187"/>
          <cell r="K187">
            <v>0.44</v>
          </cell>
          <cell r="L187"/>
          <cell r="M187"/>
          <cell r="N187"/>
          <cell r="O187"/>
          <cell r="P187"/>
          <cell r="Q187">
            <v>3.3000000000000003E-5</v>
          </cell>
          <cell r="R187">
            <v>5.3000000000000003E-10</v>
          </cell>
          <cell r="S187"/>
          <cell r="T187">
            <v>3.2999999999999998E-8</v>
          </cell>
          <cell r="U187"/>
          <cell r="V187"/>
          <cell r="W187">
            <v>30000</v>
          </cell>
          <cell r="X187">
            <v>0.33333333333333331</v>
          </cell>
          <cell r="Y187">
            <v>0.33333333333333331</v>
          </cell>
          <cell r="Z187">
            <v>0.33333333333333331</v>
          </cell>
          <cell r="AA187"/>
        </row>
        <row r="188">
          <cell r="A188">
            <v>181</v>
          </cell>
          <cell r="B188" t="str">
            <v>methyl salicylate</v>
          </cell>
          <cell r="C188" t="str">
            <v>119-36-8</v>
          </cell>
          <cell r="D188" t="str">
            <v/>
          </cell>
          <cell r="E188"/>
          <cell r="F188">
            <v>152</v>
          </cell>
          <cell r="G188">
            <v>-8</v>
          </cell>
          <cell r="H188">
            <v>9.7999999999999997E-3</v>
          </cell>
          <cell r="I188">
            <v>570</v>
          </cell>
          <cell r="J188"/>
          <cell r="K188">
            <v>520</v>
          </cell>
          <cell r="L188"/>
          <cell r="M188"/>
          <cell r="N188"/>
          <cell r="O188"/>
          <cell r="P188"/>
          <cell r="Q188"/>
          <cell r="R188">
            <v>5.3000000000000001E-7</v>
          </cell>
          <cell r="S188"/>
          <cell r="T188"/>
          <cell r="U188"/>
          <cell r="V188"/>
          <cell r="W188">
            <v>30000</v>
          </cell>
          <cell r="X188">
            <v>0.33333333333333331</v>
          </cell>
          <cell r="Y188">
            <v>0.33333333333333331</v>
          </cell>
          <cell r="Z188">
            <v>0.33333333333333331</v>
          </cell>
          <cell r="AA188"/>
        </row>
        <row r="189">
          <cell r="A189">
            <v>182</v>
          </cell>
          <cell r="B189" t="str">
            <v>1,3-dichlorobenzene</v>
          </cell>
          <cell r="C189" t="str">
            <v>541-73-1</v>
          </cell>
          <cell r="D189" t="str">
            <v/>
          </cell>
          <cell r="E189"/>
          <cell r="F189">
            <v>147</v>
          </cell>
          <cell r="G189">
            <v>-25</v>
          </cell>
          <cell r="H189">
            <v>180</v>
          </cell>
          <cell r="I189">
            <v>100</v>
          </cell>
          <cell r="J189"/>
          <cell r="K189">
            <v>3100</v>
          </cell>
          <cell r="L189"/>
          <cell r="M189"/>
          <cell r="N189"/>
          <cell r="O189"/>
          <cell r="P189"/>
          <cell r="Q189">
            <v>7.1999999999999999E-7</v>
          </cell>
          <cell r="R189">
            <v>5.3000000000000003E-10</v>
          </cell>
          <cell r="S189"/>
          <cell r="T189">
            <v>9.5000000000000004E-8</v>
          </cell>
          <cell r="U189"/>
          <cell r="V189"/>
          <cell r="W189">
            <v>30000</v>
          </cell>
          <cell r="X189">
            <v>0.33333333333333331</v>
          </cell>
          <cell r="Y189">
            <v>0.33333333333333331</v>
          </cell>
          <cell r="Z189">
            <v>0.33333333333333331</v>
          </cell>
          <cell r="AA189"/>
        </row>
        <row r="190">
          <cell r="A190">
            <v>183</v>
          </cell>
          <cell r="B190" t="str">
            <v>2,4,4-trimethylpentene</v>
          </cell>
          <cell r="C190" t="str">
            <v>25167-70-8</v>
          </cell>
          <cell r="D190" t="str">
            <v/>
          </cell>
          <cell r="E190"/>
          <cell r="F190">
            <v>112</v>
          </cell>
          <cell r="G190">
            <v>-104</v>
          </cell>
          <cell r="H190">
            <v>9300</v>
          </cell>
          <cell r="I190">
            <v>100</v>
          </cell>
          <cell r="J190"/>
          <cell r="K190">
            <v>16000</v>
          </cell>
          <cell r="L190"/>
          <cell r="M190"/>
          <cell r="N190"/>
          <cell r="O190"/>
          <cell r="P190"/>
          <cell r="Q190">
            <v>4.8000000000000001E-5</v>
          </cell>
          <cell r="R190">
            <v>5.3000000000000003E-10</v>
          </cell>
          <cell r="S190"/>
          <cell r="T190">
            <v>8.0000000000000002E-8</v>
          </cell>
          <cell r="U190"/>
          <cell r="V190"/>
          <cell r="W190">
            <v>30000</v>
          </cell>
          <cell r="X190">
            <v>0.33333333333333331</v>
          </cell>
          <cell r="Y190">
            <v>0.33333333333333331</v>
          </cell>
          <cell r="Z190">
            <v>0.33333333333333331</v>
          </cell>
          <cell r="AA190"/>
        </row>
        <row r="191">
          <cell r="A191">
            <v>184</v>
          </cell>
          <cell r="B191" t="str">
            <v>1,3-dichloropropene</v>
          </cell>
          <cell r="C191" t="str">
            <v>542-75-6</v>
          </cell>
          <cell r="D191" t="str">
            <v/>
          </cell>
          <cell r="E191"/>
          <cell r="F191">
            <v>111</v>
          </cell>
          <cell r="G191">
            <v>-84</v>
          </cell>
          <cell r="H191">
            <v>2400</v>
          </cell>
          <cell r="I191">
            <v>2800</v>
          </cell>
          <cell r="J191"/>
          <cell r="K191">
            <v>72</v>
          </cell>
          <cell r="L191"/>
          <cell r="M191"/>
          <cell r="N191"/>
          <cell r="O191"/>
          <cell r="P191"/>
          <cell r="Q191">
            <v>1.7999999999999999E-6</v>
          </cell>
          <cell r="R191">
            <v>5.2999999999999998E-8</v>
          </cell>
          <cell r="S191"/>
          <cell r="T191">
            <v>5.4000000000000002E-7</v>
          </cell>
          <cell r="U191"/>
          <cell r="V191"/>
          <cell r="W191">
            <v>30000</v>
          </cell>
          <cell r="X191">
            <v>0.33333333333333331</v>
          </cell>
          <cell r="Y191">
            <v>0.33333333333333331</v>
          </cell>
          <cell r="Z191">
            <v>0.33333333333333331</v>
          </cell>
          <cell r="AA191"/>
        </row>
        <row r="192">
          <cell r="A192">
            <v>185</v>
          </cell>
          <cell r="B192" t="str">
            <v>hexadecan-1-ol</v>
          </cell>
          <cell r="C192" t="str">
            <v>36653-82-4</v>
          </cell>
          <cell r="D192" t="str">
            <v/>
          </cell>
          <cell r="E192"/>
          <cell r="F192">
            <v>242</v>
          </cell>
          <cell r="G192">
            <v>49</v>
          </cell>
          <cell r="H192">
            <v>6.1000000000000004E-3</v>
          </cell>
          <cell r="I192">
            <v>4.1000000000000002E-2</v>
          </cell>
          <cell r="J192"/>
          <cell r="K192">
            <v>4500000</v>
          </cell>
          <cell r="L192"/>
          <cell r="M192"/>
          <cell r="N192"/>
          <cell r="O192"/>
          <cell r="P192"/>
          <cell r="Q192">
            <v>1.8E-5</v>
          </cell>
          <cell r="R192">
            <v>5.3000000000000003E-10</v>
          </cell>
          <cell r="S192"/>
          <cell r="T192">
            <v>1.5999999999999999E-6</v>
          </cell>
          <cell r="U192"/>
          <cell r="V192"/>
          <cell r="W192">
            <v>30000</v>
          </cell>
          <cell r="X192">
            <v>0.33333333333333331</v>
          </cell>
          <cell r="Y192">
            <v>0.33333333333333331</v>
          </cell>
          <cell r="Z192">
            <v>0.33333333333333331</v>
          </cell>
          <cell r="AA192"/>
        </row>
        <row r="193">
          <cell r="A193">
            <v>186</v>
          </cell>
          <cell r="B193" t="str">
            <v>1,2-dichloroethane</v>
          </cell>
          <cell r="C193" t="str">
            <v>107-06-2</v>
          </cell>
          <cell r="D193" t="str">
            <v/>
          </cell>
          <cell r="E193"/>
          <cell r="F193">
            <v>99</v>
          </cell>
          <cell r="G193">
            <v>-36</v>
          </cell>
          <cell r="H193">
            <v>8700</v>
          </cell>
          <cell r="I193">
            <v>8700</v>
          </cell>
          <cell r="J193"/>
          <cell r="K193">
            <v>30</v>
          </cell>
          <cell r="L193"/>
          <cell r="M193"/>
          <cell r="N193"/>
          <cell r="O193"/>
          <cell r="P193"/>
          <cell r="Q193">
            <v>1.4999999999999999E-7</v>
          </cell>
          <cell r="R193">
            <v>5.3000000000000003E-10</v>
          </cell>
          <cell r="S193"/>
          <cell r="T193">
            <v>1.3E-7</v>
          </cell>
          <cell r="U193"/>
          <cell r="V193"/>
          <cell r="W193">
            <v>30000</v>
          </cell>
          <cell r="X193">
            <v>0.33333333333333331</v>
          </cell>
          <cell r="Y193">
            <v>0.33333333333333331</v>
          </cell>
          <cell r="Z193">
            <v>0.33333333333333331</v>
          </cell>
          <cell r="AA193"/>
        </row>
        <row r="194">
          <cell r="A194">
            <v>187</v>
          </cell>
          <cell r="B194" t="str">
            <v>glutaral</v>
          </cell>
          <cell r="C194" t="str">
            <v>111-30-8</v>
          </cell>
          <cell r="D194" t="str">
            <v/>
          </cell>
          <cell r="E194"/>
          <cell r="F194">
            <v>100</v>
          </cell>
          <cell r="G194">
            <v>-13</v>
          </cell>
          <cell r="H194">
            <v>2200</v>
          </cell>
          <cell r="I194">
            <v>3.5</v>
          </cell>
          <cell r="J194"/>
          <cell r="K194">
            <v>0.6</v>
          </cell>
          <cell r="L194"/>
          <cell r="M194"/>
          <cell r="N194"/>
          <cell r="O194"/>
          <cell r="P194"/>
          <cell r="Q194">
            <v>3.1999999999999999E-5</v>
          </cell>
          <cell r="R194">
            <v>5.3000000000000001E-7</v>
          </cell>
          <cell r="S194"/>
          <cell r="T194">
            <v>6.5000000000000002E-7</v>
          </cell>
          <cell r="U194"/>
          <cell r="V194"/>
          <cell r="W194">
            <v>30000</v>
          </cell>
          <cell r="X194">
            <v>0.33333333333333331</v>
          </cell>
          <cell r="Y194">
            <v>0.33333333333333331</v>
          </cell>
          <cell r="Z194">
            <v>0.33333333333333331</v>
          </cell>
          <cell r="AA194"/>
        </row>
        <row r="195">
          <cell r="A195">
            <v>188</v>
          </cell>
          <cell r="B195" t="str">
            <v>2,6-dimethylheptan-4-one</v>
          </cell>
          <cell r="C195" t="str">
            <v>108-83-8</v>
          </cell>
          <cell r="D195" t="str">
            <v/>
          </cell>
          <cell r="E195"/>
          <cell r="F195">
            <v>142</v>
          </cell>
          <cell r="G195">
            <v>-42</v>
          </cell>
          <cell r="H195">
            <v>220</v>
          </cell>
          <cell r="I195">
            <v>500</v>
          </cell>
          <cell r="J195"/>
          <cell r="K195">
            <v>480</v>
          </cell>
          <cell r="L195"/>
          <cell r="M195"/>
          <cell r="N195"/>
          <cell r="O195"/>
          <cell r="P195"/>
          <cell r="Q195"/>
          <cell r="R195">
            <v>5.3000000000000001E-7</v>
          </cell>
          <cell r="S195"/>
          <cell r="T195"/>
          <cell r="U195"/>
          <cell r="V195"/>
          <cell r="W195">
            <v>30000</v>
          </cell>
          <cell r="X195">
            <v>0.33333333333333331</v>
          </cell>
          <cell r="Y195">
            <v>0.33333333333333331</v>
          </cell>
          <cell r="Z195">
            <v>0.33333333333333331</v>
          </cell>
          <cell r="AA195"/>
        </row>
        <row r="196">
          <cell r="A196">
            <v>189</v>
          </cell>
          <cell r="B196" t="str">
            <v>3,4-dichloroaniline</v>
          </cell>
          <cell r="C196" t="str">
            <v>95-76-1</v>
          </cell>
          <cell r="D196" t="str">
            <v/>
          </cell>
          <cell r="E196"/>
          <cell r="F196">
            <v>162</v>
          </cell>
          <cell r="G196">
            <v>71</v>
          </cell>
          <cell r="H196">
            <v>2</v>
          </cell>
          <cell r="I196">
            <v>1000</v>
          </cell>
          <cell r="J196"/>
          <cell r="K196">
            <v>500</v>
          </cell>
          <cell r="L196"/>
          <cell r="M196"/>
          <cell r="N196"/>
          <cell r="O196"/>
          <cell r="P196"/>
          <cell r="Q196">
            <v>1.9000000000000001E-5</v>
          </cell>
          <cell r="R196">
            <v>5.3000000000000003E-10</v>
          </cell>
          <cell r="S196"/>
          <cell r="T196">
            <v>1.4000000000000001E-7</v>
          </cell>
          <cell r="U196"/>
          <cell r="V196"/>
          <cell r="W196">
            <v>30000</v>
          </cell>
          <cell r="X196">
            <v>0.33333333333333331</v>
          </cell>
          <cell r="Y196">
            <v>0.33333333333333331</v>
          </cell>
          <cell r="Z196">
            <v>0.33333333333333331</v>
          </cell>
          <cell r="AA196"/>
        </row>
        <row r="197">
          <cell r="A197">
            <v>190</v>
          </cell>
          <cell r="B197" t="str">
            <v>2-nitrotoluene</v>
          </cell>
          <cell r="C197" t="str">
            <v>88-72-2</v>
          </cell>
          <cell r="D197" t="str">
            <v/>
          </cell>
          <cell r="E197"/>
          <cell r="F197">
            <v>137</v>
          </cell>
          <cell r="G197">
            <v>-7</v>
          </cell>
          <cell r="H197">
            <v>16</v>
          </cell>
          <cell r="I197">
            <v>650</v>
          </cell>
          <cell r="J197"/>
          <cell r="K197">
            <v>200</v>
          </cell>
          <cell r="L197"/>
          <cell r="M197"/>
          <cell r="N197"/>
          <cell r="O197"/>
          <cell r="P197"/>
          <cell r="Q197">
            <v>5.7999999999999995E-7</v>
          </cell>
          <cell r="R197">
            <v>5.3000000000000003E-10</v>
          </cell>
          <cell r="S197"/>
          <cell r="T197">
            <v>4.0000000000000001E-8</v>
          </cell>
          <cell r="U197"/>
          <cell r="V197"/>
          <cell r="W197">
            <v>30000</v>
          </cell>
          <cell r="X197">
            <v>0.33333333333333331</v>
          </cell>
          <cell r="Y197">
            <v>0.33333333333333331</v>
          </cell>
          <cell r="Z197">
            <v>0.33333333333333331</v>
          </cell>
          <cell r="AA197"/>
        </row>
        <row r="198">
          <cell r="A198">
            <v>191</v>
          </cell>
          <cell r="B198" t="str">
            <v>bis(pentabromophenyl) ether</v>
          </cell>
          <cell r="C198" t="str">
            <v>1163-19-5</v>
          </cell>
          <cell r="D198" t="str">
            <v/>
          </cell>
          <cell r="E198"/>
          <cell r="F198">
            <v>959</v>
          </cell>
          <cell r="G198">
            <v>305</v>
          </cell>
          <cell r="H198">
            <v>1.4000000000000001E-18</v>
          </cell>
          <cell r="I198">
            <v>3.0000000000000001E-3</v>
          </cell>
          <cell r="J198"/>
          <cell r="K198">
            <v>75000000</v>
          </cell>
          <cell r="L198"/>
          <cell r="M198"/>
          <cell r="N198"/>
          <cell r="O198"/>
          <cell r="P198"/>
          <cell r="Q198"/>
          <cell r="R198">
            <v>5.3000000000000003E-10</v>
          </cell>
          <cell r="S198"/>
          <cell r="T198"/>
          <cell r="U198"/>
          <cell r="V198"/>
          <cell r="W198">
            <v>30000</v>
          </cell>
          <cell r="X198">
            <v>0.33333333333333331</v>
          </cell>
          <cell r="Y198">
            <v>0.33333333333333331</v>
          </cell>
          <cell r="Z198">
            <v>0.33333333333333331</v>
          </cell>
          <cell r="AA198"/>
        </row>
        <row r="199">
          <cell r="A199">
            <v>192</v>
          </cell>
          <cell r="B199" t="str">
            <v>bis(alpha,alpha-dimethylbenzyl) peroxide</v>
          </cell>
          <cell r="C199" t="str">
            <v>80-43-3</v>
          </cell>
          <cell r="D199" t="str">
            <v/>
          </cell>
          <cell r="E199"/>
          <cell r="F199">
            <v>270</v>
          </cell>
          <cell r="G199">
            <v>39</v>
          </cell>
          <cell r="H199">
            <v>2.1E-7</v>
          </cell>
          <cell r="I199">
            <v>37</v>
          </cell>
          <cell r="J199"/>
          <cell r="K199">
            <v>6000</v>
          </cell>
          <cell r="L199"/>
          <cell r="M199"/>
          <cell r="N199"/>
          <cell r="O199"/>
          <cell r="P199"/>
          <cell r="Q199">
            <v>6.9E-6</v>
          </cell>
          <cell r="R199">
            <v>5.2999999999999998E-8</v>
          </cell>
          <cell r="S199"/>
          <cell r="T199">
            <v>2.1E-7</v>
          </cell>
          <cell r="U199"/>
          <cell r="V199"/>
          <cell r="W199">
            <v>30000</v>
          </cell>
          <cell r="X199">
            <v>0.33333333333333331</v>
          </cell>
          <cell r="Y199">
            <v>0.33333333333333331</v>
          </cell>
          <cell r="Z199">
            <v>0.33333333333333331</v>
          </cell>
          <cell r="AA199"/>
        </row>
        <row r="200">
          <cell r="A200">
            <v>193</v>
          </cell>
          <cell r="B200" t="str">
            <v>4-tert-butylbenzoic acid</v>
          </cell>
          <cell r="C200" t="str">
            <v>98-73-7</v>
          </cell>
          <cell r="D200" t="str">
            <v/>
          </cell>
          <cell r="E200"/>
          <cell r="F200">
            <v>178</v>
          </cell>
          <cell r="G200">
            <v>166</v>
          </cell>
          <cell r="H200">
            <v>1.5E-3</v>
          </cell>
          <cell r="I200">
            <v>70</v>
          </cell>
          <cell r="J200"/>
          <cell r="K200">
            <v>2500</v>
          </cell>
          <cell r="L200"/>
          <cell r="M200"/>
          <cell r="N200"/>
          <cell r="O200"/>
          <cell r="P200"/>
          <cell r="Q200"/>
          <cell r="R200">
            <v>5.3000000000000003E-10</v>
          </cell>
          <cell r="S200"/>
          <cell r="T200"/>
          <cell r="U200"/>
          <cell r="V200"/>
          <cell r="W200">
            <v>30000</v>
          </cell>
          <cell r="X200">
            <v>0.33333333333333331</v>
          </cell>
          <cell r="Y200">
            <v>0.33333333333333331</v>
          </cell>
          <cell r="Z200">
            <v>0.33333333333333331</v>
          </cell>
          <cell r="AA200"/>
        </row>
        <row r="201">
          <cell r="A201">
            <v>194</v>
          </cell>
          <cell r="B201" t="str">
            <v>benzothiazole-2-thiol</v>
          </cell>
          <cell r="C201" t="str">
            <v>149-30-4</v>
          </cell>
          <cell r="D201" t="str">
            <v/>
          </cell>
          <cell r="E201"/>
          <cell r="F201">
            <v>167</v>
          </cell>
          <cell r="G201">
            <v>180</v>
          </cell>
          <cell r="H201">
            <v>1.1E-4</v>
          </cell>
          <cell r="I201">
            <v>330</v>
          </cell>
          <cell r="J201"/>
          <cell r="K201">
            <v>260</v>
          </cell>
          <cell r="L201"/>
          <cell r="M201"/>
          <cell r="N201"/>
          <cell r="O201"/>
          <cell r="P201"/>
          <cell r="Q201"/>
          <cell r="R201">
            <v>5.3000000000000003E-10</v>
          </cell>
          <cell r="S201"/>
          <cell r="T201"/>
          <cell r="U201"/>
          <cell r="V201"/>
          <cell r="W201">
            <v>30000</v>
          </cell>
          <cell r="X201">
            <v>0.33333333333333331</v>
          </cell>
          <cell r="Y201">
            <v>0.33333333333333331</v>
          </cell>
          <cell r="Z201">
            <v>0.33333333333333331</v>
          </cell>
          <cell r="AA201"/>
        </row>
        <row r="202">
          <cell r="A202">
            <v>195</v>
          </cell>
          <cell r="B202" t="str">
            <v>dodecyldimethylamine</v>
          </cell>
          <cell r="C202" t="str">
            <v>112-18-5</v>
          </cell>
          <cell r="D202" t="str">
            <v/>
          </cell>
          <cell r="E202"/>
          <cell r="F202">
            <v>213</v>
          </cell>
          <cell r="G202">
            <v>-18</v>
          </cell>
          <cell r="H202">
            <v>3.0999999999999999E-3</v>
          </cell>
          <cell r="I202">
            <v>0.25</v>
          </cell>
          <cell r="J202"/>
          <cell r="K202">
            <v>300000</v>
          </cell>
          <cell r="L202"/>
          <cell r="M202"/>
          <cell r="N202"/>
          <cell r="O202"/>
          <cell r="P202"/>
          <cell r="Q202">
            <v>5.3000000000000001E-5</v>
          </cell>
          <cell r="R202">
            <v>5.2999999999999998E-8</v>
          </cell>
          <cell r="S202"/>
          <cell r="T202">
            <v>3.2000000000000001E-7</v>
          </cell>
          <cell r="U202"/>
          <cell r="V202"/>
          <cell r="W202">
            <v>30000</v>
          </cell>
          <cell r="X202">
            <v>0.33333333333333331</v>
          </cell>
          <cell r="Y202">
            <v>0.33333333333333331</v>
          </cell>
          <cell r="Z202">
            <v>0.33333333333333331</v>
          </cell>
          <cell r="AA202"/>
        </row>
        <row r="203">
          <cell r="A203">
            <v>196</v>
          </cell>
          <cell r="B203" t="str">
            <v>di-''isononyl'' phthalate</v>
          </cell>
          <cell r="C203" t="str">
            <v>28553-12-0</v>
          </cell>
          <cell r="D203" t="str">
            <v/>
          </cell>
          <cell r="E203"/>
          <cell r="F203">
            <v>419</v>
          </cell>
          <cell r="G203">
            <v>-44</v>
          </cell>
          <cell r="H203">
            <v>2.8E-11</v>
          </cell>
          <cell r="I203">
            <v>0.2</v>
          </cell>
          <cell r="J203"/>
          <cell r="K203">
            <v>120000000</v>
          </cell>
          <cell r="L203"/>
          <cell r="M203"/>
          <cell r="N203"/>
          <cell r="O203"/>
          <cell r="P203"/>
          <cell r="Q203">
            <v>1.8E-5</v>
          </cell>
          <cell r="R203">
            <v>5.2999999999999998E-8</v>
          </cell>
          <cell r="S203"/>
          <cell r="T203">
            <v>1.3E-6</v>
          </cell>
          <cell r="U203"/>
          <cell r="V203"/>
          <cell r="W203">
            <v>30000</v>
          </cell>
          <cell r="X203">
            <v>0.33333333333333331</v>
          </cell>
          <cell r="Y203">
            <v>0.33333333333333331</v>
          </cell>
          <cell r="Z203">
            <v>0.33333333333333331</v>
          </cell>
          <cell r="AA203"/>
        </row>
        <row r="204">
          <cell r="A204">
            <v>197</v>
          </cell>
          <cell r="B204" t="str">
            <v>urea</v>
          </cell>
          <cell r="C204" t="str">
            <v>57-13-6</v>
          </cell>
          <cell r="D204" t="str">
            <v/>
          </cell>
          <cell r="E204"/>
          <cell r="F204">
            <v>60</v>
          </cell>
          <cell r="G204">
            <v>133</v>
          </cell>
          <cell r="H204">
            <v>1.6000000000000001E-3</v>
          </cell>
          <cell r="I204">
            <v>1100000</v>
          </cell>
          <cell r="J204"/>
          <cell r="K204">
            <v>2.5999999999999999E-2</v>
          </cell>
          <cell r="L204"/>
          <cell r="M204"/>
          <cell r="N204"/>
          <cell r="O204"/>
          <cell r="P204"/>
          <cell r="Q204"/>
          <cell r="R204">
            <v>5.3000000000000003E-10</v>
          </cell>
          <cell r="S204"/>
          <cell r="T204"/>
          <cell r="U204"/>
          <cell r="V204"/>
          <cell r="W204">
            <v>30000</v>
          </cell>
          <cell r="X204">
            <v>0.33333333333333331</v>
          </cell>
          <cell r="Y204">
            <v>0.33333333333333331</v>
          </cell>
          <cell r="Z204">
            <v>0.33333333333333331</v>
          </cell>
          <cell r="AA204"/>
        </row>
        <row r="205">
          <cell r="A205">
            <v>198</v>
          </cell>
          <cell r="B205" t="str">
            <v>dimethyl glutarate</v>
          </cell>
          <cell r="C205" t="str">
            <v>1119-40-0</v>
          </cell>
          <cell r="D205" t="str">
            <v/>
          </cell>
          <cell r="E205"/>
          <cell r="F205">
            <v>160</v>
          </cell>
          <cell r="G205">
            <v>-43</v>
          </cell>
          <cell r="H205">
            <v>27</v>
          </cell>
          <cell r="I205">
            <v>0.7</v>
          </cell>
          <cell r="J205"/>
          <cell r="K205">
            <v>1.4</v>
          </cell>
          <cell r="L205"/>
          <cell r="M205"/>
          <cell r="N205"/>
          <cell r="O205"/>
          <cell r="P205"/>
          <cell r="Q205">
            <v>1.9E-6</v>
          </cell>
          <cell r="R205">
            <v>5.3000000000000001E-7</v>
          </cell>
          <cell r="S205"/>
          <cell r="T205">
            <v>1.1999999999999999E-6</v>
          </cell>
          <cell r="U205"/>
          <cell r="V205"/>
          <cell r="W205">
            <v>30000</v>
          </cell>
          <cell r="X205">
            <v>0.33333333333333331</v>
          </cell>
          <cell r="Y205">
            <v>0.33333333333333331</v>
          </cell>
          <cell r="Z205">
            <v>0.33333333333333331</v>
          </cell>
          <cell r="AA205"/>
        </row>
        <row r="206">
          <cell r="A206">
            <v>199</v>
          </cell>
          <cell r="B206" t="str">
            <v>toluene-4-sulphonic acid</v>
          </cell>
          <cell r="C206" t="str">
            <v>104-15-4</v>
          </cell>
          <cell r="D206" t="str">
            <v/>
          </cell>
          <cell r="E206"/>
          <cell r="F206">
            <v>172</v>
          </cell>
          <cell r="G206">
            <v>101</v>
          </cell>
          <cell r="H206">
            <v>10</v>
          </cell>
          <cell r="I206">
            <v>700000</v>
          </cell>
          <cell r="J206"/>
          <cell r="K206">
            <v>6.1</v>
          </cell>
          <cell r="L206"/>
          <cell r="M206"/>
          <cell r="N206"/>
          <cell r="O206"/>
          <cell r="P206"/>
          <cell r="Q206"/>
          <cell r="R206">
            <v>5.2999999999999998E-8</v>
          </cell>
          <cell r="S206"/>
          <cell r="T206"/>
          <cell r="U206"/>
          <cell r="V206"/>
          <cell r="W206">
            <v>30000</v>
          </cell>
          <cell r="X206">
            <v>0.33333333333333331</v>
          </cell>
          <cell r="Y206">
            <v>0.33333333333333331</v>
          </cell>
          <cell r="Z206">
            <v>0.33333333333333331</v>
          </cell>
          <cell r="AA206"/>
        </row>
        <row r="207">
          <cell r="A207">
            <v>200</v>
          </cell>
          <cell r="B207" t="str">
            <v>dimethyl phthalate</v>
          </cell>
          <cell r="C207" t="str">
            <v>131-11-3</v>
          </cell>
          <cell r="D207" t="str">
            <v/>
          </cell>
          <cell r="E207"/>
          <cell r="F207">
            <v>194</v>
          </cell>
          <cell r="G207">
            <v>3</v>
          </cell>
          <cell r="H207">
            <v>0.8</v>
          </cell>
          <cell r="I207">
            <v>4300</v>
          </cell>
          <cell r="J207"/>
          <cell r="K207">
            <v>34</v>
          </cell>
          <cell r="L207"/>
          <cell r="M207"/>
          <cell r="N207"/>
          <cell r="O207"/>
          <cell r="P207"/>
          <cell r="Q207"/>
          <cell r="R207">
            <v>5.3000000000000001E-7</v>
          </cell>
          <cell r="S207"/>
          <cell r="T207"/>
          <cell r="U207"/>
          <cell r="V207"/>
          <cell r="W207">
            <v>30000</v>
          </cell>
          <cell r="X207">
            <v>0.33333333333333331</v>
          </cell>
          <cell r="Y207">
            <v>0.33333333333333331</v>
          </cell>
          <cell r="Z207">
            <v>0.33333333333333331</v>
          </cell>
          <cell r="AA207"/>
        </row>
        <row r="208">
          <cell r="A208">
            <v>201</v>
          </cell>
          <cell r="B208" t="str">
            <v>caffeine</v>
          </cell>
          <cell r="C208">
            <v>21399</v>
          </cell>
          <cell r="D208" t="str">
            <v/>
          </cell>
          <cell r="E208"/>
          <cell r="F208">
            <v>194</v>
          </cell>
          <cell r="G208">
            <v>236</v>
          </cell>
          <cell r="H208">
            <v>1.1000000000000001E-3</v>
          </cell>
          <cell r="I208">
            <v>20000</v>
          </cell>
          <cell r="J208"/>
          <cell r="K208">
            <v>0.85</v>
          </cell>
          <cell r="L208"/>
          <cell r="M208"/>
          <cell r="N208"/>
          <cell r="O208"/>
          <cell r="P208"/>
          <cell r="Q208">
            <v>1.5E-5</v>
          </cell>
          <cell r="R208">
            <v>5.3000000000000003E-10</v>
          </cell>
          <cell r="S208"/>
          <cell r="T208">
            <v>3.7E-7</v>
          </cell>
          <cell r="U208"/>
          <cell r="V208"/>
          <cell r="W208">
            <v>30000</v>
          </cell>
          <cell r="X208">
            <v>0.33333333333333331</v>
          </cell>
          <cell r="Y208">
            <v>0.33333333333333331</v>
          </cell>
          <cell r="Z208">
            <v>0.33333333333333331</v>
          </cell>
          <cell r="AA208"/>
        </row>
        <row r="209">
          <cell r="A209">
            <v>202</v>
          </cell>
          <cell r="B209" t="str">
            <v>4-(1,1,3,3-tetramethylbutyl)phenol</v>
          </cell>
          <cell r="C209" t="str">
            <v>140-66-9</v>
          </cell>
          <cell r="D209" t="str">
            <v/>
          </cell>
          <cell r="E209"/>
          <cell r="F209">
            <v>206</v>
          </cell>
          <cell r="G209">
            <v>80</v>
          </cell>
          <cell r="H209">
            <v>0.21</v>
          </cell>
          <cell r="I209">
            <v>19</v>
          </cell>
          <cell r="J209"/>
          <cell r="K209">
            <v>20000</v>
          </cell>
          <cell r="L209"/>
          <cell r="M209"/>
          <cell r="N209"/>
          <cell r="O209"/>
          <cell r="P209"/>
          <cell r="Q209">
            <v>2.5000000000000001E-5</v>
          </cell>
          <cell r="R209">
            <v>5.3000000000000003E-10</v>
          </cell>
          <cell r="S209"/>
          <cell r="T209">
            <v>6.5999999999999995E-8</v>
          </cell>
          <cell r="U209"/>
          <cell r="V209"/>
          <cell r="W209">
            <v>30000</v>
          </cell>
          <cell r="X209">
            <v>0.33333333333333331</v>
          </cell>
          <cell r="Y209">
            <v>0.33333333333333331</v>
          </cell>
          <cell r="Z209">
            <v>0.33333333333333331</v>
          </cell>
          <cell r="AA209"/>
        </row>
        <row r="210">
          <cell r="A210">
            <v>203</v>
          </cell>
          <cell r="B210" t="str">
            <v>2-hydroxy-2-methylpropionitrile</v>
          </cell>
          <cell r="C210" t="str">
            <v>75-86-5</v>
          </cell>
          <cell r="D210" t="str">
            <v/>
          </cell>
          <cell r="E210"/>
          <cell r="F210">
            <v>85</v>
          </cell>
          <cell r="G210">
            <v>-19</v>
          </cell>
          <cell r="H210">
            <v>110</v>
          </cell>
          <cell r="I210">
            <v>2.4</v>
          </cell>
          <cell r="J210"/>
          <cell r="K210">
            <v>0.18</v>
          </cell>
          <cell r="L210"/>
          <cell r="M210"/>
          <cell r="N210"/>
          <cell r="O210"/>
          <cell r="P210"/>
          <cell r="Q210"/>
          <cell r="R210">
            <v>5.2999999999999998E-8</v>
          </cell>
          <cell r="S210"/>
          <cell r="T210"/>
          <cell r="U210"/>
          <cell r="V210"/>
          <cell r="W210">
            <v>30000</v>
          </cell>
          <cell r="X210">
            <v>0.33333333333333331</v>
          </cell>
          <cell r="Y210">
            <v>0.33333333333333331</v>
          </cell>
          <cell r="Z210">
            <v>0.33333333333333331</v>
          </cell>
          <cell r="AA210"/>
        </row>
        <row r="211">
          <cell r="A211">
            <v>204</v>
          </cell>
          <cell r="B211" t="str">
            <v>dimethyl maleate</v>
          </cell>
          <cell r="C211" t="str">
            <v>624-48-6</v>
          </cell>
          <cell r="D211" t="str">
            <v/>
          </cell>
          <cell r="E211"/>
          <cell r="F211">
            <v>144</v>
          </cell>
          <cell r="G211">
            <v>-18</v>
          </cell>
          <cell r="H211">
            <v>28</v>
          </cell>
          <cell r="I211">
            <v>0.11</v>
          </cell>
          <cell r="J211"/>
          <cell r="K211">
            <v>1.7</v>
          </cell>
          <cell r="L211"/>
          <cell r="M211"/>
          <cell r="N211"/>
          <cell r="O211"/>
          <cell r="P211"/>
          <cell r="Q211">
            <v>5.0000000000000004E-6</v>
          </cell>
          <cell r="R211">
            <v>5.3000000000000003E-10</v>
          </cell>
          <cell r="S211"/>
          <cell r="T211">
            <v>2.7E-6</v>
          </cell>
          <cell r="U211"/>
          <cell r="V211"/>
          <cell r="W211">
            <v>30000</v>
          </cell>
          <cell r="X211">
            <v>0.33333333333333331</v>
          </cell>
          <cell r="Y211">
            <v>0.33333333333333331</v>
          </cell>
          <cell r="Z211">
            <v>0.33333333333333331</v>
          </cell>
          <cell r="AA211"/>
        </row>
        <row r="212">
          <cell r="A212">
            <v>205</v>
          </cell>
          <cell r="B212" t="str">
            <v>isopropyl myristate</v>
          </cell>
          <cell r="C212" t="str">
            <v>110-27-0</v>
          </cell>
          <cell r="D212" t="str">
            <v/>
          </cell>
          <cell r="E212"/>
          <cell r="F212">
            <v>270</v>
          </cell>
          <cell r="G212">
            <v>2</v>
          </cell>
          <cell r="H212">
            <v>0.12</v>
          </cell>
          <cell r="I212">
            <v>0.05</v>
          </cell>
          <cell r="J212"/>
          <cell r="K212">
            <v>2400000</v>
          </cell>
          <cell r="L212"/>
          <cell r="M212"/>
          <cell r="N212"/>
          <cell r="O212"/>
          <cell r="P212"/>
          <cell r="Q212">
            <v>1.1E-5</v>
          </cell>
          <cell r="R212">
            <v>5.3000000000000001E-7</v>
          </cell>
          <cell r="S212"/>
          <cell r="T212">
            <v>9.0999999999999997E-7</v>
          </cell>
          <cell r="U212"/>
          <cell r="V212"/>
          <cell r="W212">
            <v>30000</v>
          </cell>
          <cell r="X212">
            <v>0.33333333333333331</v>
          </cell>
          <cell r="Y212">
            <v>0.33333333333333331</v>
          </cell>
          <cell r="Z212">
            <v>0.33333333333333331</v>
          </cell>
          <cell r="AA212"/>
        </row>
        <row r="213">
          <cell r="A213">
            <v>206</v>
          </cell>
          <cell r="B213" t="str">
            <v>2,2'-oxydiethanol</v>
          </cell>
          <cell r="C213" t="str">
            <v>111-46-6</v>
          </cell>
          <cell r="D213" t="str">
            <v/>
          </cell>
          <cell r="E213"/>
          <cell r="F213">
            <v>106</v>
          </cell>
          <cell r="G213">
            <v>-8</v>
          </cell>
          <cell r="H213">
            <v>1</v>
          </cell>
          <cell r="I213">
            <v>26</v>
          </cell>
          <cell r="J213"/>
          <cell r="K213">
            <v>0.32</v>
          </cell>
          <cell r="L213"/>
          <cell r="M213"/>
          <cell r="N213"/>
          <cell r="O213"/>
          <cell r="P213"/>
          <cell r="Q213">
            <v>1.9000000000000001E-5</v>
          </cell>
          <cell r="R213">
            <v>5.2999999999999998E-8</v>
          </cell>
          <cell r="S213"/>
          <cell r="T213">
            <v>4.0000000000000001E-8</v>
          </cell>
          <cell r="U213"/>
          <cell r="V213"/>
          <cell r="W213">
            <v>30000</v>
          </cell>
          <cell r="X213">
            <v>0.33333333333333331</v>
          </cell>
          <cell r="Y213">
            <v>0.33333333333333331</v>
          </cell>
          <cell r="Z213">
            <v>0.33333333333333331</v>
          </cell>
          <cell r="AA213"/>
        </row>
        <row r="214">
          <cell r="A214">
            <v>207</v>
          </cell>
          <cell r="B214" t="str">
            <v>propene, pure</v>
          </cell>
          <cell r="C214" t="str">
            <v>115-07-1</v>
          </cell>
          <cell r="D214" t="str">
            <v/>
          </cell>
          <cell r="E214"/>
          <cell r="F214">
            <v>42</v>
          </cell>
          <cell r="G214">
            <v>-185</v>
          </cell>
          <cell r="H214">
            <v>60000</v>
          </cell>
          <cell r="I214">
            <v>530</v>
          </cell>
          <cell r="J214"/>
          <cell r="K214">
            <v>190</v>
          </cell>
          <cell r="L214"/>
          <cell r="M214"/>
          <cell r="N214"/>
          <cell r="O214"/>
          <cell r="P214"/>
          <cell r="Q214">
            <v>4.0000000000000003E-5</v>
          </cell>
          <cell r="R214">
            <v>5.2999999999999998E-8</v>
          </cell>
          <cell r="S214"/>
          <cell r="T214">
            <v>6.9999999999999997E-7</v>
          </cell>
          <cell r="U214"/>
          <cell r="V214"/>
          <cell r="W214">
            <v>30000</v>
          </cell>
          <cell r="X214">
            <v>0.33333333333333331</v>
          </cell>
          <cell r="Y214">
            <v>0.33333333333333331</v>
          </cell>
          <cell r="Z214">
            <v>0.33333333333333331</v>
          </cell>
          <cell r="AA214"/>
        </row>
        <row r="215">
          <cell r="A215">
            <v>208</v>
          </cell>
          <cell r="B215" t="str">
            <v>3,6,9-triazaundecamethylenediamine</v>
          </cell>
          <cell r="C215" t="str">
            <v>112-57-2</v>
          </cell>
          <cell r="D215" t="str">
            <v/>
          </cell>
          <cell r="E215"/>
          <cell r="F215">
            <v>189</v>
          </cell>
          <cell r="G215">
            <v>30</v>
          </cell>
          <cell r="H215">
            <v>4.7000000000000002E-3</v>
          </cell>
          <cell r="I215">
            <v>82</v>
          </cell>
          <cell r="J215"/>
          <cell r="K215">
            <v>0.56000000000000005</v>
          </cell>
          <cell r="L215"/>
          <cell r="M215"/>
          <cell r="N215"/>
          <cell r="O215"/>
          <cell r="P215"/>
          <cell r="Q215"/>
          <cell r="R215">
            <v>5.3000000000000003E-10</v>
          </cell>
          <cell r="S215"/>
          <cell r="T215"/>
          <cell r="U215"/>
          <cell r="V215"/>
          <cell r="W215">
            <v>30000</v>
          </cell>
          <cell r="X215">
            <v>0.33333333333333331</v>
          </cell>
          <cell r="Y215">
            <v>0.33333333333333331</v>
          </cell>
          <cell r="Z215">
            <v>0.33333333333333331</v>
          </cell>
          <cell r="AA215"/>
        </row>
        <row r="216">
          <cell r="A216">
            <v>209</v>
          </cell>
          <cell r="B216" t="str">
            <v>2-ethylhexanal</v>
          </cell>
          <cell r="C216" t="str">
            <v>123-05-7</v>
          </cell>
          <cell r="D216" t="str">
            <v/>
          </cell>
          <cell r="E216"/>
          <cell r="F216">
            <v>128</v>
          </cell>
          <cell r="G216">
            <v>-63</v>
          </cell>
          <cell r="H216">
            <v>200</v>
          </cell>
          <cell r="I216">
            <v>800</v>
          </cell>
          <cell r="J216"/>
          <cell r="K216">
            <v>1200</v>
          </cell>
          <cell r="L216"/>
          <cell r="M216"/>
          <cell r="N216"/>
          <cell r="O216"/>
          <cell r="P216"/>
          <cell r="Q216"/>
          <cell r="R216">
            <v>5.3000000000000001E-7</v>
          </cell>
          <cell r="S216"/>
          <cell r="T216"/>
          <cell r="U216"/>
          <cell r="V216"/>
          <cell r="W216">
            <v>30000</v>
          </cell>
          <cell r="X216">
            <v>0.33333333333333331</v>
          </cell>
          <cell r="Y216">
            <v>0.33333333333333331</v>
          </cell>
          <cell r="Z216">
            <v>0.33333333333333331</v>
          </cell>
          <cell r="AA216"/>
        </row>
        <row r="217">
          <cell r="A217">
            <v>210</v>
          </cell>
          <cell r="B217" t="str">
            <v>6-phenyl-1,3,5-triazine-2,4-diyldiamine</v>
          </cell>
          <cell r="C217" t="str">
            <v>91-76-9</v>
          </cell>
          <cell r="D217" t="str">
            <v/>
          </cell>
          <cell r="E217"/>
          <cell r="F217">
            <v>187</v>
          </cell>
          <cell r="G217">
            <v>227</v>
          </cell>
          <cell r="H217">
            <v>1.2E-4</v>
          </cell>
          <cell r="I217">
            <v>600</v>
          </cell>
          <cell r="J217"/>
          <cell r="K217">
            <v>30</v>
          </cell>
          <cell r="L217"/>
          <cell r="M217"/>
          <cell r="N217"/>
          <cell r="O217"/>
          <cell r="P217"/>
          <cell r="Q217"/>
          <cell r="R217">
            <v>5.3000000000000003E-10</v>
          </cell>
          <cell r="S217"/>
          <cell r="T217"/>
          <cell r="U217"/>
          <cell r="V217"/>
          <cell r="W217">
            <v>30000</v>
          </cell>
          <cell r="X217">
            <v>0.33333333333333331</v>
          </cell>
          <cell r="Y217">
            <v>0.33333333333333331</v>
          </cell>
          <cell r="Z217">
            <v>0.33333333333333331</v>
          </cell>
          <cell r="AA217"/>
        </row>
        <row r="218">
          <cell r="A218">
            <v>211</v>
          </cell>
          <cell r="B218" t="str">
            <v>1,1'-iminodipropan-2-ol</v>
          </cell>
          <cell r="C218" t="str">
            <v>110-97-4</v>
          </cell>
          <cell r="D218" t="str">
            <v/>
          </cell>
          <cell r="E218"/>
          <cell r="F218">
            <v>133</v>
          </cell>
          <cell r="G218">
            <v>39</v>
          </cell>
          <cell r="H218">
            <v>1</v>
          </cell>
          <cell r="I218">
            <v>870000</v>
          </cell>
          <cell r="J218"/>
          <cell r="K218">
            <v>0.16</v>
          </cell>
          <cell r="L218"/>
          <cell r="M218"/>
          <cell r="N218"/>
          <cell r="O218"/>
          <cell r="P218"/>
          <cell r="Q218"/>
          <cell r="R218">
            <v>5.3000000000000003E-10</v>
          </cell>
          <cell r="S218"/>
          <cell r="T218"/>
          <cell r="U218"/>
          <cell r="V218"/>
          <cell r="W218">
            <v>30000</v>
          </cell>
          <cell r="X218">
            <v>0.33333333333333331</v>
          </cell>
          <cell r="Y218">
            <v>0.33333333333333331</v>
          </cell>
          <cell r="Z218">
            <v>0.33333333333333331</v>
          </cell>
          <cell r="AA218"/>
        </row>
        <row r="219">
          <cell r="A219">
            <v>212</v>
          </cell>
          <cell r="B219" t="str">
            <v>dimethyl sulphate</v>
          </cell>
          <cell r="C219" t="str">
            <v>77-78-1</v>
          </cell>
          <cell r="D219" t="str">
            <v/>
          </cell>
          <cell r="E219"/>
          <cell r="F219">
            <v>126</v>
          </cell>
          <cell r="G219"/>
          <cell r="H219">
            <v>35</v>
          </cell>
          <cell r="I219">
            <v>28000</v>
          </cell>
          <cell r="J219"/>
          <cell r="K219">
            <v>1.2</v>
          </cell>
          <cell r="L219"/>
          <cell r="M219"/>
          <cell r="N219"/>
          <cell r="O219"/>
          <cell r="P219"/>
          <cell r="Q219">
            <v>1.1999999999999999E-7</v>
          </cell>
          <cell r="R219">
            <v>5.3000000000000003E-10</v>
          </cell>
          <cell r="S219"/>
          <cell r="T219">
            <v>4.4999999999999998E-7</v>
          </cell>
          <cell r="U219"/>
          <cell r="V219"/>
          <cell r="W219">
            <v>30000</v>
          </cell>
          <cell r="X219">
            <v>0.33333333333333331</v>
          </cell>
          <cell r="Y219">
            <v>0.33333333333333331</v>
          </cell>
          <cell r="Z219">
            <v>0.33333333333333331</v>
          </cell>
          <cell r="AA219"/>
        </row>
        <row r="220">
          <cell r="A220">
            <v>213</v>
          </cell>
          <cell r="B220" t="str">
            <v>2-methylpyridine</v>
          </cell>
          <cell r="C220" t="str">
            <v>109-06-8</v>
          </cell>
          <cell r="D220" t="str">
            <v/>
          </cell>
          <cell r="E220"/>
          <cell r="F220">
            <v>93</v>
          </cell>
          <cell r="G220">
            <v>-67</v>
          </cell>
          <cell r="H220">
            <v>1100</v>
          </cell>
          <cell r="I220">
            <v>1.4E-2</v>
          </cell>
          <cell r="J220"/>
          <cell r="K220">
            <v>12</v>
          </cell>
          <cell r="L220"/>
          <cell r="M220"/>
          <cell r="N220"/>
          <cell r="O220"/>
          <cell r="P220"/>
          <cell r="Q220"/>
          <cell r="R220">
            <v>5.3000000000000001E-7</v>
          </cell>
          <cell r="S220"/>
          <cell r="T220"/>
          <cell r="U220"/>
          <cell r="V220"/>
          <cell r="W220">
            <v>30000</v>
          </cell>
          <cell r="X220">
            <v>0.33333333333333331</v>
          </cell>
          <cell r="Y220">
            <v>0.33333333333333331</v>
          </cell>
          <cell r="Z220">
            <v>0.33333333333333331</v>
          </cell>
          <cell r="AA220"/>
        </row>
        <row r="221">
          <cell r="A221">
            <v>214</v>
          </cell>
          <cell r="B221" t="str">
            <v>gamma-butyrolactone</v>
          </cell>
          <cell r="C221" t="str">
            <v>96-48-0</v>
          </cell>
          <cell r="D221" t="str">
            <v/>
          </cell>
          <cell r="E221"/>
          <cell r="F221">
            <v>86</v>
          </cell>
          <cell r="G221">
            <v>-44</v>
          </cell>
          <cell r="H221">
            <v>34</v>
          </cell>
          <cell r="I221">
            <v>0.4</v>
          </cell>
          <cell r="J221"/>
          <cell r="K221">
            <v>0.27</v>
          </cell>
          <cell r="L221"/>
          <cell r="M221"/>
          <cell r="N221"/>
          <cell r="O221"/>
          <cell r="P221"/>
          <cell r="Q221">
            <v>1.3999999999999999E-6</v>
          </cell>
          <cell r="R221">
            <v>5.3000000000000003E-10</v>
          </cell>
          <cell r="S221"/>
          <cell r="T221">
            <v>5.7999999999999995E-7</v>
          </cell>
          <cell r="U221"/>
          <cell r="V221"/>
          <cell r="W221">
            <v>30000</v>
          </cell>
          <cell r="X221">
            <v>0.33333333333333331</v>
          </cell>
          <cell r="Y221">
            <v>0.33333333333333331</v>
          </cell>
          <cell r="Z221">
            <v>0.33333333333333331</v>
          </cell>
          <cell r="AA221"/>
        </row>
        <row r="222">
          <cell r="A222">
            <v>215</v>
          </cell>
          <cell r="B222" t="str">
            <v>(4-chloro-2-methylphenoxy)acetic acid</v>
          </cell>
          <cell r="C222" t="str">
            <v>94-74-6</v>
          </cell>
          <cell r="D222" t="str">
            <v/>
          </cell>
          <cell r="E222"/>
          <cell r="F222">
            <v>201</v>
          </cell>
          <cell r="G222">
            <v>118</v>
          </cell>
          <cell r="H222">
            <v>2.7E-4</v>
          </cell>
          <cell r="I222">
            <v>320000</v>
          </cell>
          <cell r="J222"/>
          <cell r="K222">
            <v>600</v>
          </cell>
          <cell r="L222"/>
          <cell r="M222"/>
          <cell r="N222"/>
          <cell r="O222"/>
          <cell r="P222"/>
          <cell r="Q222">
            <v>8.7000000000000003E-7</v>
          </cell>
          <cell r="R222">
            <v>5.3000000000000003E-10</v>
          </cell>
          <cell r="S222"/>
          <cell r="T222">
            <v>4.1000000000000003E-8</v>
          </cell>
          <cell r="U222"/>
          <cell r="V222"/>
          <cell r="W222">
            <v>30000</v>
          </cell>
          <cell r="X222">
            <v>0.33333333333333331</v>
          </cell>
          <cell r="Y222">
            <v>0.33333333333333331</v>
          </cell>
          <cell r="Z222">
            <v>0.33333333333333331</v>
          </cell>
          <cell r="AA222"/>
        </row>
        <row r="223">
          <cell r="A223">
            <v>216</v>
          </cell>
          <cell r="B223" t="str">
            <v>isobutane</v>
          </cell>
          <cell r="C223" t="str">
            <v>75-28-5</v>
          </cell>
          <cell r="D223" t="str">
            <v/>
          </cell>
          <cell r="E223"/>
          <cell r="F223">
            <v>58</v>
          </cell>
          <cell r="G223">
            <v>-160</v>
          </cell>
          <cell r="H223">
            <v>60000</v>
          </cell>
          <cell r="I223">
            <v>61</v>
          </cell>
          <cell r="J223"/>
          <cell r="K223">
            <v>760</v>
          </cell>
          <cell r="L223"/>
          <cell r="M223"/>
          <cell r="N223"/>
          <cell r="O223"/>
          <cell r="P223"/>
          <cell r="Q223">
            <v>9.9999999999999995E-7</v>
          </cell>
          <cell r="R223">
            <v>5.2999999999999998E-8</v>
          </cell>
          <cell r="S223"/>
          <cell r="T223">
            <v>6.8999999999999996E-7</v>
          </cell>
          <cell r="U223"/>
          <cell r="V223"/>
          <cell r="W223">
            <v>30000</v>
          </cell>
          <cell r="X223">
            <v>0.33333333333333331</v>
          </cell>
          <cell r="Y223">
            <v>0.33333333333333331</v>
          </cell>
          <cell r="Z223">
            <v>0.33333333333333331</v>
          </cell>
          <cell r="AA223"/>
        </row>
        <row r="224">
          <cell r="A224">
            <v>217</v>
          </cell>
          <cell r="B224" t="str">
            <v>methenamine</v>
          </cell>
          <cell r="C224" t="str">
            <v>100-97-0</v>
          </cell>
          <cell r="D224" t="str">
            <v/>
          </cell>
          <cell r="E224"/>
          <cell r="F224">
            <v>140</v>
          </cell>
          <cell r="G224">
            <v>280</v>
          </cell>
          <cell r="H224">
            <v>0.35</v>
          </cell>
          <cell r="I224">
            <v>890000</v>
          </cell>
          <cell r="J224"/>
          <cell r="K224">
            <v>3.3E-3</v>
          </cell>
          <cell r="L224"/>
          <cell r="M224"/>
          <cell r="N224"/>
          <cell r="O224"/>
          <cell r="P224"/>
          <cell r="Q224">
            <v>3.8000000000000002E-4</v>
          </cell>
          <cell r="R224">
            <v>5.3000000000000003E-10</v>
          </cell>
          <cell r="S224"/>
          <cell r="T224">
            <v>4.0000000000000001E-8</v>
          </cell>
          <cell r="U224"/>
          <cell r="V224"/>
          <cell r="W224">
            <v>30000</v>
          </cell>
          <cell r="X224">
            <v>0.33333333333333331</v>
          </cell>
          <cell r="Y224">
            <v>0.33333333333333331</v>
          </cell>
          <cell r="Z224">
            <v>0.33333333333333331</v>
          </cell>
          <cell r="AA224"/>
        </row>
        <row r="225">
          <cell r="A225">
            <v>218</v>
          </cell>
          <cell r="B225" t="str">
            <v>dimethyl succinate</v>
          </cell>
          <cell r="C225" t="str">
            <v>106-65-0</v>
          </cell>
          <cell r="D225" t="str">
            <v/>
          </cell>
          <cell r="E225"/>
          <cell r="F225">
            <v>146</v>
          </cell>
          <cell r="G225">
            <v>19</v>
          </cell>
          <cell r="H225">
            <v>3</v>
          </cell>
          <cell r="I225">
            <v>130000</v>
          </cell>
          <cell r="J225"/>
          <cell r="K225">
            <v>1.5</v>
          </cell>
          <cell r="L225"/>
          <cell r="M225"/>
          <cell r="N225"/>
          <cell r="O225"/>
          <cell r="P225"/>
          <cell r="Q225">
            <v>4.4999999999999998E-7</v>
          </cell>
          <cell r="R225">
            <v>5.3000000000000003E-10</v>
          </cell>
          <cell r="S225"/>
          <cell r="T225">
            <v>1.9999999999999999E-6</v>
          </cell>
          <cell r="U225"/>
          <cell r="V225"/>
          <cell r="W225">
            <v>30000</v>
          </cell>
          <cell r="X225">
            <v>0.33333333333333331</v>
          </cell>
          <cell r="Y225">
            <v>0.33333333333333331</v>
          </cell>
          <cell r="Z225">
            <v>0.33333333333333331</v>
          </cell>
          <cell r="AA225"/>
        </row>
        <row r="226">
          <cell r="A226">
            <v>219</v>
          </cell>
          <cell r="B226" t="str">
            <v>diethyl malonate</v>
          </cell>
          <cell r="C226" t="str">
            <v>105-53-3</v>
          </cell>
          <cell r="D226" t="str">
            <v/>
          </cell>
          <cell r="E226"/>
          <cell r="F226">
            <v>160</v>
          </cell>
          <cell r="G226">
            <v>-50</v>
          </cell>
          <cell r="H226">
            <v>35</v>
          </cell>
          <cell r="I226">
            <v>18000</v>
          </cell>
          <cell r="J226"/>
          <cell r="K226">
            <v>9.1</v>
          </cell>
          <cell r="L226"/>
          <cell r="M226"/>
          <cell r="N226"/>
          <cell r="O226"/>
          <cell r="P226"/>
          <cell r="Q226"/>
          <cell r="R226">
            <v>5.3000000000000001E-7</v>
          </cell>
          <cell r="S226"/>
          <cell r="T226"/>
          <cell r="U226"/>
          <cell r="V226"/>
          <cell r="W226">
            <v>30000</v>
          </cell>
          <cell r="X226">
            <v>0.33333333333333331</v>
          </cell>
          <cell r="Y226">
            <v>0.33333333333333331</v>
          </cell>
          <cell r="Z226">
            <v>0.33333333333333331</v>
          </cell>
          <cell r="AA226"/>
        </row>
        <row r="227">
          <cell r="A227">
            <v>220</v>
          </cell>
          <cell r="B227" t="str">
            <v>cyclohexane</v>
          </cell>
          <cell r="C227" t="str">
            <v>110-82-7</v>
          </cell>
          <cell r="D227" t="str">
            <v/>
          </cell>
          <cell r="E227"/>
          <cell r="F227">
            <v>84</v>
          </cell>
          <cell r="G227">
            <v>7</v>
          </cell>
          <cell r="H227">
            <v>10000</v>
          </cell>
          <cell r="I227">
            <v>55</v>
          </cell>
          <cell r="J227"/>
          <cell r="K227">
            <v>2800</v>
          </cell>
          <cell r="L227"/>
          <cell r="M227"/>
          <cell r="N227"/>
          <cell r="O227"/>
          <cell r="P227"/>
          <cell r="Q227">
            <v>2.1999999999999999E-5</v>
          </cell>
          <cell r="R227">
            <v>5.3000000000000003E-10</v>
          </cell>
          <cell r="S227"/>
          <cell r="T227">
            <v>2.2000000000000001E-7</v>
          </cell>
          <cell r="U227"/>
          <cell r="V227"/>
          <cell r="W227">
            <v>30000</v>
          </cell>
          <cell r="X227">
            <v>0.33333333333333331</v>
          </cell>
          <cell r="Y227">
            <v>0.33333333333333331</v>
          </cell>
          <cell r="Z227">
            <v>0.33333333333333331</v>
          </cell>
          <cell r="AA227"/>
        </row>
        <row r="228">
          <cell r="A228">
            <v>221</v>
          </cell>
          <cell r="B228" t="str">
            <v>butyl carbamate</v>
          </cell>
          <cell r="C228" t="str">
            <v>592-35-8</v>
          </cell>
          <cell r="D228" t="str">
            <v/>
          </cell>
          <cell r="E228"/>
          <cell r="F228">
            <v>117</v>
          </cell>
          <cell r="G228">
            <v>52</v>
          </cell>
          <cell r="H228">
            <v>7.4</v>
          </cell>
          <cell r="I228">
            <v>1000</v>
          </cell>
          <cell r="J228"/>
          <cell r="K228">
            <v>7.1</v>
          </cell>
          <cell r="L228"/>
          <cell r="M228"/>
          <cell r="N228"/>
          <cell r="O228"/>
          <cell r="P228"/>
          <cell r="Q228"/>
          <cell r="R228">
            <v>5.3000000000000003E-10</v>
          </cell>
          <cell r="S228"/>
          <cell r="T228"/>
          <cell r="U228"/>
          <cell r="V228"/>
          <cell r="W228">
            <v>30000</v>
          </cell>
          <cell r="X228">
            <v>0.33333333333333331</v>
          </cell>
          <cell r="Y228">
            <v>0.33333333333333331</v>
          </cell>
          <cell r="Z228">
            <v>0.33333333333333331</v>
          </cell>
          <cell r="AA228"/>
        </row>
        <row r="229">
          <cell r="A229">
            <v>222</v>
          </cell>
          <cell r="B229" t="str">
            <v>epsilon-caprolactam</v>
          </cell>
          <cell r="C229" t="str">
            <v>105-60-2</v>
          </cell>
          <cell r="D229" t="str">
            <v/>
          </cell>
          <cell r="E229"/>
          <cell r="F229">
            <v>113</v>
          </cell>
          <cell r="G229">
            <v>69</v>
          </cell>
          <cell r="H229">
            <v>0.14000000000000001</v>
          </cell>
          <cell r="I229">
            <v>5300000</v>
          </cell>
          <cell r="J229"/>
          <cell r="K229">
            <v>1.3</v>
          </cell>
          <cell r="L229"/>
          <cell r="M229"/>
          <cell r="N229"/>
          <cell r="O229"/>
          <cell r="P229"/>
          <cell r="Q229">
            <v>2.3E-5</v>
          </cell>
          <cell r="R229">
            <v>5.3000000000000001E-7</v>
          </cell>
          <cell r="S229"/>
          <cell r="T229">
            <v>5.7999999999999995E-7</v>
          </cell>
          <cell r="U229"/>
          <cell r="V229"/>
          <cell r="W229">
            <v>30000</v>
          </cell>
          <cell r="X229">
            <v>0.33333333333333331</v>
          </cell>
          <cell r="Y229">
            <v>0.33333333333333331</v>
          </cell>
          <cell r="Z229">
            <v>0.33333333333333331</v>
          </cell>
          <cell r="AA229"/>
        </row>
        <row r="230">
          <cell r="A230">
            <v>223</v>
          </cell>
          <cell r="B230" t="str">
            <v>nitrobenzene</v>
          </cell>
          <cell r="C230" t="str">
            <v>98-95-3</v>
          </cell>
          <cell r="D230" t="str">
            <v/>
          </cell>
          <cell r="E230"/>
          <cell r="F230">
            <v>123</v>
          </cell>
          <cell r="G230">
            <v>6</v>
          </cell>
          <cell r="H230">
            <v>20</v>
          </cell>
          <cell r="I230">
            <v>2000</v>
          </cell>
          <cell r="J230"/>
          <cell r="K230">
            <v>72</v>
          </cell>
          <cell r="L230"/>
          <cell r="M230"/>
          <cell r="N230"/>
          <cell r="O230"/>
          <cell r="P230"/>
          <cell r="Q230">
            <v>2.3E-5</v>
          </cell>
          <cell r="R230">
            <v>5.3000000000000003E-10</v>
          </cell>
          <cell r="S230"/>
          <cell r="T230">
            <v>4.0000000000000001E-8</v>
          </cell>
          <cell r="U230"/>
          <cell r="V230"/>
          <cell r="W230">
            <v>30000</v>
          </cell>
          <cell r="X230">
            <v>0.33333333333333331</v>
          </cell>
          <cell r="Y230">
            <v>0.33333333333333331</v>
          </cell>
          <cell r="Z230">
            <v>0.33333333333333331</v>
          </cell>
          <cell r="AA230"/>
        </row>
        <row r="231">
          <cell r="A231">
            <v>224</v>
          </cell>
          <cell r="B231" t="str">
            <v>di(benzothiazol-2-yl) disulphide</v>
          </cell>
          <cell r="C231" t="str">
            <v>120-78-5</v>
          </cell>
          <cell r="D231" t="str">
            <v/>
          </cell>
          <cell r="E231"/>
          <cell r="F231">
            <v>392</v>
          </cell>
          <cell r="G231">
            <v>165</v>
          </cell>
          <cell r="H231">
            <v>2.6E-15</v>
          </cell>
          <cell r="I231">
            <v>16</v>
          </cell>
          <cell r="J231"/>
          <cell r="K231">
            <v>19000</v>
          </cell>
          <cell r="L231"/>
          <cell r="M231"/>
          <cell r="N231"/>
          <cell r="O231"/>
          <cell r="P231"/>
          <cell r="Q231"/>
          <cell r="R231">
            <v>5.3000000000000003E-10</v>
          </cell>
          <cell r="S231"/>
          <cell r="T231"/>
          <cell r="U231"/>
          <cell r="V231"/>
          <cell r="W231">
            <v>30000</v>
          </cell>
          <cell r="X231">
            <v>0.33333333333333331</v>
          </cell>
          <cell r="Y231">
            <v>0.33333333333333331</v>
          </cell>
          <cell r="Z231">
            <v>0.33333333333333331</v>
          </cell>
          <cell r="AA231"/>
        </row>
        <row r="232">
          <cell r="A232">
            <v>225</v>
          </cell>
          <cell r="B232" t="str">
            <v>o-anisidine</v>
          </cell>
          <cell r="C232" t="str">
            <v>90-04-0</v>
          </cell>
          <cell r="D232" t="str">
            <v/>
          </cell>
          <cell r="E232"/>
          <cell r="F232">
            <v>123</v>
          </cell>
          <cell r="G232"/>
          <cell r="H232">
            <v>2</v>
          </cell>
          <cell r="I232">
            <v>15000</v>
          </cell>
          <cell r="J232"/>
          <cell r="K232">
            <v>15</v>
          </cell>
          <cell r="L232"/>
          <cell r="M232"/>
          <cell r="N232"/>
          <cell r="O232"/>
          <cell r="P232"/>
          <cell r="Q232">
            <v>6.9999999999999994E-5</v>
          </cell>
          <cell r="R232">
            <v>5.2999999999999998E-8</v>
          </cell>
          <cell r="S232"/>
          <cell r="T232">
            <v>4.0999999999999999E-7</v>
          </cell>
          <cell r="U232"/>
          <cell r="V232"/>
          <cell r="W232">
            <v>30000</v>
          </cell>
          <cell r="X232">
            <v>0.33333333333333331</v>
          </cell>
          <cell r="Y232">
            <v>0.33333333333333331</v>
          </cell>
          <cell r="Z232">
            <v>0.33333333333333331</v>
          </cell>
          <cell r="AA232"/>
        </row>
        <row r="233">
          <cell r="A233">
            <v>226</v>
          </cell>
          <cell r="B233" t="str">
            <v>2-chloro-4-nitroaniline</v>
          </cell>
          <cell r="C233" t="str">
            <v>121-87-9</v>
          </cell>
          <cell r="D233" t="str">
            <v/>
          </cell>
          <cell r="E233"/>
          <cell r="F233">
            <v>173</v>
          </cell>
          <cell r="G233">
            <v>108</v>
          </cell>
          <cell r="H233">
            <v>4.4999999999999999E-4</v>
          </cell>
          <cell r="I233">
            <v>230</v>
          </cell>
          <cell r="J233"/>
          <cell r="K233">
            <v>200</v>
          </cell>
          <cell r="L233"/>
          <cell r="M233"/>
          <cell r="N233"/>
          <cell r="O233"/>
          <cell r="P233"/>
          <cell r="Q233">
            <v>1.1E-5</v>
          </cell>
          <cell r="R233">
            <v>5.3000000000000003E-10</v>
          </cell>
          <cell r="S233"/>
          <cell r="T233">
            <v>6.4000000000000004E-8</v>
          </cell>
          <cell r="U233"/>
          <cell r="V233"/>
          <cell r="W233">
            <v>30000</v>
          </cell>
          <cell r="X233">
            <v>0.33333333333333331</v>
          </cell>
          <cell r="Y233">
            <v>0.33333333333333331</v>
          </cell>
          <cell r="Z233">
            <v>0.33333333333333331</v>
          </cell>
          <cell r="AA233"/>
        </row>
        <row r="234">
          <cell r="A234">
            <v>227</v>
          </cell>
          <cell r="B234" t="str">
            <v>styrene</v>
          </cell>
          <cell r="C234" t="str">
            <v>100-42-5</v>
          </cell>
          <cell r="D234" t="str">
            <v/>
          </cell>
          <cell r="E234"/>
          <cell r="F234">
            <v>104</v>
          </cell>
          <cell r="G234">
            <v>-31</v>
          </cell>
          <cell r="H234">
            <v>600</v>
          </cell>
          <cell r="I234">
            <v>300</v>
          </cell>
          <cell r="J234"/>
          <cell r="K234">
            <v>1100</v>
          </cell>
          <cell r="L234"/>
          <cell r="M234"/>
          <cell r="N234"/>
          <cell r="O234"/>
          <cell r="P234"/>
          <cell r="Q234">
            <v>9.0000000000000006E-5</v>
          </cell>
          <cell r="R234">
            <v>5.2999999999999998E-8</v>
          </cell>
          <cell r="S234"/>
          <cell r="T234">
            <v>4.3000000000000001E-7</v>
          </cell>
          <cell r="U234"/>
          <cell r="V234"/>
          <cell r="W234">
            <v>30000</v>
          </cell>
          <cell r="X234">
            <v>0.33333333333333331</v>
          </cell>
          <cell r="Y234">
            <v>0.33333333333333331</v>
          </cell>
          <cell r="Z234">
            <v>0.33333333333333331</v>
          </cell>
          <cell r="AA234"/>
        </row>
        <row r="235">
          <cell r="A235">
            <v>228</v>
          </cell>
          <cell r="B235" t="str">
            <v>bis(2-ethylhexyl) phthalate</v>
          </cell>
          <cell r="C235" t="str">
            <v>117-81-7</v>
          </cell>
          <cell r="D235" t="str">
            <v/>
          </cell>
          <cell r="E235"/>
          <cell r="F235">
            <v>391</v>
          </cell>
          <cell r="G235">
            <v>-46</v>
          </cell>
          <cell r="H235">
            <v>8.5999999999999998E-4</v>
          </cell>
          <cell r="I235">
            <v>100</v>
          </cell>
          <cell r="J235"/>
          <cell r="K235">
            <v>2500000</v>
          </cell>
          <cell r="L235"/>
          <cell r="M235"/>
          <cell r="N235"/>
          <cell r="O235"/>
          <cell r="P235"/>
          <cell r="Q235">
            <v>1.0000000000000001E-5</v>
          </cell>
          <cell r="R235">
            <v>5.2999999999999998E-8</v>
          </cell>
          <cell r="S235"/>
          <cell r="T235">
            <v>4.5000000000000001E-6</v>
          </cell>
          <cell r="U235"/>
          <cell r="V235"/>
          <cell r="W235">
            <v>30000</v>
          </cell>
          <cell r="X235">
            <v>0.33333333333333331</v>
          </cell>
          <cell r="Y235">
            <v>0.33333333333333331</v>
          </cell>
          <cell r="Z235">
            <v>0.33333333333333331</v>
          </cell>
          <cell r="AA235"/>
        </row>
        <row r="236">
          <cell r="A236">
            <v>229</v>
          </cell>
          <cell r="B236" t="str">
            <v>1-chloro-2,3-epoxypropane</v>
          </cell>
          <cell r="C236" t="str">
            <v>106-89-8</v>
          </cell>
          <cell r="D236" t="str">
            <v/>
          </cell>
          <cell r="E236"/>
          <cell r="F236">
            <v>93</v>
          </cell>
          <cell r="G236">
            <v>-57</v>
          </cell>
          <cell r="H236">
            <v>1300</v>
          </cell>
          <cell r="I236">
            <v>66000</v>
          </cell>
          <cell r="J236"/>
          <cell r="K236">
            <v>2.4</v>
          </cell>
          <cell r="L236"/>
          <cell r="M236"/>
          <cell r="N236"/>
          <cell r="O236"/>
          <cell r="P236"/>
          <cell r="Q236">
            <v>3.8000000000000001E-7</v>
          </cell>
          <cell r="R236">
            <v>5.3000000000000003E-10</v>
          </cell>
          <cell r="S236"/>
          <cell r="T236">
            <v>4.0000000000000001E-8</v>
          </cell>
          <cell r="U236"/>
          <cell r="V236"/>
          <cell r="W236">
            <v>30000</v>
          </cell>
          <cell r="X236">
            <v>0.33333333333333331</v>
          </cell>
          <cell r="Y236">
            <v>0.33333333333333331</v>
          </cell>
          <cell r="Z236">
            <v>0.33333333333333331</v>
          </cell>
          <cell r="AA236"/>
        </row>
        <row r="237">
          <cell r="A237">
            <v>230</v>
          </cell>
          <cell r="B237" t="str">
            <v>terephthalic acid</v>
          </cell>
          <cell r="C237" t="str">
            <v>100-21-0</v>
          </cell>
          <cell r="D237" t="str">
            <v/>
          </cell>
          <cell r="E237"/>
          <cell r="F237">
            <v>166</v>
          </cell>
          <cell r="G237">
            <v>414</v>
          </cell>
          <cell r="H237">
            <v>1.1999999999999999E-3</v>
          </cell>
          <cell r="I237">
            <v>19</v>
          </cell>
          <cell r="J237"/>
          <cell r="K237">
            <v>38</v>
          </cell>
          <cell r="L237"/>
          <cell r="M237"/>
          <cell r="N237"/>
          <cell r="O237"/>
          <cell r="P237"/>
          <cell r="Q237">
            <v>4.0999999999999999E-7</v>
          </cell>
          <cell r="R237">
            <v>5.3000000000000001E-7</v>
          </cell>
          <cell r="S237"/>
          <cell r="T237">
            <v>4.5000000000000001E-6</v>
          </cell>
          <cell r="U237"/>
          <cell r="V237"/>
          <cell r="W237">
            <v>30000</v>
          </cell>
          <cell r="X237">
            <v>0.33333333333333331</v>
          </cell>
          <cell r="Y237">
            <v>0.33333333333333331</v>
          </cell>
          <cell r="Z237">
            <v>0.33333333333333331</v>
          </cell>
          <cell r="AA237"/>
        </row>
        <row r="238">
          <cell r="A238">
            <v>231</v>
          </cell>
          <cell r="B238" t="str">
            <v>1,2-dichloropropane</v>
          </cell>
          <cell r="C238" t="str">
            <v>78-87-5</v>
          </cell>
          <cell r="D238" t="str">
            <v/>
          </cell>
          <cell r="E238"/>
          <cell r="F238">
            <v>113</v>
          </cell>
          <cell r="G238">
            <v>-96</v>
          </cell>
          <cell r="H238">
            <v>5300</v>
          </cell>
          <cell r="I238">
            <v>3000</v>
          </cell>
          <cell r="J238"/>
          <cell r="K238">
            <v>120</v>
          </cell>
          <cell r="L238"/>
          <cell r="M238"/>
          <cell r="N238"/>
          <cell r="O238"/>
          <cell r="P238"/>
          <cell r="Q238">
            <v>4.3000000000000001E-7</v>
          </cell>
          <cell r="R238">
            <v>5.3000000000000003E-10</v>
          </cell>
          <cell r="S238"/>
          <cell r="T238">
            <v>6.7000000000000004E-7</v>
          </cell>
          <cell r="U238"/>
          <cell r="V238"/>
          <cell r="W238">
            <v>30000</v>
          </cell>
          <cell r="X238">
            <v>0.33333333333333331</v>
          </cell>
          <cell r="Y238">
            <v>0.33333333333333331</v>
          </cell>
          <cell r="Z238">
            <v>0.33333333333333331</v>
          </cell>
          <cell r="AA238"/>
        </row>
        <row r="239">
          <cell r="A239">
            <v>232</v>
          </cell>
          <cell r="B239" t="str">
            <v>5-methylhexan-2-one</v>
          </cell>
          <cell r="C239" t="str">
            <v>110-12-3</v>
          </cell>
          <cell r="D239" t="str">
            <v/>
          </cell>
          <cell r="E239"/>
          <cell r="F239">
            <v>114</v>
          </cell>
          <cell r="G239"/>
          <cell r="H239">
            <v>600</v>
          </cell>
          <cell r="I239">
            <v>5400</v>
          </cell>
          <cell r="J239"/>
          <cell r="K239">
            <v>52</v>
          </cell>
          <cell r="L239"/>
          <cell r="M239"/>
          <cell r="N239"/>
          <cell r="O239"/>
          <cell r="P239"/>
          <cell r="Q239"/>
          <cell r="R239">
            <v>5.3000000000000003E-10</v>
          </cell>
          <cell r="S239"/>
          <cell r="T239"/>
          <cell r="U239"/>
          <cell r="V239"/>
          <cell r="W239">
            <v>30000</v>
          </cell>
          <cell r="X239">
            <v>0.33333333333333331</v>
          </cell>
          <cell r="Y239">
            <v>0.33333333333333331</v>
          </cell>
          <cell r="Z239">
            <v>0.33333333333333331</v>
          </cell>
          <cell r="AA239"/>
        </row>
        <row r="240">
          <cell r="A240">
            <v>233</v>
          </cell>
          <cell r="B240" t="str">
            <v>4-aminophenol</v>
          </cell>
          <cell r="C240" t="str">
            <v>123-30-8</v>
          </cell>
          <cell r="D240" t="str">
            <v/>
          </cell>
          <cell r="E240"/>
          <cell r="F240">
            <v>109</v>
          </cell>
          <cell r="G240">
            <v>186</v>
          </cell>
          <cell r="H240">
            <v>0.21</v>
          </cell>
          <cell r="I240">
            <v>0.33</v>
          </cell>
          <cell r="J240"/>
          <cell r="K240">
            <v>1.1000000000000001</v>
          </cell>
          <cell r="L240"/>
          <cell r="M240"/>
          <cell r="N240"/>
          <cell r="O240"/>
          <cell r="P240"/>
          <cell r="Q240"/>
          <cell r="R240">
            <v>5.3000000000000003E-10</v>
          </cell>
          <cell r="S240"/>
          <cell r="T240"/>
          <cell r="U240"/>
          <cell r="V240"/>
          <cell r="W240">
            <v>30000</v>
          </cell>
          <cell r="X240">
            <v>0.33333333333333331</v>
          </cell>
          <cell r="Y240">
            <v>0.33333333333333331</v>
          </cell>
          <cell r="Z240">
            <v>0.33333333333333331</v>
          </cell>
          <cell r="AA240"/>
        </row>
        <row r="241">
          <cell r="A241">
            <v>234</v>
          </cell>
          <cell r="B241" t="str">
            <v>N-methyl-3-oxobutyramide</v>
          </cell>
          <cell r="C241" t="str">
            <v>20306-75-6</v>
          </cell>
          <cell r="D241" t="str">
            <v/>
          </cell>
          <cell r="E241"/>
          <cell r="F241">
            <v>115</v>
          </cell>
          <cell r="G241">
            <v>-3</v>
          </cell>
          <cell r="H241">
            <v>2000</v>
          </cell>
          <cell r="I241">
            <v>16</v>
          </cell>
          <cell r="J241"/>
          <cell r="K241">
            <v>0.09</v>
          </cell>
          <cell r="L241"/>
          <cell r="M241"/>
          <cell r="N241"/>
          <cell r="O241"/>
          <cell r="P241"/>
          <cell r="Q241"/>
          <cell r="R241">
            <v>5.3000000000000003E-10</v>
          </cell>
          <cell r="S241"/>
          <cell r="T241"/>
          <cell r="U241"/>
          <cell r="V241"/>
          <cell r="W241">
            <v>30000</v>
          </cell>
          <cell r="X241">
            <v>0.33333333333333331</v>
          </cell>
          <cell r="Y241">
            <v>0.33333333333333331</v>
          </cell>
          <cell r="Z241">
            <v>0.33333333333333331</v>
          </cell>
          <cell r="AA241"/>
        </row>
        <row r="242">
          <cell r="A242">
            <v>235</v>
          </cell>
          <cell r="B242" t="str">
            <v>propylidynetrimethanol</v>
          </cell>
          <cell r="C242" t="str">
            <v>77-99-6</v>
          </cell>
          <cell r="D242" t="str">
            <v/>
          </cell>
          <cell r="E242"/>
          <cell r="F242">
            <v>134</v>
          </cell>
          <cell r="G242">
            <v>58</v>
          </cell>
          <cell r="H242">
            <v>0.02</v>
          </cell>
          <cell r="I242">
            <v>650000000</v>
          </cell>
          <cell r="J242"/>
          <cell r="K242">
            <v>4.3E-3</v>
          </cell>
          <cell r="L242"/>
          <cell r="M242"/>
          <cell r="N242"/>
          <cell r="O242"/>
          <cell r="P242"/>
          <cell r="Q242">
            <v>1.0000000000000001E-5</v>
          </cell>
          <cell r="R242">
            <v>5.3000000000000003E-10</v>
          </cell>
          <cell r="S242"/>
          <cell r="T242">
            <v>3.9999999999999998E-7</v>
          </cell>
          <cell r="U242"/>
          <cell r="V242"/>
          <cell r="W242">
            <v>30000</v>
          </cell>
          <cell r="X242">
            <v>0.33333333333333331</v>
          </cell>
          <cell r="Y242">
            <v>0.33333333333333331</v>
          </cell>
          <cell r="Z242">
            <v>0.33333333333333331</v>
          </cell>
          <cell r="AA242"/>
        </row>
        <row r="243">
          <cell r="A243">
            <v>236</v>
          </cell>
          <cell r="B243" t="str">
            <v>N,N-diethylaniline</v>
          </cell>
          <cell r="C243" t="str">
            <v>91-66-7</v>
          </cell>
          <cell r="D243" t="str">
            <v/>
          </cell>
          <cell r="E243"/>
          <cell r="F243">
            <v>149</v>
          </cell>
          <cell r="G243">
            <v>-38</v>
          </cell>
          <cell r="H243">
            <v>20</v>
          </cell>
          <cell r="I243">
            <v>96</v>
          </cell>
          <cell r="J243"/>
          <cell r="K243">
            <v>1800</v>
          </cell>
          <cell r="L243"/>
          <cell r="M243"/>
          <cell r="N243"/>
          <cell r="O243"/>
          <cell r="P243"/>
          <cell r="Q243"/>
          <cell r="R243">
            <v>5.3000000000000003E-10</v>
          </cell>
          <cell r="S243"/>
          <cell r="T243"/>
          <cell r="U243"/>
          <cell r="V243"/>
          <cell r="W243">
            <v>30000</v>
          </cell>
          <cell r="X243">
            <v>0.33333333333333331</v>
          </cell>
          <cell r="Y243">
            <v>0.33333333333333331</v>
          </cell>
          <cell r="Z243">
            <v>0.33333333333333331</v>
          </cell>
          <cell r="AA243"/>
        </row>
        <row r="244">
          <cell r="A244">
            <v>237</v>
          </cell>
          <cell r="B244" t="str">
            <v>4-nitrotoluene-2-sulphonic acid</v>
          </cell>
          <cell r="C244" t="str">
            <v>121-03-9</v>
          </cell>
          <cell r="D244" t="str">
            <v/>
          </cell>
          <cell r="E244"/>
          <cell r="F244">
            <v>217</v>
          </cell>
          <cell r="G244">
            <v>123</v>
          </cell>
          <cell r="H244">
            <v>0.84</v>
          </cell>
          <cell r="I244">
            <v>680000</v>
          </cell>
          <cell r="J244"/>
          <cell r="K244">
            <v>4</v>
          </cell>
          <cell r="L244"/>
          <cell r="M244"/>
          <cell r="N244"/>
          <cell r="O244"/>
          <cell r="P244"/>
          <cell r="Q244"/>
          <cell r="R244">
            <v>5.3000000000000003E-10</v>
          </cell>
          <cell r="S244"/>
          <cell r="T244"/>
          <cell r="U244"/>
          <cell r="V244"/>
          <cell r="W244">
            <v>30000</v>
          </cell>
          <cell r="X244">
            <v>0.33333333333333331</v>
          </cell>
          <cell r="Y244">
            <v>0.33333333333333331</v>
          </cell>
          <cell r="Z244">
            <v>0.33333333333333331</v>
          </cell>
          <cell r="AA244"/>
        </row>
        <row r="245">
          <cell r="A245">
            <v>238</v>
          </cell>
          <cell r="B245" t="str">
            <v>cyclohexane-1,2-dicarboxylic anhydride</v>
          </cell>
          <cell r="C245" t="str">
            <v>85-42-7</v>
          </cell>
          <cell r="D245" t="str">
            <v/>
          </cell>
          <cell r="E245"/>
          <cell r="F245">
            <v>154</v>
          </cell>
          <cell r="G245">
            <v>34</v>
          </cell>
          <cell r="H245">
            <v>1</v>
          </cell>
          <cell r="I245">
            <v>0.19</v>
          </cell>
          <cell r="J245"/>
          <cell r="K245">
            <v>3.6</v>
          </cell>
          <cell r="L245"/>
          <cell r="M245"/>
          <cell r="N245"/>
          <cell r="O245"/>
          <cell r="P245"/>
          <cell r="Q245">
            <v>3.4000000000000001E-6</v>
          </cell>
          <cell r="R245">
            <v>5.3000000000000001E-7</v>
          </cell>
          <cell r="S245"/>
          <cell r="T245">
            <v>9.0999999999999997E-7</v>
          </cell>
          <cell r="U245"/>
          <cell r="V245"/>
          <cell r="W245">
            <v>30000</v>
          </cell>
          <cell r="X245">
            <v>0.33333333333333331</v>
          </cell>
          <cell r="Y245">
            <v>0.33333333333333331</v>
          </cell>
          <cell r="Z245">
            <v>0.33333333333333331</v>
          </cell>
          <cell r="AA245"/>
        </row>
        <row r="246">
          <cell r="A246">
            <v>239</v>
          </cell>
          <cell r="B246" t="str">
            <v>tert-butyl methyl ether</v>
          </cell>
          <cell r="C246" t="str">
            <v>1634-04-4</v>
          </cell>
          <cell r="D246" t="str">
            <v/>
          </cell>
          <cell r="E246"/>
          <cell r="F246">
            <v>88</v>
          </cell>
          <cell r="G246">
            <v>-109</v>
          </cell>
          <cell r="H246">
            <v>27000</v>
          </cell>
          <cell r="I246">
            <v>50000</v>
          </cell>
          <cell r="J246"/>
          <cell r="K246">
            <v>11</v>
          </cell>
          <cell r="L246"/>
          <cell r="M246"/>
          <cell r="N246"/>
          <cell r="O246"/>
          <cell r="P246"/>
          <cell r="Q246">
            <v>5.6999999999999996E-6</v>
          </cell>
          <cell r="R246">
            <v>5.2999999999999998E-8</v>
          </cell>
          <cell r="S246"/>
          <cell r="T246">
            <v>1.4999999999999999E-7</v>
          </cell>
          <cell r="U246"/>
          <cell r="V246"/>
          <cell r="W246">
            <v>30000</v>
          </cell>
          <cell r="X246">
            <v>0.33333333333333331</v>
          </cell>
          <cell r="Y246">
            <v>0.33333333333333331</v>
          </cell>
          <cell r="Z246">
            <v>0.33333333333333331</v>
          </cell>
          <cell r="AA246"/>
        </row>
        <row r="247">
          <cell r="A247">
            <v>240</v>
          </cell>
          <cell r="B247" t="str">
            <v>3-hydroxy-2-naphthoic acid</v>
          </cell>
          <cell r="C247" t="str">
            <v>92-70-6</v>
          </cell>
          <cell r="D247" t="str">
            <v/>
          </cell>
          <cell r="E247"/>
          <cell r="F247">
            <v>188</v>
          </cell>
          <cell r="G247">
            <v>220</v>
          </cell>
          <cell r="H247">
            <v>1.7999999999999999E-6</v>
          </cell>
          <cell r="I247">
            <v>85</v>
          </cell>
          <cell r="J247"/>
          <cell r="K247">
            <v>1100</v>
          </cell>
          <cell r="L247"/>
          <cell r="M247"/>
          <cell r="N247"/>
          <cell r="O247"/>
          <cell r="P247"/>
          <cell r="Q247"/>
          <cell r="R247">
            <v>5.3000000000000003E-10</v>
          </cell>
          <cell r="S247"/>
          <cell r="T247"/>
          <cell r="U247"/>
          <cell r="V247"/>
          <cell r="W247">
            <v>30000</v>
          </cell>
          <cell r="X247">
            <v>0.33333333333333331</v>
          </cell>
          <cell r="Y247">
            <v>0.33333333333333331</v>
          </cell>
          <cell r="Z247">
            <v>0.33333333333333331</v>
          </cell>
          <cell r="AA247"/>
        </row>
        <row r="248">
          <cell r="A248">
            <v>241</v>
          </cell>
          <cell r="B248" t="str">
            <v>melamine</v>
          </cell>
          <cell r="C248" t="str">
            <v>108-78-1</v>
          </cell>
          <cell r="D248" t="str">
            <v/>
          </cell>
          <cell r="E248"/>
          <cell r="F248">
            <v>56</v>
          </cell>
          <cell r="G248">
            <v>353</v>
          </cell>
          <cell r="H248">
            <v>3.5000000000000002E-8</v>
          </cell>
          <cell r="I248">
            <v>1.1000000000000001</v>
          </cell>
          <cell r="J248"/>
          <cell r="K248">
            <v>7.1999999999999995E-2</v>
          </cell>
          <cell r="L248"/>
          <cell r="M248"/>
          <cell r="N248"/>
          <cell r="O248"/>
          <cell r="P248"/>
          <cell r="Q248">
            <v>4.8999999999999997E-7</v>
          </cell>
          <cell r="R248">
            <v>5.3000000000000003E-10</v>
          </cell>
          <cell r="S248"/>
          <cell r="T248">
            <v>8.0000000000000002E-8</v>
          </cell>
          <cell r="U248"/>
          <cell r="V248"/>
          <cell r="W248">
            <v>30000</v>
          </cell>
          <cell r="X248">
            <v>0.33333333333333331</v>
          </cell>
          <cell r="Y248">
            <v>0.33333333333333331</v>
          </cell>
          <cell r="Z248">
            <v>0.33333333333333331</v>
          </cell>
          <cell r="AA248"/>
        </row>
        <row r="249">
          <cell r="A249">
            <v>242</v>
          </cell>
          <cell r="B249" t="str">
            <v>2-ethoxyethanol</v>
          </cell>
          <cell r="C249" t="str">
            <v>110-80-5</v>
          </cell>
          <cell r="D249" t="str">
            <v/>
          </cell>
          <cell r="E249"/>
          <cell r="F249">
            <v>90</v>
          </cell>
          <cell r="G249">
            <v>-85</v>
          </cell>
          <cell r="H249">
            <v>530</v>
          </cell>
          <cell r="I249">
            <v>1</v>
          </cell>
          <cell r="J249"/>
          <cell r="K249">
            <v>0.79</v>
          </cell>
          <cell r="L249"/>
          <cell r="M249"/>
          <cell r="N249"/>
          <cell r="O249"/>
          <cell r="P249"/>
          <cell r="Q249">
            <v>3.9999999999999998E-6</v>
          </cell>
          <cell r="R249">
            <v>5.3000000000000001E-7</v>
          </cell>
          <cell r="S249"/>
          <cell r="T249">
            <v>8.5000000000000001E-7</v>
          </cell>
          <cell r="U249"/>
          <cell r="V249"/>
          <cell r="W249">
            <v>30000</v>
          </cell>
          <cell r="X249">
            <v>0.33333333333333331</v>
          </cell>
          <cell r="Y249">
            <v>0.33333333333333331</v>
          </cell>
          <cell r="Z249">
            <v>0.33333333333333331</v>
          </cell>
          <cell r="AA249"/>
        </row>
        <row r="250">
          <cell r="A250">
            <v>243</v>
          </cell>
          <cell r="B250" t="str">
            <v>methyl acetate</v>
          </cell>
          <cell r="C250" t="str">
            <v>79-20-9</v>
          </cell>
          <cell r="D250" t="str">
            <v/>
          </cell>
          <cell r="E250"/>
          <cell r="F250">
            <v>74</v>
          </cell>
          <cell r="G250">
            <v>-98</v>
          </cell>
          <cell r="H250">
            <v>22000</v>
          </cell>
          <cell r="I250">
            <v>250000</v>
          </cell>
          <cell r="J250"/>
          <cell r="K250">
            <v>1.5</v>
          </cell>
          <cell r="L250"/>
          <cell r="M250"/>
          <cell r="N250"/>
          <cell r="O250"/>
          <cell r="P250"/>
          <cell r="Q250">
            <v>3.1E-7</v>
          </cell>
          <cell r="R250">
            <v>5.3000000000000001E-7</v>
          </cell>
          <cell r="S250"/>
          <cell r="T250">
            <v>7.6000000000000001E-6</v>
          </cell>
          <cell r="U250"/>
          <cell r="V250"/>
          <cell r="W250">
            <v>30000</v>
          </cell>
          <cell r="X250">
            <v>0.33333333333333331</v>
          </cell>
          <cell r="Y250">
            <v>0.33333333333333331</v>
          </cell>
          <cell r="Z250">
            <v>0.33333333333333331</v>
          </cell>
          <cell r="AA250"/>
        </row>
        <row r="251">
          <cell r="A251">
            <v>244</v>
          </cell>
          <cell r="B251" t="str">
            <v>2-piperazin-1-ylethylamine</v>
          </cell>
          <cell r="C251" t="str">
            <v>140-31-8</v>
          </cell>
          <cell r="D251" t="str">
            <v/>
          </cell>
          <cell r="E251"/>
          <cell r="F251">
            <v>129</v>
          </cell>
          <cell r="G251">
            <v>-18</v>
          </cell>
          <cell r="H251">
            <v>10</v>
          </cell>
          <cell r="I251">
            <v>4.4000000000000004</v>
          </cell>
          <cell r="J251"/>
          <cell r="K251">
            <v>3.3000000000000002E-2</v>
          </cell>
          <cell r="L251"/>
          <cell r="M251"/>
          <cell r="N251"/>
          <cell r="O251"/>
          <cell r="P251"/>
          <cell r="Q251"/>
          <cell r="R251">
            <v>5.3000000000000003E-10</v>
          </cell>
          <cell r="S251"/>
          <cell r="T251"/>
          <cell r="U251"/>
          <cell r="V251"/>
          <cell r="W251">
            <v>30000</v>
          </cell>
          <cell r="X251">
            <v>0.33333333333333331</v>
          </cell>
          <cell r="Y251">
            <v>0.33333333333333331</v>
          </cell>
          <cell r="Z251">
            <v>0.33333333333333331</v>
          </cell>
          <cell r="AA251"/>
        </row>
        <row r="252">
          <cell r="A252">
            <v>245</v>
          </cell>
          <cell r="B252" t="str">
            <v>camphene</v>
          </cell>
          <cell r="C252" t="str">
            <v>79-92-5</v>
          </cell>
          <cell r="D252" t="str">
            <v/>
          </cell>
          <cell r="E252"/>
          <cell r="F252">
            <v>147</v>
          </cell>
          <cell r="G252">
            <v>46</v>
          </cell>
          <cell r="H252">
            <v>240</v>
          </cell>
          <cell r="I252">
            <v>4.2</v>
          </cell>
          <cell r="J252"/>
          <cell r="K252">
            <v>13000</v>
          </cell>
          <cell r="L252"/>
          <cell r="M252"/>
          <cell r="N252"/>
          <cell r="O252"/>
          <cell r="P252"/>
          <cell r="Q252">
            <v>4.1999999999999998E-5</v>
          </cell>
          <cell r="R252">
            <v>5.3000000000000003E-10</v>
          </cell>
          <cell r="S252"/>
          <cell r="T252">
            <v>3.8000000000000003E-8</v>
          </cell>
          <cell r="U252"/>
          <cell r="V252"/>
          <cell r="W252">
            <v>30000</v>
          </cell>
          <cell r="X252">
            <v>0.33333333333333331</v>
          </cell>
          <cell r="Y252">
            <v>0.33333333333333331</v>
          </cell>
          <cell r="Z252">
            <v>0.33333333333333331</v>
          </cell>
          <cell r="AA252"/>
        </row>
        <row r="253">
          <cell r="A253">
            <v>246</v>
          </cell>
          <cell r="B253" t="str">
            <v>citral</v>
          </cell>
          <cell r="C253" t="str">
            <v>5392-40-5</v>
          </cell>
          <cell r="D253" t="str">
            <v/>
          </cell>
          <cell r="E253"/>
          <cell r="F253">
            <v>152</v>
          </cell>
          <cell r="G253">
            <v>-20</v>
          </cell>
          <cell r="H253">
            <v>0.27</v>
          </cell>
          <cell r="I253">
            <v>420</v>
          </cell>
          <cell r="J253"/>
          <cell r="K253">
            <v>580</v>
          </cell>
          <cell r="L253"/>
          <cell r="M253"/>
          <cell r="N253"/>
          <cell r="O253"/>
          <cell r="P253"/>
          <cell r="Q253">
            <v>4.0999999999999999E-4</v>
          </cell>
          <cell r="R253">
            <v>5.3000000000000001E-7</v>
          </cell>
          <cell r="S253"/>
          <cell r="T253">
            <v>1.3E-6</v>
          </cell>
          <cell r="U253"/>
          <cell r="V253"/>
          <cell r="W253">
            <v>30000</v>
          </cell>
          <cell r="X253">
            <v>0.33333333333333331</v>
          </cell>
          <cell r="Y253">
            <v>0.33333333333333331</v>
          </cell>
          <cell r="Z253">
            <v>0.33333333333333331</v>
          </cell>
          <cell r="AA253"/>
        </row>
        <row r="254">
          <cell r="A254">
            <v>247</v>
          </cell>
          <cell r="B254" t="str">
            <v>N-butylbenzenesulphonamide</v>
          </cell>
          <cell r="C254" t="str">
            <v>3622-84-2</v>
          </cell>
          <cell r="D254" t="str">
            <v/>
          </cell>
          <cell r="E254"/>
          <cell r="F254">
            <v>213</v>
          </cell>
          <cell r="G254">
            <v>-30</v>
          </cell>
          <cell r="H254">
            <v>3.9999999999999998E-7</v>
          </cell>
          <cell r="I254">
            <v>1100</v>
          </cell>
          <cell r="J254"/>
          <cell r="K254">
            <v>320</v>
          </cell>
          <cell r="L254"/>
          <cell r="M254"/>
          <cell r="N254"/>
          <cell r="O254"/>
          <cell r="P254"/>
          <cell r="Q254">
            <v>1.0000000000000001E-5</v>
          </cell>
          <cell r="R254">
            <v>5.3000000000000003E-10</v>
          </cell>
          <cell r="S254"/>
          <cell r="T254">
            <v>9.2999999999999999E-7</v>
          </cell>
          <cell r="U254"/>
          <cell r="V254"/>
          <cell r="W254">
            <v>30000</v>
          </cell>
          <cell r="X254">
            <v>0.33333333333333331</v>
          </cell>
          <cell r="Y254">
            <v>0.33333333333333331</v>
          </cell>
          <cell r="Z254">
            <v>0.33333333333333331</v>
          </cell>
          <cell r="AA254"/>
        </row>
        <row r="255">
          <cell r="A255">
            <v>248</v>
          </cell>
          <cell r="B255" t="str">
            <v>1,1-dichloroethylene</v>
          </cell>
          <cell r="C255" t="str">
            <v>75-35-4</v>
          </cell>
          <cell r="D255" t="str">
            <v/>
          </cell>
          <cell r="E255"/>
          <cell r="F255">
            <v>97</v>
          </cell>
          <cell r="G255">
            <v>-122</v>
          </cell>
          <cell r="H255">
            <v>67000</v>
          </cell>
          <cell r="I255">
            <v>2500</v>
          </cell>
          <cell r="J255"/>
          <cell r="K255">
            <v>100</v>
          </cell>
          <cell r="L255"/>
          <cell r="M255"/>
          <cell r="N255"/>
          <cell r="O255"/>
          <cell r="P255"/>
          <cell r="Q255">
            <v>1.5999999999999999E-6</v>
          </cell>
          <cell r="R255">
            <v>5.3000000000000003E-10</v>
          </cell>
          <cell r="S255"/>
          <cell r="T255">
            <v>2.4999999999999999E-7</v>
          </cell>
          <cell r="U255"/>
          <cell r="V255"/>
          <cell r="W255">
            <v>30000</v>
          </cell>
          <cell r="X255">
            <v>0.33333333333333331</v>
          </cell>
          <cell r="Y255">
            <v>0.33333333333333331</v>
          </cell>
          <cell r="Z255">
            <v>0.33333333333333331</v>
          </cell>
          <cell r="AA255"/>
        </row>
        <row r="256">
          <cell r="A256">
            <v>249</v>
          </cell>
          <cell r="B256" t="str">
            <v>1-chloro-3-nitrobenzene</v>
          </cell>
          <cell r="C256" t="str">
            <v>121-73-3</v>
          </cell>
          <cell r="D256" t="str">
            <v/>
          </cell>
          <cell r="E256"/>
          <cell r="F256">
            <v>158</v>
          </cell>
          <cell r="G256">
            <v>44</v>
          </cell>
          <cell r="H256">
            <v>1.1000000000000001</v>
          </cell>
          <cell r="I256">
            <v>390</v>
          </cell>
          <cell r="J256"/>
          <cell r="K256">
            <v>260</v>
          </cell>
          <cell r="L256"/>
          <cell r="M256"/>
          <cell r="N256"/>
          <cell r="O256"/>
          <cell r="P256"/>
          <cell r="Q256">
            <v>8.9999999999999999E-8</v>
          </cell>
          <cell r="R256">
            <v>5.3000000000000003E-10</v>
          </cell>
          <cell r="S256"/>
          <cell r="T256">
            <v>4.0000000000000001E-8</v>
          </cell>
          <cell r="U256"/>
          <cell r="V256"/>
          <cell r="W256">
            <v>30000</v>
          </cell>
          <cell r="X256">
            <v>0.33333333333333331</v>
          </cell>
          <cell r="Y256">
            <v>0.33333333333333331</v>
          </cell>
          <cell r="Z256">
            <v>0.33333333333333331</v>
          </cell>
          <cell r="AA256"/>
        </row>
        <row r="257">
          <cell r="A257">
            <v>250</v>
          </cell>
          <cell r="B257" t="str">
            <v>2,2'-(ethylenedioxy)diethanol</v>
          </cell>
          <cell r="C257" t="str">
            <v>112-27-6</v>
          </cell>
          <cell r="D257" t="str">
            <v/>
          </cell>
          <cell r="E257"/>
          <cell r="F257">
            <v>150</v>
          </cell>
          <cell r="G257">
            <v>-7</v>
          </cell>
          <cell r="H257">
            <v>0.22</v>
          </cell>
          <cell r="I257">
            <v>31</v>
          </cell>
          <cell r="J257"/>
          <cell r="K257">
            <v>2.7E-2</v>
          </cell>
          <cell r="L257"/>
          <cell r="M257"/>
          <cell r="N257"/>
          <cell r="O257"/>
          <cell r="P257"/>
          <cell r="Q257">
            <v>2.9E-5</v>
          </cell>
          <cell r="R257">
            <v>5.3000000000000003E-10</v>
          </cell>
          <cell r="S257"/>
          <cell r="T257">
            <v>4.0000000000000001E-8</v>
          </cell>
          <cell r="U257"/>
          <cell r="V257"/>
          <cell r="W257">
            <v>30000</v>
          </cell>
          <cell r="X257">
            <v>0.33333333333333331</v>
          </cell>
          <cell r="Y257">
            <v>0.33333333333333331</v>
          </cell>
          <cell r="Z257">
            <v>0.33333333333333331</v>
          </cell>
          <cell r="AA257"/>
        </row>
        <row r="258">
          <cell r="A258">
            <v>251</v>
          </cell>
          <cell r="B258" t="str">
            <v>1-chloro-4-nitrobenzene</v>
          </cell>
          <cell r="C258" t="str">
            <v>100-00-5</v>
          </cell>
          <cell r="D258" t="str">
            <v/>
          </cell>
          <cell r="E258"/>
          <cell r="F258">
            <v>158</v>
          </cell>
          <cell r="G258">
            <v>83</v>
          </cell>
          <cell r="H258">
            <v>8.5</v>
          </cell>
          <cell r="I258">
            <v>230</v>
          </cell>
          <cell r="J258"/>
          <cell r="K258">
            <v>310</v>
          </cell>
          <cell r="L258"/>
          <cell r="M258"/>
          <cell r="N258"/>
          <cell r="O258"/>
          <cell r="P258"/>
          <cell r="Q258">
            <v>1.3E-7</v>
          </cell>
          <cell r="R258">
            <v>5.3000000000000003E-10</v>
          </cell>
          <cell r="S258"/>
          <cell r="T258">
            <v>6.2999999999999995E-8</v>
          </cell>
          <cell r="U258"/>
          <cell r="V258"/>
          <cell r="W258">
            <v>30000</v>
          </cell>
          <cell r="X258">
            <v>0.33333333333333331</v>
          </cell>
          <cell r="Y258">
            <v>0.33333333333333331</v>
          </cell>
          <cell r="Z258">
            <v>0.33333333333333331</v>
          </cell>
          <cell r="AA258"/>
        </row>
        <row r="259">
          <cell r="A259">
            <v>252</v>
          </cell>
          <cell r="B259" t="str">
            <v>diethyl sulphate</v>
          </cell>
          <cell r="C259" t="str">
            <v>64-67-5</v>
          </cell>
          <cell r="D259" t="str">
            <v/>
          </cell>
          <cell r="E259"/>
          <cell r="F259">
            <v>154</v>
          </cell>
          <cell r="G259">
            <v>-25</v>
          </cell>
          <cell r="H259">
            <v>13</v>
          </cell>
          <cell r="I259">
            <v>4.2999999999999997E-2</v>
          </cell>
          <cell r="J259"/>
          <cell r="K259">
            <v>14</v>
          </cell>
          <cell r="L259"/>
          <cell r="M259"/>
          <cell r="N259"/>
          <cell r="O259"/>
          <cell r="P259"/>
          <cell r="Q259">
            <v>1.1999999999999999E-6</v>
          </cell>
          <cell r="R259">
            <v>5.3000000000000003E-10</v>
          </cell>
          <cell r="S259"/>
          <cell r="T259">
            <v>7.0999999999999998E-7</v>
          </cell>
          <cell r="U259"/>
          <cell r="V259"/>
          <cell r="W259">
            <v>30000</v>
          </cell>
          <cell r="X259">
            <v>0.33333333333333331</v>
          </cell>
          <cell r="Y259">
            <v>0.33333333333333331</v>
          </cell>
          <cell r="Z259">
            <v>0.33333333333333331</v>
          </cell>
          <cell r="AA259"/>
        </row>
        <row r="260">
          <cell r="A260">
            <v>253</v>
          </cell>
          <cell r="B260" t="str">
            <v>1,4-dioxane</v>
          </cell>
          <cell r="C260" t="str">
            <v>123-91-1</v>
          </cell>
          <cell r="D260" t="str">
            <v/>
          </cell>
          <cell r="E260"/>
          <cell r="F260">
            <v>88</v>
          </cell>
          <cell r="G260">
            <v>12</v>
          </cell>
          <cell r="H260">
            <v>3600</v>
          </cell>
          <cell r="I260">
            <v>430000</v>
          </cell>
          <cell r="J260"/>
          <cell r="K260">
            <v>0.62</v>
          </cell>
          <cell r="L260"/>
          <cell r="M260"/>
          <cell r="N260"/>
          <cell r="O260"/>
          <cell r="P260"/>
          <cell r="Q260">
            <v>2.5999999999999998E-5</v>
          </cell>
          <cell r="R260">
            <v>5.3000000000000003E-10</v>
          </cell>
          <cell r="S260"/>
          <cell r="T260">
            <v>1.4000000000000001E-7</v>
          </cell>
          <cell r="U260"/>
          <cell r="V260"/>
          <cell r="W260">
            <v>30000</v>
          </cell>
          <cell r="X260">
            <v>0.33333333333333331</v>
          </cell>
          <cell r="Y260">
            <v>0.33333333333333331</v>
          </cell>
          <cell r="Z260">
            <v>0.33333333333333331</v>
          </cell>
          <cell r="AA260"/>
        </row>
        <row r="261">
          <cell r="A261">
            <v>254</v>
          </cell>
          <cell r="B261" t="str">
            <v>piperazine</v>
          </cell>
          <cell r="C261" t="str">
            <v>110-85-0</v>
          </cell>
          <cell r="D261" t="str">
            <v/>
          </cell>
          <cell r="E261"/>
          <cell r="F261">
            <v>86</v>
          </cell>
          <cell r="G261">
            <v>109</v>
          </cell>
          <cell r="H261">
            <v>40</v>
          </cell>
          <cell r="I261">
            <v>150000</v>
          </cell>
          <cell r="J261"/>
          <cell r="K261">
            <v>0.11</v>
          </cell>
          <cell r="L261"/>
          <cell r="M261"/>
          <cell r="N261"/>
          <cell r="O261"/>
          <cell r="P261"/>
          <cell r="Q261"/>
          <cell r="R261">
            <v>5.3000000000000003E-10</v>
          </cell>
          <cell r="S261"/>
          <cell r="T261"/>
          <cell r="U261"/>
          <cell r="V261"/>
          <cell r="W261">
            <v>30000</v>
          </cell>
          <cell r="X261">
            <v>0.33333333333333331</v>
          </cell>
          <cell r="Y261">
            <v>0.33333333333333331</v>
          </cell>
          <cell r="Z261">
            <v>0.33333333333333331</v>
          </cell>
          <cell r="AA261"/>
        </row>
        <row r="262">
          <cell r="A262">
            <v>255</v>
          </cell>
          <cell r="B262" t="str">
            <v>2,2',2''-nitrilotriethanol</v>
          </cell>
          <cell r="C262" t="str">
            <v>102-71-6</v>
          </cell>
          <cell r="D262" t="str">
            <v/>
          </cell>
          <cell r="E262"/>
          <cell r="F262">
            <v>149</v>
          </cell>
          <cell r="G262">
            <v>21</v>
          </cell>
          <cell r="H262">
            <v>4.8000000000000001E-5</v>
          </cell>
          <cell r="I262">
            <v>130</v>
          </cell>
          <cell r="J262"/>
          <cell r="K262">
            <v>5.0000000000000001E-3</v>
          </cell>
          <cell r="L262"/>
          <cell r="M262"/>
          <cell r="N262"/>
          <cell r="O262"/>
          <cell r="P262"/>
          <cell r="Q262"/>
          <cell r="R262">
            <v>5.2999999999999998E-8</v>
          </cell>
          <cell r="S262"/>
          <cell r="T262"/>
          <cell r="U262"/>
          <cell r="V262"/>
          <cell r="W262">
            <v>30000</v>
          </cell>
          <cell r="X262">
            <v>0.33333333333333331</v>
          </cell>
          <cell r="Y262">
            <v>0.33333333333333331</v>
          </cell>
          <cell r="Z262">
            <v>0.33333333333333331</v>
          </cell>
          <cell r="AA262"/>
        </row>
        <row r="263">
          <cell r="A263">
            <v>256</v>
          </cell>
          <cell r="B263" t="str">
            <v>formaldehyde</v>
          </cell>
          <cell r="C263" t="str">
            <v>50-00-0</v>
          </cell>
          <cell r="D263" t="str">
            <v/>
          </cell>
          <cell r="E263"/>
          <cell r="F263">
            <v>30</v>
          </cell>
          <cell r="G263">
            <v>-105</v>
          </cell>
          <cell r="H263">
            <v>130</v>
          </cell>
          <cell r="I263">
            <v>400000</v>
          </cell>
          <cell r="J263"/>
          <cell r="K263">
            <v>2.2000000000000002</v>
          </cell>
          <cell r="L263"/>
          <cell r="M263"/>
          <cell r="N263"/>
          <cell r="O263"/>
          <cell r="P263"/>
          <cell r="Q263">
            <v>4.8999999999999998E-5</v>
          </cell>
          <cell r="R263">
            <v>5.3000000000000001E-7</v>
          </cell>
          <cell r="S263"/>
          <cell r="T263">
            <v>4.5000000000000001E-6</v>
          </cell>
          <cell r="U263"/>
          <cell r="V263"/>
          <cell r="W263">
            <v>30000</v>
          </cell>
          <cell r="X263">
            <v>0.33333333333333331</v>
          </cell>
          <cell r="Y263">
            <v>0.33333333333333331</v>
          </cell>
          <cell r="Z263">
            <v>0.33333333333333331</v>
          </cell>
          <cell r="AA263"/>
        </row>
        <row r="264">
          <cell r="A264">
            <v>257</v>
          </cell>
          <cell r="B264" t="str">
            <v>Validamycin</v>
          </cell>
          <cell r="C264" t="str">
            <v>37248-47-8</v>
          </cell>
          <cell r="D264" t="str">
            <v>Neutral</v>
          </cell>
          <cell r="E264"/>
          <cell r="F264">
            <v>497.5</v>
          </cell>
          <cell r="G264"/>
          <cell r="H264">
            <v>1.074666666398E-23</v>
          </cell>
          <cell r="I264">
            <v>1000000</v>
          </cell>
          <cell r="J264"/>
          <cell r="K264">
            <v>4.7863009232263728E-9</v>
          </cell>
          <cell r="L264"/>
          <cell r="M264"/>
          <cell r="N264"/>
          <cell r="O264"/>
          <cell r="P264"/>
          <cell r="Q264">
            <v>2.5654646250000002E-4</v>
          </cell>
          <cell r="R264">
            <v>3.4431488463675552E-6</v>
          </cell>
          <cell r="S264">
            <v>3.8257209404083947E-7</v>
          </cell>
          <cell r="T264">
            <v>4.0112684060182012E-5</v>
          </cell>
          <cell r="U264"/>
          <cell r="V264"/>
          <cell r="W264">
            <v>30000</v>
          </cell>
          <cell r="X264">
            <v>0.33333333333333331</v>
          </cell>
          <cell r="Y264">
            <v>0.33333333333333331</v>
          </cell>
          <cell r="Z264">
            <v>0.33333333333333331</v>
          </cell>
          <cell r="AA264"/>
        </row>
        <row r="265">
          <cell r="A265">
            <v>258</v>
          </cell>
          <cell r="B265" t="str">
            <v>CHLORMEQUAT CHLORIDE</v>
          </cell>
          <cell r="C265" t="str">
            <v>999-81-5</v>
          </cell>
          <cell r="D265" t="str">
            <v>Neutral</v>
          </cell>
          <cell r="E265"/>
          <cell r="F265">
            <v>158.07</v>
          </cell>
          <cell r="G265"/>
          <cell r="H265">
            <v>9.9999999974999983E-6</v>
          </cell>
          <cell r="I265">
            <v>996000</v>
          </cell>
          <cell r="J265"/>
          <cell r="K265">
            <v>1.584893192461112E-4</v>
          </cell>
          <cell r="L265"/>
          <cell r="M265"/>
          <cell r="N265"/>
          <cell r="O265"/>
          <cell r="P265"/>
          <cell r="Q265">
            <v>5.5184849999999996E-6</v>
          </cell>
          <cell r="R265">
            <v>2.1393431498763744E-7</v>
          </cell>
          <cell r="S265">
            <v>2.3770479443070826E-8</v>
          </cell>
          <cell r="T265">
            <v>1.1460766874337719E-6</v>
          </cell>
          <cell r="U265"/>
          <cell r="V265"/>
          <cell r="W265">
            <v>30000</v>
          </cell>
          <cell r="X265">
            <v>0.33333333333333331</v>
          </cell>
          <cell r="Y265">
            <v>0.33333333333333331</v>
          </cell>
          <cell r="Z265">
            <v>0.33333333333333331</v>
          </cell>
          <cell r="AA265"/>
        </row>
        <row r="266">
          <cell r="A266">
            <v>259</v>
          </cell>
          <cell r="B266" t="str">
            <v>L-Arabinose</v>
          </cell>
          <cell r="C266" t="str">
            <v>87-72-9</v>
          </cell>
          <cell r="D266" t="str">
            <v>Neutral</v>
          </cell>
          <cell r="E266"/>
          <cell r="F266">
            <v>150.13</v>
          </cell>
          <cell r="G266"/>
          <cell r="H266">
            <v>3.2399999991899995E-5</v>
          </cell>
          <cell r="I266">
            <v>500000</v>
          </cell>
          <cell r="J266"/>
          <cell r="K266">
            <v>9.5499258602143547E-4</v>
          </cell>
          <cell r="L266"/>
          <cell r="M266"/>
          <cell r="N266"/>
          <cell r="O266"/>
          <cell r="P266"/>
          <cell r="Q266">
            <v>6.6998212500000003E-5</v>
          </cell>
          <cell r="R266">
            <v>9.2532143160742838E-7</v>
          </cell>
          <cell r="S266">
            <v>1.0281349240082538E-7</v>
          </cell>
          <cell r="T266">
            <v>4.6266071580371419E-7</v>
          </cell>
          <cell r="U266"/>
          <cell r="V266"/>
          <cell r="W266">
            <v>30000</v>
          </cell>
          <cell r="X266">
            <v>0.33333333333333331</v>
          </cell>
          <cell r="Y266">
            <v>0.33333333333333331</v>
          </cell>
          <cell r="Z266">
            <v>0.33333333333333331</v>
          </cell>
          <cell r="AA266"/>
        </row>
        <row r="267">
          <cell r="A267">
            <v>260</v>
          </cell>
          <cell r="B267" t="str">
            <v>DIFORMYLHYDRAZINE</v>
          </cell>
          <cell r="C267" t="str">
            <v>628-36-4</v>
          </cell>
          <cell r="D267" t="str">
            <v>Neutral</v>
          </cell>
          <cell r="E267"/>
          <cell r="F267">
            <v>88.07</v>
          </cell>
          <cell r="G267"/>
          <cell r="H267">
            <v>9.9866666641699995E-5</v>
          </cell>
          <cell r="I267">
            <v>1000000</v>
          </cell>
          <cell r="J267"/>
          <cell r="K267">
            <v>3.3113112148259105E-3</v>
          </cell>
          <cell r="L267"/>
          <cell r="M267"/>
          <cell r="N267"/>
          <cell r="O267"/>
          <cell r="P267"/>
          <cell r="Q267">
            <v>8.2500000000000006E-6</v>
          </cell>
          <cell r="R267">
            <v>5.3483578746909358E-7</v>
          </cell>
          <cell r="S267">
            <v>5.9426198607677063E-8</v>
          </cell>
          <cell r="T267">
            <v>2.6741789373454679E-7</v>
          </cell>
          <cell r="U267"/>
          <cell r="V267"/>
          <cell r="W267">
            <v>30000</v>
          </cell>
          <cell r="X267">
            <v>0.33333333333333331</v>
          </cell>
          <cell r="Y267">
            <v>0.33333333333333331</v>
          </cell>
          <cell r="Z267">
            <v>0.33333333333333331</v>
          </cell>
          <cell r="AA267"/>
        </row>
        <row r="268">
          <cell r="A268">
            <v>261</v>
          </cell>
          <cell r="B268" t="str">
            <v>Picloram, potassium salt</v>
          </cell>
          <cell r="C268" t="str">
            <v>2545-60-0</v>
          </cell>
          <cell r="D268" t="str">
            <v>Neutral</v>
          </cell>
          <cell r="E268"/>
          <cell r="F268">
            <v>279.55</v>
          </cell>
          <cell r="G268"/>
          <cell r="H268">
            <v>2.5999999993499997E-10</v>
          </cell>
          <cell r="I268">
            <v>400000</v>
          </cell>
          <cell r="J268"/>
          <cell r="K268">
            <v>4.3651583224016566E-3</v>
          </cell>
          <cell r="L268"/>
          <cell r="M268"/>
          <cell r="N268"/>
          <cell r="O268"/>
          <cell r="P268"/>
          <cell r="Q268">
            <v>3.8723999999999997E-7</v>
          </cell>
          <cell r="R268">
            <v>1.3370894686727339E-7</v>
          </cell>
          <cell r="S268">
            <v>1.4856549651919266E-8</v>
          </cell>
          <cell r="T268">
            <v>6.6854473433636697E-8</v>
          </cell>
          <cell r="U268"/>
          <cell r="V268"/>
          <cell r="W268">
            <v>30000</v>
          </cell>
          <cell r="X268">
            <v>0.33333333333333331</v>
          </cell>
          <cell r="Y268">
            <v>0.33333333333333331</v>
          </cell>
          <cell r="Z268">
            <v>0.33333333333333331</v>
          </cell>
          <cell r="AA268"/>
        </row>
        <row r="269">
          <cell r="A269">
            <v>262</v>
          </cell>
          <cell r="B269" t="str">
            <v>TETRANITROMETHANE</v>
          </cell>
          <cell r="C269" t="str">
            <v>509-14-8</v>
          </cell>
          <cell r="D269" t="str">
            <v>Neutral</v>
          </cell>
          <cell r="E269"/>
          <cell r="F269">
            <v>196.03</v>
          </cell>
          <cell r="G269"/>
          <cell r="H269">
            <v>1122.6666663859999</v>
          </cell>
          <cell r="I269">
            <v>900</v>
          </cell>
          <cell r="J269"/>
          <cell r="K269">
            <v>8.9125093813374554E-3</v>
          </cell>
          <cell r="L269"/>
          <cell r="M269"/>
          <cell r="N269"/>
          <cell r="O269"/>
          <cell r="P269"/>
          <cell r="Q269">
            <v>3.9000000000000002E-7</v>
          </cell>
          <cell r="R269">
            <v>2.1393431498763744E-7</v>
          </cell>
          <cell r="S269">
            <v>2.3770479443070826E-8</v>
          </cell>
          <cell r="T269">
            <v>1.0696715749381872E-7</v>
          </cell>
          <cell r="U269"/>
          <cell r="V269"/>
          <cell r="W269">
            <v>30000</v>
          </cell>
          <cell r="X269">
            <v>0.33333333333333331</v>
          </cell>
          <cell r="Y269">
            <v>0.33333333333333331</v>
          </cell>
          <cell r="Z269">
            <v>0.33333333333333331</v>
          </cell>
          <cell r="AA269"/>
        </row>
        <row r="270">
          <cell r="A270">
            <v>263</v>
          </cell>
          <cell r="B270" t="str">
            <v>HYDROXYUREA</v>
          </cell>
          <cell r="C270" t="str">
            <v>127-07-1</v>
          </cell>
          <cell r="D270" t="str">
            <v>Neutral</v>
          </cell>
          <cell r="E270"/>
          <cell r="F270">
            <v>76.06</v>
          </cell>
          <cell r="G270"/>
          <cell r="H270">
            <v>3.9333333323500003E-2</v>
          </cell>
          <cell r="I270">
            <v>1000000</v>
          </cell>
          <cell r="J270"/>
          <cell r="K270">
            <v>1.5848931924611124E-2</v>
          </cell>
          <cell r="L270"/>
          <cell r="M270"/>
          <cell r="N270"/>
          <cell r="O270"/>
          <cell r="P270"/>
          <cell r="Q270">
            <v>1.5E-6</v>
          </cell>
          <cell r="R270">
            <v>5.3483578746909358E-7</v>
          </cell>
          <cell r="S270">
            <v>5.9426198607677063E-8</v>
          </cell>
          <cell r="T270">
            <v>2.6741789373454679E-7</v>
          </cell>
          <cell r="U270"/>
          <cell r="V270"/>
          <cell r="W270">
            <v>30000</v>
          </cell>
          <cell r="X270">
            <v>0.33333333333333331</v>
          </cell>
          <cell r="Y270">
            <v>0.33333333333333331</v>
          </cell>
          <cell r="Z270">
            <v>0.33333333333333331</v>
          </cell>
          <cell r="AA270"/>
        </row>
        <row r="271">
          <cell r="A271">
            <v>264</v>
          </cell>
          <cell r="B271" t="str">
            <v>2-HYDROXYMETHYL-2-NITRO-1,3-PROPANEDIOL</v>
          </cell>
          <cell r="C271" t="str">
            <v>126-11-4</v>
          </cell>
          <cell r="D271" t="str">
            <v>Neutral</v>
          </cell>
          <cell r="E271"/>
          <cell r="F271">
            <v>151.12</v>
          </cell>
          <cell r="G271"/>
          <cell r="H271">
            <v>1.1586666663770001E-5</v>
          </cell>
          <cell r="I271">
            <v>2200000</v>
          </cell>
          <cell r="J271"/>
          <cell r="K271">
            <v>2.1877616239495523E-2</v>
          </cell>
          <cell r="L271"/>
          <cell r="M271"/>
          <cell r="N271"/>
          <cell r="O271"/>
          <cell r="P271"/>
          <cell r="Q271">
            <v>1.442235E-6</v>
          </cell>
          <cell r="R271">
            <v>5.3483578746909358E-7</v>
          </cell>
          <cell r="S271">
            <v>5.9426198607677063E-8</v>
          </cell>
          <cell r="T271">
            <v>2.6741789373454679E-7</v>
          </cell>
          <cell r="U271"/>
          <cell r="V271"/>
          <cell r="W271">
            <v>30000</v>
          </cell>
          <cell r="X271">
            <v>0.33333333333333331</v>
          </cell>
          <cell r="Y271">
            <v>0.33333333333333331</v>
          </cell>
          <cell r="Z271">
            <v>0.33333333333333331</v>
          </cell>
          <cell r="AA271"/>
        </row>
        <row r="272">
          <cell r="A272">
            <v>265</v>
          </cell>
          <cell r="B272" t="str">
            <v>Methylmercury Dicyandiamide</v>
          </cell>
          <cell r="C272" t="str">
            <v>502-39-6</v>
          </cell>
          <cell r="D272" t="str">
            <v>Neutral</v>
          </cell>
          <cell r="E272"/>
          <cell r="F272">
            <v>298.7</v>
          </cell>
          <cell r="G272"/>
          <cell r="H272">
            <v>8.6666666644999984E-3</v>
          </cell>
          <cell r="I272">
            <v>21700</v>
          </cell>
          <cell r="J272"/>
          <cell r="K272">
            <v>2.6915348039269142E-2</v>
          </cell>
          <cell r="L272"/>
          <cell r="M272"/>
          <cell r="N272"/>
          <cell r="O272"/>
          <cell r="P272"/>
          <cell r="Q272">
            <v>6.1200000000000007E-6</v>
          </cell>
          <cell r="R272">
            <v>2.1393431498763744E-7</v>
          </cell>
          <cell r="S272">
            <v>2.3770479443070826E-8</v>
          </cell>
          <cell r="T272">
            <v>1.0696715749381872E-7</v>
          </cell>
          <cell r="U272"/>
          <cell r="V272"/>
          <cell r="W272">
            <v>30000</v>
          </cell>
          <cell r="X272">
            <v>0.33333333333333331</v>
          </cell>
          <cell r="Y272">
            <v>0.33333333333333331</v>
          </cell>
          <cell r="Z272">
            <v>0.33333333333333331</v>
          </cell>
          <cell r="AA272"/>
        </row>
        <row r="273">
          <cell r="A273">
            <v>266</v>
          </cell>
          <cell r="B273" t="str">
            <v>DIETHYLENE GLYCOL</v>
          </cell>
          <cell r="C273" t="str">
            <v>111-46-6</v>
          </cell>
          <cell r="D273" t="str">
            <v>Neutral</v>
          </cell>
          <cell r="E273"/>
          <cell r="F273">
            <v>106.12</v>
          </cell>
          <cell r="G273"/>
          <cell r="H273">
            <v>0.75999999980999999</v>
          </cell>
          <cell r="I273">
            <v>1000000</v>
          </cell>
          <cell r="J273"/>
          <cell r="K273">
            <v>3.3884415613920249E-2</v>
          </cell>
          <cell r="L273"/>
          <cell r="M273"/>
          <cell r="N273"/>
          <cell r="O273"/>
          <cell r="P273"/>
          <cell r="Q273">
            <v>2.2500000000000001E-5</v>
          </cell>
          <cell r="R273">
            <v>9.2532143160742838E-7</v>
          </cell>
          <cell r="S273">
            <v>1.0281349240082538E-7</v>
          </cell>
          <cell r="T273">
            <v>4.6266071580371419E-7</v>
          </cell>
          <cell r="U273"/>
          <cell r="V273"/>
          <cell r="W273">
            <v>30000</v>
          </cell>
          <cell r="X273">
            <v>0.33333333333333331</v>
          </cell>
          <cell r="Y273">
            <v>0.33333333333333331</v>
          </cell>
          <cell r="Z273">
            <v>0.33333333333333331</v>
          </cell>
          <cell r="AA273"/>
        </row>
        <row r="274">
          <cell r="A274">
            <v>267</v>
          </cell>
          <cell r="B274" t="str">
            <v>DIMETHYLTIN DICHLORIDE</v>
          </cell>
          <cell r="C274" t="str">
            <v>753-73-1</v>
          </cell>
          <cell r="D274" t="str">
            <v>Neutral</v>
          </cell>
          <cell r="E274"/>
          <cell r="F274">
            <v>219.69</v>
          </cell>
          <cell r="G274"/>
          <cell r="H274">
            <v>16.933333329099998</v>
          </cell>
          <cell r="I274">
            <v>20000</v>
          </cell>
          <cell r="J274"/>
          <cell r="K274">
            <v>8.7096358995608011E-2</v>
          </cell>
          <cell r="L274"/>
          <cell r="M274"/>
          <cell r="N274"/>
          <cell r="O274"/>
          <cell r="P274"/>
          <cell r="Q274">
            <v>2.04E-6</v>
          </cell>
          <cell r="R274">
            <v>2.1393431498763744E-7</v>
          </cell>
          <cell r="S274">
            <v>2.3770479443070826E-8</v>
          </cell>
          <cell r="T274">
            <v>1.0696715749381872E-7</v>
          </cell>
          <cell r="U274"/>
          <cell r="V274"/>
          <cell r="W274">
            <v>30000</v>
          </cell>
          <cell r="X274">
            <v>0.33333333333333331</v>
          </cell>
          <cell r="Y274">
            <v>0.33333333333333331</v>
          </cell>
          <cell r="Z274">
            <v>0.33333333333333331</v>
          </cell>
          <cell r="AA274"/>
        </row>
        <row r="275">
          <cell r="A275">
            <v>268</v>
          </cell>
          <cell r="B275" t="str">
            <v>UREA, N-(2-HYDROXYETHYL)-N-NITROSO</v>
          </cell>
          <cell r="C275" t="str">
            <v>13743-07-2</v>
          </cell>
          <cell r="D275" t="str">
            <v>Neutral</v>
          </cell>
          <cell r="E275"/>
          <cell r="F275">
            <v>133.11000000000001</v>
          </cell>
          <cell r="G275"/>
          <cell r="H275">
            <v>7.5733333314399994E-3</v>
          </cell>
          <cell r="I275">
            <v>33800</v>
          </cell>
          <cell r="J275"/>
          <cell r="K275">
            <v>9.120108393559094E-2</v>
          </cell>
          <cell r="L275"/>
          <cell r="M275"/>
          <cell r="N275"/>
          <cell r="O275"/>
          <cell r="P275"/>
          <cell r="Q275">
            <v>7.4032725000000005E-6</v>
          </cell>
          <cell r="R275">
            <v>5.3483578746909358E-7</v>
          </cell>
          <cell r="S275">
            <v>5.9426198607677063E-8</v>
          </cell>
          <cell r="T275">
            <v>2.6741789373454679E-7</v>
          </cell>
          <cell r="U275"/>
          <cell r="V275"/>
          <cell r="W275">
            <v>30000</v>
          </cell>
          <cell r="X275">
            <v>0.33333333333333331</v>
          </cell>
          <cell r="Y275">
            <v>0.33333333333333331</v>
          </cell>
          <cell r="Z275">
            <v>0.33333333333333331</v>
          </cell>
          <cell r="AA275"/>
        </row>
        <row r="276">
          <cell r="A276">
            <v>269</v>
          </cell>
          <cell r="B276" t="str">
            <v>GAMMA-BUTYROLACTONE</v>
          </cell>
          <cell r="C276" t="str">
            <v>96-48-0</v>
          </cell>
          <cell r="D276" t="str">
            <v>Neutral</v>
          </cell>
          <cell r="E276"/>
          <cell r="F276">
            <v>86.09</v>
          </cell>
          <cell r="G276"/>
          <cell r="H276">
            <v>59.999999984999995</v>
          </cell>
          <cell r="I276">
            <v>1000000</v>
          </cell>
          <cell r="J276"/>
          <cell r="K276">
            <v>0.22908676527677729</v>
          </cell>
          <cell r="L276"/>
          <cell r="M276"/>
          <cell r="N276"/>
          <cell r="O276"/>
          <cell r="P276"/>
          <cell r="Q276">
            <v>1.7315025E-6</v>
          </cell>
          <cell r="R276">
            <v>5.3483578746909358E-7</v>
          </cell>
          <cell r="S276">
            <v>5.9426198607677063E-8</v>
          </cell>
          <cell r="T276">
            <v>2.6741789373454679E-7</v>
          </cell>
          <cell r="U276"/>
          <cell r="V276"/>
          <cell r="W276">
            <v>30000</v>
          </cell>
          <cell r="X276">
            <v>0.33333333333333331</v>
          </cell>
          <cell r="Y276">
            <v>0.33333333333333331</v>
          </cell>
          <cell r="Z276">
            <v>0.33333333333333331</v>
          </cell>
          <cell r="AA276"/>
        </row>
        <row r="277">
          <cell r="A277">
            <v>270</v>
          </cell>
          <cell r="B277" t="str">
            <v>1,3,5-TRIOXANE</v>
          </cell>
          <cell r="C277" t="str">
            <v>110-88-3</v>
          </cell>
          <cell r="D277" t="str">
            <v>Neutral</v>
          </cell>
          <cell r="E277"/>
          <cell r="F277">
            <v>90.08</v>
          </cell>
          <cell r="G277"/>
          <cell r="H277">
            <v>2333.33333275</v>
          </cell>
          <cell r="I277">
            <v>175000</v>
          </cell>
          <cell r="J277"/>
          <cell r="K277">
            <v>0.37153522909717251</v>
          </cell>
          <cell r="L277"/>
          <cell r="M277"/>
          <cell r="N277"/>
          <cell r="O277"/>
          <cell r="P277"/>
          <cell r="Q277">
            <v>4.6500000000000004E-6</v>
          </cell>
          <cell r="R277">
            <v>5.3483578746909358E-7</v>
          </cell>
          <cell r="S277">
            <v>5.9426198607677063E-8</v>
          </cell>
          <cell r="T277">
            <v>2.6741789373454679E-7</v>
          </cell>
          <cell r="U277"/>
          <cell r="V277"/>
          <cell r="W277">
            <v>30000</v>
          </cell>
          <cell r="X277">
            <v>0.33333333333333331</v>
          </cell>
          <cell r="Y277">
            <v>0.33333333333333331</v>
          </cell>
          <cell r="Z277">
            <v>0.33333333333333331</v>
          </cell>
          <cell r="AA277"/>
        </row>
        <row r="278">
          <cell r="A278">
            <v>271</v>
          </cell>
          <cell r="B278" t="str">
            <v>Ethylene oxide</v>
          </cell>
          <cell r="C278" t="str">
            <v>75-21-8</v>
          </cell>
          <cell r="D278" t="str">
            <v>Neutral</v>
          </cell>
          <cell r="E278"/>
          <cell r="F278">
            <v>44.05</v>
          </cell>
          <cell r="G278"/>
          <cell r="H278">
            <v>174666.666623</v>
          </cell>
          <cell r="I278">
            <v>1000000</v>
          </cell>
          <cell r="J278"/>
          <cell r="K278">
            <v>0.50118723362727224</v>
          </cell>
          <cell r="L278"/>
          <cell r="M278"/>
          <cell r="N278"/>
          <cell r="O278"/>
          <cell r="P278"/>
          <cell r="Q278">
            <v>5.7000000000000001E-8</v>
          </cell>
          <cell r="R278">
            <v>5.3483578746909358E-7</v>
          </cell>
          <cell r="S278">
            <v>5.9426198607677063E-8</v>
          </cell>
          <cell r="T278">
            <v>2.6741789373454679E-7</v>
          </cell>
          <cell r="U278"/>
          <cell r="V278"/>
          <cell r="W278">
            <v>30000</v>
          </cell>
          <cell r="X278">
            <v>0.33333333333333331</v>
          </cell>
          <cell r="Y278">
            <v>0.33333333333333331</v>
          </cell>
          <cell r="Z278">
            <v>0.33333333333333331</v>
          </cell>
          <cell r="AA278"/>
        </row>
        <row r="279">
          <cell r="A279">
            <v>272</v>
          </cell>
          <cell r="B279" t="str">
            <v>1,2:3,4-DIEPOXYBUTANE DL</v>
          </cell>
          <cell r="C279" t="str">
            <v>298-18-0</v>
          </cell>
          <cell r="D279" t="str">
            <v>Neutral</v>
          </cell>
          <cell r="E279"/>
          <cell r="F279">
            <v>86.09</v>
          </cell>
          <cell r="G279"/>
          <cell r="H279">
            <v>5199.9999987000001</v>
          </cell>
          <cell r="I279">
            <v>1000000</v>
          </cell>
          <cell r="J279"/>
          <cell r="K279">
            <v>0.52480746024977254</v>
          </cell>
          <cell r="L279"/>
          <cell r="M279"/>
          <cell r="N279"/>
          <cell r="O279"/>
          <cell r="P279"/>
          <cell r="Q279">
            <v>7.47345E-7</v>
          </cell>
          <cell r="R279">
            <v>5.3483578746909358E-7</v>
          </cell>
          <cell r="S279">
            <v>5.9426198607677063E-8</v>
          </cell>
          <cell r="T279">
            <v>2.6741789373454679E-7</v>
          </cell>
          <cell r="U279"/>
          <cell r="V279"/>
          <cell r="W279">
            <v>30000</v>
          </cell>
          <cell r="X279">
            <v>0.33333333333333331</v>
          </cell>
          <cell r="Y279">
            <v>0.33333333333333331</v>
          </cell>
          <cell r="Z279">
            <v>0.33333333333333331</v>
          </cell>
          <cell r="AA279"/>
        </row>
        <row r="280">
          <cell r="A280">
            <v>273</v>
          </cell>
          <cell r="B280" t="str">
            <v>Propane sultone</v>
          </cell>
          <cell r="C280" t="str">
            <v>1120-71-4</v>
          </cell>
          <cell r="D280" t="str">
            <v>Neutral</v>
          </cell>
          <cell r="E280"/>
          <cell r="F280">
            <v>122.14</v>
          </cell>
          <cell r="G280"/>
          <cell r="H280">
            <v>31.866666658699998</v>
          </cell>
          <cell r="I280">
            <v>170700</v>
          </cell>
          <cell r="J280"/>
          <cell r="K280">
            <v>0.52480746024977254</v>
          </cell>
          <cell r="L280"/>
          <cell r="M280"/>
          <cell r="N280"/>
          <cell r="O280"/>
          <cell r="P280"/>
          <cell r="Q280">
            <v>1.6157024999999998E-6</v>
          </cell>
          <cell r="R280">
            <v>5.3483578746909358E-7</v>
          </cell>
          <cell r="S280">
            <v>5.9426198607677063E-8</v>
          </cell>
          <cell r="T280">
            <v>2.6741789373454679E-7</v>
          </cell>
          <cell r="U280"/>
          <cell r="V280"/>
          <cell r="W280">
            <v>30000</v>
          </cell>
          <cell r="X280">
            <v>0.33333333333333331</v>
          </cell>
          <cell r="Y280">
            <v>0.33333333333333331</v>
          </cell>
          <cell r="Z280">
            <v>0.33333333333333331</v>
          </cell>
          <cell r="AA280"/>
        </row>
        <row r="281">
          <cell r="A281">
            <v>274</v>
          </cell>
          <cell r="B281" t="str">
            <v>2-HYDROXYETHYL ACRYLATE</v>
          </cell>
          <cell r="C281" t="str">
            <v>818-61-1</v>
          </cell>
          <cell r="D281" t="str">
            <v>Neutral</v>
          </cell>
          <cell r="E281"/>
          <cell r="F281">
            <v>116.12</v>
          </cell>
          <cell r="G281"/>
          <cell r="H281">
            <v>6.9733333315899992</v>
          </cell>
          <cell r="I281">
            <v>1000000</v>
          </cell>
          <cell r="J281"/>
          <cell r="K281">
            <v>0.61659500186148219</v>
          </cell>
          <cell r="L281"/>
          <cell r="M281"/>
          <cell r="N281"/>
          <cell r="O281"/>
          <cell r="P281"/>
          <cell r="Q281">
            <v>1.1402985E-5</v>
          </cell>
          <cell r="R281">
            <v>5.3483578746909358E-7</v>
          </cell>
          <cell r="S281">
            <v>5.9426198607677063E-8</v>
          </cell>
          <cell r="T281">
            <v>2.6741789373454679E-7</v>
          </cell>
          <cell r="U281"/>
          <cell r="V281"/>
          <cell r="W281">
            <v>30000</v>
          </cell>
          <cell r="X281">
            <v>0.33333333333333331</v>
          </cell>
          <cell r="Y281">
            <v>0.33333333333333331</v>
          </cell>
          <cell r="Z281">
            <v>0.33333333333333331</v>
          </cell>
          <cell r="AA281"/>
        </row>
        <row r="282">
          <cell r="A282">
            <v>275</v>
          </cell>
          <cell r="B282" t="str">
            <v>PENTANE-1,5-DIAL</v>
          </cell>
          <cell r="C282" t="str">
            <v>111-30-8</v>
          </cell>
          <cell r="D282" t="str">
            <v>Neutral</v>
          </cell>
          <cell r="E282"/>
          <cell r="F282">
            <v>100.12</v>
          </cell>
          <cell r="G282"/>
          <cell r="H282">
            <v>79.999999979999998</v>
          </cell>
          <cell r="I282">
            <v>167200</v>
          </cell>
          <cell r="J282"/>
          <cell r="K282">
            <v>0.660693448007596</v>
          </cell>
          <cell r="L282"/>
          <cell r="M282"/>
          <cell r="N282"/>
          <cell r="O282"/>
          <cell r="P282"/>
          <cell r="Q282">
            <v>1.785E-5</v>
          </cell>
          <cell r="R282">
            <v>5.3483578746909358E-7</v>
          </cell>
          <cell r="S282">
            <v>5.9426198607677063E-8</v>
          </cell>
          <cell r="T282">
            <v>1.6045073624072808E-6</v>
          </cell>
          <cell r="U282"/>
          <cell r="V282"/>
          <cell r="W282">
            <v>30000</v>
          </cell>
          <cell r="X282">
            <v>0.33333333333333331</v>
          </cell>
          <cell r="Y282">
            <v>0.33333333333333331</v>
          </cell>
          <cell r="Z282">
            <v>0.33333333333333331</v>
          </cell>
          <cell r="AA282"/>
        </row>
        <row r="283">
          <cell r="A283">
            <v>276</v>
          </cell>
          <cell r="B283" t="str">
            <v>TETRAHYDROFURFURYL ALCOHOL</v>
          </cell>
          <cell r="C283" t="str">
            <v>97-99-4</v>
          </cell>
          <cell r="D283" t="str">
            <v>Neutral</v>
          </cell>
          <cell r="E283"/>
          <cell r="F283">
            <v>102.13</v>
          </cell>
          <cell r="G283"/>
          <cell r="H283">
            <v>106.7999999733</v>
          </cell>
          <cell r="I283">
            <v>1000000</v>
          </cell>
          <cell r="J283"/>
          <cell r="K283">
            <v>0.77624711662869172</v>
          </cell>
          <cell r="L283"/>
          <cell r="M283"/>
          <cell r="N283"/>
          <cell r="O283"/>
          <cell r="P283"/>
          <cell r="Q283">
            <v>1.7686432499999999E-5</v>
          </cell>
          <cell r="R283">
            <v>5.3483578746909358E-7</v>
          </cell>
          <cell r="S283">
            <v>5.9426198607677063E-8</v>
          </cell>
          <cell r="T283">
            <v>2.6741789373454679E-7</v>
          </cell>
          <cell r="U283"/>
          <cell r="V283"/>
          <cell r="W283">
            <v>30000</v>
          </cell>
          <cell r="X283">
            <v>0.33333333333333331</v>
          </cell>
          <cell r="Y283">
            <v>0.33333333333333331</v>
          </cell>
          <cell r="Z283">
            <v>0.33333333333333331</v>
          </cell>
          <cell r="AA283"/>
        </row>
        <row r="284">
          <cell r="A284">
            <v>277</v>
          </cell>
          <cell r="B284" t="str">
            <v>Sodium dichlorocyanurate</v>
          </cell>
          <cell r="C284" t="str">
            <v>2893-78-9</v>
          </cell>
          <cell r="D284" t="str">
            <v>Neutral</v>
          </cell>
          <cell r="E284"/>
          <cell r="F284">
            <v>219.95</v>
          </cell>
          <cell r="G284"/>
          <cell r="H284">
            <v>1.9466666661799996E-12</v>
          </cell>
          <cell r="I284">
            <v>38420</v>
          </cell>
          <cell r="J284"/>
          <cell r="K284">
            <v>0.87096358995608059</v>
          </cell>
          <cell r="L284"/>
          <cell r="M284"/>
          <cell r="N284"/>
          <cell r="O284"/>
          <cell r="P284"/>
          <cell r="Q284">
            <v>2.2500000000000001E-6</v>
          </cell>
          <cell r="R284">
            <v>5.3483578746909358E-7</v>
          </cell>
          <cell r="S284">
            <v>5.9426198607677063E-8</v>
          </cell>
          <cell r="T284">
            <v>2.6741789373454679E-7</v>
          </cell>
          <cell r="U284"/>
          <cell r="V284"/>
          <cell r="W284">
            <v>30000</v>
          </cell>
          <cell r="X284">
            <v>0.33333333333333331</v>
          </cell>
          <cell r="Y284">
            <v>0.33333333333333331</v>
          </cell>
          <cell r="Z284">
            <v>0.33333333333333331</v>
          </cell>
          <cell r="AA284"/>
        </row>
        <row r="285">
          <cell r="A285">
            <v>278</v>
          </cell>
          <cell r="B285" t="str">
            <v>PROPYLENE OXIDE</v>
          </cell>
          <cell r="C285" t="str">
            <v>75-56-9</v>
          </cell>
          <cell r="D285" t="str">
            <v>Neutral</v>
          </cell>
          <cell r="E285"/>
          <cell r="F285">
            <v>58.08</v>
          </cell>
          <cell r="G285"/>
          <cell r="H285">
            <v>71733.333315399999</v>
          </cell>
          <cell r="I285">
            <v>590000</v>
          </cell>
          <cell r="J285"/>
          <cell r="K285">
            <v>1.0715193052376064</v>
          </cell>
          <cell r="L285"/>
          <cell r="M285"/>
          <cell r="N285"/>
          <cell r="O285"/>
          <cell r="P285"/>
          <cell r="Q285">
            <v>3.9000000000000002E-7</v>
          </cell>
          <cell r="R285">
            <v>5.3483578746909358E-7</v>
          </cell>
          <cell r="S285">
            <v>5.9426198607677063E-8</v>
          </cell>
          <cell r="T285">
            <v>2.6741789373454679E-7</v>
          </cell>
          <cell r="U285"/>
          <cell r="V285"/>
          <cell r="W285">
            <v>30000</v>
          </cell>
          <cell r="X285">
            <v>0.33333333333333331</v>
          </cell>
          <cell r="Y285">
            <v>0.33333333333333331</v>
          </cell>
          <cell r="Z285">
            <v>0.33333333333333331</v>
          </cell>
          <cell r="AA285"/>
        </row>
        <row r="286">
          <cell r="A286">
            <v>279</v>
          </cell>
          <cell r="B286" t="str">
            <v>FUMARYL CHLORIDE</v>
          </cell>
          <cell r="C286" t="str">
            <v>627-63-4</v>
          </cell>
          <cell r="D286" t="str">
            <v>Neutral</v>
          </cell>
          <cell r="E286"/>
          <cell r="F286">
            <v>152.97</v>
          </cell>
          <cell r="G286"/>
          <cell r="H286">
            <v>275.99999993099999</v>
          </cell>
          <cell r="I286">
            <v>60470</v>
          </cell>
          <cell r="J286"/>
          <cell r="K286">
            <v>1.2589254117941673</v>
          </cell>
          <cell r="L286"/>
          <cell r="M286"/>
          <cell r="N286"/>
          <cell r="O286"/>
          <cell r="P286"/>
          <cell r="Q286">
            <v>5.18175E-6</v>
          </cell>
          <cell r="R286">
            <v>5.3483578746909358E-7</v>
          </cell>
          <cell r="S286">
            <v>5.9426198607677063E-8</v>
          </cell>
          <cell r="T286">
            <v>2.6741789373454679E-7</v>
          </cell>
          <cell r="U286"/>
          <cell r="V286"/>
          <cell r="W286">
            <v>30000</v>
          </cell>
          <cell r="X286">
            <v>0.33333333333333331</v>
          </cell>
          <cell r="Y286">
            <v>0.33333333333333331</v>
          </cell>
          <cell r="Z286">
            <v>0.33333333333333331</v>
          </cell>
          <cell r="AA286"/>
        </row>
        <row r="287">
          <cell r="A287">
            <v>280</v>
          </cell>
          <cell r="B287" t="str">
            <v>MEVINPHOS</v>
          </cell>
          <cell r="C287" t="str">
            <v>7786-34-7</v>
          </cell>
          <cell r="D287" t="str">
            <v>Neutral</v>
          </cell>
          <cell r="E287"/>
          <cell r="F287">
            <v>224.15</v>
          </cell>
          <cell r="G287"/>
          <cell r="H287">
            <v>1.7066666662399997E-2</v>
          </cell>
          <cell r="I287">
            <v>600000</v>
          </cell>
          <cell r="J287"/>
          <cell r="K287">
            <v>1.3489628825916538</v>
          </cell>
          <cell r="L287"/>
          <cell r="M287"/>
          <cell r="N287"/>
          <cell r="O287"/>
          <cell r="P287"/>
          <cell r="Q287">
            <v>2.725845E-5</v>
          </cell>
          <cell r="R287">
            <v>5.3483578746909358E-7</v>
          </cell>
          <cell r="S287">
            <v>5.9426198607677063E-8</v>
          </cell>
          <cell r="T287">
            <v>6.6854473433636709E-6</v>
          </cell>
          <cell r="U287"/>
          <cell r="V287"/>
          <cell r="W287">
            <v>30000</v>
          </cell>
          <cell r="X287">
            <v>0.33333333333333331</v>
          </cell>
          <cell r="Y287">
            <v>0.33333333333333331</v>
          </cell>
          <cell r="Z287">
            <v>0.33333333333333331</v>
          </cell>
          <cell r="AA287"/>
        </row>
        <row r="288">
          <cell r="A288">
            <v>281</v>
          </cell>
          <cell r="B288" t="str">
            <v>METHYL ACETATE</v>
          </cell>
          <cell r="C288" t="str">
            <v>79-20-9</v>
          </cell>
          <cell r="D288" t="str">
            <v>Neutral</v>
          </cell>
          <cell r="E288"/>
          <cell r="F288">
            <v>74.08</v>
          </cell>
          <cell r="G288"/>
          <cell r="H288">
            <v>28799.9999928</v>
          </cell>
          <cell r="I288">
            <v>243000</v>
          </cell>
          <cell r="J288"/>
          <cell r="K288">
            <v>1.5135612484362082</v>
          </cell>
          <cell r="L288"/>
          <cell r="M288"/>
          <cell r="N288"/>
          <cell r="O288"/>
          <cell r="P288"/>
          <cell r="Q288">
            <v>2.5575E-7</v>
          </cell>
          <cell r="R288">
            <v>5.3483578746909358E-7</v>
          </cell>
          <cell r="S288">
            <v>5.9426198607677063E-8</v>
          </cell>
          <cell r="T288">
            <v>2.6741789373454679E-7</v>
          </cell>
          <cell r="U288"/>
          <cell r="V288"/>
          <cell r="W288">
            <v>30000</v>
          </cell>
          <cell r="X288">
            <v>0.33333333333333331</v>
          </cell>
          <cell r="Y288">
            <v>0.33333333333333331</v>
          </cell>
          <cell r="Z288">
            <v>0.33333333333333331</v>
          </cell>
          <cell r="AA288"/>
        </row>
        <row r="289">
          <cell r="A289">
            <v>282</v>
          </cell>
          <cell r="B289" t="str">
            <v>ETHYLENE GLYCOL DIACETATE</v>
          </cell>
          <cell r="C289" t="str">
            <v>111-55-7</v>
          </cell>
          <cell r="D289" t="str">
            <v>Neutral</v>
          </cell>
          <cell r="E289"/>
          <cell r="F289">
            <v>146.13999999999999</v>
          </cell>
          <cell r="G289"/>
          <cell r="H289">
            <v>10.319999997419998</v>
          </cell>
          <cell r="I289">
            <v>178000</v>
          </cell>
          <cell r="J289"/>
          <cell r="K289">
            <v>2.5118864315095806</v>
          </cell>
          <cell r="L289"/>
          <cell r="M289"/>
          <cell r="N289"/>
          <cell r="O289"/>
          <cell r="P289"/>
          <cell r="Q289">
            <v>2.8204050000000001E-6</v>
          </cell>
          <cell r="R289">
            <v>5.3483578746909358E-7</v>
          </cell>
          <cell r="S289">
            <v>5.9426198607677063E-8</v>
          </cell>
          <cell r="T289">
            <v>2.6741789373454679E-7</v>
          </cell>
          <cell r="U289"/>
          <cell r="V289"/>
          <cell r="W289">
            <v>30000</v>
          </cell>
          <cell r="X289">
            <v>0.33333333333333331</v>
          </cell>
          <cell r="Y289">
            <v>0.33333333333333331</v>
          </cell>
          <cell r="Z289">
            <v>0.33333333333333331</v>
          </cell>
          <cell r="AA289"/>
        </row>
        <row r="290">
          <cell r="A290">
            <v>283</v>
          </cell>
          <cell r="B290" t="str">
            <v>METHYLVINYLKETONE</v>
          </cell>
          <cell r="C290" t="str">
            <v>78-94-4</v>
          </cell>
          <cell r="D290" t="str">
            <v>Neutral</v>
          </cell>
          <cell r="E290"/>
          <cell r="F290">
            <v>70.09</v>
          </cell>
          <cell r="G290"/>
          <cell r="H290">
            <v>12173.333330289999</v>
          </cell>
          <cell r="I290">
            <v>60630</v>
          </cell>
          <cell r="J290"/>
          <cell r="K290">
            <v>2.5703957827688639</v>
          </cell>
          <cell r="L290"/>
          <cell r="M290"/>
          <cell r="N290"/>
          <cell r="O290"/>
          <cell r="P290"/>
          <cell r="Q290">
            <v>1.4099999999999999E-5</v>
          </cell>
          <cell r="R290">
            <v>5.3483578746909358E-7</v>
          </cell>
          <cell r="S290">
            <v>5.9426198607677063E-8</v>
          </cell>
          <cell r="T290">
            <v>2.6741789373454679E-7</v>
          </cell>
          <cell r="U290"/>
          <cell r="V290"/>
          <cell r="W290">
            <v>30000</v>
          </cell>
          <cell r="X290">
            <v>0.33333333333333331</v>
          </cell>
          <cell r="Y290">
            <v>0.33333333333333331</v>
          </cell>
          <cell r="Z290">
            <v>0.33333333333333331</v>
          </cell>
          <cell r="AA290"/>
        </row>
        <row r="291">
          <cell r="A291">
            <v>284</v>
          </cell>
          <cell r="B291" t="str">
            <v>3-CHLORO-1-PROPANOL</v>
          </cell>
          <cell r="C291" t="str">
            <v>627-30-5</v>
          </cell>
          <cell r="D291" t="str">
            <v>Neutral</v>
          </cell>
          <cell r="E291"/>
          <cell r="F291">
            <v>94.54</v>
          </cell>
          <cell r="G291"/>
          <cell r="H291">
            <v>76.933333314099997</v>
          </cell>
          <cell r="I291">
            <v>250000</v>
          </cell>
          <cell r="J291"/>
          <cell r="K291">
            <v>3.1622776601683795</v>
          </cell>
          <cell r="L291"/>
          <cell r="M291"/>
          <cell r="N291"/>
          <cell r="O291"/>
          <cell r="P291"/>
          <cell r="Q291">
            <v>3.7582500000000004E-6</v>
          </cell>
          <cell r="R291">
            <v>5.3483578746909358E-7</v>
          </cell>
          <cell r="S291">
            <v>5.9426198607677063E-8</v>
          </cell>
          <cell r="T291">
            <v>2.6741789373454679E-7</v>
          </cell>
          <cell r="U291"/>
          <cell r="V291"/>
          <cell r="W291">
            <v>30000</v>
          </cell>
          <cell r="X291">
            <v>0.33333333333333331</v>
          </cell>
          <cell r="Y291">
            <v>0.33333333333333331</v>
          </cell>
          <cell r="Z291">
            <v>0.33333333333333331</v>
          </cell>
          <cell r="AA291"/>
        </row>
        <row r="292">
          <cell r="A292">
            <v>285</v>
          </cell>
          <cell r="B292" t="str">
            <v>CHLOROFLUOROMETHANE</v>
          </cell>
          <cell r="C292" t="str">
            <v>593-70-4</v>
          </cell>
          <cell r="D292" t="str">
            <v>Neutral</v>
          </cell>
          <cell r="E292"/>
          <cell r="F292">
            <v>68.48</v>
          </cell>
          <cell r="G292"/>
          <cell r="H292">
            <v>326666.666585</v>
          </cell>
          <cell r="I292">
            <v>10400</v>
          </cell>
          <cell r="J292"/>
          <cell r="K292">
            <v>3.2359365692962836</v>
          </cell>
          <cell r="L292"/>
          <cell r="M292"/>
          <cell r="N292"/>
          <cell r="O292"/>
          <cell r="P292"/>
          <cell r="Q292">
            <v>3.3075000000000003E-8</v>
          </cell>
          <cell r="R292">
            <v>5.3483578746909358E-7</v>
          </cell>
          <cell r="S292">
            <v>5.9426198607677063E-8</v>
          </cell>
          <cell r="T292">
            <v>2.6741789373454679E-7</v>
          </cell>
          <cell r="U292"/>
          <cell r="V292"/>
          <cell r="W292">
            <v>30000</v>
          </cell>
          <cell r="X292">
            <v>0.33333333333333331</v>
          </cell>
          <cell r="Y292">
            <v>0.33333333333333331</v>
          </cell>
          <cell r="Z292">
            <v>0.33333333333333331</v>
          </cell>
          <cell r="AA292"/>
        </row>
        <row r="293">
          <cell r="A293">
            <v>286</v>
          </cell>
          <cell r="B293" t="str">
            <v>Bis-(chloromethyl) ether</v>
          </cell>
          <cell r="C293" t="str">
            <v>542-88-1</v>
          </cell>
          <cell r="D293" t="str">
            <v>Neutral</v>
          </cell>
          <cell r="E293"/>
          <cell r="F293">
            <v>114.96</v>
          </cell>
          <cell r="G293"/>
          <cell r="H293">
            <v>3919.9999990199994</v>
          </cell>
          <cell r="I293">
            <v>22000</v>
          </cell>
          <cell r="J293"/>
          <cell r="K293">
            <v>3.7153522909717256</v>
          </cell>
          <cell r="L293"/>
          <cell r="M293"/>
          <cell r="N293"/>
          <cell r="O293"/>
          <cell r="P293"/>
          <cell r="Q293">
            <v>5.3238000000000006E-7</v>
          </cell>
          <cell r="R293">
            <v>2.1393431498763744E-7</v>
          </cell>
          <cell r="S293">
            <v>2.3770479443070826E-8</v>
          </cell>
          <cell r="T293">
            <v>1.0696715749381872E-7</v>
          </cell>
          <cell r="U293"/>
          <cell r="V293"/>
          <cell r="W293">
            <v>30000</v>
          </cell>
          <cell r="X293">
            <v>0.33333333333333331</v>
          </cell>
          <cell r="Y293">
            <v>0.33333333333333331</v>
          </cell>
          <cell r="Z293">
            <v>0.33333333333333331</v>
          </cell>
          <cell r="AA293"/>
        </row>
        <row r="294">
          <cell r="A294">
            <v>287</v>
          </cell>
          <cell r="B294" t="str">
            <v>OCTANEDINITRILE</v>
          </cell>
          <cell r="C294" t="str">
            <v>629-40-3</v>
          </cell>
          <cell r="D294" t="str">
            <v>Neutral</v>
          </cell>
          <cell r="E294"/>
          <cell r="F294">
            <v>136.19999999999999</v>
          </cell>
          <cell r="G294"/>
          <cell r="H294">
            <v>0.81599999979599991</v>
          </cell>
          <cell r="I294">
            <v>14780</v>
          </cell>
          <cell r="J294"/>
          <cell r="K294">
            <v>3.8904514499428067</v>
          </cell>
          <cell r="L294"/>
          <cell r="M294"/>
          <cell r="N294"/>
          <cell r="O294"/>
          <cell r="P294"/>
          <cell r="Q294">
            <v>2.6537775E-6</v>
          </cell>
          <cell r="R294">
            <v>2.1393431498763744E-7</v>
          </cell>
          <cell r="S294">
            <v>2.3770479443070826E-8</v>
          </cell>
          <cell r="T294">
            <v>1.0696715749381872E-7</v>
          </cell>
          <cell r="U294"/>
          <cell r="V294"/>
          <cell r="W294">
            <v>30000</v>
          </cell>
          <cell r="X294">
            <v>0.33333333333333331</v>
          </cell>
          <cell r="Y294">
            <v>0.33333333333333331</v>
          </cell>
          <cell r="Z294">
            <v>0.33333333333333331</v>
          </cell>
          <cell r="AA294"/>
        </row>
        <row r="295">
          <cell r="A295">
            <v>288</v>
          </cell>
          <cell r="B295" t="str">
            <v>CROTONALDEHYDE</v>
          </cell>
          <cell r="C295" t="str">
            <v>4170-30-3</v>
          </cell>
          <cell r="D295" t="str">
            <v>Neutral</v>
          </cell>
          <cell r="E295"/>
          <cell r="F295">
            <v>70.09</v>
          </cell>
          <cell r="G295"/>
          <cell r="H295">
            <v>3999.9999989999997</v>
          </cell>
          <cell r="I295">
            <v>181000</v>
          </cell>
          <cell r="J295"/>
          <cell r="K295">
            <v>3.9810717055349727</v>
          </cell>
          <cell r="L295"/>
          <cell r="M295"/>
          <cell r="N295"/>
          <cell r="O295"/>
          <cell r="P295"/>
          <cell r="Q295">
            <v>2.71425E-5</v>
          </cell>
          <cell r="R295">
            <v>5.3483578746909358E-7</v>
          </cell>
          <cell r="S295">
            <v>5.9426198607677063E-8</v>
          </cell>
          <cell r="T295">
            <v>2.6741789373454679E-7</v>
          </cell>
          <cell r="U295"/>
          <cell r="V295"/>
          <cell r="W295">
            <v>30000</v>
          </cell>
          <cell r="X295">
            <v>0.33333333333333331</v>
          </cell>
          <cell r="Y295">
            <v>0.33333333333333331</v>
          </cell>
          <cell r="Z295">
            <v>0.33333333333333331</v>
          </cell>
          <cell r="AA295"/>
        </row>
        <row r="296">
          <cell r="A296">
            <v>289</v>
          </cell>
          <cell r="B296" t="str">
            <v>METHYLENE BISTHIOCYANATE</v>
          </cell>
          <cell r="C296" t="str">
            <v>6317-18-6</v>
          </cell>
          <cell r="D296" t="str">
            <v>Neutral</v>
          </cell>
          <cell r="E296"/>
          <cell r="F296">
            <v>130.18</v>
          </cell>
          <cell r="G296"/>
          <cell r="H296">
            <v>0.26266666660099997</v>
          </cell>
          <cell r="I296">
            <v>27170</v>
          </cell>
          <cell r="J296"/>
          <cell r="K296">
            <v>4.1686938347033546</v>
          </cell>
          <cell r="L296"/>
          <cell r="M296"/>
          <cell r="N296"/>
          <cell r="O296"/>
          <cell r="P296"/>
          <cell r="Q296">
            <v>4.261842E-5</v>
          </cell>
          <cell r="R296">
            <v>5.3483578746909358E-7</v>
          </cell>
          <cell r="S296">
            <v>5.9426198607677063E-8</v>
          </cell>
          <cell r="T296">
            <v>2.6741789373454679E-7</v>
          </cell>
          <cell r="U296"/>
          <cell r="V296"/>
          <cell r="W296">
            <v>30000</v>
          </cell>
          <cell r="X296">
            <v>0.33333333333333331</v>
          </cell>
          <cell r="Y296">
            <v>0.33333333333333331</v>
          </cell>
          <cell r="Z296">
            <v>0.33333333333333331</v>
          </cell>
          <cell r="AA296"/>
        </row>
        <row r="297">
          <cell r="A297">
            <v>290</v>
          </cell>
          <cell r="B297" t="str">
            <v>2,6-DICHLOROBENZAMIDE</v>
          </cell>
          <cell r="C297" t="str">
            <v>2008-58-4</v>
          </cell>
          <cell r="D297" t="str">
            <v>Neutral</v>
          </cell>
          <cell r="E297"/>
          <cell r="F297">
            <v>190.03</v>
          </cell>
          <cell r="G297"/>
          <cell r="H297">
            <v>6.3333333317499999E-4</v>
          </cell>
          <cell r="I297">
            <v>2730</v>
          </cell>
          <cell r="J297"/>
          <cell r="K297">
            <v>5.8884365535558905</v>
          </cell>
          <cell r="L297"/>
          <cell r="M297"/>
          <cell r="N297"/>
          <cell r="O297"/>
          <cell r="P297"/>
          <cell r="Q297">
            <v>2.1596924999999997E-6</v>
          </cell>
          <cell r="R297">
            <v>2.1393431498763744E-7</v>
          </cell>
          <cell r="S297">
            <v>2.3770479443070826E-8</v>
          </cell>
          <cell r="T297">
            <v>5.8260979027134387E-8</v>
          </cell>
          <cell r="U297"/>
          <cell r="V297"/>
          <cell r="W297">
            <v>30000</v>
          </cell>
          <cell r="X297">
            <v>0.33333333333333331</v>
          </cell>
          <cell r="Y297">
            <v>0.33333333333333331</v>
          </cell>
          <cell r="Z297">
            <v>0.33333333333333331</v>
          </cell>
          <cell r="AA297"/>
        </row>
        <row r="298">
          <cell r="A298">
            <v>291</v>
          </cell>
          <cell r="B298" t="str">
            <v>1,4-DITHIANE</v>
          </cell>
          <cell r="C298" t="str">
            <v>505-29-3</v>
          </cell>
          <cell r="D298" t="str">
            <v>Neutral</v>
          </cell>
          <cell r="E298"/>
          <cell r="F298">
            <v>120.23</v>
          </cell>
          <cell r="G298"/>
          <cell r="H298">
            <v>106.66666664</v>
          </cell>
          <cell r="I298">
            <v>3000</v>
          </cell>
          <cell r="J298"/>
          <cell r="K298">
            <v>5.8884365535558905</v>
          </cell>
          <cell r="L298"/>
          <cell r="M298"/>
          <cell r="N298"/>
          <cell r="O298"/>
          <cell r="P298"/>
          <cell r="Q298">
            <v>2.9432392499999999E-5</v>
          </cell>
          <cell r="R298">
            <v>5.3483578746909358E-7</v>
          </cell>
          <cell r="S298">
            <v>5.9426198607677063E-8</v>
          </cell>
          <cell r="T298">
            <v>2.6741789373454679E-7</v>
          </cell>
          <cell r="U298"/>
          <cell r="V298"/>
          <cell r="W298">
            <v>30000</v>
          </cell>
          <cell r="X298">
            <v>0.33333333333333331</v>
          </cell>
          <cell r="Y298">
            <v>0.33333333333333331</v>
          </cell>
          <cell r="Z298">
            <v>0.33333333333333331</v>
          </cell>
          <cell r="AA298"/>
        </row>
        <row r="299">
          <cell r="A299">
            <v>292</v>
          </cell>
          <cell r="B299" t="str">
            <v>DI-n-BUTYL TIN DIACETATE</v>
          </cell>
          <cell r="C299" t="str">
            <v>1067-33-0</v>
          </cell>
          <cell r="D299" t="str">
            <v>Neutral</v>
          </cell>
          <cell r="E299"/>
          <cell r="F299">
            <v>351.03</v>
          </cell>
          <cell r="G299"/>
          <cell r="H299">
            <v>0.40133333323299997</v>
          </cell>
          <cell r="I299">
            <v>6</v>
          </cell>
          <cell r="J299"/>
          <cell r="K299">
            <v>6.4565422903465572</v>
          </cell>
          <cell r="L299"/>
          <cell r="M299"/>
          <cell r="N299"/>
          <cell r="O299"/>
          <cell r="P299"/>
          <cell r="Q299">
            <v>2.1389265E-5</v>
          </cell>
          <cell r="R299">
            <v>5.3483578746909358E-7</v>
          </cell>
          <cell r="S299">
            <v>5.9426198607677063E-8</v>
          </cell>
          <cell r="T299">
            <v>2.6741789373454679E-7</v>
          </cell>
          <cell r="U299"/>
          <cell r="V299"/>
          <cell r="W299">
            <v>30000</v>
          </cell>
          <cell r="X299">
            <v>0.33333333333333331</v>
          </cell>
          <cell r="Y299">
            <v>0.33333333333333331</v>
          </cell>
          <cell r="Z299">
            <v>0.33333333333333331</v>
          </cell>
          <cell r="AA299"/>
        </row>
        <row r="300">
          <cell r="A300">
            <v>293</v>
          </cell>
          <cell r="B300" t="str">
            <v>Ethylene glycol, monobutyl ether</v>
          </cell>
          <cell r="C300" t="str">
            <v>111-76-2</v>
          </cell>
          <cell r="D300" t="str">
            <v>Neutral</v>
          </cell>
          <cell r="E300"/>
          <cell r="F300">
            <v>118.18</v>
          </cell>
          <cell r="G300"/>
          <cell r="H300">
            <v>117.33333330399999</v>
          </cell>
          <cell r="I300">
            <v>1000000</v>
          </cell>
          <cell r="J300"/>
          <cell r="K300">
            <v>6.7608297539198183</v>
          </cell>
          <cell r="L300"/>
          <cell r="M300"/>
          <cell r="N300"/>
          <cell r="O300"/>
          <cell r="P300"/>
          <cell r="Q300">
            <v>1.3949999999999999E-5</v>
          </cell>
          <cell r="R300">
            <v>9.2532143160742838E-7</v>
          </cell>
          <cell r="S300">
            <v>1.0281349240082538E-7</v>
          </cell>
          <cell r="T300">
            <v>4.6266071580371419E-7</v>
          </cell>
          <cell r="U300"/>
          <cell r="V300"/>
          <cell r="W300">
            <v>30000</v>
          </cell>
          <cell r="X300">
            <v>0.33333333333333331</v>
          </cell>
          <cell r="Y300">
            <v>0.33333333333333331</v>
          </cell>
          <cell r="Z300">
            <v>0.33333333333333331</v>
          </cell>
          <cell r="AA300"/>
        </row>
        <row r="301">
          <cell r="A301">
            <v>294</v>
          </cell>
          <cell r="B301" t="str">
            <v>METHYL PROPIONATE</v>
          </cell>
          <cell r="C301" t="str">
            <v>554-12-1</v>
          </cell>
          <cell r="D301" t="str">
            <v>Neutral</v>
          </cell>
          <cell r="E301"/>
          <cell r="F301">
            <v>88.11</v>
          </cell>
          <cell r="G301"/>
          <cell r="H301">
            <v>11199.999997199999</v>
          </cell>
          <cell r="I301">
            <v>62400</v>
          </cell>
          <cell r="J301"/>
          <cell r="K301">
            <v>6.9183097091893666</v>
          </cell>
          <cell r="L301"/>
          <cell r="M301"/>
          <cell r="N301"/>
          <cell r="O301"/>
          <cell r="P301"/>
          <cell r="Q301">
            <v>7.5000000000000002E-7</v>
          </cell>
          <cell r="R301">
            <v>5.3483578746909358E-7</v>
          </cell>
          <cell r="S301">
            <v>5.9426198607677063E-8</v>
          </cell>
          <cell r="T301">
            <v>2.6741789373454679E-7</v>
          </cell>
          <cell r="U301"/>
          <cell r="V301"/>
          <cell r="W301">
            <v>30000</v>
          </cell>
          <cell r="X301">
            <v>0.33333333333333331</v>
          </cell>
          <cell r="Y301">
            <v>0.33333333333333331</v>
          </cell>
          <cell r="Z301">
            <v>0.33333333333333331</v>
          </cell>
          <cell r="AA301"/>
        </row>
        <row r="302">
          <cell r="A302">
            <v>295</v>
          </cell>
          <cell r="B302" t="str">
            <v>AMOXICILLIN</v>
          </cell>
          <cell r="C302" t="str">
            <v>26787-78-0</v>
          </cell>
          <cell r="D302" t="str">
            <v>Neutral</v>
          </cell>
          <cell r="E302"/>
          <cell r="F302">
            <v>365.41</v>
          </cell>
          <cell r="G302"/>
          <cell r="H302">
            <v>6.2533333317699999E-15</v>
          </cell>
          <cell r="I302">
            <v>4000</v>
          </cell>
          <cell r="J302"/>
          <cell r="K302">
            <v>7.4131024130091765</v>
          </cell>
          <cell r="L302"/>
          <cell r="M302"/>
          <cell r="N302"/>
          <cell r="O302"/>
          <cell r="P302"/>
          <cell r="Q302">
            <v>1.0420583999999999E-4</v>
          </cell>
          <cell r="R302">
            <v>2.1393431498763744E-7</v>
          </cell>
          <cell r="S302">
            <v>2.3770479443070826E-8</v>
          </cell>
          <cell r="T302">
            <v>3.4880594834940877E-5</v>
          </cell>
          <cell r="U302"/>
          <cell r="V302"/>
          <cell r="W302">
            <v>30000</v>
          </cell>
          <cell r="X302">
            <v>0.33333333333333331</v>
          </cell>
          <cell r="Y302">
            <v>0.33333333333333331</v>
          </cell>
          <cell r="Z302">
            <v>0.33333333333333331</v>
          </cell>
          <cell r="AA302"/>
        </row>
        <row r="303">
          <cell r="A303">
            <v>296</v>
          </cell>
          <cell r="B303" t="str">
            <v>BENZO(B)THIOPHENE S,S-DIOXIDE</v>
          </cell>
          <cell r="C303" t="str">
            <v>825-44-5</v>
          </cell>
          <cell r="D303" t="str">
            <v>Neutral</v>
          </cell>
          <cell r="E303"/>
          <cell r="F303">
            <v>166.2</v>
          </cell>
          <cell r="G303"/>
          <cell r="H303">
            <v>0.13733333329899999</v>
          </cell>
          <cell r="I303">
            <v>11360</v>
          </cell>
          <cell r="J303"/>
          <cell r="K303">
            <v>7.5857757502918375</v>
          </cell>
          <cell r="L303"/>
          <cell r="M303"/>
          <cell r="N303"/>
          <cell r="O303"/>
          <cell r="P303"/>
          <cell r="Q303">
            <v>4.2593940000000002E-5</v>
          </cell>
          <cell r="R303">
            <v>5.3483578746909358E-7</v>
          </cell>
          <cell r="S303">
            <v>5.9426198607677063E-8</v>
          </cell>
          <cell r="T303">
            <v>2.6741789373454679E-7</v>
          </cell>
          <cell r="U303"/>
          <cell r="V303"/>
          <cell r="W303">
            <v>30000</v>
          </cell>
          <cell r="X303">
            <v>0.33333333333333331</v>
          </cell>
          <cell r="Y303">
            <v>0.33333333333333331</v>
          </cell>
          <cell r="Z303">
            <v>0.33333333333333331</v>
          </cell>
          <cell r="AA303"/>
        </row>
        <row r="304">
          <cell r="A304">
            <v>297</v>
          </cell>
          <cell r="B304" t="str">
            <v>Methyl t-butyl ether</v>
          </cell>
          <cell r="C304" t="str">
            <v>1634-04-4</v>
          </cell>
          <cell r="D304" t="str">
            <v>Neutral</v>
          </cell>
          <cell r="E304"/>
          <cell r="F304">
            <v>88.15</v>
          </cell>
          <cell r="G304"/>
          <cell r="H304">
            <v>33333.333325</v>
          </cell>
          <cell r="I304">
            <v>51000</v>
          </cell>
          <cell r="J304"/>
          <cell r="K304">
            <v>8.709635899560805</v>
          </cell>
          <cell r="L304"/>
          <cell r="M304"/>
          <cell r="N304"/>
          <cell r="O304"/>
          <cell r="P304"/>
          <cell r="Q304">
            <v>2.2050000000000001E-6</v>
          </cell>
          <cell r="R304">
            <v>5.3483578746909358E-7</v>
          </cell>
          <cell r="S304">
            <v>5.9426198607677063E-8</v>
          </cell>
          <cell r="T304">
            <v>2.6741789373454679E-7</v>
          </cell>
          <cell r="U304"/>
          <cell r="V304"/>
          <cell r="W304">
            <v>30000</v>
          </cell>
          <cell r="X304">
            <v>0.33333333333333331</v>
          </cell>
          <cell r="Y304">
            <v>0.33333333333333331</v>
          </cell>
          <cell r="Z304">
            <v>0.33333333333333331</v>
          </cell>
          <cell r="AA304"/>
        </row>
        <row r="305">
          <cell r="A305">
            <v>298</v>
          </cell>
          <cell r="B305" t="str">
            <v>DEMETON-S-METHYL</v>
          </cell>
          <cell r="C305" t="str">
            <v>919-86-8</v>
          </cell>
          <cell r="D305" t="str">
            <v>Neutral</v>
          </cell>
          <cell r="E305"/>
          <cell r="F305">
            <v>230.28</v>
          </cell>
          <cell r="G305"/>
          <cell r="H305">
            <v>3.9999999989999993E-2</v>
          </cell>
          <cell r="I305">
            <v>3300</v>
          </cell>
          <cell r="J305"/>
          <cell r="K305">
            <v>10.471285480509</v>
          </cell>
          <cell r="L305"/>
          <cell r="M305"/>
          <cell r="N305"/>
          <cell r="O305"/>
          <cell r="P305"/>
          <cell r="Q305">
            <v>3.5430067499999999E-5</v>
          </cell>
          <cell r="R305">
            <v>5.3483578746909358E-7</v>
          </cell>
          <cell r="S305">
            <v>5.9426198607677063E-8</v>
          </cell>
          <cell r="T305">
            <v>2.9713099303838525E-6</v>
          </cell>
          <cell r="U305"/>
          <cell r="V305"/>
          <cell r="W305">
            <v>30000</v>
          </cell>
          <cell r="X305">
            <v>0.33333333333333331</v>
          </cell>
          <cell r="Y305">
            <v>0.33333333333333331</v>
          </cell>
          <cell r="Z305">
            <v>0.33333333333333331</v>
          </cell>
          <cell r="AA305"/>
        </row>
        <row r="306">
          <cell r="A306">
            <v>299</v>
          </cell>
          <cell r="B306" t="str">
            <v>PHOSPHONIC ACID, METHYL-, DIISOPROPYL ESTER</v>
          </cell>
          <cell r="C306" t="str">
            <v>1445-75-6</v>
          </cell>
          <cell r="D306" t="str">
            <v>Neutral</v>
          </cell>
          <cell r="E306"/>
          <cell r="F306">
            <v>180.19</v>
          </cell>
          <cell r="G306"/>
          <cell r="H306">
            <v>36.933333324099998</v>
          </cell>
          <cell r="I306">
            <v>1500</v>
          </cell>
          <cell r="J306"/>
          <cell r="K306">
            <v>10.715193052376069</v>
          </cell>
          <cell r="L306"/>
          <cell r="M306"/>
          <cell r="N306"/>
          <cell r="O306"/>
          <cell r="P306"/>
          <cell r="Q306">
            <v>6.0258840000000003E-5</v>
          </cell>
          <cell r="R306">
            <v>5.3483578746909358E-7</v>
          </cell>
          <cell r="S306">
            <v>5.9426198607677063E-8</v>
          </cell>
          <cell r="T306">
            <v>2.6741789373454679E-7</v>
          </cell>
          <cell r="U306"/>
          <cell r="V306"/>
          <cell r="W306">
            <v>30000</v>
          </cell>
          <cell r="X306">
            <v>0.33333333333333331</v>
          </cell>
          <cell r="Y306">
            <v>0.33333333333333331</v>
          </cell>
          <cell r="Z306">
            <v>0.33333333333333331</v>
          </cell>
          <cell r="AA306"/>
        </row>
        <row r="307">
          <cell r="A307">
            <v>300</v>
          </cell>
          <cell r="B307" t="str">
            <v>ETHYL VINYL ETHER</v>
          </cell>
          <cell r="C307" t="str">
            <v>109-92-2</v>
          </cell>
          <cell r="D307" t="str">
            <v>Neutral</v>
          </cell>
          <cell r="E307"/>
          <cell r="F307">
            <v>72.11</v>
          </cell>
          <cell r="G307"/>
          <cell r="H307">
            <v>68133.333316299992</v>
          </cell>
          <cell r="I307">
            <v>10000</v>
          </cell>
          <cell r="J307"/>
          <cell r="K307">
            <v>10.964781961431854</v>
          </cell>
          <cell r="L307"/>
          <cell r="M307"/>
          <cell r="N307"/>
          <cell r="O307"/>
          <cell r="P307"/>
          <cell r="Q307">
            <v>3.0272550000000002E-5</v>
          </cell>
          <cell r="R307">
            <v>5.3483578746909358E-7</v>
          </cell>
          <cell r="S307">
            <v>5.9426198607677063E-8</v>
          </cell>
          <cell r="T307">
            <v>2.6741789373454679E-7</v>
          </cell>
          <cell r="U307"/>
          <cell r="V307"/>
          <cell r="W307">
            <v>30000</v>
          </cell>
          <cell r="X307">
            <v>0.33333333333333331</v>
          </cell>
          <cell r="Y307">
            <v>0.33333333333333331</v>
          </cell>
          <cell r="Z307">
            <v>0.33333333333333331</v>
          </cell>
          <cell r="AA307"/>
        </row>
        <row r="308">
          <cell r="A308">
            <v>301</v>
          </cell>
          <cell r="B308" t="str">
            <v>1,3-PROPANEDIOL, 2,2-BIS(BRME)-</v>
          </cell>
          <cell r="C308" t="str">
            <v>3296-90-0</v>
          </cell>
          <cell r="D308" t="str">
            <v>Neutral</v>
          </cell>
          <cell r="E308"/>
          <cell r="F308">
            <v>261.94</v>
          </cell>
          <cell r="G308"/>
          <cell r="H308">
            <v>8.5599999978599995E-4</v>
          </cell>
          <cell r="I308">
            <v>38000</v>
          </cell>
          <cell r="J308"/>
          <cell r="K308">
            <v>11.481536214968834</v>
          </cell>
          <cell r="L308"/>
          <cell r="M308"/>
          <cell r="N308"/>
          <cell r="O308"/>
          <cell r="P308"/>
          <cell r="Q308">
            <v>6.7238099999999997E-6</v>
          </cell>
          <cell r="R308">
            <v>5.3483578746909358E-7</v>
          </cell>
          <cell r="S308">
            <v>5.9426198607677063E-8</v>
          </cell>
          <cell r="T308">
            <v>2.6741789373454679E-7</v>
          </cell>
          <cell r="U308"/>
          <cell r="V308"/>
          <cell r="W308">
            <v>30000</v>
          </cell>
          <cell r="X308">
            <v>0.33333333333333331</v>
          </cell>
          <cell r="Y308">
            <v>0.33333333333333331</v>
          </cell>
          <cell r="Z308">
            <v>0.33333333333333331</v>
          </cell>
          <cell r="AA308"/>
        </row>
        <row r="309">
          <cell r="A309">
            <v>302</v>
          </cell>
          <cell r="B309" t="str">
            <v>Propanedioic acid, chloro-, diethyl ester</v>
          </cell>
          <cell r="C309" t="str">
            <v>14064-10-9</v>
          </cell>
          <cell r="D309" t="str">
            <v>Neutral</v>
          </cell>
          <cell r="E309"/>
          <cell r="F309">
            <v>194.62</v>
          </cell>
          <cell r="G309"/>
          <cell r="H309">
            <v>15.733333329399999</v>
          </cell>
          <cell r="I309">
            <v>5612</v>
          </cell>
          <cell r="J309"/>
          <cell r="K309">
            <v>12.022644346174133</v>
          </cell>
          <cell r="L309"/>
          <cell r="M309"/>
          <cell r="N309"/>
          <cell r="O309"/>
          <cell r="P309"/>
          <cell r="Q309">
            <v>1.7050500000000001E-6</v>
          </cell>
          <cell r="R309">
            <v>5.3483578746909358E-7</v>
          </cell>
          <cell r="S309">
            <v>5.9426198607677063E-8</v>
          </cell>
          <cell r="T309">
            <v>2.6741789373454679E-7</v>
          </cell>
          <cell r="U309"/>
          <cell r="V309"/>
          <cell r="W309">
            <v>30000</v>
          </cell>
          <cell r="X309">
            <v>0.33333333333333331</v>
          </cell>
          <cell r="Y309">
            <v>0.33333333333333331</v>
          </cell>
          <cell r="Z309">
            <v>0.33333333333333331</v>
          </cell>
          <cell r="AA309"/>
        </row>
        <row r="310">
          <cell r="A310">
            <v>303</v>
          </cell>
          <cell r="B310" t="str">
            <v>FENTIN ACETATE</v>
          </cell>
          <cell r="C310" t="str">
            <v>900-95-8</v>
          </cell>
          <cell r="D310" t="str">
            <v>Neutral</v>
          </cell>
          <cell r="E310"/>
          <cell r="F310">
            <v>409.07</v>
          </cell>
          <cell r="G310"/>
          <cell r="H310">
            <v>8.3199999979199991E-5</v>
          </cell>
          <cell r="I310">
            <v>9</v>
          </cell>
          <cell r="J310"/>
          <cell r="K310">
            <v>13.182567385564075</v>
          </cell>
          <cell r="L310"/>
          <cell r="M310"/>
          <cell r="N310"/>
          <cell r="O310"/>
          <cell r="P310"/>
          <cell r="Q310">
            <v>4.4187675000000002E-6</v>
          </cell>
          <cell r="R310">
            <v>2.1393431498763744E-7</v>
          </cell>
          <cell r="S310">
            <v>2.3770479443070826E-8</v>
          </cell>
          <cell r="T310">
            <v>5.73038343716886E-8</v>
          </cell>
          <cell r="U310"/>
          <cell r="V310"/>
          <cell r="W310">
            <v>30000</v>
          </cell>
          <cell r="X310">
            <v>0.33333333333333331</v>
          </cell>
          <cell r="Y310">
            <v>0.33333333333333331</v>
          </cell>
          <cell r="Z310">
            <v>0.33333333333333331</v>
          </cell>
          <cell r="AA310"/>
        </row>
        <row r="311">
          <cell r="A311">
            <v>304</v>
          </cell>
          <cell r="B311" t="str">
            <v>1-Chloro-2-nitro-propane</v>
          </cell>
          <cell r="C311" t="str">
            <v>2425-66-3</v>
          </cell>
          <cell r="D311" t="str">
            <v>Neutral</v>
          </cell>
          <cell r="E311"/>
          <cell r="F311">
            <v>123.54</v>
          </cell>
          <cell r="G311"/>
          <cell r="H311">
            <v>185.33333328699999</v>
          </cell>
          <cell r="I311">
            <v>8000</v>
          </cell>
          <cell r="J311"/>
          <cell r="K311">
            <v>13.489628825916535</v>
          </cell>
          <cell r="L311"/>
          <cell r="M311"/>
          <cell r="N311"/>
          <cell r="O311"/>
          <cell r="P311"/>
          <cell r="Q311">
            <v>1.4904750000000001E-7</v>
          </cell>
          <cell r="R311">
            <v>5.3483578746909358E-7</v>
          </cell>
          <cell r="S311">
            <v>5.9426198607677063E-8</v>
          </cell>
          <cell r="T311">
            <v>2.6741789373454679E-7</v>
          </cell>
          <cell r="U311"/>
          <cell r="V311"/>
          <cell r="W311">
            <v>30000</v>
          </cell>
          <cell r="X311">
            <v>0.33333333333333331</v>
          </cell>
          <cell r="Y311">
            <v>0.33333333333333331</v>
          </cell>
          <cell r="Z311">
            <v>0.33333333333333331</v>
          </cell>
          <cell r="AA311"/>
        </row>
        <row r="312">
          <cell r="A312">
            <v>305</v>
          </cell>
          <cell r="B312" t="str">
            <v>ISOPENTANOL</v>
          </cell>
          <cell r="C312" t="str">
            <v>123-51-3</v>
          </cell>
          <cell r="D312" t="str">
            <v>Neutral</v>
          </cell>
          <cell r="E312"/>
          <cell r="F312">
            <v>88.15</v>
          </cell>
          <cell r="G312"/>
          <cell r="H312">
            <v>315.99999992099998</v>
          </cell>
          <cell r="I312">
            <v>26700</v>
          </cell>
          <cell r="J312"/>
          <cell r="K312">
            <v>14.454397707459275</v>
          </cell>
          <cell r="L312"/>
          <cell r="M312"/>
          <cell r="N312"/>
          <cell r="O312"/>
          <cell r="P312"/>
          <cell r="Q312">
            <v>9.825E-6</v>
          </cell>
          <cell r="R312">
            <v>5.3483578746909358E-7</v>
          </cell>
          <cell r="S312">
            <v>5.9426198607677063E-8</v>
          </cell>
          <cell r="T312">
            <v>2.6741789373454679E-7</v>
          </cell>
          <cell r="U312"/>
          <cell r="V312"/>
          <cell r="W312">
            <v>30000</v>
          </cell>
          <cell r="X312">
            <v>0.33333333333333331</v>
          </cell>
          <cell r="Y312">
            <v>0.33333333333333331</v>
          </cell>
          <cell r="Z312">
            <v>0.33333333333333331</v>
          </cell>
          <cell r="AA312"/>
        </row>
        <row r="313">
          <cell r="A313">
            <v>306</v>
          </cell>
          <cell r="B313" t="str">
            <v>Iodinated Glycerol</v>
          </cell>
          <cell r="C313" t="str">
            <v>5634-39-9</v>
          </cell>
          <cell r="D313" t="str">
            <v>Neutral</v>
          </cell>
          <cell r="E313"/>
          <cell r="F313">
            <v>258.06</v>
          </cell>
          <cell r="G313"/>
          <cell r="H313">
            <v>2.7333333326499999E-2</v>
          </cell>
          <cell r="I313">
            <v>7018</v>
          </cell>
          <cell r="J313"/>
          <cell r="K313">
            <v>14.454397707459275</v>
          </cell>
          <cell r="L313"/>
          <cell r="M313"/>
          <cell r="N313"/>
          <cell r="O313"/>
          <cell r="P313"/>
          <cell r="Q313">
            <v>2.0123227499999999E-5</v>
          </cell>
          <cell r="R313">
            <v>5.3483578746909358E-7</v>
          </cell>
          <cell r="S313">
            <v>5.9426198607677063E-8</v>
          </cell>
          <cell r="T313">
            <v>2.6741789373454679E-7</v>
          </cell>
          <cell r="U313"/>
          <cell r="V313"/>
          <cell r="W313">
            <v>30000</v>
          </cell>
          <cell r="X313">
            <v>0.33333333333333331</v>
          </cell>
          <cell r="Y313">
            <v>0.33333333333333331</v>
          </cell>
          <cell r="Z313">
            <v>0.33333333333333331</v>
          </cell>
          <cell r="AA313"/>
        </row>
        <row r="314">
          <cell r="A314">
            <v>307</v>
          </cell>
          <cell r="B314" t="str">
            <v>3-CYANO-1-NITROBENZENE</v>
          </cell>
          <cell r="C314" t="str">
            <v>619-24-9</v>
          </cell>
          <cell r="D314" t="str">
            <v>Neutral</v>
          </cell>
          <cell r="E314"/>
          <cell r="F314">
            <v>148.12</v>
          </cell>
          <cell r="G314"/>
          <cell r="H314">
            <v>0.1023999999744</v>
          </cell>
          <cell r="I314">
            <v>1714</v>
          </cell>
          <cell r="J314"/>
          <cell r="K314">
            <v>14.791083881682074</v>
          </cell>
          <cell r="L314"/>
          <cell r="M314"/>
          <cell r="N314"/>
          <cell r="O314"/>
          <cell r="P314"/>
          <cell r="Q314">
            <v>3.22725E-8</v>
          </cell>
          <cell r="R314">
            <v>2.1393431498763744E-7</v>
          </cell>
          <cell r="S314">
            <v>2.3770479443070826E-8</v>
          </cell>
          <cell r="T314">
            <v>1.0696715749381872E-7</v>
          </cell>
          <cell r="U314"/>
          <cell r="V314"/>
          <cell r="W314">
            <v>30000</v>
          </cell>
          <cell r="X314">
            <v>0.33333333333333331</v>
          </cell>
          <cell r="Y314">
            <v>0.33333333333333331</v>
          </cell>
          <cell r="Z314">
            <v>0.33333333333333331</v>
          </cell>
          <cell r="AA314"/>
        </row>
        <row r="315">
          <cell r="A315">
            <v>308</v>
          </cell>
          <cell r="B315" t="str">
            <v>Pentanol</v>
          </cell>
          <cell r="C315" t="str">
            <v>30899-19-5</v>
          </cell>
          <cell r="D315" t="str">
            <v>Neutral</v>
          </cell>
          <cell r="E315"/>
          <cell r="F315">
            <v>88.15</v>
          </cell>
          <cell r="G315"/>
          <cell r="H315">
            <v>814.66666646299996</v>
          </cell>
          <cell r="I315">
            <v>44600</v>
          </cell>
          <cell r="J315"/>
          <cell r="K315">
            <v>15.488166189124817</v>
          </cell>
          <cell r="L315"/>
          <cell r="M315"/>
          <cell r="N315"/>
          <cell r="O315"/>
          <cell r="P315"/>
          <cell r="Q315">
            <v>8.85E-6</v>
          </cell>
          <cell r="R315">
            <v>5.3483578746909358E-7</v>
          </cell>
          <cell r="S315">
            <v>5.9426198607677063E-8</v>
          </cell>
          <cell r="T315">
            <v>2.6741789373454679E-7</v>
          </cell>
          <cell r="U315"/>
          <cell r="V315"/>
          <cell r="W315">
            <v>30000</v>
          </cell>
          <cell r="X315">
            <v>0.33333333333333331</v>
          </cell>
          <cell r="Y315">
            <v>0.33333333333333331</v>
          </cell>
          <cell r="Z315">
            <v>0.33333333333333331</v>
          </cell>
          <cell r="AA315"/>
        </row>
        <row r="316">
          <cell r="A316">
            <v>309</v>
          </cell>
          <cell r="B316" t="str">
            <v>Oxirane, 2,2'- 1,3-phenylenebis(oxymethylene) bi</v>
          </cell>
          <cell r="C316" t="str">
            <v>101-90-6</v>
          </cell>
          <cell r="D316" t="str">
            <v>Neutral</v>
          </cell>
          <cell r="E316"/>
          <cell r="F316">
            <v>222.24</v>
          </cell>
          <cell r="G316"/>
          <cell r="H316">
            <v>0.1042666666406</v>
          </cell>
          <cell r="I316">
            <v>2957</v>
          </cell>
          <cell r="J316"/>
          <cell r="K316">
            <v>16.982436524617448</v>
          </cell>
          <cell r="L316"/>
          <cell r="M316"/>
          <cell r="N316"/>
          <cell r="O316"/>
          <cell r="P316"/>
          <cell r="Q316">
            <v>1.6125903750000001E-4</v>
          </cell>
          <cell r="R316">
            <v>2.1393431498763744E-7</v>
          </cell>
          <cell r="S316">
            <v>2.3770479443070826E-8</v>
          </cell>
          <cell r="T316">
            <v>1.0696715749381872E-7</v>
          </cell>
          <cell r="U316"/>
          <cell r="V316"/>
          <cell r="W316">
            <v>30000</v>
          </cell>
          <cell r="X316">
            <v>0.33333333333333331</v>
          </cell>
          <cell r="Y316">
            <v>0.33333333333333331</v>
          </cell>
          <cell r="Z316">
            <v>0.33333333333333331</v>
          </cell>
          <cell r="AA316"/>
        </row>
        <row r="317">
          <cell r="A317">
            <v>310</v>
          </cell>
          <cell r="B317" t="str">
            <v>METHYLSULFONYL CHLORIDE</v>
          </cell>
          <cell r="C317" t="str">
            <v>124-63-0</v>
          </cell>
          <cell r="D317" t="str">
            <v>Neutral</v>
          </cell>
          <cell r="E317"/>
          <cell r="F317">
            <v>114.55</v>
          </cell>
          <cell r="G317"/>
          <cell r="H317">
            <v>305.33333325699999</v>
          </cell>
          <cell r="I317">
            <v>8591</v>
          </cell>
          <cell r="J317"/>
          <cell r="K317">
            <v>18.62087136662868</v>
          </cell>
          <cell r="L317"/>
          <cell r="M317"/>
          <cell r="N317"/>
          <cell r="O317"/>
          <cell r="P317"/>
          <cell r="Q317">
            <v>7.9560000000000006E-7</v>
          </cell>
          <cell r="R317">
            <v>5.3483578746909358E-7</v>
          </cell>
          <cell r="S317">
            <v>5.9426198607677063E-8</v>
          </cell>
          <cell r="T317">
            <v>2.6741789373454679E-7</v>
          </cell>
          <cell r="U317"/>
          <cell r="V317"/>
          <cell r="W317">
            <v>30000</v>
          </cell>
          <cell r="X317">
            <v>0.33333333333333331</v>
          </cell>
          <cell r="Y317">
            <v>0.33333333333333331</v>
          </cell>
          <cell r="Z317">
            <v>0.33333333333333331</v>
          </cell>
          <cell r="AA317"/>
        </row>
        <row r="318">
          <cell r="A318">
            <v>311</v>
          </cell>
          <cell r="B318" t="str">
            <v>NALED</v>
          </cell>
          <cell r="C318" t="str">
            <v>300-76-5</v>
          </cell>
          <cell r="D318" t="str">
            <v>Neutral</v>
          </cell>
          <cell r="E318"/>
          <cell r="F318">
            <v>380.79</v>
          </cell>
          <cell r="G318"/>
          <cell r="H318">
            <v>2.6666666660000001E-2</v>
          </cell>
          <cell r="I318">
            <v>1.5</v>
          </cell>
          <cell r="J318"/>
          <cell r="K318">
            <v>23.988329190194907</v>
          </cell>
          <cell r="L318"/>
          <cell r="M318"/>
          <cell r="N318"/>
          <cell r="O318"/>
          <cell r="P318"/>
          <cell r="Q318">
            <v>4.7582700000000003E-6</v>
          </cell>
          <cell r="R318">
            <v>1.3370894686727339E-7</v>
          </cell>
          <cell r="S318">
            <v>1.4856549651919266E-8</v>
          </cell>
          <cell r="T318">
            <v>8.0225368120364038E-6</v>
          </cell>
          <cell r="U318"/>
          <cell r="V318"/>
          <cell r="W318">
            <v>30000</v>
          </cell>
          <cell r="X318">
            <v>0.33333333333333331</v>
          </cell>
          <cell r="Y318">
            <v>0.33333333333333331</v>
          </cell>
          <cell r="Z318">
            <v>0.33333333333333331</v>
          </cell>
          <cell r="AA318"/>
        </row>
        <row r="319">
          <cell r="A319">
            <v>312</v>
          </cell>
          <cell r="B319" t="str">
            <v>OHRIC</v>
          </cell>
          <cell r="C319" t="str">
            <v>24096-53-5</v>
          </cell>
          <cell r="D319" t="str">
            <v>Neutral</v>
          </cell>
          <cell r="E319"/>
          <cell r="F319">
            <v>244.08</v>
          </cell>
          <cell r="G319"/>
          <cell r="H319">
            <v>8.1199999979699993E-6</v>
          </cell>
          <cell r="I319">
            <v>1626</v>
          </cell>
          <cell r="J319"/>
          <cell r="K319">
            <v>25.118864315095799</v>
          </cell>
          <cell r="L319"/>
          <cell r="M319"/>
          <cell r="N319"/>
          <cell r="O319"/>
          <cell r="P319"/>
          <cell r="Q319">
            <v>7.2309749999999998E-6</v>
          </cell>
          <cell r="R319">
            <v>1.3370894686727339E-7</v>
          </cell>
          <cell r="S319">
            <v>1.4856549651919266E-8</v>
          </cell>
          <cell r="T319">
            <v>6.6854473433636697E-8</v>
          </cell>
          <cell r="U319"/>
          <cell r="V319"/>
          <cell r="W319">
            <v>30000</v>
          </cell>
          <cell r="X319">
            <v>0.33333333333333331</v>
          </cell>
          <cell r="Y319">
            <v>0.33333333333333331</v>
          </cell>
          <cell r="Z319">
            <v>0.33333333333333331</v>
          </cell>
          <cell r="AA319"/>
        </row>
        <row r="320">
          <cell r="A320">
            <v>313</v>
          </cell>
          <cell r="B320" t="str">
            <v>P-DINITROBENZENE</v>
          </cell>
          <cell r="C320" t="str">
            <v>100-25-4</v>
          </cell>
          <cell r="D320" t="str">
            <v>Neutral</v>
          </cell>
          <cell r="E320"/>
          <cell r="F320">
            <v>168.11</v>
          </cell>
          <cell r="G320"/>
          <cell r="H320">
            <v>8.7199999978199993E-3</v>
          </cell>
          <cell r="I320">
            <v>69</v>
          </cell>
          <cell r="J320"/>
          <cell r="K320">
            <v>28.840315031266066</v>
          </cell>
          <cell r="L320"/>
          <cell r="M320"/>
          <cell r="N320"/>
          <cell r="O320"/>
          <cell r="P320"/>
          <cell r="Q320">
            <v>1.5967500000000001E-8</v>
          </cell>
          <cell r="R320">
            <v>2.1393431498763744E-7</v>
          </cell>
          <cell r="S320">
            <v>2.3770479443070826E-8</v>
          </cell>
          <cell r="T320">
            <v>1.0696715749381872E-7</v>
          </cell>
          <cell r="U320"/>
          <cell r="V320"/>
          <cell r="W320">
            <v>30000</v>
          </cell>
          <cell r="X320">
            <v>0.33333333333333331</v>
          </cell>
          <cell r="Y320">
            <v>0.33333333333333331</v>
          </cell>
          <cell r="Z320">
            <v>0.33333333333333331</v>
          </cell>
          <cell r="AA320"/>
        </row>
        <row r="321">
          <cell r="A321">
            <v>314</v>
          </cell>
          <cell r="B321" t="str">
            <v>1-NITROBUTANE</v>
          </cell>
          <cell r="C321" t="str">
            <v>627-05-4</v>
          </cell>
          <cell r="D321" t="str">
            <v>Neutral</v>
          </cell>
          <cell r="E321"/>
          <cell r="F321">
            <v>103.12</v>
          </cell>
          <cell r="G321"/>
          <cell r="H321">
            <v>505.33333320699995</v>
          </cell>
          <cell r="I321">
            <v>4600</v>
          </cell>
          <cell r="J321"/>
          <cell r="K321">
            <v>29.512092266663863</v>
          </cell>
          <cell r="L321"/>
          <cell r="M321"/>
          <cell r="N321"/>
          <cell r="O321"/>
          <cell r="P321"/>
          <cell r="Q321">
            <v>1.125E-6</v>
          </cell>
          <cell r="R321">
            <v>9.2532143160742838E-7</v>
          </cell>
          <cell r="S321">
            <v>1.0281349240082538E-7</v>
          </cell>
          <cell r="T321">
            <v>4.6266071580371419E-7</v>
          </cell>
          <cell r="U321"/>
          <cell r="V321"/>
          <cell r="W321">
            <v>30000</v>
          </cell>
          <cell r="X321">
            <v>0.33333333333333331</v>
          </cell>
          <cell r="Y321">
            <v>0.33333333333333331</v>
          </cell>
          <cell r="Z321">
            <v>0.33333333333333331</v>
          </cell>
          <cell r="AA321"/>
        </row>
        <row r="322">
          <cell r="A322">
            <v>315</v>
          </cell>
          <cell r="B322" t="str">
            <v>1,5-HEXADIEN-3-OL</v>
          </cell>
          <cell r="C322" t="str">
            <v>924-41-4</v>
          </cell>
          <cell r="D322" t="str">
            <v>Neutral</v>
          </cell>
          <cell r="E322"/>
          <cell r="F322">
            <v>98.15</v>
          </cell>
          <cell r="G322"/>
          <cell r="H322">
            <v>449.33333322099998</v>
          </cell>
          <cell r="I322">
            <v>20990</v>
          </cell>
          <cell r="J322"/>
          <cell r="K322">
            <v>30.199517204020164</v>
          </cell>
          <cell r="L322"/>
          <cell r="M322"/>
          <cell r="N322"/>
          <cell r="O322"/>
          <cell r="P322"/>
          <cell r="Q322">
            <v>4.668039E-5</v>
          </cell>
          <cell r="R322">
            <v>5.3483578746909358E-7</v>
          </cell>
          <cell r="S322">
            <v>5.9426198607677063E-8</v>
          </cell>
          <cell r="T322">
            <v>2.6741789373454679E-7</v>
          </cell>
          <cell r="U322"/>
          <cell r="V322"/>
          <cell r="W322">
            <v>30000</v>
          </cell>
          <cell r="X322">
            <v>0.33333333333333331</v>
          </cell>
          <cell r="Y322">
            <v>0.33333333333333331</v>
          </cell>
          <cell r="Z322">
            <v>0.33333333333333331</v>
          </cell>
          <cell r="AA322"/>
        </row>
        <row r="323">
          <cell r="A323">
            <v>316</v>
          </cell>
          <cell r="B323" t="str">
            <v>2,4,5-T triethylammonium salt</v>
          </cell>
          <cell r="C323" t="str">
            <v>57213-69-1</v>
          </cell>
          <cell r="D323" t="str">
            <v>Neutral</v>
          </cell>
          <cell r="E323"/>
          <cell r="F323">
            <v>355.67</v>
          </cell>
          <cell r="G323"/>
          <cell r="H323">
            <v>3.1733333325399999E-9</v>
          </cell>
          <cell r="I323">
            <v>299.10000000000002</v>
          </cell>
          <cell r="J323"/>
          <cell r="K323">
            <v>31.622776601683803</v>
          </cell>
          <cell r="L323"/>
          <cell r="M323"/>
          <cell r="N323"/>
          <cell r="O323"/>
          <cell r="P323"/>
          <cell r="Q323">
            <v>2.22121425E-5</v>
          </cell>
          <cell r="R323">
            <v>4.45696489557578E-8</v>
          </cell>
          <cell r="S323">
            <v>4.9521832173064224E-9</v>
          </cell>
          <cell r="T323">
            <v>2.22848244778789E-8</v>
          </cell>
          <cell r="U323"/>
          <cell r="V323"/>
          <cell r="W323">
            <v>30000</v>
          </cell>
          <cell r="X323">
            <v>0.33333333333333331</v>
          </cell>
          <cell r="Y323">
            <v>0.33333333333333331</v>
          </cell>
          <cell r="Z323">
            <v>0.33333333333333331</v>
          </cell>
          <cell r="AA323"/>
        </row>
        <row r="324">
          <cell r="A324">
            <v>317</v>
          </cell>
          <cell r="B324" t="str">
            <v>CHLOROMERCURIPHENOL</v>
          </cell>
          <cell r="C324" t="str">
            <v>90-03-9</v>
          </cell>
          <cell r="D324" t="str">
            <v>Neutral</v>
          </cell>
          <cell r="E324"/>
          <cell r="F324">
            <v>329.15</v>
          </cell>
          <cell r="G324"/>
          <cell r="H324">
            <v>6.2399999984399995E-3</v>
          </cell>
          <cell r="I324">
            <v>1613</v>
          </cell>
          <cell r="J324"/>
          <cell r="K324">
            <v>32.359365692962832</v>
          </cell>
          <cell r="L324"/>
          <cell r="M324"/>
          <cell r="N324"/>
          <cell r="O324"/>
          <cell r="P324"/>
          <cell r="Q324">
            <v>2.5100467500000002E-5</v>
          </cell>
          <cell r="R324">
            <v>2.1393431498763744E-7</v>
          </cell>
          <cell r="S324">
            <v>2.3770479443070826E-8</v>
          </cell>
          <cell r="T324">
            <v>1.0696715749381872E-7</v>
          </cell>
          <cell r="U324"/>
          <cell r="V324"/>
          <cell r="W324">
            <v>30000</v>
          </cell>
          <cell r="X324">
            <v>0.33333333333333331</v>
          </cell>
          <cell r="Y324">
            <v>0.33333333333333331</v>
          </cell>
          <cell r="Z324">
            <v>0.33333333333333331</v>
          </cell>
          <cell r="AA324"/>
        </row>
        <row r="325">
          <cell r="A325">
            <v>318</v>
          </cell>
          <cell r="B325" t="str">
            <v>1-pentanol</v>
          </cell>
          <cell r="C325" t="str">
            <v>71-41-0</v>
          </cell>
          <cell r="D325" t="str">
            <v>Neutral</v>
          </cell>
          <cell r="E325"/>
          <cell r="F325">
            <v>88.15</v>
          </cell>
          <cell r="G325"/>
          <cell r="H325">
            <v>293.33333326000002</v>
          </cell>
          <cell r="I325">
            <v>22000</v>
          </cell>
          <cell r="J325"/>
          <cell r="K325">
            <v>32.359365692962832</v>
          </cell>
          <cell r="L325"/>
          <cell r="M325"/>
          <cell r="N325"/>
          <cell r="O325"/>
          <cell r="P325"/>
          <cell r="Q325">
            <v>8.3250000000000008E-6</v>
          </cell>
          <cell r="R325">
            <v>9.2532143160742838E-7</v>
          </cell>
          <cell r="S325">
            <v>1.0281349240082538E-7</v>
          </cell>
          <cell r="T325">
            <v>4.6266071580371419E-7</v>
          </cell>
          <cell r="U325"/>
          <cell r="V325"/>
          <cell r="W325">
            <v>30000</v>
          </cell>
          <cell r="X325">
            <v>0.33333333333333331</v>
          </cell>
          <cell r="Y325">
            <v>0.33333333333333331</v>
          </cell>
          <cell r="Z325">
            <v>0.33333333333333331</v>
          </cell>
          <cell r="AA325"/>
        </row>
        <row r="326">
          <cell r="A326">
            <v>319</v>
          </cell>
          <cell r="B326" t="str">
            <v>Bromoethylene</v>
          </cell>
          <cell r="C326" t="str">
            <v>593-60-2</v>
          </cell>
          <cell r="D326" t="str">
            <v>Neutral</v>
          </cell>
          <cell r="E326"/>
          <cell r="F326">
            <v>106.95</v>
          </cell>
          <cell r="G326"/>
          <cell r="H326">
            <v>137333.33329899999</v>
          </cell>
          <cell r="I326">
            <v>5079</v>
          </cell>
          <cell r="J326"/>
          <cell r="K326">
            <v>37.153522909717275</v>
          </cell>
          <cell r="L326"/>
          <cell r="M326"/>
          <cell r="N326"/>
          <cell r="O326"/>
          <cell r="P326"/>
          <cell r="Q326">
            <v>5.1074999999999998E-6</v>
          </cell>
          <cell r="R326">
            <v>5.3483578746909358E-7</v>
          </cell>
          <cell r="S326">
            <v>5.9426198607677063E-8</v>
          </cell>
          <cell r="T326">
            <v>2.6741789373454679E-7</v>
          </cell>
          <cell r="U326"/>
          <cell r="V326"/>
          <cell r="W326">
            <v>30000</v>
          </cell>
          <cell r="X326">
            <v>0.33333333333333331</v>
          </cell>
          <cell r="Y326">
            <v>0.33333333333333331</v>
          </cell>
          <cell r="Z326">
            <v>0.33333333333333331</v>
          </cell>
          <cell r="AA326"/>
        </row>
        <row r="327">
          <cell r="A327">
            <v>320</v>
          </cell>
          <cell r="B327" t="str">
            <v>BENZALDEHYDE, 3-ETHOXY-4-HYDROXY-</v>
          </cell>
          <cell r="C327" t="str">
            <v>121-32-4</v>
          </cell>
          <cell r="D327" t="str">
            <v>Neutral</v>
          </cell>
          <cell r="E327"/>
          <cell r="F327">
            <v>166.18</v>
          </cell>
          <cell r="G327"/>
          <cell r="H327">
            <v>1.38666666632E-3</v>
          </cell>
          <cell r="I327">
            <v>2820</v>
          </cell>
          <cell r="J327"/>
          <cell r="K327">
            <v>38.018939632056139</v>
          </cell>
          <cell r="L327"/>
          <cell r="M327"/>
          <cell r="N327"/>
          <cell r="O327"/>
          <cell r="P327"/>
          <cell r="Q327">
            <v>2.451357E-5</v>
          </cell>
          <cell r="R327">
            <v>5.3483578746909358E-7</v>
          </cell>
          <cell r="S327">
            <v>5.9426198607677063E-8</v>
          </cell>
          <cell r="T327">
            <v>2.6741789373454679E-7</v>
          </cell>
          <cell r="U327"/>
          <cell r="V327"/>
          <cell r="W327">
            <v>30000</v>
          </cell>
          <cell r="X327">
            <v>0.33333333333333331</v>
          </cell>
          <cell r="Y327">
            <v>0.33333333333333331</v>
          </cell>
          <cell r="Z327">
            <v>0.33333333333333331</v>
          </cell>
          <cell r="AA327"/>
        </row>
        <row r="328">
          <cell r="A328">
            <v>321</v>
          </cell>
          <cell r="B328" t="str">
            <v>2-ETHYL-1,3-HEXANDIOL</v>
          </cell>
          <cell r="C328" t="str">
            <v>94-96-2</v>
          </cell>
          <cell r="D328" t="str">
            <v>Neutral</v>
          </cell>
          <cell r="E328"/>
          <cell r="F328">
            <v>146.22999999999999</v>
          </cell>
          <cell r="G328"/>
          <cell r="H328">
            <v>0.39999999989999996</v>
          </cell>
          <cell r="I328">
            <v>42000</v>
          </cell>
          <cell r="J328"/>
          <cell r="K328">
            <v>39.810717055349755</v>
          </cell>
          <cell r="L328"/>
          <cell r="M328"/>
          <cell r="N328"/>
          <cell r="O328"/>
          <cell r="P328"/>
          <cell r="Q328">
            <v>1.6671592500000001E-5</v>
          </cell>
          <cell r="R328">
            <v>5.3483578746909358E-7</v>
          </cell>
          <cell r="S328">
            <v>5.9426198607677063E-8</v>
          </cell>
          <cell r="T328">
            <v>2.6741789373454679E-7</v>
          </cell>
          <cell r="U328"/>
          <cell r="V328"/>
          <cell r="W328">
            <v>30000</v>
          </cell>
          <cell r="X328">
            <v>0.33333333333333331</v>
          </cell>
          <cell r="Y328">
            <v>0.33333333333333331</v>
          </cell>
          <cell r="Z328">
            <v>0.33333333333333331</v>
          </cell>
          <cell r="AA328"/>
        </row>
        <row r="329">
          <cell r="A329">
            <v>322</v>
          </cell>
          <cell r="B329" t="str">
            <v>1-HEXEN-3-OL</v>
          </cell>
          <cell r="C329" t="str">
            <v>4798-44-1</v>
          </cell>
          <cell r="D329" t="str">
            <v>Neutral</v>
          </cell>
          <cell r="E329"/>
          <cell r="F329">
            <v>100.16</v>
          </cell>
          <cell r="G329"/>
          <cell r="H329">
            <v>437.33333322399994</v>
          </cell>
          <cell r="I329">
            <v>25200</v>
          </cell>
          <cell r="J329"/>
          <cell r="K329">
            <v>40.738027780411301</v>
          </cell>
          <cell r="L329"/>
          <cell r="M329"/>
          <cell r="N329"/>
          <cell r="O329"/>
          <cell r="P329"/>
          <cell r="Q329">
            <v>2.8140637500000002E-5</v>
          </cell>
          <cell r="R329">
            <v>5.3483578746909358E-7</v>
          </cell>
          <cell r="S329">
            <v>5.9426198607677063E-8</v>
          </cell>
          <cell r="T329">
            <v>2.6741789373454679E-7</v>
          </cell>
          <cell r="U329"/>
          <cell r="V329"/>
          <cell r="W329">
            <v>30000</v>
          </cell>
          <cell r="X329">
            <v>0.33333333333333331</v>
          </cell>
          <cell r="Y329">
            <v>0.33333333333333331</v>
          </cell>
          <cell r="Z329">
            <v>0.33333333333333331</v>
          </cell>
          <cell r="AA329"/>
        </row>
        <row r="330">
          <cell r="A330">
            <v>323</v>
          </cell>
          <cell r="B330" t="str">
            <v>Styrene oxide</v>
          </cell>
          <cell r="C330" t="str">
            <v>96-09-3</v>
          </cell>
          <cell r="D330" t="str">
            <v>Neutral</v>
          </cell>
          <cell r="E330"/>
          <cell r="F330">
            <v>120.15</v>
          </cell>
          <cell r="G330"/>
          <cell r="H330">
            <v>39.999999989999999</v>
          </cell>
          <cell r="I330">
            <v>3000</v>
          </cell>
          <cell r="J330"/>
          <cell r="K330">
            <v>40.738027780411301</v>
          </cell>
          <cell r="L330"/>
          <cell r="M330"/>
          <cell r="N330"/>
          <cell r="O330"/>
          <cell r="P330"/>
          <cell r="Q330">
            <v>3.7929074999999998E-6</v>
          </cell>
          <cell r="R330">
            <v>5.3483578746909358E-7</v>
          </cell>
          <cell r="S330">
            <v>5.9426198607677063E-8</v>
          </cell>
          <cell r="T330">
            <v>2.6741789373454679E-7</v>
          </cell>
          <cell r="U330"/>
          <cell r="V330"/>
          <cell r="W330">
            <v>30000</v>
          </cell>
          <cell r="X330">
            <v>0.33333333333333331</v>
          </cell>
          <cell r="Y330">
            <v>0.33333333333333331</v>
          </cell>
          <cell r="Z330">
            <v>0.33333333333333331</v>
          </cell>
          <cell r="AA330"/>
        </row>
        <row r="331">
          <cell r="A331">
            <v>324</v>
          </cell>
          <cell r="B331" t="str">
            <v>chloroethene (vinyl chloride)</v>
          </cell>
          <cell r="C331" t="str">
            <v>75-01-4</v>
          </cell>
          <cell r="D331" t="str">
            <v>Neutral</v>
          </cell>
          <cell r="E331"/>
          <cell r="F331">
            <v>62.5</v>
          </cell>
          <cell r="G331"/>
          <cell r="H331">
            <v>397333.33323399996</v>
          </cell>
          <cell r="I331">
            <v>8800</v>
          </cell>
          <cell r="J331"/>
          <cell r="K331">
            <v>41.686938347033561</v>
          </cell>
          <cell r="L331"/>
          <cell r="M331"/>
          <cell r="N331"/>
          <cell r="O331"/>
          <cell r="P331"/>
          <cell r="Q331">
            <v>5.22E-6</v>
          </cell>
          <cell r="R331">
            <v>5.3483578746909358E-7</v>
          </cell>
          <cell r="S331">
            <v>5.9426198607677063E-8</v>
          </cell>
          <cell r="T331">
            <v>2.6741789373454679E-7</v>
          </cell>
          <cell r="U331"/>
          <cell r="V331"/>
          <cell r="W331">
            <v>30000</v>
          </cell>
          <cell r="X331">
            <v>0.33333333333333331</v>
          </cell>
          <cell r="Y331">
            <v>0.33333333333333331</v>
          </cell>
          <cell r="Z331">
            <v>0.33333333333333331</v>
          </cell>
          <cell r="AA331"/>
        </row>
        <row r="332">
          <cell r="A332">
            <v>325</v>
          </cell>
          <cell r="B332" t="str">
            <v>S-BUTYLACETATE</v>
          </cell>
          <cell r="C332" t="str">
            <v>105-46-4</v>
          </cell>
          <cell r="D332" t="str">
            <v>Neutral</v>
          </cell>
          <cell r="E332"/>
          <cell r="F332">
            <v>116.16</v>
          </cell>
          <cell r="G332"/>
          <cell r="H332">
            <v>2266.6666660999999</v>
          </cell>
          <cell r="I332">
            <v>6200</v>
          </cell>
          <cell r="J332"/>
          <cell r="K332">
            <v>52.480746024977286</v>
          </cell>
          <cell r="L332"/>
          <cell r="M332"/>
          <cell r="N332"/>
          <cell r="O332"/>
          <cell r="P332"/>
          <cell r="Q332">
            <v>4.1250000000000003E-6</v>
          </cell>
          <cell r="R332">
            <v>5.3483578746909358E-7</v>
          </cell>
          <cell r="S332">
            <v>5.9426198607677063E-8</v>
          </cell>
          <cell r="T332">
            <v>2.6741789373454679E-7</v>
          </cell>
          <cell r="U332"/>
          <cell r="V332"/>
          <cell r="W332">
            <v>30000</v>
          </cell>
          <cell r="X332">
            <v>0.33333333333333331</v>
          </cell>
          <cell r="Y332">
            <v>0.33333333333333331</v>
          </cell>
          <cell r="Z332">
            <v>0.33333333333333331</v>
          </cell>
          <cell r="AA332"/>
        </row>
        <row r="333">
          <cell r="A333">
            <v>326</v>
          </cell>
          <cell r="B333" t="str">
            <v>Benzonitrile, 4-fluoro-</v>
          </cell>
          <cell r="C333" t="str">
            <v>1194-02-1</v>
          </cell>
          <cell r="D333" t="str">
            <v>Neutral</v>
          </cell>
          <cell r="E333"/>
          <cell r="F333">
            <v>121.11</v>
          </cell>
          <cell r="G333"/>
          <cell r="H333">
            <v>62.266666651100003</v>
          </cell>
          <cell r="I333">
            <v>1763</v>
          </cell>
          <cell r="J333"/>
          <cell r="K333">
            <v>54.95408738576247</v>
          </cell>
          <cell r="L333"/>
          <cell r="M333"/>
          <cell r="N333"/>
          <cell r="O333"/>
          <cell r="P333"/>
          <cell r="Q333">
            <v>3.2344500000000002E-7</v>
          </cell>
          <cell r="R333">
            <v>2.1393431498763744E-7</v>
          </cell>
          <cell r="S333">
            <v>2.3770479443070826E-8</v>
          </cell>
          <cell r="T333">
            <v>1.0696715749381872E-7</v>
          </cell>
          <cell r="U333"/>
          <cell r="V333"/>
          <cell r="W333">
            <v>30000</v>
          </cell>
          <cell r="X333">
            <v>0.33333333333333331</v>
          </cell>
          <cell r="Y333">
            <v>0.33333333333333331</v>
          </cell>
          <cell r="Z333">
            <v>0.33333333333333331</v>
          </cell>
          <cell r="AA333"/>
        </row>
        <row r="334">
          <cell r="A334">
            <v>327</v>
          </cell>
          <cell r="B334" t="str">
            <v>BENZENEMETHANOL, 2-CHLORO-</v>
          </cell>
          <cell r="C334" t="str">
            <v>17849-38-6</v>
          </cell>
          <cell r="D334" t="str">
            <v>Neutral</v>
          </cell>
          <cell r="E334"/>
          <cell r="F334">
            <v>142.59</v>
          </cell>
          <cell r="G334"/>
          <cell r="H334">
            <v>0.50799999987299993</v>
          </cell>
          <cell r="I334">
            <v>8137</v>
          </cell>
          <cell r="J334"/>
          <cell r="K334">
            <v>58.884365535558949</v>
          </cell>
          <cell r="L334"/>
          <cell r="M334"/>
          <cell r="N334"/>
          <cell r="O334"/>
          <cell r="P334"/>
          <cell r="Q334">
            <v>3.8100674999999996E-6</v>
          </cell>
          <cell r="R334">
            <v>5.3483578746909358E-7</v>
          </cell>
          <cell r="S334">
            <v>5.9426198607677063E-8</v>
          </cell>
          <cell r="T334">
            <v>2.6741789373454679E-7</v>
          </cell>
          <cell r="U334"/>
          <cell r="V334"/>
          <cell r="W334">
            <v>30000</v>
          </cell>
          <cell r="X334">
            <v>0.33333333333333331</v>
          </cell>
          <cell r="Y334">
            <v>0.33333333333333331</v>
          </cell>
          <cell r="Z334">
            <v>0.33333333333333331</v>
          </cell>
          <cell r="AA334"/>
        </row>
        <row r="335">
          <cell r="A335">
            <v>328</v>
          </cell>
          <cell r="B335" t="str">
            <v>3-BROMO-1-PROPENE</v>
          </cell>
          <cell r="C335" t="str">
            <v>106-95-6</v>
          </cell>
          <cell r="D335" t="str">
            <v>Neutral</v>
          </cell>
          <cell r="E335"/>
          <cell r="F335">
            <v>120.98</v>
          </cell>
          <cell r="G335"/>
          <cell r="H335">
            <v>18933.333328599998</v>
          </cell>
          <cell r="I335">
            <v>3830</v>
          </cell>
          <cell r="J335"/>
          <cell r="K335">
            <v>61.659500186148257</v>
          </cell>
          <cell r="L335"/>
          <cell r="M335"/>
          <cell r="N335"/>
          <cell r="O335"/>
          <cell r="P335"/>
          <cell r="Q335">
            <v>1.5187139999999998E-5</v>
          </cell>
          <cell r="R335">
            <v>5.3483578746909358E-7</v>
          </cell>
          <cell r="S335">
            <v>5.9426198607677063E-8</v>
          </cell>
          <cell r="T335">
            <v>2.6741789373454679E-7</v>
          </cell>
          <cell r="U335"/>
          <cell r="V335"/>
          <cell r="W335">
            <v>30000</v>
          </cell>
          <cell r="X335">
            <v>0.33333333333333331</v>
          </cell>
          <cell r="Y335">
            <v>0.33333333333333331</v>
          </cell>
          <cell r="Z335">
            <v>0.33333333333333331</v>
          </cell>
          <cell r="AA335"/>
        </row>
        <row r="336">
          <cell r="A336">
            <v>329</v>
          </cell>
          <cell r="B336" t="str">
            <v>Triethyltin bromide</v>
          </cell>
          <cell r="C336" t="str">
            <v>2767-54-6</v>
          </cell>
          <cell r="D336" t="str">
            <v>Neutral</v>
          </cell>
          <cell r="E336"/>
          <cell r="F336">
            <v>285.8</v>
          </cell>
          <cell r="G336"/>
          <cell r="H336">
            <v>22.666666661000001</v>
          </cell>
          <cell r="I336">
            <v>395.1</v>
          </cell>
          <cell r="J336"/>
          <cell r="K336">
            <v>69.183097091893657</v>
          </cell>
          <cell r="L336"/>
          <cell r="M336"/>
          <cell r="N336"/>
          <cell r="O336"/>
          <cell r="P336"/>
          <cell r="Q336">
            <v>2.1391380000000002E-5</v>
          </cell>
          <cell r="R336">
            <v>2.1393431498763744E-7</v>
          </cell>
          <cell r="S336">
            <v>2.3770479443070826E-8</v>
          </cell>
          <cell r="T336">
            <v>1.0696715749381872E-7</v>
          </cell>
          <cell r="U336"/>
          <cell r="V336"/>
          <cell r="W336">
            <v>30000</v>
          </cell>
          <cell r="X336">
            <v>0.33333333333333331</v>
          </cell>
          <cell r="Y336">
            <v>0.33333333333333331</v>
          </cell>
          <cell r="Z336">
            <v>0.33333333333333331</v>
          </cell>
          <cell r="AA336"/>
        </row>
        <row r="337">
          <cell r="A337">
            <v>330</v>
          </cell>
          <cell r="B337" t="str">
            <v>nitrobenzene</v>
          </cell>
          <cell r="C337" t="str">
            <v>98-95-3</v>
          </cell>
          <cell r="D337" t="str">
            <v>Neutral</v>
          </cell>
          <cell r="E337"/>
          <cell r="F337">
            <v>123.11</v>
          </cell>
          <cell r="G337"/>
          <cell r="H337">
            <v>32.666666658499999</v>
          </cell>
          <cell r="I337">
            <v>2090</v>
          </cell>
          <cell r="J337"/>
          <cell r="K337">
            <v>70.794578438413865</v>
          </cell>
          <cell r="L337"/>
          <cell r="M337"/>
          <cell r="N337"/>
          <cell r="O337"/>
          <cell r="P337"/>
          <cell r="Q337">
            <v>1.05E-7</v>
          </cell>
          <cell r="R337">
            <v>5.3483578746909358E-7</v>
          </cell>
          <cell r="S337">
            <v>5.9426198607677063E-8</v>
          </cell>
          <cell r="T337">
            <v>2.6741789373454679E-7</v>
          </cell>
          <cell r="U337"/>
          <cell r="V337"/>
          <cell r="W337">
            <v>30000</v>
          </cell>
          <cell r="X337">
            <v>0.33333333333333331</v>
          </cell>
          <cell r="Y337">
            <v>0.33333333333333331</v>
          </cell>
          <cell r="Z337">
            <v>0.33333333333333331</v>
          </cell>
          <cell r="AA337"/>
        </row>
        <row r="338">
          <cell r="A338">
            <v>331</v>
          </cell>
          <cell r="B338" t="str">
            <v>trans-Cinnamaldehyde</v>
          </cell>
          <cell r="C338" t="str">
            <v>14371-10-9</v>
          </cell>
          <cell r="D338" t="str">
            <v>Neutral</v>
          </cell>
          <cell r="E338"/>
          <cell r="F338">
            <v>132.16</v>
          </cell>
          <cell r="G338"/>
          <cell r="H338">
            <v>3.8533333323699996</v>
          </cell>
          <cell r="I338">
            <v>1420</v>
          </cell>
          <cell r="J338"/>
          <cell r="K338">
            <v>79.432823472428197</v>
          </cell>
          <cell r="L338"/>
          <cell r="M338"/>
          <cell r="N338"/>
          <cell r="O338"/>
          <cell r="P338"/>
          <cell r="Q338">
            <v>3.6000000000000001E-5</v>
          </cell>
          <cell r="R338">
            <v>5.3483578746909358E-7</v>
          </cell>
          <cell r="S338">
            <v>5.9426198607677063E-8</v>
          </cell>
          <cell r="T338">
            <v>2.6741789373454679E-7</v>
          </cell>
          <cell r="U338"/>
          <cell r="V338"/>
          <cell r="W338">
            <v>30000</v>
          </cell>
          <cell r="X338">
            <v>0.33333333333333331</v>
          </cell>
          <cell r="Y338">
            <v>0.33333333333333331</v>
          </cell>
          <cell r="Z338">
            <v>0.33333333333333331</v>
          </cell>
          <cell r="AA338"/>
        </row>
        <row r="339">
          <cell r="A339">
            <v>332</v>
          </cell>
          <cell r="B339" t="str">
            <v>2-Chloroacetophenone</v>
          </cell>
          <cell r="C339" t="str">
            <v>532-27-4</v>
          </cell>
          <cell r="D339" t="str">
            <v>Neutral</v>
          </cell>
          <cell r="E339"/>
          <cell r="F339">
            <v>154.6</v>
          </cell>
          <cell r="G339"/>
          <cell r="H339">
            <v>1.0133333330799998</v>
          </cell>
          <cell r="I339">
            <v>1635</v>
          </cell>
          <cell r="J339"/>
          <cell r="K339">
            <v>85.113803820237663</v>
          </cell>
          <cell r="L339"/>
          <cell r="M339"/>
          <cell r="N339"/>
          <cell r="O339"/>
          <cell r="P339"/>
          <cell r="Q339">
            <v>1.5327375E-6</v>
          </cell>
          <cell r="R339">
            <v>2.1393431498763744E-7</v>
          </cell>
          <cell r="S339">
            <v>2.3770479443070826E-8</v>
          </cell>
          <cell r="T339">
            <v>1.0696715749381872E-7</v>
          </cell>
          <cell r="U339"/>
          <cell r="V339"/>
          <cell r="W339">
            <v>30000</v>
          </cell>
          <cell r="X339">
            <v>0.33333333333333331</v>
          </cell>
          <cell r="Y339">
            <v>0.33333333333333331</v>
          </cell>
          <cell r="Z339">
            <v>0.33333333333333331</v>
          </cell>
          <cell r="AA339"/>
        </row>
        <row r="340">
          <cell r="A340">
            <v>333</v>
          </cell>
          <cell r="B340" t="str">
            <v>ETHYL METHACRYLATE</v>
          </cell>
          <cell r="C340" t="str">
            <v>97-63-2</v>
          </cell>
          <cell r="D340" t="str">
            <v>Neutral</v>
          </cell>
          <cell r="E340"/>
          <cell r="F340">
            <v>114.15</v>
          </cell>
          <cell r="G340"/>
          <cell r="H340">
            <v>2746.6666659799998</v>
          </cell>
          <cell r="I340">
            <v>5400</v>
          </cell>
          <cell r="J340"/>
          <cell r="K340">
            <v>87.096358995608071</v>
          </cell>
          <cell r="L340"/>
          <cell r="M340"/>
          <cell r="N340"/>
          <cell r="O340"/>
          <cell r="P340"/>
          <cell r="Q340">
            <v>1.4840759999999999E-5</v>
          </cell>
          <cell r="R340">
            <v>5.3483578746909358E-7</v>
          </cell>
          <cell r="S340">
            <v>5.9426198607677063E-8</v>
          </cell>
          <cell r="T340">
            <v>2.6741789373454679E-7</v>
          </cell>
          <cell r="U340"/>
          <cell r="V340"/>
          <cell r="W340">
            <v>30000</v>
          </cell>
          <cell r="X340">
            <v>0.33333333333333331</v>
          </cell>
          <cell r="Y340">
            <v>0.33333333333333331</v>
          </cell>
          <cell r="Z340">
            <v>0.33333333333333331</v>
          </cell>
          <cell r="AA340"/>
        </row>
        <row r="341">
          <cell r="A341">
            <v>334</v>
          </cell>
          <cell r="B341" t="str">
            <v>1,3-Isobenzofurandione, 3a,4,7,7a-tetrahydro-</v>
          </cell>
          <cell r="C341" t="str">
            <v>85-43-8</v>
          </cell>
          <cell r="D341" t="str">
            <v>Neutral</v>
          </cell>
          <cell r="E341"/>
          <cell r="F341">
            <v>152.15</v>
          </cell>
          <cell r="G341"/>
          <cell r="H341">
            <v>7.6666666647500001</v>
          </cell>
          <cell r="I341">
            <v>1579</v>
          </cell>
          <cell r="J341"/>
          <cell r="K341">
            <v>91.201083935590972</v>
          </cell>
          <cell r="L341"/>
          <cell r="M341"/>
          <cell r="N341"/>
          <cell r="O341"/>
          <cell r="P341"/>
          <cell r="Q341">
            <v>4.4896695E-5</v>
          </cell>
          <cell r="R341">
            <v>5.3483578746909358E-7</v>
          </cell>
          <cell r="S341">
            <v>5.9426198607677063E-8</v>
          </cell>
          <cell r="T341">
            <v>2.6741789373454679E-7</v>
          </cell>
          <cell r="U341"/>
          <cell r="V341"/>
          <cell r="W341">
            <v>30000</v>
          </cell>
          <cell r="X341">
            <v>0.33333333333333331</v>
          </cell>
          <cell r="Y341">
            <v>0.33333333333333331</v>
          </cell>
          <cell r="Z341">
            <v>0.33333333333333331</v>
          </cell>
          <cell r="AA341"/>
        </row>
        <row r="342">
          <cell r="A342">
            <v>335</v>
          </cell>
          <cell r="B342" t="str">
            <v>Benzenemethanol, 4-bromo-</v>
          </cell>
          <cell r="C342" t="str">
            <v>873-75-6</v>
          </cell>
          <cell r="D342" t="str">
            <v>Neutral</v>
          </cell>
          <cell r="E342"/>
          <cell r="F342">
            <v>187.04</v>
          </cell>
          <cell r="G342"/>
          <cell r="H342">
            <v>0.20933333328099998</v>
          </cell>
          <cell r="I342">
            <v>2200</v>
          </cell>
          <cell r="J342"/>
          <cell r="K342">
            <v>93.325430079699174</v>
          </cell>
          <cell r="L342"/>
          <cell r="M342"/>
          <cell r="N342"/>
          <cell r="O342"/>
          <cell r="P342"/>
          <cell r="Q342">
            <v>3.6783075000000001E-6</v>
          </cell>
          <cell r="R342">
            <v>5.3483578746909358E-7</v>
          </cell>
          <cell r="S342">
            <v>5.9426198607677063E-8</v>
          </cell>
          <cell r="T342">
            <v>2.6741789373454679E-7</v>
          </cell>
          <cell r="U342"/>
          <cell r="V342"/>
          <cell r="W342">
            <v>30000</v>
          </cell>
          <cell r="X342">
            <v>0.33333333333333331</v>
          </cell>
          <cell r="Y342">
            <v>0.33333333333333331</v>
          </cell>
          <cell r="Z342">
            <v>0.33333333333333331</v>
          </cell>
          <cell r="AA342"/>
        </row>
        <row r="343">
          <cell r="A343">
            <v>336</v>
          </cell>
          <cell r="B343" t="str">
            <v>2-heptanone</v>
          </cell>
          <cell r="C343" t="str">
            <v>110-43-0</v>
          </cell>
          <cell r="D343" t="str">
            <v>Neutral</v>
          </cell>
          <cell r="E343"/>
          <cell r="F343">
            <v>114.19</v>
          </cell>
          <cell r="G343"/>
          <cell r="H343">
            <v>514.66666653799996</v>
          </cell>
          <cell r="I343">
            <v>4300</v>
          </cell>
          <cell r="J343"/>
          <cell r="K343">
            <v>95.499258602143655</v>
          </cell>
          <cell r="L343"/>
          <cell r="M343"/>
          <cell r="N343"/>
          <cell r="O343"/>
          <cell r="P343"/>
          <cell r="Q343">
            <v>8.7749999999999998E-6</v>
          </cell>
          <cell r="R343">
            <v>5.3483578746909358E-7</v>
          </cell>
          <cell r="S343">
            <v>5.9426198607677063E-8</v>
          </cell>
          <cell r="T343">
            <v>2.6741789373454679E-7</v>
          </cell>
          <cell r="U343"/>
          <cell r="V343"/>
          <cell r="W343">
            <v>30000</v>
          </cell>
          <cell r="X343">
            <v>0.33333333333333331</v>
          </cell>
          <cell r="Y343">
            <v>0.33333333333333331</v>
          </cell>
          <cell r="Z343">
            <v>0.33333333333333331</v>
          </cell>
          <cell r="AA343"/>
        </row>
        <row r="344">
          <cell r="A344">
            <v>337</v>
          </cell>
          <cell r="B344" t="str">
            <v>1,1,1-TRIFLUORO-2-CHLOROETHANE</v>
          </cell>
          <cell r="C344" t="str">
            <v>75-88-7</v>
          </cell>
          <cell r="D344" t="str">
            <v>Neutral</v>
          </cell>
          <cell r="E344"/>
          <cell r="F344">
            <v>118.49</v>
          </cell>
          <cell r="G344"/>
          <cell r="H344">
            <v>199999.99995</v>
          </cell>
          <cell r="I344">
            <v>9200</v>
          </cell>
          <cell r="J344"/>
          <cell r="K344">
            <v>97.723722095581124</v>
          </cell>
          <cell r="L344"/>
          <cell r="M344"/>
          <cell r="N344"/>
          <cell r="O344"/>
          <cell r="P344"/>
          <cell r="Q344">
            <v>1.215E-8</v>
          </cell>
          <cell r="R344">
            <v>2.1393431498763744E-7</v>
          </cell>
          <cell r="S344">
            <v>2.3770479443070826E-8</v>
          </cell>
          <cell r="T344">
            <v>1.0696715749381872E-7</v>
          </cell>
          <cell r="U344"/>
          <cell r="V344"/>
          <cell r="W344">
            <v>30000</v>
          </cell>
          <cell r="X344">
            <v>0.33333333333333331</v>
          </cell>
          <cell r="Y344">
            <v>0.33333333333333331</v>
          </cell>
          <cell r="Z344">
            <v>0.33333333333333331</v>
          </cell>
          <cell r="AA344"/>
        </row>
        <row r="345">
          <cell r="A345">
            <v>338</v>
          </cell>
          <cell r="B345" t="str">
            <v>1,4-BENZODIOXAN</v>
          </cell>
          <cell r="C345" t="str">
            <v>493-09-4</v>
          </cell>
          <cell r="D345" t="str">
            <v>Neutral</v>
          </cell>
          <cell r="E345"/>
          <cell r="F345">
            <v>136.15</v>
          </cell>
          <cell r="G345"/>
          <cell r="H345">
            <v>25.733333326899999</v>
          </cell>
          <cell r="I345">
            <v>1668</v>
          </cell>
          <cell r="J345"/>
          <cell r="K345">
            <v>102.32929922807544</v>
          </cell>
          <cell r="L345"/>
          <cell r="M345"/>
          <cell r="N345"/>
          <cell r="O345"/>
          <cell r="P345"/>
          <cell r="Q345">
            <v>1.8900000000000002E-5</v>
          </cell>
          <cell r="R345">
            <v>5.3483578746909358E-7</v>
          </cell>
          <cell r="S345">
            <v>5.9426198607677063E-8</v>
          </cell>
          <cell r="T345">
            <v>2.6741789373454679E-7</v>
          </cell>
          <cell r="U345"/>
          <cell r="V345"/>
          <cell r="W345">
            <v>30000</v>
          </cell>
          <cell r="X345">
            <v>0.33333333333333331</v>
          </cell>
          <cell r="Y345">
            <v>0.33333333333333331</v>
          </cell>
          <cell r="Z345">
            <v>0.33333333333333331</v>
          </cell>
          <cell r="AA345"/>
        </row>
        <row r="346">
          <cell r="A346">
            <v>339</v>
          </cell>
          <cell r="B346" t="str">
            <v>B,B,B-TRICHLORO-T-BUTANOL</v>
          </cell>
          <cell r="C346" t="str">
            <v>57-15-8</v>
          </cell>
          <cell r="D346" t="str">
            <v>Neutral</v>
          </cell>
          <cell r="E346"/>
          <cell r="F346">
            <v>177.46</v>
          </cell>
          <cell r="G346"/>
          <cell r="H346">
            <v>12.23999999694</v>
          </cell>
          <cell r="I346">
            <v>8000</v>
          </cell>
          <cell r="J346"/>
          <cell r="K346">
            <v>107.15193052376065</v>
          </cell>
          <cell r="L346"/>
          <cell r="M346"/>
          <cell r="N346"/>
          <cell r="O346"/>
          <cell r="P346"/>
          <cell r="Q346">
            <v>8.8019999999999995E-7</v>
          </cell>
          <cell r="R346">
            <v>1.3370894686727339E-7</v>
          </cell>
          <cell r="S346">
            <v>1.4856549651919266E-8</v>
          </cell>
          <cell r="T346">
            <v>6.6854473433636697E-8</v>
          </cell>
          <cell r="U346"/>
          <cell r="V346"/>
          <cell r="W346">
            <v>30000</v>
          </cell>
          <cell r="X346">
            <v>0.33333333333333331</v>
          </cell>
          <cell r="Y346">
            <v>0.33333333333333331</v>
          </cell>
          <cell r="Z346">
            <v>0.33333333333333331</v>
          </cell>
          <cell r="AA346"/>
        </row>
        <row r="347">
          <cell r="A347">
            <v>340</v>
          </cell>
          <cell r="B347" t="str">
            <v>2-Propenoic acid, 1,1-dimethylethyl ester</v>
          </cell>
          <cell r="C347" t="str">
            <v>1663-39-4</v>
          </cell>
          <cell r="D347" t="str">
            <v>Neutral</v>
          </cell>
          <cell r="E347"/>
          <cell r="F347">
            <v>128.16999999999999</v>
          </cell>
          <cell r="G347"/>
          <cell r="H347">
            <v>1733.3333329</v>
          </cell>
          <cell r="I347">
            <v>1534</v>
          </cell>
          <cell r="J347"/>
          <cell r="K347">
            <v>123.02687708123821</v>
          </cell>
          <cell r="L347"/>
          <cell r="M347"/>
          <cell r="N347"/>
          <cell r="O347"/>
          <cell r="P347"/>
          <cell r="Q347">
            <v>7.2801299999999995E-6</v>
          </cell>
          <cell r="R347">
            <v>5.3483578746909358E-7</v>
          </cell>
          <cell r="S347">
            <v>5.9426198607677063E-8</v>
          </cell>
          <cell r="T347">
            <v>2.6741789373454679E-7</v>
          </cell>
          <cell r="U347"/>
          <cell r="V347"/>
          <cell r="W347">
            <v>30000</v>
          </cell>
          <cell r="X347">
            <v>0.33333333333333331</v>
          </cell>
          <cell r="Y347">
            <v>0.33333333333333331</v>
          </cell>
          <cell r="Z347">
            <v>0.33333333333333331</v>
          </cell>
          <cell r="AA347"/>
        </row>
        <row r="348">
          <cell r="A348">
            <v>341</v>
          </cell>
          <cell r="B348" t="str">
            <v>Chloropicrin</v>
          </cell>
          <cell r="C348" t="str">
            <v>76-06-2</v>
          </cell>
          <cell r="D348" t="str">
            <v>Neutral</v>
          </cell>
          <cell r="E348"/>
          <cell r="F348">
            <v>164.38</v>
          </cell>
          <cell r="G348"/>
          <cell r="H348">
            <v>3173.3333325399999</v>
          </cell>
          <cell r="I348">
            <v>1620</v>
          </cell>
          <cell r="J348"/>
          <cell r="K348">
            <v>123.02687708123821</v>
          </cell>
          <cell r="L348"/>
          <cell r="M348"/>
          <cell r="N348"/>
          <cell r="O348"/>
          <cell r="P348"/>
          <cell r="Q348">
            <v>9.7500000000000006E-8</v>
          </cell>
          <cell r="R348">
            <v>1.3370894686727339E-7</v>
          </cell>
          <cell r="S348">
            <v>1.4856549651919266E-8</v>
          </cell>
          <cell r="T348">
            <v>2.6741789373454678E-6</v>
          </cell>
          <cell r="U348"/>
          <cell r="V348"/>
          <cell r="W348">
            <v>30000</v>
          </cell>
          <cell r="X348">
            <v>0.33333333333333331</v>
          </cell>
          <cell r="Y348">
            <v>0.33333333333333331</v>
          </cell>
          <cell r="Z348">
            <v>0.33333333333333331</v>
          </cell>
          <cell r="AA348"/>
        </row>
        <row r="349">
          <cell r="A349">
            <v>342</v>
          </cell>
          <cell r="B349" t="str">
            <v>Benzthiazuron</v>
          </cell>
          <cell r="C349" t="str">
            <v>1929-88-0</v>
          </cell>
          <cell r="D349" t="str">
            <v>Neutral</v>
          </cell>
          <cell r="E349"/>
          <cell r="F349">
            <v>207.25</v>
          </cell>
          <cell r="G349"/>
          <cell r="H349">
            <v>8.8799999977799988E-5</v>
          </cell>
          <cell r="I349">
            <v>12</v>
          </cell>
          <cell r="J349"/>
          <cell r="K349">
            <v>125.89254117941677</v>
          </cell>
          <cell r="L349"/>
          <cell r="M349"/>
          <cell r="N349"/>
          <cell r="O349"/>
          <cell r="P349"/>
          <cell r="Q349">
            <v>1.1602568249999998E-4</v>
          </cell>
          <cell r="R349">
            <v>2.1393431498763744E-7</v>
          </cell>
          <cell r="S349">
            <v>2.3770479443070826E-8</v>
          </cell>
          <cell r="T349">
            <v>1.0418878976670655E-7</v>
          </cell>
          <cell r="U349"/>
          <cell r="V349"/>
          <cell r="W349">
            <v>30000</v>
          </cell>
          <cell r="X349">
            <v>0.33333333333333331</v>
          </cell>
          <cell r="Y349">
            <v>0.33333333333333331</v>
          </cell>
          <cell r="Z349">
            <v>0.33333333333333331</v>
          </cell>
          <cell r="AA349"/>
        </row>
        <row r="350">
          <cell r="A350">
            <v>343</v>
          </cell>
          <cell r="B350" t="str">
            <v>1,2-Naphthalenedione</v>
          </cell>
          <cell r="C350" t="str">
            <v>524-42-5</v>
          </cell>
          <cell r="D350" t="str">
            <v>Neutral</v>
          </cell>
          <cell r="E350"/>
          <cell r="F350">
            <v>158.16</v>
          </cell>
          <cell r="G350"/>
          <cell r="H350">
            <v>1.4399999996399999E-2</v>
          </cell>
          <cell r="I350">
            <v>1101</v>
          </cell>
          <cell r="J350"/>
          <cell r="K350">
            <v>128.82495516931343</v>
          </cell>
          <cell r="L350"/>
          <cell r="M350"/>
          <cell r="N350"/>
          <cell r="O350"/>
          <cell r="P350"/>
          <cell r="Q350">
            <v>9.7133175000000002E-6</v>
          </cell>
          <cell r="R350">
            <v>5.3483578746909358E-7</v>
          </cell>
          <cell r="S350">
            <v>5.9426198607677063E-8</v>
          </cell>
          <cell r="T350">
            <v>2.6741789373454679E-7</v>
          </cell>
          <cell r="U350"/>
          <cell r="V350"/>
          <cell r="W350">
            <v>30000</v>
          </cell>
          <cell r="X350">
            <v>0.33333333333333331</v>
          </cell>
          <cell r="Y350">
            <v>0.33333333333333331</v>
          </cell>
          <cell r="Z350">
            <v>0.33333333333333331</v>
          </cell>
          <cell r="AA350"/>
        </row>
        <row r="351">
          <cell r="A351">
            <v>344</v>
          </cell>
          <cell r="B351" t="str">
            <v>DIFTALONE</v>
          </cell>
          <cell r="C351" t="str">
            <v>21626-89-1</v>
          </cell>
          <cell r="D351" t="str">
            <v>Neutral</v>
          </cell>
          <cell r="E351"/>
          <cell r="F351">
            <v>264.29000000000002</v>
          </cell>
          <cell r="G351"/>
          <cell r="H351">
            <v>2.9066666659399998E-7</v>
          </cell>
          <cell r="I351">
            <v>301.5</v>
          </cell>
          <cell r="J351"/>
          <cell r="K351">
            <v>134.89628825916537</v>
          </cell>
          <cell r="L351"/>
          <cell r="M351"/>
          <cell r="N351"/>
          <cell r="O351"/>
          <cell r="P351"/>
          <cell r="Q351">
            <v>2.1369180000000001E-5</v>
          </cell>
          <cell r="R351">
            <v>2.1393431498763744E-7</v>
          </cell>
          <cell r="S351">
            <v>2.3770479443070826E-8</v>
          </cell>
          <cell r="T351">
            <v>1.0696715749381872E-7</v>
          </cell>
          <cell r="U351"/>
          <cell r="V351"/>
          <cell r="W351">
            <v>30000</v>
          </cell>
          <cell r="X351">
            <v>0.33333333333333331</v>
          </cell>
          <cell r="Y351">
            <v>0.33333333333333331</v>
          </cell>
          <cell r="Z351">
            <v>0.33333333333333331</v>
          </cell>
          <cell r="AA351"/>
        </row>
        <row r="352">
          <cell r="A352">
            <v>345</v>
          </cell>
          <cell r="B352" t="str">
            <v>2,3-Dinitrotoluene</v>
          </cell>
          <cell r="C352" t="str">
            <v>602-01-7</v>
          </cell>
          <cell r="D352" t="str">
            <v>Neutral</v>
          </cell>
          <cell r="E352"/>
          <cell r="F352">
            <v>182.14</v>
          </cell>
          <cell r="G352"/>
          <cell r="H352">
            <v>0.28666666659500001</v>
          </cell>
          <cell r="I352">
            <v>270</v>
          </cell>
          <cell r="J352"/>
          <cell r="K352">
            <v>151.3561248436209</v>
          </cell>
          <cell r="L352"/>
          <cell r="M352"/>
          <cell r="N352"/>
          <cell r="O352"/>
          <cell r="P352"/>
          <cell r="Q352">
            <v>1.436925E-7</v>
          </cell>
          <cell r="R352">
            <v>2.1393431498763744E-7</v>
          </cell>
          <cell r="S352">
            <v>2.3770479443070826E-8</v>
          </cell>
          <cell r="T352">
            <v>1.0696715749381872E-7</v>
          </cell>
          <cell r="U352"/>
          <cell r="V352"/>
          <cell r="W352">
            <v>30000</v>
          </cell>
          <cell r="X352">
            <v>0.33333333333333331</v>
          </cell>
          <cell r="Y352">
            <v>0.33333333333333331</v>
          </cell>
          <cell r="Z352">
            <v>0.33333333333333331</v>
          </cell>
          <cell r="AA352"/>
        </row>
        <row r="353">
          <cell r="A353">
            <v>346</v>
          </cell>
          <cell r="B353" t="str">
            <v>CYANAZINE</v>
          </cell>
          <cell r="C353" t="str">
            <v>21725-46-2</v>
          </cell>
          <cell r="D353" t="str">
            <v>Neutral</v>
          </cell>
          <cell r="E353"/>
          <cell r="F353">
            <v>240.7</v>
          </cell>
          <cell r="G353"/>
          <cell r="H353">
            <v>1.8399999995399998E-5</v>
          </cell>
          <cell r="I353">
            <v>170</v>
          </cell>
          <cell r="J353"/>
          <cell r="K353">
            <v>165.95869074375622</v>
          </cell>
          <cell r="L353"/>
          <cell r="M353"/>
          <cell r="N353"/>
          <cell r="O353"/>
          <cell r="P353"/>
          <cell r="Q353">
            <v>6.9791925000000003E-6</v>
          </cell>
          <cell r="R353">
            <v>4.45696489557578E-8</v>
          </cell>
          <cell r="S353">
            <v>4.9521832173064224E-9</v>
          </cell>
          <cell r="T353">
            <v>5.0140855075227523E-7</v>
          </cell>
          <cell r="U353"/>
          <cell r="V353"/>
          <cell r="W353">
            <v>30000</v>
          </cell>
          <cell r="X353">
            <v>0.33333333333333331</v>
          </cell>
          <cell r="Y353">
            <v>0.33333333333333331</v>
          </cell>
          <cell r="Z353">
            <v>0.33333333333333331</v>
          </cell>
          <cell r="AA353"/>
        </row>
        <row r="354">
          <cell r="A354">
            <v>347</v>
          </cell>
          <cell r="B354" t="str">
            <v>FENSULFOTHION</v>
          </cell>
          <cell r="C354" t="str">
            <v>115-90-2</v>
          </cell>
          <cell r="D354" t="str">
            <v>Neutral</v>
          </cell>
          <cell r="E354"/>
          <cell r="F354">
            <v>308.35000000000002</v>
          </cell>
          <cell r="G354"/>
          <cell r="H354">
            <v>6.6666666650000003E-3</v>
          </cell>
          <cell r="I354">
            <v>2000</v>
          </cell>
          <cell r="J354"/>
          <cell r="K354">
            <v>169.82436524617444</v>
          </cell>
          <cell r="L354"/>
          <cell r="M354"/>
          <cell r="N354"/>
          <cell r="O354"/>
          <cell r="P354"/>
          <cell r="Q354">
            <v>1.1509652999999999E-4</v>
          </cell>
          <cell r="R354">
            <v>2.1393431498763744E-7</v>
          </cell>
          <cell r="S354">
            <v>2.3770479443070826E-8</v>
          </cell>
          <cell r="T354">
            <v>2.6741789373454679E-7</v>
          </cell>
          <cell r="U354"/>
          <cell r="V354"/>
          <cell r="W354">
            <v>30000</v>
          </cell>
          <cell r="X354">
            <v>0.33333333333333331</v>
          </cell>
          <cell r="Y354">
            <v>0.33333333333333331</v>
          </cell>
          <cell r="Z354">
            <v>0.33333333333333331</v>
          </cell>
          <cell r="AA354"/>
        </row>
        <row r="355">
          <cell r="A355">
            <v>348</v>
          </cell>
          <cell r="B355" t="str">
            <v>1,1-Dichloropropane</v>
          </cell>
          <cell r="C355" t="str">
            <v>78-99-9</v>
          </cell>
          <cell r="D355" t="str">
            <v>Neutral</v>
          </cell>
          <cell r="E355"/>
          <cell r="F355">
            <v>112.99</v>
          </cell>
          <cell r="G355"/>
          <cell r="H355">
            <v>6773.3333316399994</v>
          </cell>
          <cell r="I355">
            <v>2700</v>
          </cell>
          <cell r="J355"/>
          <cell r="K355">
            <v>177.82794100389242</v>
          </cell>
          <cell r="L355"/>
          <cell r="M355"/>
          <cell r="N355"/>
          <cell r="O355"/>
          <cell r="P355"/>
          <cell r="Q355">
            <v>6.3606749999999999E-7</v>
          </cell>
          <cell r="R355">
            <v>2.1393431498763744E-7</v>
          </cell>
          <cell r="S355">
            <v>2.3770479443070826E-8</v>
          </cell>
          <cell r="T355">
            <v>1.0696715749381872E-7</v>
          </cell>
          <cell r="U355"/>
          <cell r="V355"/>
          <cell r="W355">
            <v>30000</v>
          </cell>
          <cell r="X355">
            <v>0.33333333333333331</v>
          </cell>
          <cell r="Y355">
            <v>0.33333333333333331</v>
          </cell>
          <cell r="Z355">
            <v>0.33333333333333331</v>
          </cell>
          <cell r="AA355"/>
        </row>
        <row r="356">
          <cell r="A356">
            <v>349</v>
          </cell>
          <cell r="B356" t="str">
            <v>P-TOLUALDEHYDE</v>
          </cell>
          <cell r="C356" t="str">
            <v>104-87-0</v>
          </cell>
          <cell r="D356" t="str">
            <v>Neutral</v>
          </cell>
          <cell r="E356"/>
          <cell r="F356">
            <v>120.15</v>
          </cell>
          <cell r="G356"/>
          <cell r="H356">
            <v>33.333333324999998</v>
          </cell>
          <cell r="I356">
            <v>2270</v>
          </cell>
          <cell r="J356"/>
          <cell r="K356">
            <v>181.9700858609983</v>
          </cell>
          <cell r="L356"/>
          <cell r="M356"/>
          <cell r="N356"/>
          <cell r="O356"/>
          <cell r="P356"/>
          <cell r="Q356">
            <v>1.40176875E-5</v>
          </cell>
          <cell r="R356">
            <v>5.3483578746909358E-7</v>
          </cell>
          <cell r="S356">
            <v>5.9426198607677063E-8</v>
          </cell>
          <cell r="T356">
            <v>2.6741789373454679E-7</v>
          </cell>
          <cell r="U356"/>
          <cell r="V356"/>
          <cell r="W356">
            <v>30000</v>
          </cell>
          <cell r="X356">
            <v>0.33333333333333331</v>
          </cell>
          <cell r="Y356">
            <v>0.33333333333333331</v>
          </cell>
          <cell r="Z356">
            <v>0.33333333333333331</v>
          </cell>
          <cell r="AA356"/>
        </row>
        <row r="357">
          <cell r="A357">
            <v>350</v>
          </cell>
          <cell r="B357" t="str">
            <v>3-NITRO-3-HEXENE</v>
          </cell>
          <cell r="C357" t="str">
            <v>4812-22-0</v>
          </cell>
          <cell r="D357" t="str">
            <v>Neutral</v>
          </cell>
          <cell r="E357"/>
          <cell r="F357">
            <v>129.16</v>
          </cell>
          <cell r="G357"/>
          <cell r="H357">
            <v>115.73333330439999</v>
          </cell>
          <cell r="I357">
            <v>443.6</v>
          </cell>
          <cell r="J357"/>
          <cell r="K357">
            <v>181.9700858609983</v>
          </cell>
          <cell r="L357"/>
          <cell r="M357"/>
          <cell r="N357"/>
          <cell r="O357"/>
          <cell r="P357"/>
          <cell r="Q357">
            <v>1.478442E-5</v>
          </cell>
          <cell r="R357">
            <v>5.3483578746909358E-7</v>
          </cell>
          <cell r="S357">
            <v>5.9426198607677063E-8</v>
          </cell>
          <cell r="T357">
            <v>2.6741789373454679E-7</v>
          </cell>
          <cell r="U357"/>
          <cell r="V357"/>
          <cell r="W357">
            <v>30000</v>
          </cell>
          <cell r="X357">
            <v>0.33333333333333331</v>
          </cell>
          <cell r="Y357">
            <v>0.33333333333333331</v>
          </cell>
          <cell r="Z357">
            <v>0.33333333333333331</v>
          </cell>
          <cell r="AA357"/>
        </row>
        <row r="358">
          <cell r="A358">
            <v>351</v>
          </cell>
          <cell r="B358" t="str">
            <v>4-Ethylbenzyl alcohol</v>
          </cell>
          <cell r="C358" t="str">
            <v>768-59-2</v>
          </cell>
          <cell r="D358" t="str">
            <v>Neutral</v>
          </cell>
          <cell r="E358"/>
          <cell r="F358">
            <v>136.19999999999999</v>
          </cell>
          <cell r="G358"/>
          <cell r="H358">
            <v>0.67333333316499988</v>
          </cell>
          <cell r="I358">
            <v>3237</v>
          </cell>
          <cell r="J358"/>
          <cell r="K358">
            <v>186.20871366628685</v>
          </cell>
          <cell r="L358"/>
          <cell r="M358"/>
          <cell r="N358"/>
          <cell r="O358"/>
          <cell r="P358"/>
          <cell r="Q358">
            <v>7.8098324999999999E-6</v>
          </cell>
          <cell r="R358">
            <v>5.3483578746909358E-7</v>
          </cell>
          <cell r="S358">
            <v>5.9426198607677063E-8</v>
          </cell>
          <cell r="T358">
            <v>2.6741789373454679E-7</v>
          </cell>
          <cell r="U358"/>
          <cell r="V358"/>
          <cell r="W358">
            <v>30000</v>
          </cell>
          <cell r="X358">
            <v>0.33333333333333331</v>
          </cell>
          <cell r="Y358">
            <v>0.33333333333333331</v>
          </cell>
          <cell r="Z358">
            <v>0.33333333333333331</v>
          </cell>
          <cell r="AA358"/>
        </row>
        <row r="359">
          <cell r="A359">
            <v>352</v>
          </cell>
          <cell r="B359" t="str">
            <v>Carbofuran</v>
          </cell>
          <cell r="C359" t="str">
            <v>1563-66-2</v>
          </cell>
          <cell r="D359" t="str">
            <v>Neutral</v>
          </cell>
          <cell r="E359"/>
          <cell r="F359">
            <v>221.26</v>
          </cell>
          <cell r="G359"/>
          <cell r="H359">
            <v>6.4666666650500001E-4</v>
          </cell>
          <cell r="I359">
            <v>320</v>
          </cell>
          <cell r="J359"/>
          <cell r="K359">
            <v>208.92961308540396</v>
          </cell>
          <cell r="L359"/>
          <cell r="M359"/>
          <cell r="N359"/>
          <cell r="O359"/>
          <cell r="P359"/>
          <cell r="Q359">
            <v>1.9505609999999999E-5</v>
          </cell>
          <cell r="R359">
            <v>2.1393431498763744E-7</v>
          </cell>
          <cell r="S359">
            <v>2.3770479443070826E-8</v>
          </cell>
          <cell r="T359">
            <v>5.7303834371688594E-7</v>
          </cell>
          <cell r="U359"/>
          <cell r="V359"/>
          <cell r="W359">
            <v>30000</v>
          </cell>
          <cell r="X359">
            <v>0.33333333333333331</v>
          </cell>
          <cell r="Y359">
            <v>0.33333333333333331</v>
          </cell>
          <cell r="Z359">
            <v>0.33333333333333331</v>
          </cell>
          <cell r="AA359"/>
        </row>
        <row r="360">
          <cell r="A360">
            <v>353</v>
          </cell>
          <cell r="B360" t="str">
            <v>2-CHLOROBENZALDEHYDE</v>
          </cell>
          <cell r="C360" t="str">
            <v>89-98-5</v>
          </cell>
          <cell r="D360" t="str">
            <v>Neutral</v>
          </cell>
          <cell r="E360"/>
          <cell r="F360">
            <v>140.57</v>
          </cell>
          <cell r="G360"/>
          <cell r="H360">
            <v>30.666666659000001</v>
          </cell>
          <cell r="I360">
            <v>852.6</v>
          </cell>
          <cell r="J360"/>
          <cell r="K360">
            <v>213.79620895022339</v>
          </cell>
          <cell r="L360"/>
          <cell r="M360"/>
          <cell r="N360"/>
          <cell r="O360"/>
          <cell r="P360"/>
          <cell r="Q360">
            <v>1.2997267499999999E-5</v>
          </cell>
          <cell r="R360">
            <v>2.1393431498763744E-7</v>
          </cell>
          <cell r="S360">
            <v>2.3770479443070826E-8</v>
          </cell>
          <cell r="T360">
            <v>1.0696715749381872E-7</v>
          </cell>
          <cell r="U360"/>
          <cell r="V360"/>
          <cell r="W360">
            <v>30000</v>
          </cell>
          <cell r="X360">
            <v>0.33333333333333331</v>
          </cell>
          <cell r="Y360">
            <v>0.33333333333333331</v>
          </cell>
          <cell r="Z360">
            <v>0.33333333333333331</v>
          </cell>
          <cell r="AA360"/>
        </row>
        <row r="361">
          <cell r="A361">
            <v>354</v>
          </cell>
          <cell r="B361" t="str">
            <v>Malathion</v>
          </cell>
          <cell r="C361" t="str">
            <v>121-75-5</v>
          </cell>
          <cell r="D361" t="str">
            <v>Neutral</v>
          </cell>
          <cell r="E361"/>
          <cell r="F361">
            <v>330.35</v>
          </cell>
          <cell r="G361"/>
          <cell r="H361">
            <v>4.5066666655399994E-4</v>
          </cell>
          <cell r="I361">
            <v>143</v>
          </cell>
          <cell r="J361"/>
          <cell r="K361">
            <v>229.08676527677744</v>
          </cell>
          <cell r="L361"/>
          <cell r="M361"/>
          <cell r="N361"/>
          <cell r="O361"/>
          <cell r="P361"/>
          <cell r="Q361">
            <v>5.8064850000000004E-5</v>
          </cell>
          <cell r="R361">
            <v>5.3483578746909358E-7</v>
          </cell>
          <cell r="S361">
            <v>5.9426198607677063E-8</v>
          </cell>
          <cell r="T361">
            <v>8.0225368120364038E-6</v>
          </cell>
          <cell r="U361"/>
          <cell r="V361"/>
          <cell r="W361">
            <v>30000</v>
          </cell>
          <cell r="X361">
            <v>0.33333333333333331</v>
          </cell>
          <cell r="Y361">
            <v>0.33333333333333331</v>
          </cell>
          <cell r="Z361">
            <v>0.33333333333333331</v>
          </cell>
          <cell r="AA361"/>
        </row>
        <row r="362">
          <cell r="A362">
            <v>355</v>
          </cell>
          <cell r="B362" t="str">
            <v>2-OCTANONE</v>
          </cell>
          <cell r="C362" t="str">
            <v>111-13-7</v>
          </cell>
          <cell r="D362" t="str">
            <v>Neutral</v>
          </cell>
          <cell r="E362"/>
          <cell r="F362">
            <v>128.22</v>
          </cell>
          <cell r="G362"/>
          <cell r="H362">
            <v>179.99999995499999</v>
          </cell>
          <cell r="I362">
            <v>899</v>
          </cell>
          <cell r="J362"/>
          <cell r="K362">
            <v>234.42288153199232</v>
          </cell>
          <cell r="L362"/>
          <cell r="M362"/>
          <cell r="N362"/>
          <cell r="O362"/>
          <cell r="P362"/>
          <cell r="Q362">
            <v>8.2500000000000006E-6</v>
          </cell>
          <cell r="R362">
            <v>5.3483578746909358E-7</v>
          </cell>
          <cell r="S362">
            <v>5.9426198607677063E-8</v>
          </cell>
          <cell r="T362">
            <v>2.6741789373454679E-7</v>
          </cell>
          <cell r="U362"/>
          <cell r="V362"/>
          <cell r="W362">
            <v>30000</v>
          </cell>
          <cell r="X362">
            <v>0.33333333333333331</v>
          </cell>
          <cell r="Y362">
            <v>0.33333333333333331</v>
          </cell>
          <cell r="Z362">
            <v>0.33333333333333331</v>
          </cell>
          <cell r="AA362"/>
        </row>
        <row r="363">
          <cell r="A363">
            <v>356</v>
          </cell>
          <cell r="B363" t="str">
            <v>1,3-DIBROMOPROPANE</v>
          </cell>
          <cell r="C363" t="str">
            <v>109-64-8</v>
          </cell>
          <cell r="D363" t="str">
            <v>Neutral</v>
          </cell>
          <cell r="E363"/>
          <cell r="F363">
            <v>201.89</v>
          </cell>
          <cell r="G363"/>
          <cell r="H363">
            <v>181.33333328800001</v>
          </cell>
          <cell r="I363">
            <v>1700</v>
          </cell>
          <cell r="J363"/>
          <cell r="K363">
            <v>234.42288153199232</v>
          </cell>
          <cell r="L363"/>
          <cell r="M363"/>
          <cell r="N363"/>
          <cell r="O363"/>
          <cell r="P363"/>
          <cell r="Q363">
            <v>6.3072749999999997E-7</v>
          </cell>
          <cell r="R363">
            <v>5.3483578746909358E-7</v>
          </cell>
          <cell r="S363">
            <v>5.9426198607677063E-8</v>
          </cell>
          <cell r="T363">
            <v>2.6741789373454679E-7</v>
          </cell>
          <cell r="U363"/>
          <cell r="V363"/>
          <cell r="W363">
            <v>30000</v>
          </cell>
          <cell r="X363">
            <v>0.33333333333333331</v>
          </cell>
          <cell r="Y363">
            <v>0.33333333333333331</v>
          </cell>
          <cell r="Z363">
            <v>0.33333333333333331</v>
          </cell>
          <cell r="AA363"/>
        </row>
        <row r="364">
          <cell r="A364">
            <v>357</v>
          </cell>
          <cell r="B364" t="str">
            <v>TETRACHLOROETHANES</v>
          </cell>
          <cell r="C364" t="str">
            <v>25322-20-7</v>
          </cell>
          <cell r="D364" t="str">
            <v>Neutral</v>
          </cell>
          <cell r="E364"/>
          <cell r="F364">
            <v>167.85</v>
          </cell>
          <cell r="G364"/>
          <cell r="H364">
            <v>1773.3333328900001</v>
          </cell>
          <cell r="I364">
            <v>2830</v>
          </cell>
          <cell r="J364"/>
          <cell r="K364">
            <v>245.4708915685033</v>
          </cell>
          <cell r="L364"/>
          <cell r="M364"/>
          <cell r="N364"/>
          <cell r="O364"/>
          <cell r="P364"/>
          <cell r="Q364">
            <v>1.875E-7</v>
          </cell>
          <cell r="R364">
            <v>1.3370894686727339E-7</v>
          </cell>
          <cell r="S364">
            <v>1.4856549651919266E-8</v>
          </cell>
          <cell r="T364">
            <v>6.6854473433636697E-8</v>
          </cell>
          <cell r="U364"/>
          <cell r="V364"/>
          <cell r="W364">
            <v>30000</v>
          </cell>
          <cell r="X364">
            <v>0.33333333333333331</v>
          </cell>
          <cell r="Y364">
            <v>0.33333333333333331</v>
          </cell>
          <cell r="Z364">
            <v>0.33333333333333331</v>
          </cell>
          <cell r="AA364"/>
        </row>
        <row r="365">
          <cell r="A365">
            <v>358</v>
          </cell>
          <cell r="B365" t="str">
            <v>O-BROMONITROBENZENE</v>
          </cell>
          <cell r="C365" t="str">
            <v>577-19-5</v>
          </cell>
          <cell r="D365" t="str">
            <v>Neutral</v>
          </cell>
          <cell r="E365"/>
          <cell r="F365">
            <v>202.01</v>
          </cell>
          <cell r="G365"/>
          <cell r="H365">
            <v>1.6133333329299999</v>
          </cell>
          <cell r="I365">
            <v>122.7</v>
          </cell>
          <cell r="J365"/>
          <cell r="K365">
            <v>331.13112148259137</v>
          </cell>
          <cell r="L365"/>
          <cell r="M365"/>
          <cell r="N365"/>
          <cell r="O365"/>
          <cell r="P365"/>
          <cell r="Q365">
            <v>1.150575E-7</v>
          </cell>
          <cell r="R365">
            <v>2.1393431498763744E-7</v>
          </cell>
          <cell r="S365">
            <v>2.3770479443070826E-8</v>
          </cell>
          <cell r="T365">
            <v>1.0696715749381872E-7</v>
          </cell>
          <cell r="U365"/>
          <cell r="V365"/>
          <cell r="W365">
            <v>30000</v>
          </cell>
          <cell r="X365">
            <v>0.33333333333333331</v>
          </cell>
          <cell r="Y365">
            <v>0.33333333333333331</v>
          </cell>
          <cell r="Z365">
            <v>0.33333333333333331</v>
          </cell>
          <cell r="AA365"/>
        </row>
        <row r="366">
          <cell r="A366">
            <v>359</v>
          </cell>
          <cell r="B366" t="str">
            <v>1-CHLORO-2-METHYLPROPENE</v>
          </cell>
          <cell r="C366" t="str">
            <v>513-37-1</v>
          </cell>
          <cell r="D366" t="str">
            <v>Neutral</v>
          </cell>
          <cell r="E366"/>
          <cell r="F366">
            <v>90.55</v>
          </cell>
          <cell r="G366"/>
          <cell r="H366">
            <v>20533.333328199999</v>
          </cell>
          <cell r="I366">
            <v>1000</v>
          </cell>
          <cell r="J366"/>
          <cell r="K366">
            <v>380.18939632056163</v>
          </cell>
          <cell r="L366"/>
          <cell r="M366"/>
          <cell r="N366"/>
          <cell r="O366"/>
          <cell r="P366"/>
          <cell r="Q366">
            <v>1.3890750000000001E-5</v>
          </cell>
          <cell r="R366">
            <v>5.3483578746909358E-7</v>
          </cell>
          <cell r="S366">
            <v>5.9426198607677063E-8</v>
          </cell>
          <cell r="T366">
            <v>2.6741789373454679E-7</v>
          </cell>
          <cell r="U366"/>
          <cell r="V366"/>
          <cell r="W366">
            <v>30000</v>
          </cell>
          <cell r="X366">
            <v>0.33333333333333331</v>
          </cell>
          <cell r="Y366">
            <v>0.33333333333333331</v>
          </cell>
          <cell r="Z366">
            <v>0.33333333333333331</v>
          </cell>
          <cell r="AA366"/>
        </row>
        <row r="367">
          <cell r="A367">
            <v>360</v>
          </cell>
          <cell r="B367" t="str">
            <v>2H-3,1-Benzoxazine-2,4(1H)-dione</v>
          </cell>
          <cell r="C367" t="str">
            <v>118-48-9</v>
          </cell>
          <cell r="D367" t="str">
            <v>Neutral</v>
          </cell>
          <cell r="E367"/>
          <cell r="F367">
            <v>163.13</v>
          </cell>
          <cell r="G367"/>
          <cell r="H367">
            <v>0.10066666664149999</v>
          </cell>
          <cell r="I367">
            <v>401.9</v>
          </cell>
          <cell r="J367"/>
          <cell r="K367">
            <v>398.10717055349761</v>
          </cell>
          <cell r="L367"/>
          <cell r="M367"/>
          <cell r="N367"/>
          <cell r="O367"/>
          <cell r="P367"/>
          <cell r="Q367">
            <v>2.9164950000000003E-5</v>
          </cell>
          <cell r="R367">
            <v>5.3483578746909358E-7</v>
          </cell>
          <cell r="S367">
            <v>5.9426198607677063E-8</v>
          </cell>
          <cell r="T367">
            <v>2.6741789373454679E-7</v>
          </cell>
          <cell r="U367"/>
          <cell r="V367"/>
          <cell r="W367">
            <v>30000</v>
          </cell>
          <cell r="X367">
            <v>0.33333333333333331</v>
          </cell>
          <cell r="Y367">
            <v>0.33333333333333331</v>
          </cell>
          <cell r="Z367">
            <v>0.33333333333333331</v>
          </cell>
          <cell r="AA367"/>
        </row>
        <row r="368">
          <cell r="A368">
            <v>361</v>
          </cell>
          <cell r="B368" t="str">
            <v>CYCLOHEPTATRIENE</v>
          </cell>
          <cell r="C368" t="str">
            <v>544-25-2</v>
          </cell>
          <cell r="D368" t="str">
            <v>Neutral</v>
          </cell>
          <cell r="E368"/>
          <cell r="F368">
            <v>92.14</v>
          </cell>
          <cell r="G368"/>
          <cell r="H368">
            <v>3133.3333325499998</v>
          </cell>
          <cell r="I368">
            <v>620</v>
          </cell>
          <cell r="J368"/>
          <cell r="K368">
            <v>426.57951880159294</v>
          </cell>
          <cell r="L368"/>
          <cell r="M368"/>
          <cell r="N368"/>
          <cell r="O368"/>
          <cell r="P368"/>
          <cell r="Q368">
            <v>7.2674999999999991E-5</v>
          </cell>
          <cell r="R368">
            <v>5.3483578746909358E-7</v>
          </cell>
          <cell r="S368">
            <v>5.9426198607677063E-8</v>
          </cell>
          <cell r="T368">
            <v>2.6741789373454679E-7</v>
          </cell>
          <cell r="U368"/>
          <cell r="V368"/>
          <cell r="W368">
            <v>30000</v>
          </cell>
          <cell r="X368">
            <v>0.33333333333333331</v>
          </cell>
          <cell r="Y368">
            <v>0.33333333333333331</v>
          </cell>
          <cell r="Z368">
            <v>0.33333333333333331</v>
          </cell>
          <cell r="AA368"/>
        </row>
        <row r="369">
          <cell r="A369">
            <v>362</v>
          </cell>
          <cell r="B369" t="str">
            <v>CYCLOHEXYL ACETATE</v>
          </cell>
          <cell r="C369" t="str">
            <v>622-45-7</v>
          </cell>
          <cell r="D369" t="str">
            <v>Neutral</v>
          </cell>
          <cell r="E369"/>
          <cell r="F369">
            <v>142.19999999999999</v>
          </cell>
          <cell r="G369"/>
          <cell r="H369">
            <v>1439.9999996399999</v>
          </cell>
          <cell r="I369">
            <v>453.8</v>
          </cell>
          <cell r="J369"/>
          <cell r="K369">
            <v>436.51583224016622</v>
          </cell>
          <cell r="L369"/>
          <cell r="M369"/>
          <cell r="N369"/>
          <cell r="O369"/>
          <cell r="P369"/>
          <cell r="Q369">
            <v>8.8525874999999997E-6</v>
          </cell>
          <cell r="R369">
            <v>5.3483578746909358E-7</v>
          </cell>
          <cell r="S369">
            <v>5.9426198607677063E-8</v>
          </cell>
          <cell r="T369">
            <v>2.6741789373454679E-7</v>
          </cell>
          <cell r="U369"/>
          <cell r="V369"/>
          <cell r="W369">
            <v>30000</v>
          </cell>
          <cell r="X369">
            <v>0.33333333333333331</v>
          </cell>
          <cell r="Y369">
            <v>0.33333333333333331</v>
          </cell>
          <cell r="Z369">
            <v>0.33333333333333331</v>
          </cell>
          <cell r="AA369"/>
        </row>
        <row r="370">
          <cell r="A370">
            <v>363</v>
          </cell>
          <cell r="B370" t="str">
            <v>METHACRYLIC ACID, I-BUTYL ESTER</v>
          </cell>
          <cell r="C370" t="str">
            <v>97-86-9</v>
          </cell>
          <cell r="D370" t="str">
            <v>Neutral</v>
          </cell>
          <cell r="E370"/>
          <cell r="F370">
            <v>142.19999999999999</v>
          </cell>
          <cell r="G370"/>
          <cell r="H370">
            <v>483.99999987899997</v>
          </cell>
          <cell r="I370">
            <v>1300</v>
          </cell>
          <cell r="J370"/>
          <cell r="K370">
            <v>457.0881896148756</v>
          </cell>
          <cell r="L370"/>
          <cell r="M370"/>
          <cell r="N370"/>
          <cell r="O370"/>
          <cell r="P370"/>
          <cell r="Q370">
            <v>1.7013652499999999E-5</v>
          </cell>
          <cell r="R370">
            <v>5.3483578746909358E-7</v>
          </cell>
          <cell r="S370">
            <v>5.9426198607677063E-8</v>
          </cell>
          <cell r="T370">
            <v>2.6741789373454679E-7</v>
          </cell>
          <cell r="U370"/>
          <cell r="V370"/>
          <cell r="W370">
            <v>30000</v>
          </cell>
          <cell r="X370">
            <v>0.33333333333333331</v>
          </cell>
          <cell r="Y370">
            <v>0.33333333333333331</v>
          </cell>
          <cell r="Z370">
            <v>0.33333333333333331</v>
          </cell>
          <cell r="AA370"/>
        </row>
        <row r="371">
          <cell r="A371">
            <v>364</v>
          </cell>
          <cell r="B371" t="str">
            <v>BICYCLO(2,2,1)HEPTA-2,5-DIENE</v>
          </cell>
          <cell r="C371" t="str">
            <v>121-46-0</v>
          </cell>
          <cell r="D371" t="str">
            <v>Neutral</v>
          </cell>
          <cell r="E371"/>
          <cell r="F371">
            <v>92.14</v>
          </cell>
          <cell r="G371"/>
          <cell r="H371">
            <v>8813.3333311299994</v>
          </cell>
          <cell r="I371">
            <v>187.3</v>
          </cell>
          <cell r="J371"/>
          <cell r="K371">
            <v>467.7351412871983</v>
          </cell>
          <cell r="L371"/>
          <cell r="M371"/>
          <cell r="N371"/>
          <cell r="O371"/>
          <cell r="P371"/>
          <cell r="Q371">
            <v>9.0000000000000006E-5</v>
          </cell>
          <cell r="R371">
            <v>5.3483578746909358E-7</v>
          </cell>
          <cell r="S371">
            <v>5.9426198607677063E-8</v>
          </cell>
          <cell r="T371">
            <v>2.6741789373454679E-7</v>
          </cell>
          <cell r="U371"/>
          <cell r="V371"/>
          <cell r="W371">
            <v>30000</v>
          </cell>
          <cell r="X371">
            <v>0.33333333333333331</v>
          </cell>
          <cell r="Y371">
            <v>0.33333333333333331</v>
          </cell>
          <cell r="Z371">
            <v>0.33333333333333331</v>
          </cell>
          <cell r="AA371"/>
        </row>
        <row r="372">
          <cell r="A372">
            <v>365</v>
          </cell>
          <cell r="B372" t="str">
            <v>2-Cyclohexen-1-one, 2-methyl-5-(1-methylethenyl)</v>
          </cell>
          <cell r="C372" t="str">
            <v>2244-16-8</v>
          </cell>
          <cell r="D372" t="str">
            <v>Neutral</v>
          </cell>
          <cell r="E372"/>
          <cell r="F372">
            <v>150.22</v>
          </cell>
          <cell r="G372"/>
          <cell r="H372">
            <v>13.733333329899999</v>
          </cell>
          <cell r="I372">
            <v>1300</v>
          </cell>
          <cell r="J372"/>
          <cell r="K372">
            <v>512.86138399136519</v>
          </cell>
          <cell r="L372"/>
          <cell r="M372"/>
          <cell r="N372"/>
          <cell r="O372"/>
          <cell r="P372"/>
          <cell r="Q372">
            <v>1.058989575E-4</v>
          </cell>
          <cell r="R372">
            <v>5.3483578746909358E-7</v>
          </cell>
          <cell r="S372">
            <v>5.9426198607677063E-8</v>
          </cell>
          <cell r="T372">
            <v>2.6741789373454679E-7</v>
          </cell>
          <cell r="U372"/>
          <cell r="V372"/>
          <cell r="W372">
            <v>30000</v>
          </cell>
          <cell r="X372">
            <v>0.33333333333333331</v>
          </cell>
          <cell r="Y372">
            <v>0.33333333333333331</v>
          </cell>
          <cell r="Z372">
            <v>0.33333333333333331</v>
          </cell>
          <cell r="AA372"/>
        </row>
        <row r="373">
          <cell r="A373">
            <v>366</v>
          </cell>
          <cell r="B373" t="str">
            <v>THIOFANOX</v>
          </cell>
          <cell r="C373" t="str">
            <v>39196-18-4</v>
          </cell>
          <cell r="D373" t="str">
            <v>Neutral</v>
          </cell>
          <cell r="E373"/>
          <cell r="F373">
            <v>218.32</v>
          </cell>
          <cell r="G373"/>
          <cell r="H373">
            <v>2.2666666661E-2</v>
          </cell>
          <cell r="I373">
            <v>5200</v>
          </cell>
          <cell r="J373"/>
          <cell r="K373">
            <v>562.34132519034927</v>
          </cell>
          <cell r="L373"/>
          <cell r="M373"/>
          <cell r="N373"/>
          <cell r="O373"/>
          <cell r="P373"/>
          <cell r="Q373">
            <v>1.1957580000000001E-5</v>
          </cell>
          <cell r="R373">
            <v>2.1393431498763744E-7</v>
          </cell>
          <cell r="S373">
            <v>2.3770479443070826E-8</v>
          </cell>
          <cell r="T373">
            <v>2.0056342030091009E-6</v>
          </cell>
          <cell r="U373"/>
          <cell r="V373"/>
          <cell r="W373">
            <v>30000</v>
          </cell>
          <cell r="X373">
            <v>0.33333333333333331</v>
          </cell>
          <cell r="Y373">
            <v>0.33333333333333331</v>
          </cell>
          <cell r="Z373">
            <v>0.33333333333333331</v>
          </cell>
          <cell r="AA373"/>
        </row>
        <row r="374">
          <cell r="A374">
            <v>367</v>
          </cell>
          <cell r="B374" t="str">
            <v>BENZYLMALONIC ACID, DIETHYL ESTER</v>
          </cell>
          <cell r="C374" t="str">
            <v>607-81-8</v>
          </cell>
          <cell r="D374" t="str">
            <v>Neutral</v>
          </cell>
          <cell r="E374"/>
          <cell r="F374">
            <v>250.3</v>
          </cell>
          <cell r="G374"/>
          <cell r="H374">
            <v>0.25999999993499995</v>
          </cell>
          <cell r="I374">
            <v>103.6</v>
          </cell>
          <cell r="J374"/>
          <cell r="K374">
            <v>575.43993733715706</v>
          </cell>
          <cell r="L374"/>
          <cell r="M374"/>
          <cell r="N374"/>
          <cell r="O374"/>
          <cell r="P374"/>
          <cell r="Q374">
            <v>7.1599200000000004E-6</v>
          </cell>
          <cell r="R374">
            <v>5.3483578746909358E-7</v>
          </cell>
          <cell r="S374">
            <v>5.9426198607677063E-8</v>
          </cell>
          <cell r="T374">
            <v>2.6741789373454679E-7</v>
          </cell>
          <cell r="U374"/>
          <cell r="V374"/>
          <cell r="W374">
            <v>30000</v>
          </cell>
          <cell r="X374">
            <v>0.33333333333333331</v>
          </cell>
          <cell r="Y374">
            <v>0.33333333333333331</v>
          </cell>
          <cell r="Z374">
            <v>0.33333333333333331</v>
          </cell>
          <cell r="AA374"/>
        </row>
        <row r="375">
          <cell r="A375">
            <v>368</v>
          </cell>
          <cell r="B375" t="str">
            <v>4-CHLOROANISOLE</v>
          </cell>
          <cell r="C375" t="str">
            <v>623-12-1</v>
          </cell>
          <cell r="D375" t="str">
            <v>Neutral</v>
          </cell>
          <cell r="E375"/>
          <cell r="F375">
            <v>142.59</v>
          </cell>
          <cell r="G375"/>
          <cell r="H375">
            <v>54.533333319699992</v>
          </cell>
          <cell r="I375">
            <v>237</v>
          </cell>
          <cell r="J375"/>
          <cell r="K375">
            <v>602.55958607435775</v>
          </cell>
          <cell r="L375"/>
          <cell r="M375"/>
          <cell r="N375"/>
          <cell r="O375"/>
          <cell r="P375"/>
          <cell r="Q375">
            <v>5.3311200000000002E-6</v>
          </cell>
          <cell r="R375">
            <v>2.1393431498763744E-7</v>
          </cell>
          <cell r="S375">
            <v>2.3770479443070826E-8</v>
          </cell>
          <cell r="T375">
            <v>1.0696715749381872E-7</v>
          </cell>
          <cell r="U375"/>
          <cell r="V375"/>
          <cell r="W375">
            <v>30000</v>
          </cell>
          <cell r="X375">
            <v>0.33333333333333331</v>
          </cell>
          <cell r="Y375">
            <v>0.33333333333333331</v>
          </cell>
          <cell r="Z375">
            <v>0.33333333333333331</v>
          </cell>
          <cell r="AA375"/>
        </row>
        <row r="376">
          <cell r="A376">
            <v>369</v>
          </cell>
          <cell r="B376" t="str">
            <v>PHOSMET</v>
          </cell>
          <cell r="C376" t="str">
            <v>732-11-6</v>
          </cell>
          <cell r="D376" t="str">
            <v>Neutral</v>
          </cell>
          <cell r="E376"/>
          <cell r="F376">
            <v>317.32</v>
          </cell>
          <cell r="G376"/>
          <cell r="H376">
            <v>6.5333333316999997E-5</v>
          </cell>
          <cell r="I376">
            <v>24.4</v>
          </cell>
          <cell r="J376"/>
          <cell r="K376">
            <v>602.55958607435775</v>
          </cell>
          <cell r="L376"/>
          <cell r="M376"/>
          <cell r="N376"/>
          <cell r="O376"/>
          <cell r="P376"/>
          <cell r="Q376">
            <v>1.146209325E-4</v>
          </cell>
          <cell r="R376">
            <v>2.1393431498763744E-7</v>
          </cell>
          <cell r="S376">
            <v>2.3770479443070826E-8</v>
          </cell>
          <cell r="T376">
            <v>1.1460766874337719E-6</v>
          </cell>
          <cell r="U376"/>
          <cell r="V376"/>
          <cell r="W376">
            <v>30000</v>
          </cell>
          <cell r="X376">
            <v>0.33333333333333331</v>
          </cell>
          <cell r="Y376">
            <v>0.33333333333333331</v>
          </cell>
          <cell r="Z376">
            <v>0.33333333333333331</v>
          </cell>
          <cell r="AA376"/>
        </row>
        <row r="377">
          <cell r="A377">
            <v>370</v>
          </cell>
          <cell r="B377" t="str">
            <v>carbon tetrachloride (CCl4)</v>
          </cell>
          <cell r="C377" t="str">
            <v>56-23-5</v>
          </cell>
          <cell r="D377" t="str">
            <v>Neutral</v>
          </cell>
          <cell r="E377"/>
          <cell r="F377">
            <v>153.82</v>
          </cell>
          <cell r="G377"/>
          <cell r="H377">
            <v>15333.333329499999</v>
          </cell>
          <cell r="I377">
            <v>793</v>
          </cell>
          <cell r="J377"/>
          <cell r="K377">
            <v>676.08297539198213</v>
          </cell>
          <cell r="L377"/>
          <cell r="M377"/>
          <cell r="N377"/>
          <cell r="O377"/>
          <cell r="P377"/>
          <cell r="Q377"/>
          <cell r="R377">
            <v>1.3370894686727339E-7</v>
          </cell>
          <cell r="S377">
            <v>1.4856549651919266E-8</v>
          </cell>
          <cell r="T377">
            <v>1.6045073624072808E-6</v>
          </cell>
          <cell r="U377"/>
          <cell r="V377"/>
          <cell r="W377">
            <v>30000</v>
          </cell>
          <cell r="X377">
            <v>0.33333333333333331</v>
          </cell>
          <cell r="Y377">
            <v>0.33333333333333331</v>
          </cell>
          <cell r="Z377">
            <v>0.33333333333333331</v>
          </cell>
          <cell r="AA377"/>
        </row>
        <row r="378">
          <cell r="A378">
            <v>371</v>
          </cell>
          <cell r="B378" t="str">
            <v>chlorobenzene</v>
          </cell>
          <cell r="C378" t="str">
            <v>108-90-7</v>
          </cell>
          <cell r="D378" t="str">
            <v>Neutral</v>
          </cell>
          <cell r="E378"/>
          <cell r="F378">
            <v>112.56</v>
          </cell>
          <cell r="G378"/>
          <cell r="H378">
            <v>1599.9999995999999</v>
          </cell>
          <cell r="I378">
            <v>498</v>
          </cell>
          <cell r="J378"/>
          <cell r="K378">
            <v>691.83097091893671</v>
          </cell>
          <cell r="L378"/>
          <cell r="M378"/>
          <cell r="N378"/>
          <cell r="O378"/>
          <cell r="P378"/>
          <cell r="Q378">
            <v>5.7749999999999998E-7</v>
          </cell>
          <cell r="R378">
            <v>5.3483578746909358E-7</v>
          </cell>
          <cell r="S378">
            <v>5.9426198607677063E-8</v>
          </cell>
          <cell r="T378">
            <v>2.6741789373454679E-7</v>
          </cell>
          <cell r="U378"/>
          <cell r="V378"/>
          <cell r="W378">
            <v>30000</v>
          </cell>
          <cell r="X378">
            <v>0.33333333333333331</v>
          </cell>
          <cell r="Y378">
            <v>0.33333333333333331</v>
          </cell>
          <cell r="Z378">
            <v>0.33333333333333331</v>
          </cell>
          <cell r="AA378"/>
        </row>
        <row r="379">
          <cell r="A379">
            <v>372</v>
          </cell>
          <cell r="B379" t="str">
            <v>Parathion-methyl</v>
          </cell>
          <cell r="C379" t="str">
            <v>298-00-0</v>
          </cell>
          <cell r="D379" t="str">
            <v>Neutral</v>
          </cell>
          <cell r="E379"/>
          <cell r="F379">
            <v>263.20999999999998</v>
          </cell>
          <cell r="G379"/>
          <cell r="H379">
            <v>4.6666666654999995E-4</v>
          </cell>
          <cell r="I379">
            <v>37.700000000000003</v>
          </cell>
          <cell r="J379"/>
          <cell r="K379">
            <v>724.43596007499025</v>
          </cell>
          <cell r="L379"/>
          <cell r="M379"/>
          <cell r="N379"/>
          <cell r="O379"/>
          <cell r="P379"/>
          <cell r="Q379">
            <v>4.4270767499999997E-5</v>
          </cell>
          <cell r="R379">
            <v>2.1393431498763744E-7</v>
          </cell>
          <cell r="S379">
            <v>2.3770479443070826E-8</v>
          </cell>
          <cell r="T379">
            <v>8.0225368120364042E-7</v>
          </cell>
          <cell r="U379"/>
          <cell r="V379"/>
          <cell r="W379">
            <v>30000</v>
          </cell>
          <cell r="X379">
            <v>0.33333333333333331</v>
          </cell>
          <cell r="Y379">
            <v>0.33333333333333331</v>
          </cell>
          <cell r="Z379">
            <v>0.33333333333333331</v>
          </cell>
          <cell r="AA379"/>
        </row>
        <row r="380">
          <cell r="A380">
            <v>373</v>
          </cell>
          <cell r="B380" t="str">
            <v>METHYL P-CHLOROBENZOATE</v>
          </cell>
          <cell r="C380" t="str">
            <v>1126-46-1</v>
          </cell>
          <cell r="D380" t="str">
            <v>Neutral</v>
          </cell>
          <cell r="E380"/>
          <cell r="F380">
            <v>170.6</v>
          </cell>
          <cell r="G380"/>
          <cell r="H380">
            <v>7.7199999980699996</v>
          </cell>
          <cell r="I380">
            <v>216.3</v>
          </cell>
          <cell r="J380"/>
          <cell r="K380">
            <v>741.31024130091828</v>
          </cell>
          <cell r="L380"/>
          <cell r="M380"/>
          <cell r="N380"/>
          <cell r="O380"/>
          <cell r="P380"/>
          <cell r="Q380">
            <v>4.9370999999999999E-7</v>
          </cell>
          <cell r="R380">
            <v>5.3483578746909358E-7</v>
          </cell>
          <cell r="S380">
            <v>5.9426198607677063E-8</v>
          </cell>
          <cell r="T380">
            <v>2.6741789373454679E-7</v>
          </cell>
          <cell r="U380"/>
          <cell r="V380"/>
          <cell r="W380">
            <v>30000</v>
          </cell>
          <cell r="X380">
            <v>0.33333333333333331</v>
          </cell>
          <cell r="Y380">
            <v>0.33333333333333331</v>
          </cell>
          <cell r="Z380">
            <v>0.33333333333333331</v>
          </cell>
          <cell r="AA380"/>
        </row>
        <row r="381">
          <cell r="A381">
            <v>374</v>
          </cell>
          <cell r="B381" t="str">
            <v>BENZENESULFONYL CHLORIDE</v>
          </cell>
          <cell r="C381" t="str">
            <v>98-09-9</v>
          </cell>
          <cell r="D381" t="str">
            <v>Neutral</v>
          </cell>
          <cell r="E381"/>
          <cell r="F381">
            <v>176.62</v>
          </cell>
          <cell r="G381"/>
          <cell r="H381">
            <v>7.7333333313999999</v>
          </cell>
          <cell r="I381">
            <v>175.9</v>
          </cell>
          <cell r="J381"/>
          <cell r="K381">
            <v>870.96358995608091</v>
          </cell>
          <cell r="L381"/>
          <cell r="M381"/>
          <cell r="N381"/>
          <cell r="O381"/>
          <cell r="P381"/>
          <cell r="Q381">
            <v>3.126525E-7</v>
          </cell>
          <cell r="R381">
            <v>5.3483578746909358E-7</v>
          </cell>
          <cell r="S381">
            <v>5.9426198607677063E-8</v>
          </cell>
          <cell r="T381">
            <v>2.6741789373454679E-7</v>
          </cell>
          <cell r="U381"/>
          <cell r="V381"/>
          <cell r="W381">
            <v>30000</v>
          </cell>
          <cell r="X381">
            <v>0.33333333333333331</v>
          </cell>
          <cell r="Y381">
            <v>0.33333333333333331</v>
          </cell>
          <cell r="Z381">
            <v>0.33333333333333331</v>
          </cell>
          <cell r="AA381"/>
        </row>
        <row r="382">
          <cell r="A382">
            <v>375</v>
          </cell>
          <cell r="B382" t="str">
            <v>2-IODOBUTANE</v>
          </cell>
          <cell r="C382" t="str">
            <v>513-48-4</v>
          </cell>
          <cell r="D382" t="str">
            <v>Neutral</v>
          </cell>
          <cell r="E382"/>
          <cell r="F382">
            <v>184.02</v>
          </cell>
          <cell r="G382"/>
          <cell r="H382">
            <v>2279.9999994300001</v>
          </cell>
          <cell r="I382">
            <v>210</v>
          </cell>
          <cell r="J382"/>
          <cell r="K382">
            <v>977.23722095581138</v>
          </cell>
          <cell r="L382"/>
          <cell r="M382"/>
          <cell r="N382"/>
          <cell r="O382"/>
          <cell r="P382"/>
          <cell r="Q382">
            <v>1.4993024999999999E-6</v>
          </cell>
          <cell r="R382">
            <v>5.3483578746909358E-7</v>
          </cell>
          <cell r="S382">
            <v>5.9426198607677063E-8</v>
          </cell>
          <cell r="T382">
            <v>2.6741789373454679E-7</v>
          </cell>
          <cell r="U382"/>
          <cell r="V382"/>
          <cell r="W382">
            <v>30000</v>
          </cell>
          <cell r="X382">
            <v>0.33333333333333331</v>
          </cell>
          <cell r="Y382">
            <v>0.33333333333333331</v>
          </cell>
          <cell r="Z382">
            <v>0.33333333333333331</v>
          </cell>
          <cell r="AA382"/>
        </row>
        <row r="383">
          <cell r="A383">
            <v>376</v>
          </cell>
          <cell r="B383" t="str">
            <v>Benzene, 1-chloro-4-methyl-2-nitro-</v>
          </cell>
          <cell r="C383" t="str">
            <v>89-60-1</v>
          </cell>
          <cell r="D383" t="str">
            <v>Neutral</v>
          </cell>
          <cell r="E383"/>
          <cell r="F383">
            <v>171.58</v>
          </cell>
          <cell r="G383"/>
          <cell r="H383">
            <v>2.0133333328299998</v>
          </cell>
          <cell r="I383">
            <v>67.180000000000007</v>
          </cell>
          <cell r="J383"/>
          <cell r="K383">
            <v>1000</v>
          </cell>
          <cell r="L383"/>
          <cell r="M383"/>
          <cell r="N383"/>
          <cell r="O383"/>
          <cell r="P383"/>
          <cell r="Q383">
            <v>2.596125E-7</v>
          </cell>
          <cell r="R383">
            <v>2.1393431498763744E-7</v>
          </cell>
          <cell r="S383">
            <v>2.3770479443070826E-8</v>
          </cell>
          <cell r="T383">
            <v>1.0696715749381872E-7</v>
          </cell>
          <cell r="U383"/>
          <cell r="V383"/>
          <cell r="W383">
            <v>30000</v>
          </cell>
          <cell r="X383">
            <v>0.33333333333333331</v>
          </cell>
          <cell r="Y383">
            <v>0.33333333333333331</v>
          </cell>
          <cell r="Z383">
            <v>0.33333333333333331</v>
          </cell>
          <cell r="AA383"/>
        </row>
        <row r="384">
          <cell r="A384">
            <v>377</v>
          </cell>
          <cell r="B384" t="str">
            <v>PRONETHALOL</v>
          </cell>
          <cell r="C384" t="str">
            <v>54-80-8</v>
          </cell>
          <cell r="D384" t="str">
            <v>Neutral</v>
          </cell>
          <cell r="E384"/>
          <cell r="F384">
            <v>229.32</v>
          </cell>
          <cell r="G384"/>
          <cell r="H384">
            <v>4.5733333321899993E-5</v>
          </cell>
          <cell r="I384">
            <v>857</v>
          </cell>
          <cell r="J384"/>
          <cell r="K384">
            <v>1000</v>
          </cell>
          <cell r="L384"/>
          <cell r="M384"/>
          <cell r="N384"/>
          <cell r="O384"/>
          <cell r="P384"/>
          <cell r="Q384">
            <v>1.1384817E-4</v>
          </cell>
          <cell r="R384">
            <v>5.3483578746909358E-7</v>
          </cell>
          <cell r="S384">
            <v>5.9426198607677063E-8</v>
          </cell>
          <cell r="T384">
            <v>2.6741789373454679E-7</v>
          </cell>
          <cell r="U384"/>
          <cell r="V384"/>
          <cell r="W384">
            <v>30000</v>
          </cell>
          <cell r="X384">
            <v>0.33333333333333331</v>
          </cell>
          <cell r="Y384">
            <v>0.33333333333333331</v>
          </cell>
          <cell r="Z384">
            <v>0.33333333333333331</v>
          </cell>
          <cell r="AA384"/>
        </row>
        <row r="385">
          <cell r="A385">
            <v>378</v>
          </cell>
          <cell r="B385" t="str">
            <v>Propanoic acid, 2-methyl-, monoester with 2,2,4-trimethyl-1,3-pentanediol</v>
          </cell>
          <cell r="C385" t="str">
            <v>25265-77-4</v>
          </cell>
          <cell r="D385" t="str">
            <v>Neutral</v>
          </cell>
          <cell r="E385"/>
          <cell r="F385">
            <v>216.32</v>
          </cell>
          <cell r="G385"/>
          <cell r="H385">
            <v>1.3333333329999999</v>
          </cell>
          <cell r="I385">
            <v>321.5</v>
          </cell>
          <cell r="J385"/>
          <cell r="K385">
            <v>1000</v>
          </cell>
          <cell r="L385"/>
          <cell r="M385"/>
          <cell r="N385"/>
          <cell r="O385"/>
          <cell r="P385"/>
          <cell r="Q385">
            <v>1.2181484999999999E-5</v>
          </cell>
          <cell r="R385">
            <v>5.3483578746909358E-7</v>
          </cell>
          <cell r="S385">
            <v>5.9426198607677063E-8</v>
          </cell>
          <cell r="T385">
            <v>2.6741789373454679E-7</v>
          </cell>
          <cell r="U385"/>
          <cell r="V385"/>
          <cell r="W385">
            <v>30000</v>
          </cell>
          <cell r="X385">
            <v>0.33333333333333331</v>
          </cell>
          <cell r="Y385">
            <v>0.33333333333333331</v>
          </cell>
          <cell r="Z385">
            <v>0.33333333333333331</v>
          </cell>
          <cell r="AA385"/>
        </row>
        <row r="386">
          <cell r="A386">
            <v>379</v>
          </cell>
          <cell r="B386" t="str">
            <v>BENZOTRIFLUORIDE</v>
          </cell>
          <cell r="C386" t="str">
            <v>98-08-8</v>
          </cell>
          <cell r="D386" t="str">
            <v>Neutral</v>
          </cell>
          <cell r="E386"/>
          <cell r="F386">
            <v>146.11000000000001</v>
          </cell>
          <cell r="G386"/>
          <cell r="H386">
            <v>5173.3333320399997</v>
          </cell>
          <cell r="I386">
            <v>140</v>
          </cell>
          <cell r="J386"/>
          <cell r="K386">
            <v>1023.2929922807547</v>
          </cell>
          <cell r="L386"/>
          <cell r="M386"/>
          <cell r="N386"/>
          <cell r="O386"/>
          <cell r="P386"/>
          <cell r="Q386">
            <v>3.4499999999999998E-7</v>
          </cell>
          <cell r="R386">
            <v>2.1393431498763744E-7</v>
          </cell>
          <cell r="S386">
            <v>2.3770479443070826E-8</v>
          </cell>
          <cell r="T386">
            <v>1.0696715749381872E-7</v>
          </cell>
          <cell r="U386"/>
          <cell r="V386"/>
          <cell r="W386">
            <v>30000</v>
          </cell>
          <cell r="X386">
            <v>0.33333333333333331</v>
          </cell>
          <cell r="Y386">
            <v>0.33333333333333331</v>
          </cell>
          <cell r="Z386">
            <v>0.33333333333333331</v>
          </cell>
          <cell r="AA386"/>
        </row>
        <row r="387">
          <cell r="A387">
            <v>380</v>
          </cell>
          <cell r="B387" t="str">
            <v>Borneol</v>
          </cell>
          <cell r="C387" t="str">
            <v>464-45-9</v>
          </cell>
          <cell r="D387" t="str">
            <v>Neutral</v>
          </cell>
          <cell r="E387"/>
          <cell r="F387">
            <v>154.25</v>
          </cell>
          <cell r="G387"/>
          <cell r="H387">
            <v>6.6933333316599999</v>
          </cell>
          <cell r="I387">
            <v>738</v>
          </cell>
          <cell r="J387"/>
          <cell r="K387">
            <v>1023.2929922807547</v>
          </cell>
          <cell r="L387"/>
          <cell r="M387"/>
          <cell r="N387"/>
          <cell r="O387"/>
          <cell r="P387"/>
          <cell r="Q387">
            <v>8.5560299999999995E-6</v>
          </cell>
          <cell r="R387">
            <v>2.1393431498763744E-7</v>
          </cell>
          <cell r="S387">
            <v>2.3770479443070826E-8</v>
          </cell>
          <cell r="T387">
            <v>1.0696715749381872E-7</v>
          </cell>
          <cell r="U387"/>
          <cell r="V387"/>
          <cell r="W387">
            <v>30000</v>
          </cell>
          <cell r="X387">
            <v>0.33333333333333331</v>
          </cell>
          <cell r="Y387">
            <v>0.33333333333333331</v>
          </cell>
          <cell r="Z387">
            <v>0.33333333333333331</v>
          </cell>
          <cell r="AA387"/>
        </row>
        <row r="388">
          <cell r="A388">
            <v>381</v>
          </cell>
          <cell r="B388" t="str">
            <v>4-ETHYLNITROBENZENE</v>
          </cell>
          <cell r="C388" t="str">
            <v>100-12-9</v>
          </cell>
          <cell r="D388" t="str">
            <v>Neutral</v>
          </cell>
          <cell r="E388"/>
          <cell r="F388">
            <v>151.16999999999999</v>
          </cell>
          <cell r="G388"/>
          <cell r="H388">
            <v>4.6133333321799999</v>
          </cell>
          <cell r="I388">
            <v>78.95</v>
          </cell>
          <cell r="J388"/>
          <cell r="K388">
            <v>1071.5193052376069</v>
          </cell>
          <cell r="L388"/>
          <cell r="M388"/>
          <cell r="N388"/>
          <cell r="O388"/>
          <cell r="P388"/>
          <cell r="Q388">
            <v>1.280115E-6</v>
          </cell>
          <cell r="R388">
            <v>2.1393431498763744E-7</v>
          </cell>
          <cell r="S388">
            <v>2.3770479443070826E-8</v>
          </cell>
          <cell r="T388">
            <v>1.0696715749381872E-7</v>
          </cell>
          <cell r="U388"/>
          <cell r="V388"/>
          <cell r="W388">
            <v>30000</v>
          </cell>
          <cell r="X388">
            <v>0.33333333333333331</v>
          </cell>
          <cell r="Y388">
            <v>0.33333333333333331</v>
          </cell>
          <cell r="Z388">
            <v>0.33333333333333331</v>
          </cell>
          <cell r="AA388"/>
        </row>
        <row r="389">
          <cell r="A389">
            <v>382</v>
          </cell>
          <cell r="B389" t="str">
            <v>IODOFORM</v>
          </cell>
          <cell r="C389" t="str">
            <v>75-47-8</v>
          </cell>
          <cell r="D389" t="str">
            <v>Neutral</v>
          </cell>
          <cell r="E389"/>
          <cell r="F389">
            <v>393.73</v>
          </cell>
          <cell r="G389"/>
          <cell r="H389">
            <v>3.1599999992099996</v>
          </cell>
          <cell r="I389">
            <v>100</v>
          </cell>
          <cell r="J389"/>
          <cell r="K389">
            <v>1071.5193052376069</v>
          </cell>
          <cell r="L389"/>
          <cell r="M389"/>
          <cell r="N389"/>
          <cell r="O389"/>
          <cell r="P389"/>
          <cell r="Q389">
            <v>2.1661499999999998E-7</v>
          </cell>
          <cell r="R389">
            <v>2.1393431498763744E-7</v>
          </cell>
          <cell r="S389">
            <v>2.3770479443070826E-8</v>
          </cell>
          <cell r="T389">
            <v>1.0696715749381872E-7</v>
          </cell>
          <cell r="U389"/>
          <cell r="V389"/>
          <cell r="W389">
            <v>30000</v>
          </cell>
          <cell r="X389">
            <v>0.33333333333333331</v>
          </cell>
          <cell r="Y389">
            <v>0.33333333333333331</v>
          </cell>
          <cell r="Z389">
            <v>0.33333333333333331</v>
          </cell>
          <cell r="AA389"/>
        </row>
        <row r="390">
          <cell r="A390">
            <v>383</v>
          </cell>
          <cell r="B390" t="str">
            <v>BENZALACETOPHENONE</v>
          </cell>
          <cell r="C390" t="str">
            <v>94-41-7</v>
          </cell>
          <cell r="D390" t="str">
            <v>Neutral</v>
          </cell>
          <cell r="E390"/>
          <cell r="F390">
            <v>208.26</v>
          </cell>
          <cell r="G390"/>
          <cell r="H390">
            <v>1.0293333330760001E-2</v>
          </cell>
          <cell r="I390">
            <v>92.93</v>
          </cell>
          <cell r="J390"/>
          <cell r="K390">
            <v>1202.2644346174138</v>
          </cell>
          <cell r="L390"/>
          <cell r="M390"/>
          <cell r="N390"/>
          <cell r="O390"/>
          <cell r="P390"/>
          <cell r="Q390">
            <v>1.7512965000000001E-5</v>
          </cell>
          <cell r="R390">
            <v>5.3483578746909358E-7</v>
          </cell>
          <cell r="S390">
            <v>5.9426198607677063E-8</v>
          </cell>
          <cell r="T390">
            <v>2.6741789373454679E-7</v>
          </cell>
          <cell r="U390"/>
          <cell r="V390"/>
          <cell r="W390">
            <v>30000</v>
          </cell>
          <cell r="X390">
            <v>0.33333333333333331</v>
          </cell>
          <cell r="Y390">
            <v>0.33333333333333331</v>
          </cell>
          <cell r="Z390">
            <v>0.33333333333333331</v>
          </cell>
          <cell r="AA390"/>
        </row>
        <row r="391">
          <cell r="A391">
            <v>384</v>
          </cell>
          <cell r="B391" t="str">
            <v>BENZENE, 1-CHLORO-2-METHYL-3-NITRO-</v>
          </cell>
          <cell r="C391" t="str">
            <v>83-42-1</v>
          </cell>
          <cell r="D391" t="str">
            <v>Neutral</v>
          </cell>
          <cell r="E391"/>
          <cell r="F391">
            <v>171.58</v>
          </cell>
          <cell r="G391"/>
          <cell r="H391">
            <v>5.0266666654099996</v>
          </cell>
          <cell r="I391">
            <v>56.56</v>
          </cell>
          <cell r="J391"/>
          <cell r="K391">
            <v>1230.2687708123824</v>
          </cell>
          <cell r="L391"/>
          <cell r="M391"/>
          <cell r="N391"/>
          <cell r="O391"/>
          <cell r="P391"/>
          <cell r="Q391">
            <v>2.413125E-7</v>
          </cell>
          <cell r="R391">
            <v>2.1393431498763744E-7</v>
          </cell>
          <cell r="S391">
            <v>2.3770479443070826E-8</v>
          </cell>
          <cell r="T391">
            <v>1.0696715749381872E-7</v>
          </cell>
          <cell r="U391"/>
          <cell r="V391"/>
          <cell r="W391">
            <v>30000</v>
          </cell>
          <cell r="X391">
            <v>0.33333333333333331</v>
          </cell>
          <cell r="Y391">
            <v>0.33333333333333331</v>
          </cell>
          <cell r="Z391">
            <v>0.33333333333333331</v>
          </cell>
          <cell r="AA391"/>
        </row>
        <row r="392">
          <cell r="A392">
            <v>385</v>
          </cell>
          <cell r="B392" t="str">
            <v>ISONONYL ALCOHOL</v>
          </cell>
          <cell r="C392" t="str">
            <v>3452-97-9</v>
          </cell>
          <cell r="D392" t="str">
            <v>Neutral</v>
          </cell>
          <cell r="E392"/>
          <cell r="F392">
            <v>144.26</v>
          </cell>
          <cell r="G392"/>
          <cell r="H392">
            <v>39.999999989999999</v>
          </cell>
          <cell r="I392">
            <v>572</v>
          </cell>
          <cell r="J392"/>
          <cell r="K392">
            <v>1288.2495516931347</v>
          </cell>
          <cell r="L392"/>
          <cell r="M392"/>
          <cell r="N392"/>
          <cell r="O392"/>
          <cell r="P392"/>
          <cell r="Q392">
            <v>7.9433324999999996E-6</v>
          </cell>
          <cell r="R392">
            <v>5.3483578746909358E-7</v>
          </cell>
          <cell r="S392">
            <v>5.9426198607677063E-8</v>
          </cell>
          <cell r="T392">
            <v>2.6741789373454679E-7</v>
          </cell>
          <cell r="U392"/>
          <cell r="V392"/>
          <cell r="W392">
            <v>30000</v>
          </cell>
          <cell r="X392">
            <v>0.33333333333333331</v>
          </cell>
          <cell r="Y392">
            <v>0.33333333333333331</v>
          </cell>
          <cell r="Z392">
            <v>0.33333333333333331</v>
          </cell>
          <cell r="AA392"/>
        </row>
        <row r="393">
          <cell r="A393">
            <v>386</v>
          </cell>
          <cell r="B393" t="str">
            <v>3,4-DICHLORONITROBENZENE</v>
          </cell>
          <cell r="C393" t="str">
            <v>99-54-7</v>
          </cell>
          <cell r="D393" t="str">
            <v>Neutral</v>
          </cell>
          <cell r="E393"/>
          <cell r="F393">
            <v>192</v>
          </cell>
          <cell r="G393"/>
          <cell r="H393">
            <v>1.3733333329899999</v>
          </cell>
          <cell r="I393">
            <v>121</v>
          </cell>
          <cell r="J393"/>
          <cell r="K393">
            <v>1318.2567385564089</v>
          </cell>
          <cell r="L393"/>
          <cell r="M393"/>
          <cell r="N393"/>
          <cell r="O393"/>
          <cell r="P393"/>
          <cell r="Q393">
            <v>3.7537500000000001E-8</v>
          </cell>
          <cell r="R393">
            <v>1.3370894686727339E-7</v>
          </cell>
          <cell r="S393">
            <v>1.4856549651919266E-8</v>
          </cell>
          <cell r="T393">
            <v>6.6854473433636697E-8</v>
          </cell>
          <cell r="U393"/>
          <cell r="V393"/>
          <cell r="W393">
            <v>30000</v>
          </cell>
          <cell r="X393">
            <v>0.33333333333333331</v>
          </cell>
          <cell r="Y393">
            <v>0.33333333333333331</v>
          </cell>
          <cell r="Z393">
            <v>0.33333333333333331</v>
          </cell>
          <cell r="AA393"/>
        </row>
        <row r="394">
          <cell r="A394">
            <v>387</v>
          </cell>
          <cell r="B394" t="str">
            <v>METHYL 2,5-DICHLOROBENZOATE</v>
          </cell>
          <cell r="C394" t="str">
            <v>2905-69-3</v>
          </cell>
          <cell r="D394" t="str">
            <v>Neutral</v>
          </cell>
          <cell r="E394"/>
          <cell r="F394">
            <v>205.04</v>
          </cell>
          <cell r="G394"/>
          <cell r="H394">
            <v>2.0266666661599997</v>
          </cell>
          <cell r="I394">
            <v>89.75</v>
          </cell>
          <cell r="J394"/>
          <cell r="K394">
            <v>1318.2567385564089</v>
          </cell>
          <cell r="L394"/>
          <cell r="M394"/>
          <cell r="N394"/>
          <cell r="O394"/>
          <cell r="P394"/>
          <cell r="Q394">
            <v>2.59695E-7</v>
          </cell>
          <cell r="R394">
            <v>2.1393431498763744E-7</v>
          </cell>
          <cell r="S394">
            <v>2.3770479443070826E-8</v>
          </cell>
          <cell r="T394">
            <v>1.0696715749381872E-7</v>
          </cell>
          <cell r="U394"/>
          <cell r="V394"/>
          <cell r="W394">
            <v>30000</v>
          </cell>
          <cell r="X394">
            <v>0.33333333333333331</v>
          </cell>
          <cell r="Y394">
            <v>0.33333333333333331</v>
          </cell>
          <cell r="Z394">
            <v>0.33333333333333331</v>
          </cell>
          <cell r="AA394"/>
        </row>
        <row r="395">
          <cell r="A395">
            <v>388</v>
          </cell>
          <cell r="B395" t="str">
            <v>Xylenes</v>
          </cell>
          <cell r="C395" t="str">
            <v>1330-20-7</v>
          </cell>
          <cell r="D395" t="str">
            <v>Neutral</v>
          </cell>
          <cell r="E395"/>
          <cell r="F395">
            <v>106.17</v>
          </cell>
          <cell r="G395"/>
          <cell r="H395">
            <v>1065.333333067</v>
          </cell>
          <cell r="I395">
            <v>106</v>
          </cell>
          <cell r="J395"/>
          <cell r="K395">
            <v>1318.2567385564089</v>
          </cell>
          <cell r="L395"/>
          <cell r="M395"/>
          <cell r="N395"/>
          <cell r="O395"/>
          <cell r="P395"/>
          <cell r="Q395">
            <v>1.0275000000000001E-5</v>
          </cell>
          <cell r="R395">
            <v>5.3483578746909358E-7</v>
          </cell>
          <cell r="S395">
            <v>5.9426198607677063E-8</v>
          </cell>
          <cell r="T395">
            <v>2.6741789373454679E-7</v>
          </cell>
          <cell r="U395"/>
          <cell r="V395"/>
          <cell r="W395">
            <v>30000</v>
          </cell>
          <cell r="X395">
            <v>0.33333333333333331</v>
          </cell>
          <cell r="Y395">
            <v>0.33333333333333331</v>
          </cell>
          <cell r="Z395">
            <v>0.33333333333333331</v>
          </cell>
          <cell r="AA395"/>
        </row>
        <row r="396">
          <cell r="A396">
            <v>389</v>
          </cell>
          <cell r="B396" t="str">
            <v>PHOSPHORIC ACID,2-CHLORO-(2,4-DICHLOROPHENYL)VIN</v>
          </cell>
          <cell r="C396" t="str">
            <v>2274-67-1</v>
          </cell>
          <cell r="D396" t="str">
            <v>Neutral</v>
          </cell>
          <cell r="E396"/>
          <cell r="F396">
            <v>331.52</v>
          </cell>
          <cell r="G396"/>
          <cell r="H396">
            <v>1.2999999996749999E-3</v>
          </cell>
          <cell r="I396">
            <v>130</v>
          </cell>
          <cell r="J396"/>
          <cell r="K396">
            <v>1348.9628825916541</v>
          </cell>
          <cell r="L396"/>
          <cell r="M396"/>
          <cell r="N396"/>
          <cell r="O396"/>
          <cell r="P396"/>
          <cell r="Q396">
            <v>1.8549112499999999E-5</v>
          </cell>
          <cell r="R396">
            <v>1.3370894686727339E-7</v>
          </cell>
          <cell r="S396">
            <v>1.4856549651919266E-8</v>
          </cell>
          <cell r="T396">
            <v>2.005634203009101E-7</v>
          </cell>
          <cell r="U396"/>
          <cell r="V396"/>
          <cell r="W396">
            <v>30000</v>
          </cell>
          <cell r="X396">
            <v>0.33333333333333331</v>
          </cell>
          <cell r="Y396">
            <v>0.33333333333333331</v>
          </cell>
          <cell r="Z396">
            <v>0.33333333333333331</v>
          </cell>
          <cell r="AA396"/>
        </row>
        <row r="397">
          <cell r="A397">
            <v>390</v>
          </cell>
          <cell r="B397" t="str">
            <v>DINOSEB ACETATE</v>
          </cell>
          <cell r="C397" t="str">
            <v>2813-95-8</v>
          </cell>
          <cell r="D397" t="str">
            <v>Neutral</v>
          </cell>
          <cell r="E397"/>
          <cell r="F397">
            <v>282.26</v>
          </cell>
          <cell r="G397"/>
          <cell r="H397">
            <v>7.9999999979999986E-2</v>
          </cell>
          <cell r="I397">
            <v>2200</v>
          </cell>
          <cell r="J397"/>
          <cell r="K397">
            <v>1479.1083881682086</v>
          </cell>
          <cell r="L397"/>
          <cell r="M397"/>
          <cell r="N397"/>
          <cell r="O397"/>
          <cell r="P397"/>
          <cell r="Q397">
            <v>2.9532599999999999E-6</v>
          </cell>
          <cell r="R397">
            <v>2.1393431498763744E-7</v>
          </cell>
          <cell r="S397">
            <v>2.3770479443070826E-8</v>
          </cell>
          <cell r="T397">
            <v>1.0696715749381872E-7</v>
          </cell>
          <cell r="U397"/>
          <cell r="V397"/>
          <cell r="W397">
            <v>30000</v>
          </cell>
          <cell r="X397">
            <v>0.33333333333333331</v>
          </cell>
          <cell r="Y397">
            <v>0.33333333333333331</v>
          </cell>
          <cell r="Z397">
            <v>0.33333333333333331</v>
          </cell>
          <cell r="AA397"/>
        </row>
        <row r="398">
          <cell r="A398">
            <v>391</v>
          </cell>
          <cell r="B398" t="str">
            <v>indan</v>
          </cell>
          <cell r="C398" t="str">
            <v>496-11-7</v>
          </cell>
          <cell r="D398" t="str">
            <v>Neutral</v>
          </cell>
          <cell r="E398"/>
          <cell r="F398">
            <v>118.18</v>
          </cell>
          <cell r="G398"/>
          <cell r="H398">
            <v>195.99999995099998</v>
          </cell>
          <cell r="I398">
            <v>109</v>
          </cell>
          <cell r="J398"/>
          <cell r="K398">
            <v>1513.5612484362093</v>
          </cell>
          <cell r="L398"/>
          <cell r="M398"/>
          <cell r="N398"/>
          <cell r="O398"/>
          <cell r="P398"/>
          <cell r="Q398">
            <v>6.9E-6</v>
          </cell>
          <cell r="R398">
            <v>5.3483578746909358E-7</v>
          </cell>
          <cell r="S398">
            <v>5.9426198607677063E-8</v>
          </cell>
          <cell r="T398">
            <v>2.6741789373454679E-7</v>
          </cell>
          <cell r="U398"/>
          <cell r="V398"/>
          <cell r="W398">
            <v>30000</v>
          </cell>
          <cell r="X398">
            <v>0.33333333333333331</v>
          </cell>
          <cell r="Y398">
            <v>0.33333333333333331</v>
          </cell>
          <cell r="Z398">
            <v>0.33333333333333331</v>
          </cell>
          <cell r="AA398"/>
        </row>
        <row r="399">
          <cell r="A399">
            <v>392</v>
          </cell>
          <cell r="B399" t="str">
            <v>Cetrimonium Bromide</v>
          </cell>
          <cell r="C399" t="str">
            <v>57-09-0</v>
          </cell>
          <cell r="D399" t="str">
            <v>Neutral</v>
          </cell>
          <cell r="E399"/>
          <cell r="F399">
            <v>364.46</v>
          </cell>
          <cell r="G399"/>
          <cell r="H399">
            <v>5.3599999986600002E-9</v>
          </cell>
          <cell r="I399">
            <v>100000</v>
          </cell>
          <cell r="J399"/>
          <cell r="K399">
            <v>1513.5612484362093</v>
          </cell>
          <cell r="L399"/>
          <cell r="M399"/>
          <cell r="N399"/>
          <cell r="O399"/>
          <cell r="P399"/>
          <cell r="Q399">
            <v>2.562312E-5</v>
          </cell>
          <cell r="R399">
            <v>2.1393431498763744E-7</v>
          </cell>
          <cell r="S399">
            <v>2.3770479443070826E-8</v>
          </cell>
          <cell r="T399">
            <v>1.0696715749381872E-7</v>
          </cell>
          <cell r="U399"/>
          <cell r="V399"/>
          <cell r="W399">
            <v>30000</v>
          </cell>
          <cell r="X399">
            <v>0.33333333333333331</v>
          </cell>
          <cell r="Y399">
            <v>0.33333333333333331</v>
          </cell>
          <cell r="Z399">
            <v>0.33333333333333331</v>
          </cell>
          <cell r="AA399"/>
        </row>
        <row r="400">
          <cell r="A400">
            <v>393</v>
          </cell>
          <cell r="B400" t="str">
            <v>PYRIDAPHENTHION</v>
          </cell>
          <cell r="C400" t="str">
            <v>119-12-0</v>
          </cell>
          <cell r="D400" t="str">
            <v>Neutral</v>
          </cell>
          <cell r="E400"/>
          <cell r="F400">
            <v>340.34</v>
          </cell>
          <cell r="G400"/>
          <cell r="H400">
            <v>1.4666666662999999E-6</v>
          </cell>
          <cell r="I400">
            <v>100</v>
          </cell>
          <cell r="J400"/>
          <cell r="K400">
            <v>1584.8931924611156</v>
          </cell>
          <cell r="L400"/>
          <cell r="M400"/>
          <cell r="N400"/>
          <cell r="O400"/>
          <cell r="P400"/>
          <cell r="Q400">
            <v>8.6493809999999989E-5</v>
          </cell>
          <cell r="R400">
            <v>2.1393431498763744E-7</v>
          </cell>
          <cell r="S400">
            <v>2.3770479443070826E-8</v>
          </cell>
          <cell r="T400">
            <v>4.4569648955757796E-7</v>
          </cell>
          <cell r="U400"/>
          <cell r="V400"/>
          <cell r="W400">
            <v>30000</v>
          </cell>
          <cell r="X400">
            <v>0.33333333333333331</v>
          </cell>
          <cell r="Y400">
            <v>0.33333333333333331</v>
          </cell>
          <cell r="Z400">
            <v>0.33333333333333331</v>
          </cell>
          <cell r="AA400"/>
        </row>
        <row r="401">
          <cell r="A401">
            <v>394</v>
          </cell>
          <cell r="B401" t="str">
            <v>BROMOCYCLOHEXANE</v>
          </cell>
          <cell r="C401" t="str">
            <v>108-85-0</v>
          </cell>
          <cell r="D401" t="str">
            <v>Neutral</v>
          </cell>
          <cell r="E401"/>
          <cell r="F401">
            <v>163.06</v>
          </cell>
          <cell r="G401"/>
          <cell r="H401">
            <v>331.99999991700003</v>
          </cell>
          <cell r="I401">
            <v>828</v>
          </cell>
          <cell r="J401"/>
          <cell r="K401">
            <v>1584.8931924611156</v>
          </cell>
          <cell r="L401"/>
          <cell r="M401"/>
          <cell r="N401"/>
          <cell r="O401"/>
          <cell r="P401"/>
          <cell r="Q401">
            <v>4.5884025000000002E-6</v>
          </cell>
          <cell r="R401">
            <v>5.3483578746909358E-7</v>
          </cell>
          <cell r="S401">
            <v>5.9426198607677063E-8</v>
          </cell>
          <cell r="T401">
            <v>2.6741789373454679E-7</v>
          </cell>
          <cell r="U401"/>
          <cell r="V401"/>
          <cell r="W401">
            <v>30000</v>
          </cell>
          <cell r="X401">
            <v>0.33333333333333331</v>
          </cell>
          <cell r="Y401">
            <v>0.33333333333333331</v>
          </cell>
          <cell r="Z401">
            <v>0.33333333333333331</v>
          </cell>
          <cell r="AA401"/>
        </row>
        <row r="402">
          <cell r="A402">
            <v>395</v>
          </cell>
          <cell r="B402" t="str">
            <v>1,2-DICHLOROCYCLOHEXANE -TRANS</v>
          </cell>
          <cell r="C402" t="str">
            <v>822-86-6</v>
          </cell>
          <cell r="D402" t="str">
            <v>Neutral</v>
          </cell>
          <cell r="E402"/>
          <cell r="F402">
            <v>153.05000000000001</v>
          </cell>
          <cell r="G402"/>
          <cell r="H402">
            <v>33.999999991499998</v>
          </cell>
          <cell r="I402">
            <v>141.5</v>
          </cell>
          <cell r="J402"/>
          <cell r="K402">
            <v>1621.8100973589308</v>
          </cell>
          <cell r="L402"/>
          <cell r="M402"/>
          <cell r="N402"/>
          <cell r="O402"/>
          <cell r="P402"/>
          <cell r="Q402">
            <v>3.2295825E-6</v>
          </cell>
          <cell r="R402">
            <v>2.1393431498763744E-7</v>
          </cell>
          <cell r="S402">
            <v>2.3770479443070826E-8</v>
          </cell>
          <cell r="T402">
            <v>1.0696715749381872E-7</v>
          </cell>
          <cell r="U402"/>
          <cell r="V402"/>
          <cell r="W402">
            <v>30000</v>
          </cell>
          <cell r="X402">
            <v>0.33333333333333331</v>
          </cell>
          <cell r="Y402">
            <v>0.33333333333333331</v>
          </cell>
          <cell r="Z402">
            <v>0.33333333333333331</v>
          </cell>
          <cell r="AA402"/>
        </row>
        <row r="403">
          <cell r="A403">
            <v>396</v>
          </cell>
          <cell r="B403" t="str">
            <v>DIALLYLPHTHALATE</v>
          </cell>
          <cell r="C403" t="str">
            <v>131-17-9</v>
          </cell>
          <cell r="D403" t="str">
            <v>Neutral</v>
          </cell>
          <cell r="E403"/>
          <cell r="F403">
            <v>246.26</v>
          </cell>
          <cell r="G403"/>
          <cell r="H403">
            <v>0.15466666662799999</v>
          </cell>
          <cell r="I403">
            <v>182</v>
          </cell>
          <cell r="J403"/>
          <cell r="K403">
            <v>1698.2436524617447</v>
          </cell>
          <cell r="L403"/>
          <cell r="M403"/>
          <cell r="N403"/>
          <cell r="O403"/>
          <cell r="P403"/>
          <cell r="Q403">
            <v>4.1798437500000002E-5</v>
          </cell>
          <cell r="R403">
            <v>5.3483578746909358E-7</v>
          </cell>
          <cell r="S403">
            <v>5.9426198607677063E-8</v>
          </cell>
          <cell r="T403">
            <v>2.6741789373454679E-7</v>
          </cell>
          <cell r="U403"/>
          <cell r="V403"/>
          <cell r="W403">
            <v>30000</v>
          </cell>
          <cell r="X403">
            <v>0.33333333333333331</v>
          </cell>
          <cell r="Y403">
            <v>0.33333333333333331</v>
          </cell>
          <cell r="Z403">
            <v>0.33333333333333331</v>
          </cell>
          <cell r="AA403"/>
        </row>
        <row r="404">
          <cell r="A404">
            <v>397</v>
          </cell>
          <cell r="B404" t="str">
            <v>Tributyl tin acetate</v>
          </cell>
          <cell r="C404" t="str">
            <v>56-36-0</v>
          </cell>
          <cell r="D404" t="str">
            <v>Neutral</v>
          </cell>
          <cell r="E404"/>
          <cell r="F404">
            <v>349.1</v>
          </cell>
          <cell r="G404"/>
          <cell r="H404">
            <v>0.35999999990999998</v>
          </cell>
          <cell r="I404">
            <v>65</v>
          </cell>
          <cell r="J404"/>
          <cell r="K404">
            <v>1737.8008287493772</v>
          </cell>
          <cell r="L404"/>
          <cell r="M404"/>
          <cell r="N404"/>
          <cell r="O404"/>
          <cell r="P404"/>
          <cell r="Q404">
            <v>3.202065E-5</v>
          </cell>
          <cell r="R404">
            <v>9.2532143160742838E-7</v>
          </cell>
          <cell r="S404">
            <v>1.0281349240082538E-7</v>
          </cell>
          <cell r="T404">
            <v>4.6266071580371419E-7</v>
          </cell>
          <cell r="U404"/>
          <cell r="V404"/>
          <cell r="W404">
            <v>30000</v>
          </cell>
          <cell r="X404">
            <v>0.33333333333333331</v>
          </cell>
          <cell r="Y404">
            <v>0.33333333333333331</v>
          </cell>
          <cell r="Z404">
            <v>0.33333333333333331</v>
          </cell>
          <cell r="AA404"/>
        </row>
        <row r="405">
          <cell r="A405">
            <v>398</v>
          </cell>
          <cell r="B405" t="str">
            <v>Benzene, 1,2-dichloro-3-methoxy-</v>
          </cell>
          <cell r="C405" t="str">
            <v>1984-59-4</v>
          </cell>
          <cell r="D405" t="str">
            <v>Neutral</v>
          </cell>
          <cell r="E405"/>
          <cell r="F405">
            <v>177.03</v>
          </cell>
          <cell r="G405"/>
          <cell r="H405">
            <v>17.4666666623</v>
          </cell>
          <cell r="I405">
            <v>86.9</v>
          </cell>
          <cell r="J405"/>
          <cell r="K405">
            <v>1737.8008287493772</v>
          </cell>
          <cell r="L405"/>
          <cell r="M405"/>
          <cell r="N405"/>
          <cell r="O405"/>
          <cell r="P405"/>
          <cell r="Q405">
            <v>3.93474E-6</v>
          </cell>
          <cell r="R405">
            <v>2.1393431498763744E-7</v>
          </cell>
          <cell r="S405">
            <v>2.3770479443070826E-8</v>
          </cell>
          <cell r="T405">
            <v>1.0696715749381872E-7</v>
          </cell>
          <cell r="U405"/>
          <cell r="V405"/>
          <cell r="W405">
            <v>30000</v>
          </cell>
          <cell r="X405">
            <v>0.33333333333333331</v>
          </cell>
          <cell r="Y405">
            <v>0.33333333333333331</v>
          </cell>
          <cell r="Z405">
            <v>0.33333333333333331</v>
          </cell>
          <cell r="AA405"/>
        </row>
        <row r="406">
          <cell r="A406">
            <v>399</v>
          </cell>
          <cell r="B406" t="str">
            <v>CARBONIC ACID, DIPHENYL ESTER</v>
          </cell>
          <cell r="C406" t="str">
            <v>102-09-0</v>
          </cell>
          <cell r="D406" t="str">
            <v>Neutral</v>
          </cell>
          <cell r="E406"/>
          <cell r="F406">
            <v>214.22</v>
          </cell>
          <cell r="G406"/>
          <cell r="H406">
            <v>1.9999999994999997E-2</v>
          </cell>
          <cell r="I406">
            <v>58.37</v>
          </cell>
          <cell r="J406"/>
          <cell r="K406">
            <v>1905.4607179632485</v>
          </cell>
          <cell r="L406"/>
          <cell r="M406"/>
          <cell r="N406"/>
          <cell r="O406"/>
          <cell r="P406"/>
          <cell r="Q406">
            <v>3.0164175E-6</v>
          </cell>
          <cell r="R406">
            <v>5.3483578746909358E-7</v>
          </cell>
          <cell r="S406">
            <v>5.9426198607677063E-8</v>
          </cell>
          <cell r="T406">
            <v>2.6741789373454679E-7</v>
          </cell>
          <cell r="U406"/>
          <cell r="V406"/>
          <cell r="W406">
            <v>30000</v>
          </cell>
          <cell r="X406">
            <v>0.33333333333333331</v>
          </cell>
          <cell r="Y406">
            <v>0.33333333333333331</v>
          </cell>
          <cell r="Z406">
            <v>0.33333333333333331</v>
          </cell>
          <cell r="AA406"/>
        </row>
        <row r="407">
          <cell r="A407">
            <v>400</v>
          </cell>
          <cell r="B407" t="str">
            <v>Benzenesulfonic acid, dodecyloxydi-, disodium salt</v>
          </cell>
          <cell r="C407" t="str">
            <v>28519-02-0</v>
          </cell>
          <cell r="D407" t="str">
            <v>Neutral</v>
          </cell>
          <cell r="E407"/>
          <cell r="F407">
            <v>542.62</v>
          </cell>
          <cell r="G407"/>
          <cell r="H407">
            <v>3.1199999992199999E-19</v>
          </cell>
          <cell r="I407">
            <v>0.56169999999999998</v>
          </cell>
          <cell r="J407"/>
          <cell r="K407">
            <v>2041.7379446695318</v>
          </cell>
          <cell r="L407"/>
          <cell r="M407"/>
          <cell r="N407"/>
          <cell r="O407"/>
          <cell r="P407"/>
          <cell r="Q407">
            <v>1.41362175E-5</v>
          </cell>
          <cell r="R407">
            <v>2.1393431498763744E-7</v>
          </cell>
          <cell r="S407">
            <v>2.3770479443070826E-8</v>
          </cell>
          <cell r="T407">
            <v>1.0696715749381872E-7</v>
          </cell>
          <cell r="U407"/>
          <cell r="V407"/>
          <cell r="W407">
            <v>30000</v>
          </cell>
          <cell r="X407">
            <v>0.33333333333333331</v>
          </cell>
          <cell r="Y407">
            <v>0.33333333333333331</v>
          </cell>
          <cell r="Z407">
            <v>0.33333333333333331</v>
          </cell>
          <cell r="AA407"/>
        </row>
        <row r="408">
          <cell r="A408">
            <v>401</v>
          </cell>
          <cell r="B408" t="str">
            <v>FLURPRIMIDOL</v>
          </cell>
          <cell r="C408" t="str">
            <v>56425-91-3</v>
          </cell>
          <cell r="D408" t="str">
            <v>Neutral</v>
          </cell>
          <cell r="E408"/>
          <cell r="F408">
            <v>312.29000000000002</v>
          </cell>
          <cell r="G408"/>
          <cell r="H408">
            <v>4.8533333321199991E-5</v>
          </cell>
          <cell r="I408">
            <v>114</v>
          </cell>
          <cell r="J408"/>
          <cell r="K408">
            <v>2187.7616239495528</v>
          </cell>
          <cell r="L408"/>
          <cell r="M408"/>
          <cell r="N408"/>
          <cell r="O408"/>
          <cell r="P408"/>
          <cell r="Q408">
            <v>2.561319E-5</v>
          </cell>
          <cell r="R408">
            <v>4.45696489557578E-8</v>
          </cell>
          <cell r="S408">
            <v>4.9521832173064224E-9</v>
          </cell>
          <cell r="T408">
            <v>6.976118966988177E-7</v>
          </cell>
          <cell r="U408"/>
          <cell r="V408"/>
          <cell r="W408">
            <v>30000</v>
          </cell>
          <cell r="X408">
            <v>0.33333333333333331</v>
          </cell>
          <cell r="Y408">
            <v>0.33333333333333331</v>
          </cell>
          <cell r="Z408">
            <v>0.33333333333333331</v>
          </cell>
          <cell r="AA408"/>
        </row>
        <row r="409">
          <cell r="A409">
            <v>402</v>
          </cell>
          <cell r="B409" t="str">
            <v>ANETHOLE</v>
          </cell>
          <cell r="C409" t="str">
            <v>104-46-1</v>
          </cell>
          <cell r="D409" t="str">
            <v>Neutral</v>
          </cell>
          <cell r="E409"/>
          <cell r="F409">
            <v>148.21</v>
          </cell>
          <cell r="G409"/>
          <cell r="H409">
            <v>9.3999999976499993</v>
          </cell>
          <cell r="I409">
            <v>111</v>
          </cell>
          <cell r="J409"/>
          <cell r="K409">
            <v>2454.7089156850338</v>
          </cell>
          <cell r="L409"/>
          <cell r="M409"/>
          <cell r="N409"/>
          <cell r="O409"/>
          <cell r="P409"/>
          <cell r="Q409">
            <v>5.8187069999999995E-5</v>
          </cell>
          <cell r="R409">
            <v>5.3483578746909358E-7</v>
          </cell>
          <cell r="S409">
            <v>5.9426198607677063E-8</v>
          </cell>
          <cell r="T409">
            <v>2.6741789373454679E-7</v>
          </cell>
          <cell r="U409"/>
          <cell r="V409"/>
          <cell r="W409">
            <v>30000</v>
          </cell>
          <cell r="X409">
            <v>0.33333333333333331</v>
          </cell>
          <cell r="Y409">
            <v>0.33333333333333331</v>
          </cell>
          <cell r="Z409">
            <v>0.33333333333333331</v>
          </cell>
          <cell r="AA409"/>
        </row>
        <row r="410">
          <cell r="A410">
            <v>403</v>
          </cell>
          <cell r="B410" t="str">
            <v>2-CHLOROTOLUENE</v>
          </cell>
          <cell r="C410" t="str">
            <v>95-49-8</v>
          </cell>
          <cell r="D410" t="str">
            <v>Neutral</v>
          </cell>
          <cell r="E410"/>
          <cell r="F410">
            <v>126.59</v>
          </cell>
          <cell r="G410"/>
          <cell r="H410">
            <v>457.333333219</v>
          </cell>
          <cell r="I410">
            <v>374</v>
          </cell>
          <cell r="J410"/>
          <cell r="K410">
            <v>2630.2679918953822</v>
          </cell>
          <cell r="L410"/>
          <cell r="M410"/>
          <cell r="N410"/>
          <cell r="O410"/>
          <cell r="P410"/>
          <cell r="Q410">
            <v>1.3630725000000001E-6</v>
          </cell>
          <cell r="R410">
            <v>2.1393431498763744E-7</v>
          </cell>
          <cell r="S410">
            <v>2.3770479443070826E-8</v>
          </cell>
          <cell r="T410">
            <v>1.0696715749381872E-7</v>
          </cell>
          <cell r="U410"/>
          <cell r="V410"/>
          <cell r="W410">
            <v>30000</v>
          </cell>
          <cell r="X410">
            <v>0.33333333333333331</v>
          </cell>
          <cell r="Y410">
            <v>0.33333333333333331</v>
          </cell>
          <cell r="Z410">
            <v>0.33333333333333331</v>
          </cell>
          <cell r="AA410"/>
        </row>
        <row r="411">
          <cell r="A411">
            <v>404</v>
          </cell>
          <cell r="B411" t="str">
            <v>CYCLOHEPTENE</v>
          </cell>
          <cell r="C411" t="str">
            <v>628-92-2</v>
          </cell>
          <cell r="D411" t="str">
            <v>Neutral</v>
          </cell>
          <cell r="E411"/>
          <cell r="F411">
            <v>96.17</v>
          </cell>
          <cell r="G411"/>
          <cell r="H411">
            <v>3093.3333325599997</v>
          </cell>
          <cell r="I411">
            <v>66</v>
          </cell>
          <cell r="J411"/>
          <cell r="K411">
            <v>2818.3829312644561</v>
          </cell>
          <cell r="L411"/>
          <cell r="M411"/>
          <cell r="N411"/>
          <cell r="O411"/>
          <cell r="P411"/>
          <cell r="Q411">
            <v>5.5500000000000001E-5</v>
          </cell>
          <cell r="R411">
            <v>5.3483578746909358E-7</v>
          </cell>
          <cell r="S411">
            <v>5.9426198607677063E-8</v>
          </cell>
          <cell r="T411">
            <v>2.6741789373454679E-7</v>
          </cell>
          <cell r="U411"/>
          <cell r="V411"/>
          <cell r="W411">
            <v>30000</v>
          </cell>
          <cell r="X411">
            <v>0.33333333333333331</v>
          </cell>
          <cell r="Y411">
            <v>0.33333333333333331</v>
          </cell>
          <cell r="Z411">
            <v>0.33333333333333331</v>
          </cell>
          <cell r="AA411"/>
        </row>
        <row r="412">
          <cell r="A412">
            <v>405</v>
          </cell>
          <cell r="B412" t="str">
            <v>NAPHTHALENE, 2-METHOXY-</v>
          </cell>
          <cell r="C412" t="str">
            <v>93-04-9</v>
          </cell>
          <cell r="D412" t="str">
            <v>Neutral</v>
          </cell>
          <cell r="E412"/>
          <cell r="F412">
            <v>158.19999999999999</v>
          </cell>
          <cell r="G412"/>
          <cell r="H412">
            <v>0.35599999991100001</v>
          </cell>
          <cell r="I412">
            <v>75.88</v>
          </cell>
          <cell r="J412"/>
          <cell r="K412">
            <v>2951.2092266663899</v>
          </cell>
          <cell r="L412"/>
          <cell r="M412"/>
          <cell r="N412"/>
          <cell r="O412"/>
          <cell r="P412"/>
          <cell r="Q412">
            <v>1.5062220749999998E-4</v>
          </cell>
          <cell r="R412">
            <v>5.3483578746909358E-7</v>
          </cell>
          <cell r="S412">
            <v>5.9426198607677063E-8</v>
          </cell>
          <cell r="T412">
            <v>2.6741789373454679E-7</v>
          </cell>
          <cell r="U412"/>
          <cell r="V412"/>
          <cell r="W412">
            <v>30000</v>
          </cell>
          <cell r="X412">
            <v>0.33333333333333331</v>
          </cell>
          <cell r="Y412">
            <v>0.33333333333333331</v>
          </cell>
          <cell r="Z412">
            <v>0.33333333333333331</v>
          </cell>
          <cell r="AA412"/>
        </row>
        <row r="413">
          <cell r="A413">
            <v>406</v>
          </cell>
          <cell r="B413" t="str">
            <v>Benzene, 1-methoxy-4-(2-propenyl)-</v>
          </cell>
          <cell r="C413" t="str">
            <v>140-67-0</v>
          </cell>
          <cell r="D413" t="str">
            <v>Neutral</v>
          </cell>
          <cell r="E413"/>
          <cell r="F413">
            <v>148.21</v>
          </cell>
          <cell r="G413"/>
          <cell r="H413">
            <v>21.999999994500001</v>
          </cell>
          <cell r="I413">
            <v>178</v>
          </cell>
          <cell r="J413"/>
          <cell r="K413">
            <v>2951.2092266663899</v>
          </cell>
          <cell r="L413"/>
          <cell r="M413"/>
          <cell r="N413"/>
          <cell r="O413"/>
          <cell r="P413"/>
          <cell r="Q413">
            <v>4.0696739999999996E-5</v>
          </cell>
          <cell r="R413">
            <v>2.1393431498763744E-7</v>
          </cell>
          <cell r="S413">
            <v>2.3770479443070826E-8</v>
          </cell>
          <cell r="T413">
            <v>1.0696715749381872E-7</v>
          </cell>
          <cell r="U413"/>
          <cell r="V413"/>
          <cell r="W413">
            <v>30000</v>
          </cell>
          <cell r="X413">
            <v>0.33333333333333331</v>
          </cell>
          <cell r="Y413">
            <v>0.33333333333333331</v>
          </cell>
          <cell r="Z413">
            <v>0.33333333333333331</v>
          </cell>
          <cell r="AA413"/>
        </row>
        <row r="414">
          <cell r="A414">
            <v>407</v>
          </cell>
          <cell r="B414" t="str">
            <v>2-PHENETHYLISOTHIOCYANATE</v>
          </cell>
          <cell r="C414" t="str">
            <v>130-63-8</v>
          </cell>
          <cell r="D414" t="str">
            <v>Neutral</v>
          </cell>
          <cell r="E414"/>
          <cell r="F414">
            <v>163.24</v>
          </cell>
          <cell r="G414"/>
          <cell r="H414">
            <v>1.5066666662899999</v>
          </cell>
          <cell r="I414">
            <v>110</v>
          </cell>
          <cell r="J414"/>
          <cell r="K414">
            <v>2951.2092266663899</v>
          </cell>
          <cell r="L414"/>
          <cell r="M414"/>
          <cell r="N414"/>
          <cell r="O414"/>
          <cell r="P414"/>
          <cell r="Q414">
            <v>5.3570325000000003E-6</v>
          </cell>
          <cell r="R414">
            <v>5.3483578746909358E-7</v>
          </cell>
          <cell r="S414">
            <v>5.9426198607677063E-8</v>
          </cell>
          <cell r="T414">
            <v>2.6741789373454679E-7</v>
          </cell>
          <cell r="U414"/>
          <cell r="V414"/>
          <cell r="W414">
            <v>30000</v>
          </cell>
          <cell r="X414">
            <v>0.33333333333333331</v>
          </cell>
          <cell r="Y414">
            <v>0.33333333333333331</v>
          </cell>
          <cell r="Z414">
            <v>0.33333333333333331</v>
          </cell>
          <cell r="AA414"/>
        </row>
        <row r="415">
          <cell r="A415">
            <v>408</v>
          </cell>
          <cell r="B415" t="str">
            <v>TETRALIN</v>
          </cell>
          <cell r="C415" t="str">
            <v>119-64-2</v>
          </cell>
          <cell r="D415" t="str">
            <v>Neutral</v>
          </cell>
          <cell r="E415"/>
          <cell r="F415">
            <v>132.21</v>
          </cell>
          <cell r="G415"/>
          <cell r="H415">
            <v>49.066666654399995</v>
          </cell>
          <cell r="I415">
            <v>47</v>
          </cell>
          <cell r="J415"/>
          <cell r="K415">
            <v>3090.295432513592</v>
          </cell>
          <cell r="L415"/>
          <cell r="M415"/>
          <cell r="N415"/>
          <cell r="O415"/>
          <cell r="P415"/>
          <cell r="Q415">
            <v>2.5725000000000002E-5</v>
          </cell>
          <cell r="R415">
            <v>5.3483578746909358E-7</v>
          </cell>
          <cell r="S415">
            <v>5.9426198607677063E-8</v>
          </cell>
          <cell r="T415">
            <v>2.6741789373454679E-7</v>
          </cell>
          <cell r="U415"/>
          <cell r="V415"/>
          <cell r="W415">
            <v>30000</v>
          </cell>
          <cell r="X415">
            <v>0.33333333333333331</v>
          </cell>
          <cell r="Y415">
            <v>0.33333333333333331</v>
          </cell>
          <cell r="Z415">
            <v>0.33333333333333331</v>
          </cell>
          <cell r="AA415"/>
        </row>
        <row r="416">
          <cell r="A416">
            <v>409</v>
          </cell>
          <cell r="B416" t="str">
            <v>2,3,4,5,6-PENTACHLORPYRIDINE</v>
          </cell>
          <cell r="C416" t="str">
            <v>2176-62-7</v>
          </cell>
          <cell r="D416" t="str">
            <v>Neutral</v>
          </cell>
          <cell r="E416"/>
          <cell r="F416">
            <v>251.33</v>
          </cell>
          <cell r="G416"/>
          <cell r="H416">
            <v>1.8666666662</v>
          </cell>
          <cell r="I416">
            <v>22.49</v>
          </cell>
          <cell r="J416"/>
          <cell r="K416">
            <v>3388.4415613920255</v>
          </cell>
          <cell r="L416"/>
          <cell r="M416"/>
          <cell r="N416"/>
          <cell r="O416"/>
          <cell r="P416"/>
          <cell r="Q416">
            <v>8.234999999999999E-9</v>
          </cell>
          <cell r="R416">
            <v>4.45696489557578E-8</v>
          </cell>
          <cell r="S416">
            <v>4.9521832173064224E-9</v>
          </cell>
          <cell r="T416">
            <v>2.22848244778789E-8</v>
          </cell>
          <cell r="U416"/>
          <cell r="V416"/>
          <cell r="W416">
            <v>30000</v>
          </cell>
          <cell r="X416">
            <v>0.33333333333333331</v>
          </cell>
          <cell r="Y416">
            <v>0.33333333333333331</v>
          </cell>
          <cell r="Z416">
            <v>0.33333333333333331</v>
          </cell>
          <cell r="AA416"/>
        </row>
        <row r="417">
          <cell r="A417">
            <v>410</v>
          </cell>
          <cell r="B417" t="str">
            <v>GERANIOL</v>
          </cell>
          <cell r="C417" t="str">
            <v>106-24-1</v>
          </cell>
          <cell r="D417" t="str">
            <v>Neutral</v>
          </cell>
          <cell r="E417"/>
          <cell r="F417">
            <v>154.25</v>
          </cell>
          <cell r="G417"/>
          <cell r="H417">
            <v>3.9999999989999995</v>
          </cell>
          <cell r="I417">
            <v>100</v>
          </cell>
          <cell r="J417"/>
          <cell r="K417">
            <v>3630.7805477010188</v>
          </cell>
          <cell r="L417"/>
          <cell r="M417"/>
          <cell r="N417"/>
          <cell r="O417"/>
          <cell r="P417"/>
          <cell r="Q417">
            <v>1.3493598E-4</v>
          </cell>
          <cell r="R417">
            <v>5.3483578746909358E-7</v>
          </cell>
          <cell r="S417">
            <v>5.9426198607677063E-8</v>
          </cell>
          <cell r="T417">
            <v>2.6741789373454679E-7</v>
          </cell>
          <cell r="U417"/>
          <cell r="V417"/>
          <cell r="W417">
            <v>30000</v>
          </cell>
          <cell r="X417">
            <v>0.33333333333333331</v>
          </cell>
          <cell r="Y417">
            <v>0.33333333333333331</v>
          </cell>
          <cell r="Z417">
            <v>0.33333333333333331</v>
          </cell>
          <cell r="AA417"/>
        </row>
        <row r="418">
          <cell r="A418">
            <v>411</v>
          </cell>
          <cell r="B418" t="str">
            <v>Phosphoric acid, tris(2-methylpropyl) ester</v>
          </cell>
          <cell r="C418" t="str">
            <v>126-71-6</v>
          </cell>
          <cell r="D418" t="str">
            <v>Neutral</v>
          </cell>
          <cell r="E418"/>
          <cell r="F418">
            <v>266.32</v>
          </cell>
          <cell r="G418"/>
          <cell r="H418">
            <v>1.7066666662400001</v>
          </cell>
          <cell r="I418">
            <v>16.22</v>
          </cell>
          <cell r="J418"/>
          <cell r="K418">
            <v>3981.0717055349769</v>
          </cell>
          <cell r="L418"/>
          <cell r="M418"/>
          <cell r="N418"/>
          <cell r="O418"/>
          <cell r="P418"/>
          <cell r="Q418">
            <v>5.9111032500000003E-5</v>
          </cell>
          <cell r="R418">
            <v>5.3483578746909358E-7</v>
          </cell>
          <cell r="S418">
            <v>5.9426198607677063E-8</v>
          </cell>
          <cell r="T418">
            <v>2.6741789373454679E-7</v>
          </cell>
          <cell r="U418"/>
          <cell r="V418"/>
          <cell r="W418">
            <v>30000</v>
          </cell>
          <cell r="X418">
            <v>0.33333333333333331</v>
          </cell>
          <cell r="Y418">
            <v>0.33333333333333331</v>
          </cell>
          <cell r="Z418">
            <v>0.33333333333333331</v>
          </cell>
          <cell r="AA418"/>
        </row>
        <row r="419">
          <cell r="A419">
            <v>412</v>
          </cell>
          <cell r="B419" t="str">
            <v>PHENYLTRICHLOROSILANE</v>
          </cell>
          <cell r="C419" t="str">
            <v>98-13-5</v>
          </cell>
          <cell r="D419" t="str">
            <v>Neutral</v>
          </cell>
          <cell r="E419"/>
          <cell r="F419">
            <v>211.55</v>
          </cell>
          <cell r="G419"/>
          <cell r="H419">
            <v>56.799999985799992</v>
          </cell>
          <cell r="I419">
            <v>31.9</v>
          </cell>
          <cell r="J419"/>
          <cell r="K419">
            <v>3981.0717055349769</v>
          </cell>
          <cell r="L419"/>
          <cell r="M419"/>
          <cell r="N419"/>
          <cell r="O419"/>
          <cell r="P419"/>
          <cell r="Q419">
            <v>1.46238E-6</v>
          </cell>
          <cell r="R419">
            <v>5.3483578746909358E-7</v>
          </cell>
          <cell r="S419">
            <v>5.9426198607677063E-8</v>
          </cell>
          <cell r="T419">
            <v>2.6741789373454679E-7</v>
          </cell>
          <cell r="U419"/>
          <cell r="V419"/>
          <cell r="W419">
            <v>30000</v>
          </cell>
          <cell r="X419">
            <v>0.33333333333333331</v>
          </cell>
          <cell r="Y419">
            <v>0.33333333333333331</v>
          </cell>
          <cell r="Z419">
            <v>0.33333333333333331</v>
          </cell>
          <cell r="AA419"/>
        </row>
        <row r="420">
          <cell r="A420">
            <v>413</v>
          </cell>
          <cell r="B420" t="str">
            <v>Triphenyltin fluoride</v>
          </cell>
          <cell r="C420" t="str">
            <v>379-52-2</v>
          </cell>
          <cell r="D420" t="str">
            <v>Neutral</v>
          </cell>
          <cell r="E420"/>
          <cell r="F420">
            <v>369.03</v>
          </cell>
          <cell r="G420"/>
          <cell r="H420">
            <v>6.6533333316700001E-10</v>
          </cell>
          <cell r="I420">
            <v>1.2</v>
          </cell>
          <cell r="J420"/>
          <cell r="K420">
            <v>4168.6938347033583</v>
          </cell>
          <cell r="L420"/>
          <cell r="M420"/>
          <cell r="N420"/>
          <cell r="O420"/>
          <cell r="P420"/>
          <cell r="Q420">
            <v>4.3871474999999998E-6</v>
          </cell>
          <cell r="R420">
            <v>2.1393431498763744E-7</v>
          </cell>
          <cell r="S420">
            <v>2.3770479443070826E-8</v>
          </cell>
          <cell r="T420">
            <v>1.0696715749381872E-7</v>
          </cell>
          <cell r="U420"/>
          <cell r="V420"/>
          <cell r="W420">
            <v>30000</v>
          </cell>
          <cell r="X420">
            <v>0.33333333333333331</v>
          </cell>
          <cell r="Y420">
            <v>0.33333333333333331</v>
          </cell>
          <cell r="Z420">
            <v>0.33333333333333331</v>
          </cell>
          <cell r="AA420"/>
        </row>
        <row r="421">
          <cell r="A421">
            <v>414</v>
          </cell>
          <cell r="B421" t="str">
            <v>Propane, 2,2'-thiobis 2-methyl-</v>
          </cell>
          <cell r="C421" t="str">
            <v>107-47-1</v>
          </cell>
          <cell r="D421" t="str">
            <v>Neutral</v>
          </cell>
          <cell r="E421"/>
          <cell r="F421">
            <v>146.29</v>
          </cell>
          <cell r="G421"/>
          <cell r="H421">
            <v>557.33333319399992</v>
          </cell>
          <cell r="I421">
            <v>60.91</v>
          </cell>
          <cell r="J421"/>
          <cell r="K421">
            <v>4365.1583224016631</v>
          </cell>
          <cell r="L421"/>
          <cell r="M421"/>
          <cell r="N421"/>
          <cell r="O421"/>
          <cell r="P421"/>
          <cell r="Q421">
            <v>2.02776E-6</v>
          </cell>
          <cell r="R421">
            <v>2.1393431498763744E-7</v>
          </cell>
          <cell r="S421">
            <v>2.3770479443070826E-8</v>
          </cell>
          <cell r="T421">
            <v>1.0696715749381872E-7</v>
          </cell>
          <cell r="U421"/>
          <cell r="V421"/>
          <cell r="W421">
            <v>30000</v>
          </cell>
          <cell r="X421">
            <v>0.33333333333333331</v>
          </cell>
          <cell r="Y421">
            <v>0.33333333333333331</v>
          </cell>
          <cell r="Z421">
            <v>0.33333333333333331</v>
          </cell>
          <cell r="AA421"/>
        </row>
        <row r="422">
          <cell r="A422">
            <v>415</v>
          </cell>
          <cell r="B422" t="str">
            <v>PROPAPHOS</v>
          </cell>
          <cell r="C422" t="str">
            <v>7292-16-2</v>
          </cell>
          <cell r="D422" t="str">
            <v>Neutral</v>
          </cell>
          <cell r="E422"/>
          <cell r="F422">
            <v>304.33999999999997</v>
          </cell>
          <cell r="G422"/>
          <cell r="H422">
            <v>1.1999999996999999E-4</v>
          </cell>
          <cell r="I422">
            <v>125</v>
          </cell>
          <cell r="J422"/>
          <cell r="K422">
            <v>4677.3514128719844</v>
          </cell>
          <cell r="L422"/>
          <cell r="M422"/>
          <cell r="N422"/>
          <cell r="O422"/>
          <cell r="P422"/>
          <cell r="Q422">
            <v>4.5020984999999994E-5</v>
          </cell>
          <cell r="R422">
            <v>2.1393431498763744E-7</v>
          </cell>
          <cell r="S422">
            <v>2.3770479443070826E-8</v>
          </cell>
          <cell r="T422">
            <v>1.0696715749381872E-7</v>
          </cell>
          <cell r="U422"/>
          <cell r="V422"/>
          <cell r="W422">
            <v>30000</v>
          </cell>
          <cell r="X422">
            <v>0.33333333333333331</v>
          </cell>
          <cell r="Y422">
            <v>0.33333333333333331</v>
          </cell>
          <cell r="Z422">
            <v>0.33333333333333331</v>
          </cell>
          <cell r="AA422"/>
        </row>
        <row r="423">
          <cell r="A423">
            <v>416</v>
          </cell>
          <cell r="B423" t="str">
            <v>O-DIETHYLBENZENE</v>
          </cell>
          <cell r="C423" t="str">
            <v>135-01-3</v>
          </cell>
          <cell r="D423" t="str">
            <v>Neutral</v>
          </cell>
          <cell r="E423"/>
          <cell r="F423">
            <v>134.22</v>
          </cell>
          <cell r="G423"/>
          <cell r="H423">
            <v>139.999999965</v>
          </cell>
          <cell r="I423">
            <v>71.099999999999994</v>
          </cell>
          <cell r="J423"/>
          <cell r="K423">
            <v>5248.0746024977352</v>
          </cell>
          <cell r="L423"/>
          <cell r="M423"/>
          <cell r="N423"/>
          <cell r="O423"/>
          <cell r="P423"/>
          <cell r="Q423">
            <v>6.0790424999999993E-6</v>
          </cell>
          <cell r="R423">
            <v>5.3483578746909358E-7</v>
          </cell>
          <cell r="S423">
            <v>5.9426198607677063E-8</v>
          </cell>
          <cell r="T423">
            <v>2.6741789373454679E-7</v>
          </cell>
          <cell r="U423"/>
          <cell r="V423"/>
          <cell r="W423">
            <v>30000</v>
          </cell>
          <cell r="X423">
            <v>0.33333333333333331</v>
          </cell>
          <cell r="Y423">
            <v>0.33333333333333331</v>
          </cell>
          <cell r="Z423">
            <v>0.33333333333333331</v>
          </cell>
          <cell r="AA423"/>
        </row>
        <row r="424">
          <cell r="A424">
            <v>417</v>
          </cell>
          <cell r="B424" t="str">
            <v>1-NONANOL</v>
          </cell>
          <cell r="C424" t="str">
            <v>143-08-8</v>
          </cell>
          <cell r="D424" t="str">
            <v>Neutral</v>
          </cell>
          <cell r="E424"/>
          <cell r="F424">
            <v>144.26</v>
          </cell>
          <cell r="G424"/>
          <cell r="H424">
            <v>3.0266666659100001</v>
          </cell>
          <cell r="I424">
            <v>140</v>
          </cell>
          <cell r="J424"/>
          <cell r="K424">
            <v>5888.4365535558973</v>
          </cell>
          <cell r="L424"/>
          <cell r="M424"/>
          <cell r="N424"/>
          <cell r="O424"/>
          <cell r="P424"/>
          <cell r="Q424">
            <v>1.0466445E-5</v>
          </cell>
          <cell r="R424">
            <v>9.2532143160742838E-7</v>
          </cell>
          <cell r="S424">
            <v>1.0281349240082538E-7</v>
          </cell>
          <cell r="T424">
            <v>4.6266071580371419E-7</v>
          </cell>
          <cell r="U424"/>
          <cell r="V424"/>
          <cell r="W424">
            <v>30000</v>
          </cell>
          <cell r="X424">
            <v>0.33333333333333331</v>
          </cell>
          <cell r="Y424">
            <v>0.33333333333333331</v>
          </cell>
          <cell r="Z424">
            <v>0.33333333333333331</v>
          </cell>
          <cell r="AA424"/>
        </row>
        <row r="425">
          <cell r="A425">
            <v>418</v>
          </cell>
          <cell r="B425" t="str">
            <v>CAPTAFOL</v>
          </cell>
          <cell r="C425" t="str">
            <v>191-90-6</v>
          </cell>
          <cell r="D425" t="str">
            <v>Neutral</v>
          </cell>
          <cell r="E425"/>
          <cell r="F425">
            <v>349.06</v>
          </cell>
          <cell r="G425"/>
          <cell r="H425">
            <v>1.9999999994999997E-6</v>
          </cell>
          <cell r="I425">
            <v>1.4</v>
          </cell>
          <cell r="J425"/>
          <cell r="K425">
            <v>6309.5734448019384</v>
          </cell>
          <cell r="L425"/>
          <cell r="M425"/>
          <cell r="N425"/>
          <cell r="O425"/>
          <cell r="P425"/>
          <cell r="Q425">
            <v>6.5766877499999997E-5</v>
          </cell>
          <cell r="R425">
            <v>4.45696489557578E-8</v>
          </cell>
          <cell r="S425">
            <v>4.9521832173064224E-9</v>
          </cell>
          <cell r="T425">
            <v>1.1460766874337719E-6</v>
          </cell>
          <cell r="U425"/>
          <cell r="V425"/>
          <cell r="W425">
            <v>30000</v>
          </cell>
          <cell r="X425">
            <v>0.33333333333333331</v>
          </cell>
          <cell r="Y425">
            <v>0.33333333333333331</v>
          </cell>
          <cell r="Z425">
            <v>0.33333333333333331</v>
          </cell>
          <cell r="AA425"/>
        </row>
        <row r="426">
          <cell r="A426">
            <v>419</v>
          </cell>
          <cell r="B426" t="str">
            <v>Endosulfan (beta)</v>
          </cell>
          <cell r="C426" t="str">
            <v>33213-65-9</v>
          </cell>
          <cell r="D426" t="str">
            <v>Neutral</v>
          </cell>
          <cell r="E426"/>
          <cell r="F426">
            <v>406.92</v>
          </cell>
          <cell r="G426"/>
          <cell r="H426">
            <v>7.9999999979999987E-5</v>
          </cell>
          <cell r="I426">
            <v>0.45</v>
          </cell>
          <cell r="J426"/>
          <cell r="K426">
            <v>6760.8297539198229</v>
          </cell>
          <cell r="L426"/>
          <cell r="M426"/>
          <cell r="N426"/>
          <cell r="O426"/>
          <cell r="P426"/>
          <cell r="Q426">
            <v>6.125339999999999E-6</v>
          </cell>
          <cell r="R426">
            <v>4.45696489557578E-8</v>
          </cell>
          <cell r="S426">
            <v>4.9521832173064224E-9</v>
          </cell>
          <cell r="T426">
            <v>2.22848244778789E-8</v>
          </cell>
          <cell r="U426"/>
          <cell r="V426"/>
          <cell r="W426">
            <v>30000</v>
          </cell>
          <cell r="X426">
            <v>0.33333333333333331</v>
          </cell>
          <cell r="Y426">
            <v>0.33333333333333331</v>
          </cell>
          <cell r="Z426">
            <v>0.33333333333333331</v>
          </cell>
          <cell r="AA426"/>
        </row>
        <row r="427">
          <cell r="A427">
            <v>420</v>
          </cell>
          <cell r="B427" t="str">
            <v>3-Buten-2-one, 4-(2,6,6-trimethyl-1-cyclohexen-1-yl)-, (E)-</v>
          </cell>
          <cell r="C427" t="str">
            <v>79-77-6</v>
          </cell>
          <cell r="D427" t="str">
            <v>Neutral</v>
          </cell>
          <cell r="E427"/>
          <cell r="F427">
            <v>192.3</v>
          </cell>
          <cell r="G427"/>
          <cell r="H427">
            <v>7.1999999981999991</v>
          </cell>
          <cell r="I427">
            <v>169</v>
          </cell>
          <cell r="J427"/>
          <cell r="K427">
            <v>6918.3097091893687</v>
          </cell>
          <cell r="L427"/>
          <cell r="M427"/>
          <cell r="N427"/>
          <cell r="O427"/>
          <cell r="P427"/>
          <cell r="Q427">
            <v>1.7891061750000001E-4</v>
          </cell>
          <cell r="R427">
            <v>2.1393431498763744E-7</v>
          </cell>
          <cell r="S427">
            <v>2.3770479443070826E-8</v>
          </cell>
          <cell r="T427">
            <v>1.0696715749381872E-7</v>
          </cell>
          <cell r="U427"/>
          <cell r="V427"/>
          <cell r="W427">
            <v>30000</v>
          </cell>
          <cell r="X427">
            <v>0.33333333333333331</v>
          </cell>
          <cell r="Y427">
            <v>0.33333333333333331</v>
          </cell>
          <cell r="Z427">
            <v>0.33333333333333331</v>
          </cell>
          <cell r="AA427"/>
        </row>
        <row r="428">
          <cell r="A428">
            <v>421</v>
          </cell>
          <cell r="B428" t="str">
            <v>BIS(TRI-N-BUTYLTIN) OXIDE</v>
          </cell>
          <cell r="C428" t="str">
            <v>56-35-9</v>
          </cell>
          <cell r="D428" t="str">
            <v>Neutral</v>
          </cell>
          <cell r="E428"/>
          <cell r="F428">
            <v>596.12</v>
          </cell>
          <cell r="G428"/>
          <cell r="H428">
            <v>9.9999999974999991E-4</v>
          </cell>
          <cell r="I428">
            <v>19.5</v>
          </cell>
          <cell r="J428"/>
          <cell r="K428">
            <v>6918.3097091893687</v>
          </cell>
          <cell r="L428"/>
          <cell r="M428"/>
          <cell r="N428"/>
          <cell r="O428"/>
          <cell r="P428"/>
          <cell r="Q428">
            <v>6.3978059999999994E-5</v>
          </cell>
          <cell r="R428">
            <v>9.2532143160742838E-7</v>
          </cell>
          <cell r="S428">
            <v>1.0281349240082538E-7</v>
          </cell>
          <cell r="T428">
            <v>4.6266071580371419E-7</v>
          </cell>
          <cell r="U428"/>
          <cell r="V428"/>
          <cell r="W428">
            <v>30000</v>
          </cell>
          <cell r="X428">
            <v>0.33333333333333331</v>
          </cell>
          <cell r="Y428">
            <v>0.33333333333333331</v>
          </cell>
          <cell r="Z428">
            <v>0.33333333333333331</v>
          </cell>
          <cell r="AA428"/>
        </row>
        <row r="429">
          <cell r="A429">
            <v>422</v>
          </cell>
          <cell r="B429" t="str">
            <v>Benzene, 1,1'-sulfonylbis 4-chloro-</v>
          </cell>
          <cell r="C429" t="str">
            <v>80-07-9</v>
          </cell>
          <cell r="D429" t="str">
            <v>Neutral</v>
          </cell>
          <cell r="E429"/>
          <cell r="F429">
            <v>287.16000000000003</v>
          </cell>
          <cell r="G429"/>
          <cell r="H429">
            <v>1.078666666397E-4</v>
          </cell>
          <cell r="I429">
            <v>6.8609999999999998</v>
          </cell>
          <cell r="J429"/>
          <cell r="K429">
            <v>7943.2823472428154</v>
          </cell>
          <cell r="L429"/>
          <cell r="M429"/>
          <cell r="N429"/>
          <cell r="O429"/>
          <cell r="P429"/>
          <cell r="Q429">
            <v>4.3987499999999996E-7</v>
          </cell>
          <cell r="R429">
            <v>1.3370894686727339E-7</v>
          </cell>
          <cell r="S429">
            <v>1.4856549651919266E-8</v>
          </cell>
          <cell r="T429">
            <v>6.6854473433636697E-8</v>
          </cell>
          <cell r="U429"/>
          <cell r="V429"/>
          <cell r="W429">
            <v>30000</v>
          </cell>
          <cell r="X429">
            <v>0.33333333333333331</v>
          </cell>
          <cell r="Y429">
            <v>0.33333333333333331</v>
          </cell>
          <cell r="Z429">
            <v>0.33333333333333331</v>
          </cell>
          <cell r="AA429"/>
        </row>
        <row r="430">
          <cell r="A430">
            <v>423</v>
          </cell>
          <cell r="B430" t="str">
            <v>9,10-Anthracenedione, 1,8-dihydroxy-</v>
          </cell>
          <cell r="C430" t="str">
            <v>117-10-2</v>
          </cell>
          <cell r="D430" t="str">
            <v>Neutral</v>
          </cell>
          <cell r="E430"/>
          <cell r="F430">
            <v>240.22</v>
          </cell>
          <cell r="G430"/>
          <cell r="H430">
            <v>1.0133333330799998E-8</v>
          </cell>
          <cell r="I430">
            <v>3.4260000000000002</v>
          </cell>
          <cell r="J430"/>
          <cell r="K430">
            <v>8709.6358995608189</v>
          </cell>
          <cell r="L430"/>
          <cell r="M430"/>
          <cell r="N430"/>
          <cell r="O430"/>
          <cell r="P430"/>
          <cell r="Q430">
            <v>1.9418407500000001E-5</v>
          </cell>
          <cell r="R430">
            <v>2.1393431498763744E-7</v>
          </cell>
          <cell r="S430">
            <v>2.3770479443070826E-8</v>
          </cell>
          <cell r="T430">
            <v>1.0696715749381872E-7</v>
          </cell>
          <cell r="U430"/>
          <cell r="V430"/>
          <cell r="W430">
            <v>30000</v>
          </cell>
          <cell r="X430">
            <v>0.33333333333333331</v>
          </cell>
          <cell r="Y430">
            <v>0.33333333333333331</v>
          </cell>
          <cell r="Z430">
            <v>0.33333333333333331</v>
          </cell>
          <cell r="AA430"/>
        </row>
        <row r="431">
          <cell r="A431">
            <v>424</v>
          </cell>
          <cell r="B431" t="str">
            <v>SULFOTEPP</v>
          </cell>
          <cell r="C431" t="str">
            <v>3689-24-5</v>
          </cell>
          <cell r="D431" t="str">
            <v>Neutral</v>
          </cell>
          <cell r="E431"/>
          <cell r="F431">
            <v>322.31</v>
          </cell>
          <cell r="G431"/>
          <cell r="H431">
            <v>1.39999999965E-2</v>
          </cell>
          <cell r="I431">
            <v>30</v>
          </cell>
          <cell r="J431"/>
          <cell r="K431">
            <v>9772.3722095581161</v>
          </cell>
          <cell r="L431"/>
          <cell r="M431"/>
          <cell r="N431"/>
          <cell r="O431"/>
          <cell r="P431"/>
          <cell r="Q431">
            <v>1.374428325E-4</v>
          </cell>
          <cell r="R431">
            <v>5.3483578746909358E-7</v>
          </cell>
          <cell r="S431">
            <v>5.9426198607677063E-8</v>
          </cell>
          <cell r="T431">
            <v>2.8651917185844297E-7</v>
          </cell>
          <cell r="U431"/>
          <cell r="V431"/>
          <cell r="W431">
            <v>30000</v>
          </cell>
          <cell r="X431">
            <v>0.33333333333333331</v>
          </cell>
          <cell r="Y431">
            <v>0.33333333333333331</v>
          </cell>
          <cell r="Z431">
            <v>0.33333333333333331</v>
          </cell>
          <cell r="AA431"/>
        </row>
        <row r="432">
          <cell r="A432">
            <v>425</v>
          </cell>
          <cell r="B432" t="str">
            <v>CYCLOHEPTANE</v>
          </cell>
          <cell r="C432" t="str">
            <v>291-64-5</v>
          </cell>
          <cell r="D432" t="str">
            <v>Neutral</v>
          </cell>
          <cell r="E432"/>
          <cell r="F432">
            <v>98.19</v>
          </cell>
          <cell r="G432"/>
          <cell r="H432">
            <v>2879.9999992799999</v>
          </cell>
          <cell r="I432">
            <v>30</v>
          </cell>
          <cell r="J432"/>
          <cell r="K432">
            <v>10000</v>
          </cell>
          <cell r="L432"/>
          <cell r="M432"/>
          <cell r="N432"/>
          <cell r="O432"/>
          <cell r="P432"/>
          <cell r="Q432">
            <v>9.3750000000000009E-6</v>
          </cell>
          <cell r="R432">
            <v>5.3483578746909358E-7</v>
          </cell>
          <cell r="S432">
            <v>5.9426198607677063E-8</v>
          </cell>
          <cell r="T432">
            <v>2.6741789373454679E-7</v>
          </cell>
          <cell r="U432"/>
          <cell r="V432"/>
          <cell r="W432">
            <v>30000</v>
          </cell>
          <cell r="X432">
            <v>0.33333333333333331</v>
          </cell>
          <cell r="Y432">
            <v>0.33333333333333331</v>
          </cell>
          <cell r="Z432">
            <v>0.33333333333333331</v>
          </cell>
          <cell r="AA432"/>
        </row>
        <row r="433">
          <cell r="A433">
            <v>426</v>
          </cell>
          <cell r="B433" t="str">
            <v>1,4-DIMETHYLCYCLOHEXANE</v>
          </cell>
          <cell r="C433" t="str">
            <v>589-90-2</v>
          </cell>
          <cell r="D433" t="str">
            <v>Neutral</v>
          </cell>
          <cell r="E433"/>
          <cell r="F433">
            <v>112.22</v>
          </cell>
          <cell r="G433"/>
          <cell r="H433">
            <v>3026.6666659099997</v>
          </cell>
          <cell r="I433">
            <v>3.84</v>
          </cell>
          <cell r="J433"/>
          <cell r="K433">
            <v>10232.929922807549</v>
          </cell>
          <cell r="L433"/>
          <cell r="M433"/>
          <cell r="N433"/>
          <cell r="O433"/>
          <cell r="P433"/>
          <cell r="Q433">
            <v>8.8926075000000007E-6</v>
          </cell>
          <cell r="R433">
            <v>5.3483578746909358E-7</v>
          </cell>
          <cell r="S433">
            <v>5.9426198607677063E-8</v>
          </cell>
          <cell r="T433">
            <v>2.6741789373454679E-7</v>
          </cell>
          <cell r="U433"/>
          <cell r="V433"/>
          <cell r="W433">
            <v>30000</v>
          </cell>
          <cell r="X433">
            <v>0.33333333333333331</v>
          </cell>
          <cell r="Y433">
            <v>0.33333333333333331</v>
          </cell>
          <cell r="Z433">
            <v>0.33333333333333331</v>
          </cell>
          <cell r="AA433"/>
        </row>
        <row r="434">
          <cell r="A434">
            <v>427</v>
          </cell>
          <cell r="B434" t="str">
            <v>1,2,4-trichlorobenzene</v>
          </cell>
          <cell r="C434" t="str">
            <v>120-82-1</v>
          </cell>
          <cell r="D434" t="str">
            <v>Neutral</v>
          </cell>
          <cell r="E434"/>
          <cell r="F434">
            <v>181.45</v>
          </cell>
          <cell r="G434"/>
          <cell r="H434">
            <v>61.333333318000001</v>
          </cell>
          <cell r="I434">
            <v>49</v>
          </cell>
          <cell r="J434"/>
          <cell r="K434">
            <v>10471.285480509003</v>
          </cell>
          <cell r="L434"/>
          <cell r="M434"/>
          <cell r="N434"/>
          <cell r="O434"/>
          <cell r="P434"/>
          <cell r="Q434">
            <v>4.1249999999999997E-7</v>
          </cell>
          <cell r="R434">
            <v>1.3370894686727339E-7</v>
          </cell>
          <cell r="S434">
            <v>1.4856549651919266E-8</v>
          </cell>
          <cell r="T434">
            <v>6.6854473433636697E-8</v>
          </cell>
          <cell r="U434"/>
          <cell r="V434"/>
          <cell r="W434">
            <v>30000</v>
          </cell>
          <cell r="X434">
            <v>0.33333333333333331</v>
          </cell>
          <cell r="Y434">
            <v>0.33333333333333331</v>
          </cell>
          <cell r="Z434">
            <v>0.33333333333333331</v>
          </cell>
          <cell r="AA434"/>
        </row>
        <row r="435">
          <cell r="A435">
            <v>428</v>
          </cell>
          <cell r="B435" t="str">
            <v>FENTHION</v>
          </cell>
          <cell r="C435" t="str">
            <v>55-38-9</v>
          </cell>
          <cell r="D435" t="str">
            <v>Neutral</v>
          </cell>
          <cell r="E435"/>
          <cell r="F435">
            <v>278.32</v>
          </cell>
          <cell r="G435"/>
          <cell r="H435">
            <v>1.3999999996499998E-3</v>
          </cell>
          <cell r="I435">
            <v>7.5</v>
          </cell>
          <cell r="J435"/>
          <cell r="K435">
            <v>12302.687708123816</v>
          </cell>
          <cell r="L435"/>
          <cell r="M435"/>
          <cell r="N435"/>
          <cell r="O435"/>
          <cell r="P435"/>
          <cell r="Q435">
            <v>5.3318692499999998E-5</v>
          </cell>
          <cell r="R435">
            <v>2.1393431498763744E-7</v>
          </cell>
          <cell r="S435">
            <v>2.3770479443070826E-8</v>
          </cell>
          <cell r="T435">
            <v>3.646607641834729E-7</v>
          </cell>
          <cell r="U435"/>
          <cell r="V435"/>
          <cell r="W435">
            <v>30000</v>
          </cell>
          <cell r="X435">
            <v>0.33333333333333331</v>
          </cell>
          <cell r="Y435">
            <v>0.33333333333333331</v>
          </cell>
          <cell r="Z435">
            <v>0.33333333333333331</v>
          </cell>
          <cell r="AA435"/>
        </row>
        <row r="436">
          <cell r="A436">
            <v>429</v>
          </cell>
          <cell r="B436" t="str">
            <v>T-BUTYLBENZENE</v>
          </cell>
          <cell r="C436" t="str">
            <v>98-06-6</v>
          </cell>
          <cell r="D436" t="str">
            <v>Neutral</v>
          </cell>
          <cell r="E436"/>
          <cell r="F436">
            <v>134.22</v>
          </cell>
          <cell r="G436"/>
          <cell r="H436">
            <v>293.33333326000002</v>
          </cell>
          <cell r="I436">
            <v>29.5</v>
          </cell>
          <cell r="J436"/>
          <cell r="K436">
            <v>12882.49551693136</v>
          </cell>
          <cell r="L436"/>
          <cell r="M436"/>
          <cell r="N436"/>
          <cell r="O436"/>
          <cell r="P436"/>
          <cell r="Q436">
            <v>3.45E-6</v>
          </cell>
          <cell r="R436">
            <v>2.1393431498763744E-7</v>
          </cell>
          <cell r="S436">
            <v>2.3770479443070826E-8</v>
          </cell>
          <cell r="T436">
            <v>1.0696715749381872E-7</v>
          </cell>
          <cell r="U436"/>
          <cell r="V436"/>
          <cell r="W436">
            <v>30000</v>
          </cell>
          <cell r="X436">
            <v>0.33333333333333331</v>
          </cell>
          <cell r="Y436">
            <v>0.33333333333333331</v>
          </cell>
          <cell r="Z436">
            <v>0.33333333333333331</v>
          </cell>
          <cell r="AA436"/>
        </row>
        <row r="437">
          <cell r="A437">
            <v>430</v>
          </cell>
          <cell r="B437" t="str">
            <v>METHYL DECYL KETONE</v>
          </cell>
          <cell r="C437" t="str">
            <v>6175-49-1</v>
          </cell>
          <cell r="D437" t="str">
            <v>Neutral</v>
          </cell>
          <cell r="E437"/>
          <cell r="F437">
            <v>184.32</v>
          </cell>
          <cell r="G437"/>
          <cell r="H437">
            <v>2.7466666659799999</v>
          </cell>
          <cell r="I437">
            <v>13.99</v>
          </cell>
          <cell r="J437"/>
          <cell r="K437">
            <v>15135.612484362096</v>
          </cell>
          <cell r="L437"/>
          <cell r="M437"/>
          <cell r="N437"/>
          <cell r="O437"/>
          <cell r="P437"/>
          <cell r="Q437">
            <v>1.14288075E-5</v>
          </cell>
          <cell r="R437">
            <v>5.3483578746909358E-7</v>
          </cell>
          <cell r="S437">
            <v>5.9426198607677063E-8</v>
          </cell>
          <cell r="T437">
            <v>2.6741789373454679E-7</v>
          </cell>
          <cell r="U437"/>
          <cell r="V437"/>
          <cell r="W437">
            <v>30000</v>
          </cell>
          <cell r="X437">
            <v>0.33333333333333331</v>
          </cell>
          <cell r="Y437">
            <v>0.33333333333333331</v>
          </cell>
          <cell r="Z437">
            <v>0.33333333333333331</v>
          </cell>
          <cell r="AA437"/>
        </row>
        <row r="438">
          <cell r="A438">
            <v>431</v>
          </cell>
          <cell r="B438" t="str">
            <v>TRICHLOROBENZENES</v>
          </cell>
          <cell r="C438" t="str">
            <v>12002-48-1</v>
          </cell>
          <cell r="D438" t="str">
            <v>Neutral</v>
          </cell>
          <cell r="E438"/>
          <cell r="F438">
            <v>181.45</v>
          </cell>
          <cell r="G438"/>
          <cell r="H438">
            <v>61.066666651399998</v>
          </cell>
          <cell r="I438">
            <v>30</v>
          </cell>
          <cell r="J438"/>
          <cell r="K438">
            <v>15488.166189124853</v>
          </cell>
          <cell r="L438"/>
          <cell r="M438"/>
          <cell r="N438"/>
          <cell r="O438"/>
          <cell r="P438"/>
          <cell r="Q438">
            <v>5.0907750000000004E-7</v>
          </cell>
          <cell r="R438">
            <v>1.3370894686727339E-7</v>
          </cell>
          <cell r="S438">
            <v>1.4856549651919266E-8</v>
          </cell>
          <cell r="T438">
            <v>6.6854473433636697E-8</v>
          </cell>
          <cell r="U438"/>
          <cell r="V438"/>
          <cell r="W438">
            <v>30000</v>
          </cell>
          <cell r="X438">
            <v>0.33333333333333331</v>
          </cell>
          <cell r="Y438">
            <v>0.33333333333333331</v>
          </cell>
          <cell r="Z438">
            <v>0.33333333333333331</v>
          </cell>
          <cell r="AA438"/>
        </row>
        <row r="439">
          <cell r="A439">
            <v>432</v>
          </cell>
          <cell r="B439" t="str">
            <v>CHLORFENSON</v>
          </cell>
          <cell r="C439" t="str">
            <v>80-33-1</v>
          </cell>
          <cell r="D439" t="str">
            <v>Neutral</v>
          </cell>
          <cell r="E439"/>
          <cell r="F439">
            <v>303.16000000000003</v>
          </cell>
          <cell r="G439"/>
          <cell r="H439">
            <v>2.50666666604E-4</v>
          </cell>
          <cell r="I439">
            <v>2.9609999999999999</v>
          </cell>
          <cell r="J439"/>
          <cell r="K439">
            <v>16218.100973589309</v>
          </cell>
          <cell r="L439"/>
          <cell r="M439"/>
          <cell r="N439"/>
          <cell r="O439"/>
          <cell r="P439"/>
          <cell r="Q439">
            <v>4.9288574999999999E-6</v>
          </cell>
          <cell r="R439">
            <v>1.3370894686727339E-7</v>
          </cell>
          <cell r="S439">
            <v>1.4856549651919266E-8</v>
          </cell>
          <cell r="T439">
            <v>6.6854473433636697E-8</v>
          </cell>
          <cell r="U439"/>
          <cell r="V439"/>
          <cell r="W439">
            <v>30000</v>
          </cell>
          <cell r="X439">
            <v>0.33333333333333331</v>
          </cell>
          <cell r="Y439">
            <v>0.33333333333333331</v>
          </cell>
          <cell r="Z439">
            <v>0.33333333333333331</v>
          </cell>
          <cell r="AA439"/>
        </row>
        <row r="440">
          <cell r="A440">
            <v>433</v>
          </cell>
          <cell r="B440" t="str">
            <v>CAMPHENE</v>
          </cell>
          <cell r="C440" t="str">
            <v>79-92-5</v>
          </cell>
          <cell r="D440" t="str">
            <v>Neutral</v>
          </cell>
          <cell r="E440"/>
          <cell r="F440">
            <v>136.24</v>
          </cell>
          <cell r="G440"/>
          <cell r="H440">
            <v>334.66666658299994</v>
          </cell>
          <cell r="I440">
            <v>4.5999999999999996</v>
          </cell>
          <cell r="J440"/>
          <cell r="K440">
            <v>16595.869074375616</v>
          </cell>
          <cell r="L440"/>
          <cell r="M440"/>
          <cell r="N440"/>
          <cell r="O440"/>
          <cell r="P440"/>
          <cell r="Q440">
            <v>3.9975000000000003E-5</v>
          </cell>
          <cell r="R440">
            <v>2.1393431498763744E-7</v>
          </cell>
          <cell r="S440">
            <v>2.3770479443070826E-8</v>
          </cell>
          <cell r="T440">
            <v>1.0696715749381872E-7</v>
          </cell>
          <cell r="U440"/>
          <cell r="V440"/>
          <cell r="W440">
            <v>30000</v>
          </cell>
          <cell r="X440">
            <v>0.33333333333333331</v>
          </cell>
          <cell r="Y440">
            <v>0.33333333333333331</v>
          </cell>
          <cell r="Z440">
            <v>0.33333333333333331</v>
          </cell>
          <cell r="AA440"/>
        </row>
        <row r="441">
          <cell r="A441">
            <v>434</v>
          </cell>
          <cell r="B441" t="str">
            <v>PENTACHLOROBENZYL ALCOHOL</v>
          </cell>
          <cell r="C441" t="str">
            <v>16022-69-8</v>
          </cell>
          <cell r="D441" t="str">
            <v>Neutral</v>
          </cell>
          <cell r="E441"/>
          <cell r="F441">
            <v>280.37</v>
          </cell>
          <cell r="G441"/>
          <cell r="H441">
            <v>2.7866666659699999E-4</v>
          </cell>
          <cell r="I441">
            <v>2</v>
          </cell>
          <cell r="J441"/>
          <cell r="K441">
            <v>19952.623149688792</v>
          </cell>
          <cell r="L441"/>
          <cell r="M441"/>
          <cell r="N441"/>
          <cell r="O441"/>
          <cell r="P441"/>
          <cell r="Q441">
            <v>2.609625E-6</v>
          </cell>
          <cell r="R441">
            <v>4.45696489557578E-8</v>
          </cell>
          <cell r="S441">
            <v>4.9521832173064224E-9</v>
          </cell>
          <cell r="T441">
            <v>2.22848244778789E-8</v>
          </cell>
          <cell r="U441"/>
          <cell r="V441"/>
          <cell r="W441">
            <v>30000</v>
          </cell>
          <cell r="X441">
            <v>0.33333333333333331</v>
          </cell>
          <cell r="Y441">
            <v>0.33333333333333331</v>
          </cell>
          <cell r="Z441">
            <v>0.33333333333333331</v>
          </cell>
          <cell r="AA441"/>
        </row>
        <row r="442">
          <cell r="A442">
            <v>435</v>
          </cell>
          <cell r="B442" t="str">
            <v>PENTANOCHLOR</v>
          </cell>
          <cell r="C442" t="str">
            <v>2307-68-8</v>
          </cell>
          <cell r="D442" t="str">
            <v>Neutral</v>
          </cell>
          <cell r="E442"/>
          <cell r="F442">
            <v>239.75</v>
          </cell>
          <cell r="G442"/>
          <cell r="H442">
            <v>1.1426666663809999E-3</v>
          </cell>
          <cell r="I442">
            <v>8.5</v>
          </cell>
          <cell r="J442"/>
          <cell r="K442">
            <v>20417.379446695286</v>
          </cell>
          <cell r="L442"/>
          <cell r="M442"/>
          <cell r="N442"/>
          <cell r="O442"/>
          <cell r="P442"/>
          <cell r="Q442">
            <v>1.42198875E-5</v>
          </cell>
          <cell r="R442">
            <v>2.1393431498763744E-7</v>
          </cell>
          <cell r="S442">
            <v>2.3770479443070826E-8</v>
          </cell>
          <cell r="T442">
            <v>2.0056342030091009E-6</v>
          </cell>
          <cell r="U442"/>
          <cell r="V442"/>
          <cell r="W442">
            <v>30000</v>
          </cell>
          <cell r="X442">
            <v>0.33333333333333331</v>
          </cell>
          <cell r="Y442">
            <v>0.33333333333333331</v>
          </cell>
          <cell r="Z442">
            <v>0.33333333333333331</v>
          </cell>
          <cell r="AA442"/>
        </row>
        <row r="443">
          <cell r="A443">
            <v>436</v>
          </cell>
          <cell r="B443" t="str">
            <v>DIETHYL SEBACATE</v>
          </cell>
          <cell r="C443" t="str">
            <v>110-40-7</v>
          </cell>
          <cell r="D443" t="str">
            <v>Neutral</v>
          </cell>
          <cell r="E443"/>
          <cell r="F443">
            <v>258.36</v>
          </cell>
          <cell r="G443"/>
          <cell r="H443">
            <v>6.7733333316399996E-2</v>
          </cell>
          <cell r="I443">
            <v>80</v>
          </cell>
          <cell r="J443"/>
          <cell r="K443">
            <v>21379.620895022348</v>
          </cell>
          <cell r="L443"/>
          <cell r="M443"/>
          <cell r="N443"/>
          <cell r="O443"/>
          <cell r="P443"/>
          <cell r="Q443">
            <v>9.3854399999999994E-6</v>
          </cell>
          <cell r="R443">
            <v>5.3483578746909358E-7</v>
          </cell>
          <cell r="S443">
            <v>5.9426198607677063E-8</v>
          </cell>
          <cell r="T443">
            <v>2.6741789373454679E-7</v>
          </cell>
          <cell r="U443"/>
          <cell r="V443"/>
          <cell r="W443">
            <v>30000</v>
          </cell>
          <cell r="X443">
            <v>0.33333333333333331</v>
          </cell>
          <cell r="Y443">
            <v>0.33333333333333331</v>
          </cell>
          <cell r="Z443">
            <v>0.33333333333333331</v>
          </cell>
          <cell r="AA443"/>
        </row>
        <row r="444">
          <cell r="A444">
            <v>437</v>
          </cell>
          <cell r="B444" t="str">
            <v>1,5-DIMETHYLNAPHTHALENE</v>
          </cell>
          <cell r="C444" t="str">
            <v>571-61-9</v>
          </cell>
          <cell r="D444" t="str">
            <v>Neutral</v>
          </cell>
          <cell r="E444"/>
          <cell r="F444">
            <v>156.22999999999999</v>
          </cell>
          <cell r="G444"/>
          <cell r="H444">
            <v>0.66666666649999995</v>
          </cell>
          <cell r="I444">
            <v>2.74</v>
          </cell>
          <cell r="J444"/>
          <cell r="K444">
            <v>23988.329190194923</v>
          </cell>
          <cell r="L444"/>
          <cell r="M444"/>
          <cell r="N444"/>
          <cell r="O444"/>
          <cell r="P444"/>
          <cell r="Q444">
            <v>5.2047585000000005E-5</v>
          </cell>
          <cell r="R444">
            <v>2.1393431498763744E-7</v>
          </cell>
          <cell r="S444">
            <v>2.3770479443070826E-8</v>
          </cell>
          <cell r="T444">
            <v>1.0696715749381872E-7</v>
          </cell>
          <cell r="U444"/>
          <cell r="V444"/>
          <cell r="W444">
            <v>30000</v>
          </cell>
          <cell r="X444">
            <v>0.33333333333333331</v>
          </cell>
          <cell r="Y444">
            <v>0.33333333333333331</v>
          </cell>
          <cell r="Z444">
            <v>0.33333333333333331</v>
          </cell>
          <cell r="AA444"/>
        </row>
        <row r="445">
          <cell r="A445">
            <v>438</v>
          </cell>
          <cell r="B445" t="str">
            <v>DIPHENYL DISULFIDE</v>
          </cell>
          <cell r="C445" t="str">
            <v>882-33-7</v>
          </cell>
          <cell r="D445" t="str">
            <v>Neutral</v>
          </cell>
          <cell r="E445"/>
          <cell r="F445">
            <v>218.33</v>
          </cell>
          <cell r="G445"/>
          <cell r="H445">
            <v>2.9333333326000001E-2</v>
          </cell>
          <cell r="I445">
            <v>6.0190000000000001</v>
          </cell>
          <cell r="J445"/>
          <cell r="K445">
            <v>25703.95782768865</v>
          </cell>
          <cell r="L445"/>
          <cell r="M445"/>
          <cell r="N445"/>
          <cell r="O445"/>
          <cell r="P445"/>
          <cell r="Q445">
            <v>1.876060725E-4</v>
          </cell>
          <cell r="R445">
            <v>5.3483578746909358E-7</v>
          </cell>
          <cell r="S445">
            <v>5.9426198607677063E-8</v>
          </cell>
          <cell r="T445">
            <v>2.6741789373454679E-7</v>
          </cell>
          <cell r="U445"/>
          <cell r="V445"/>
          <cell r="W445">
            <v>30000</v>
          </cell>
          <cell r="X445">
            <v>0.33333333333333331</v>
          </cell>
          <cell r="Y445">
            <v>0.33333333333333331</v>
          </cell>
          <cell r="Z445">
            <v>0.33333333333333331</v>
          </cell>
          <cell r="AA445"/>
        </row>
        <row r="446">
          <cell r="A446">
            <v>439</v>
          </cell>
          <cell r="B446" t="str">
            <v>Benzene, 1-(1,1-dimethylethyl)-3,5-dimethyl-2,4,</v>
          </cell>
          <cell r="C446" t="str">
            <v>81-15-2</v>
          </cell>
          <cell r="D446" t="str">
            <v>Neutral</v>
          </cell>
          <cell r="E446"/>
          <cell r="F446">
            <v>297.27</v>
          </cell>
          <cell r="G446"/>
          <cell r="H446">
            <v>8.4666666645499984E-5</v>
          </cell>
          <cell r="I446">
            <v>0.82140000000000002</v>
          </cell>
          <cell r="J446"/>
          <cell r="K446">
            <v>28183.829312644593</v>
          </cell>
          <cell r="L446"/>
          <cell r="M446"/>
          <cell r="N446"/>
          <cell r="O446"/>
          <cell r="P446"/>
          <cell r="Q446">
            <v>6.2324250000000003E-7</v>
          </cell>
          <cell r="R446">
            <v>4.45696489557578E-8</v>
          </cell>
          <cell r="S446">
            <v>4.9521832173064224E-9</v>
          </cell>
          <cell r="T446">
            <v>2.22848244778789E-8</v>
          </cell>
          <cell r="U446"/>
          <cell r="V446"/>
          <cell r="W446">
            <v>30000</v>
          </cell>
          <cell r="X446">
            <v>0.33333333333333331</v>
          </cell>
          <cell r="Y446">
            <v>0.33333333333333331</v>
          </cell>
          <cell r="Z446">
            <v>0.33333333333333331</v>
          </cell>
          <cell r="AA446"/>
        </row>
        <row r="447">
          <cell r="A447">
            <v>440</v>
          </cell>
          <cell r="B447" t="str">
            <v>2,3,5,6-TETRACHLORO-4-NITROANILINE</v>
          </cell>
          <cell r="C447" t="str">
            <v>2438-88-2</v>
          </cell>
          <cell r="D447" t="str">
            <v>Neutral</v>
          </cell>
          <cell r="E447"/>
          <cell r="F447">
            <v>290.92</v>
          </cell>
          <cell r="G447"/>
          <cell r="H447">
            <v>5.373333331989999E-3</v>
          </cell>
          <cell r="I447">
            <v>0.86070000000000002</v>
          </cell>
          <cell r="J447"/>
          <cell r="K447">
            <v>29512.092266663854</v>
          </cell>
          <cell r="L447"/>
          <cell r="M447"/>
          <cell r="N447"/>
          <cell r="O447"/>
          <cell r="P447"/>
          <cell r="Q447">
            <v>7.072350000000001E-7</v>
          </cell>
          <cell r="R447">
            <v>4.45696489557578E-8</v>
          </cell>
          <cell r="S447">
            <v>4.9521832173064224E-9</v>
          </cell>
          <cell r="T447">
            <v>2.22848244778789E-8</v>
          </cell>
          <cell r="U447"/>
          <cell r="V447"/>
          <cell r="W447">
            <v>30000</v>
          </cell>
          <cell r="X447">
            <v>0.33333333333333331</v>
          </cell>
          <cell r="Y447">
            <v>0.33333333333333331</v>
          </cell>
          <cell r="Z447">
            <v>0.33333333333333331</v>
          </cell>
          <cell r="AA447"/>
        </row>
        <row r="448">
          <cell r="A448">
            <v>441</v>
          </cell>
          <cell r="B448" t="str">
            <v>MISOPROSTOL</v>
          </cell>
          <cell r="C448" t="str">
            <v>59122-46-2</v>
          </cell>
          <cell r="D448" t="str">
            <v>Neutral</v>
          </cell>
          <cell r="E448"/>
          <cell r="F448">
            <v>382.55</v>
          </cell>
          <cell r="G448"/>
          <cell r="H448">
            <v>6.0533333318199989E-10</v>
          </cell>
          <cell r="I448">
            <v>0.59509999999999996</v>
          </cell>
          <cell r="J448"/>
          <cell r="K448">
            <v>29512.092266663854</v>
          </cell>
          <cell r="L448"/>
          <cell r="M448"/>
          <cell r="N448"/>
          <cell r="O448"/>
          <cell r="P448"/>
          <cell r="Q448">
            <v>8.0481780000000004E-5</v>
          </cell>
          <cell r="R448">
            <v>2.1393431498763744E-7</v>
          </cell>
          <cell r="S448">
            <v>2.3770479443070826E-8</v>
          </cell>
          <cell r="T448">
            <v>1.0696715749381872E-7</v>
          </cell>
          <cell r="U448"/>
          <cell r="V448"/>
          <cell r="W448">
            <v>30000</v>
          </cell>
          <cell r="X448">
            <v>0.33333333333333331</v>
          </cell>
          <cell r="Y448">
            <v>0.33333333333333331</v>
          </cell>
          <cell r="Z448">
            <v>0.33333333333333331</v>
          </cell>
          <cell r="AA448"/>
        </row>
        <row r="449">
          <cell r="A449">
            <v>442</v>
          </cell>
          <cell r="B449" t="str">
            <v>TERBUFOS</v>
          </cell>
          <cell r="C449" t="str">
            <v>13071-79-9</v>
          </cell>
          <cell r="D449" t="str">
            <v>Neutral</v>
          </cell>
          <cell r="E449"/>
          <cell r="F449">
            <v>288.42</v>
          </cell>
          <cell r="G449"/>
          <cell r="H449">
            <v>4.2666666656000003E-2</v>
          </cell>
          <cell r="I449">
            <v>5.07</v>
          </cell>
          <cell r="J449"/>
          <cell r="K449">
            <v>30199.517204020212</v>
          </cell>
          <cell r="L449"/>
          <cell r="M449"/>
          <cell r="N449"/>
          <cell r="O449"/>
          <cell r="P449"/>
          <cell r="Q449">
            <v>1.8238275000000001E-4</v>
          </cell>
          <cell r="R449">
            <v>2.1393431498763744E-7</v>
          </cell>
          <cell r="S449">
            <v>2.3770479443070826E-8</v>
          </cell>
          <cell r="T449">
            <v>6.6854473433636694E-7</v>
          </cell>
          <cell r="U449"/>
          <cell r="V449"/>
          <cell r="W449">
            <v>30000</v>
          </cell>
          <cell r="X449">
            <v>0.33333333333333331</v>
          </cell>
          <cell r="Y449">
            <v>0.33333333333333331</v>
          </cell>
          <cell r="Z449">
            <v>0.33333333333333331</v>
          </cell>
          <cell r="AA449"/>
        </row>
        <row r="450">
          <cell r="A450">
            <v>443</v>
          </cell>
          <cell r="B450" t="str">
            <v>PRALLETHRIN</v>
          </cell>
          <cell r="C450" t="str">
            <v>23031-36-9</v>
          </cell>
          <cell r="D450" t="str">
            <v>Neutral</v>
          </cell>
          <cell r="E450"/>
          <cell r="F450">
            <v>300.39999999999998</v>
          </cell>
          <cell r="G450"/>
          <cell r="H450">
            <v>3.5733333324399997E-3</v>
          </cell>
          <cell r="I450">
            <v>8</v>
          </cell>
          <cell r="J450"/>
          <cell r="K450">
            <v>30902.954325135954</v>
          </cell>
          <cell r="L450"/>
          <cell r="M450"/>
          <cell r="N450"/>
          <cell r="O450"/>
          <cell r="P450"/>
          <cell r="Q450">
            <v>1.5221435249999999E-4</v>
          </cell>
          <cell r="R450">
            <v>2.1393431498763744E-7</v>
          </cell>
          <cell r="S450">
            <v>2.3770479443070826E-8</v>
          </cell>
          <cell r="T450">
            <v>1.0696715749381872E-7</v>
          </cell>
          <cell r="U450"/>
          <cell r="V450"/>
          <cell r="W450">
            <v>30000</v>
          </cell>
          <cell r="X450">
            <v>0.33333333333333331</v>
          </cell>
          <cell r="Y450">
            <v>0.33333333333333331</v>
          </cell>
          <cell r="Z450">
            <v>0.33333333333333331</v>
          </cell>
          <cell r="AA450"/>
        </row>
        <row r="451">
          <cell r="A451">
            <v>444</v>
          </cell>
          <cell r="B451" t="str">
            <v>ISOBENZAN</v>
          </cell>
          <cell r="C451" t="str">
            <v>297-78-9</v>
          </cell>
          <cell r="D451" t="str">
            <v>Neutral</v>
          </cell>
          <cell r="E451"/>
          <cell r="F451">
            <v>411.76</v>
          </cell>
          <cell r="G451"/>
          <cell r="H451">
            <v>3.89333333236E-4</v>
          </cell>
          <cell r="I451">
            <v>0.36280000000000001</v>
          </cell>
          <cell r="J451"/>
          <cell r="K451">
            <v>32359.365692962871</v>
          </cell>
          <cell r="L451"/>
          <cell r="M451"/>
          <cell r="N451"/>
          <cell r="O451"/>
          <cell r="P451"/>
          <cell r="Q451">
            <v>3.4997250000000002E-6</v>
          </cell>
          <cell r="R451">
            <v>4.45696489557578E-8</v>
          </cell>
          <cell r="S451">
            <v>4.9521832173064224E-9</v>
          </cell>
          <cell r="T451">
            <v>4.011268406018202E-9</v>
          </cell>
          <cell r="U451"/>
          <cell r="V451"/>
          <cell r="W451">
            <v>30000</v>
          </cell>
          <cell r="X451">
            <v>0.33333333333333331</v>
          </cell>
          <cell r="Y451">
            <v>0.33333333333333331</v>
          </cell>
          <cell r="Z451">
            <v>0.33333333333333331</v>
          </cell>
          <cell r="AA451"/>
        </row>
        <row r="452">
          <cell r="A452">
            <v>445</v>
          </cell>
          <cell r="B452" t="str">
            <v>DIPHENYLCHLOROARSINE</v>
          </cell>
          <cell r="C452" t="str">
            <v>712-48-1</v>
          </cell>
          <cell r="D452" t="str">
            <v>Neutral</v>
          </cell>
          <cell r="E452"/>
          <cell r="F452">
            <v>264.58999999999997</v>
          </cell>
          <cell r="G452"/>
          <cell r="H452">
            <v>2.3999999994000001E-2</v>
          </cell>
          <cell r="I452">
            <v>2.7210000000000001</v>
          </cell>
          <cell r="J452"/>
          <cell r="K452">
            <v>33113.11214825909</v>
          </cell>
          <cell r="L452"/>
          <cell r="M452"/>
          <cell r="N452"/>
          <cell r="O452"/>
          <cell r="P452"/>
          <cell r="Q452">
            <v>2.9247675000000002E-6</v>
          </cell>
          <cell r="R452">
            <v>2.1393431498763744E-7</v>
          </cell>
          <cell r="S452">
            <v>2.3770479443070826E-8</v>
          </cell>
          <cell r="T452">
            <v>1.0696715749381872E-7</v>
          </cell>
          <cell r="U452"/>
          <cell r="V452"/>
          <cell r="W452">
            <v>30000</v>
          </cell>
          <cell r="X452">
            <v>0.33333333333333331</v>
          </cell>
          <cell r="Y452">
            <v>0.33333333333333331</v>
          </cell>
          <cell r="Z452">
            <v>0.33333333333333331</v>
          </cell>
          <cell r="AA452"/>
        </row>
        <row r="453">
          <cell r="A453">
            <v>446</v>
          </cell>
          <cell r="B453" t="str">
            <v>Neodecanoic acid, ethenyl ester</v>
          </cell>
          <cell r="C453" t="str">
            <v>51000-52-3</v>
          </cell>
          <cell r="D453" t="str">
            <v>Neutral</v>
          </cell>
          <cell r="E453"/>
          <cell r="F453">
            <v>198.31</v>
          </cell>
          <cell r="G453"/>
          <cell r="H453">
            <v>11.38666666382</v>
          </cell>
          <cell r="I453">
            <v>5.859</v>
          </cell>
          <cell r="J453"/>
          <cell r="K453">
            <v>35481.33892335758</v>
          </cell>
          <cell r="L453"/>
          <cell r="M453"/>
          <cell r="N453"/>
          <cell r="O453"/>
          <cell r="P453"/>
          <cell r="Q453">
            <v>2.4607627500000003E-5</v>
          </cell>
          <cell r="R453">
            <v>2.1393431498763744E-7</v>
          </cell>
          <cell r="S453">
            <v>2.3770479443070826E-8</v>
          </cell>
          <cell r="T453">
            <v>1.0696715749381872E-7</v>
          </cell>
          <cell r="U453"/>
          <cell r="V453"/>
          <cell r="W453">
            <v>30000</v>
          </cell>
          <cell r="X453">
            <v>0.33333333333333331</v>
          </cell>
          <cell r="Y453">
            <v>0.33333333333333331</v>
          </cell>
          <cell r="Z453">
            <v>0.33333333333333331</v>
          </cell>
          <cell r="AA453"/>
        </row>
        <row r="454">
          <cell r="A454">
            <v>447</v>
          </cell>
          <cell r="B454" t="str">
            <v>TOLCLOFOS-METHYL</v>
          </cell>
          <cell r="C454" t="str">
            <v>57018-04-9</v>
          </cell>
          <cell r="D454" t="str">
            <v>Neutral</v>
          </cell>
          <cell r="E454"/>
          <cell r="F454">
            <v>301.13</v>
          </cell>
          <cell r="G454"/>
          <cell r="H454">
            <v>5.7333333318999993E-2</v>
          </cell>
          <cell r="I454">
            <v>1.1000000000000001</v>
          </cell>
          <cell r="J454"/>
          <cell r="K454">
            <v>36307.805477010166</v>
          </cell>
          <cell r="L454"/>
          <cell r="M454"/>
          <cell r="N454"/>
          <cell r="O454"/>
          <cell r="P454"/>
          <cell r="Q454">
            <v>4.5421657500000006E-5</v>
          </cell>
          <cell r="R454">
            <v>1.3370894686727339E-7</v>
          </cell>
          <cell r="S454">
            <v>1.4856549651919266E-8</v>
          </cell>
          <cell r="T454">
            <v>2.6741789373454679E-7</v>
          </cell>
          <cell r="U454"/>
          <cell r="V454"/>
          <cell r="W454">
            <v>30000</v>
          </cell>
          <cell r="X454">
            <v>0.33333333333333331</v>
          </cell>
          <cell r="Y454">
            <v>0.33333333333333331</v>
          </cell>
          <cell r="Z454">
            <v>0.33333333333333331</v>
          </cell>
          <cell r="AA454"/>
        </row>
        <row r="455">
          <cell r="A455">
            <v>448</v>
          </cell>
          <cell r="B455" t="str">
            <v>TRIPHENYLPHOSPHATE</v>
          </cell>
          <cell r="C455" t="str">
            <v>115-86-6</v>
          </cell>
          <cell r="D455" t="str">
            <v>Neutral</v>
          </cell>
          <cell r="E455"/>
          <cell r="F455">
            <v>326.29000000000002</v>
          </cell>
          <cell r="G455"/>
          <cell r="H455">
            <v>8.3733333312399996E-4</v>
          </cell>
          <cell r="I455">
            <v>1.9</v>
          </cell>
          <cell r="J455"/>
          <cell r="K455">
            <v>38904.514499428085</v>
          </cell>
          <cell r="L455"/>
          <cell r="M455"/>
          <cell r="N455"/>
          <cell r="O455"/>
          <cell r="P455"/>
          <cell r="Q455">
            <v>8.1317250000000005E-6</v>
          </cell>
          <cell r="R455">
            <v>2.1393431498763744E-7</v>
          </cell>
          <cell r="S455">
            <v>2.3770479443070826E-8</v>
          </cell>
          <cell r="T455">
            <v>1.0696715749381872E-7</v>
          </cell>
          <cell r="U455"/>
          <cell r="V455"/>
          <cell r="W455">
            <v>30000</v>
          </cell>
          <cell r="X455">
            <v>0.33333333333333331</v>
          </cell>
          <cell r="Y455">
            <v>0.33333333333333331</v>
          </cell>
          <cell r="Z455">
            <v>0.33333333333333331</v>
          </cell>
          <cell r="AA455"/>
        </row>
        <row r="456">
          <cell r="A456">
            <v>449</v>
          </cell>
          <cell r="B456" t="str">
            <v>1,2,3,4-tetrachlorobenzene</v>
          </cell>
          <cell r="C456" t="str">
            <v>634-66-2</v>
          </cell>
          <cell r="D456" t="str">
            <v>Neutral</v>
          </cell>
          <cell r="E456"/>
          <cell r="F456">
            <v>215.89</v>
          </cell>
          <cell r="G456"/>
          <cell r="H456">
            <v>5.1999999987000001</v>
          </cell>
          <cell r="I456">
            <v>5.92</v>
          </cell>
          <cell r="J456"/>
          <cell r="K456">
            <v>39810.717055349742</v>
          </cell>
          <cell r="L456"/>
          <cell r="M456"/>
          <cell r="N456"/>
          <cell r="O456"/>
          <cell r="P456"/>
          <cell r="Q456">
            <v>6.1687500000000002E-8</v>
          </cell>
          <cell r="R456">
            <v>1.3370894686727339E-7</v>
          </cell>
          <cell r="S456">
            <v>1.4856549651919266E-8</v>
          </cell>
          <cell r="T456">
            <v>6.6854473433636697E-8</v>
          </cell>
          <cell r="U456"/>
          <cell r="V456"/>
          <cell r="W456">
            <v>30000</v>
          </cell>
          <cell r="X456">
            <v>0.33333333333333331</v>
          </cell>
          <cell r="Y456">
            <v>0.33333333333333331</v>
          </cell>
          <cell r="Z456">
            <v>0.33333333333333331</v>
          </cell>
          <cell r="AA456"/>
        </row>
        <row r="457">
          <cell r="A457">
            <v>450</v>
          </cell>
          <cell r="B457" t="str">
            <v>TETRADIFON</v>
          </cell>
          <cell r="C457" t="str">
            <v>116-29-0</v>
          </cell>
          <cell r="D457" t="str">
            <v>Neutral</v>
          </cell>
          <cell r="E457"/>
          <cell r="F457">
            <v>356.05</v>
          </cell>
          <cell r="G457"/>
          <cell r="H457">
            <v>3.1999999992000001E-8</v>
          </cell>
          <cell r="I457">
            <v>7.8E-2</v>
          </cell>
          <cell r="J457"/>
          <cell r="K457">
            <v>40738.027780411358</v>
          </cell>
          <cell r="L457"/>
          <cell r="M457"/>
          <cell r="N457"/>
          <cell r="O457"/>
          <cell r="P457"/>
          <cell r="Q457">
            <v>2.6511000000000002E-7</v>
          </cell>
          <cell r="R457">
            <v>4.45696489557578E-8</v>
          </cell>
          <cell r="S457">
            <v>4.9521832173064224E-9</v>
          </cell>
          <cell r="T457">
            <v>7.1629792964610742E-8</v>
          </cell>
          <cell r="U457"/>
          <cell r="V457"/>
          <cell r="W457">
            <v>30000</v>
          </cell>
          <cell r="X457">
            <v>0.33333333333333331</v>
          </cell>
          <cell r="Y457">
            <v>0.33333333333333331</v>
          </cell>
          <cell r="Z457">
            <v>0.33333333333333331</v>
          </cell>
          <cell r="AA457"/>
        </row>
        <row r="458">
          <cell r="A458">
            <v>451</v>
          </cell>
          <cell r="B458" t="str">
            <v>DICLOFOP-METHYL</v>
          </cell>
          <cell r="C458" t="str">
            <v>51338-27-3</v>
          </cell>
          <cell r="D458" t="str">
            <v>Neutral</v>
          </cell>
          <cell r="E458"/>
          <cell r="F458">
            <v>341.19</v>
          </cell>
          <cell r="G458"/>
          <cell r="H458">
            <v>4.6666666654999995E-4</v>
          </cell>
          <cell r="I458">
            <v>0.8</v>
          </cell>
          <cell r="J458"/>
          <cell r="K458">
            <v>41686.938347033625</v>
          </cell>
          <cell r="L458"/>
          <cell r="M458"/>
          <cell r="N458"/>
          <cell r="O458"/>
          <cell r="P458"/>
          <cell r="Q458">
            <v>1.4234572499999999E-5</v>
          </cell>
          <cell r="R458">
            <v>1.3370894686727339E-7</v>
          </cell>
          <cell r="S458">
            <v>1.4856549651919266E-8</v>
          </cell>
          <cell r="T458">
            <v>4.2223877958086334E-7</v>
          </cell>
          <cell r="U458"/>
          <cell r="V458"/>
          <cell r="W458">
            <v>30000</v>
          </cell>
          <cell r="X458">
            <v>0.33333333333333331</v>
          </cell>
          <cell r="Y458">
            <v>0.33333333333333331</v>
          </cell>
          <cell r="Z458">
            <v>0.33333333333333331</v>
          </cell>
          <cell r="AA458"/>
        </row>
        <row r="459">
          <cell r="A459">
            <v>452</v>
          </cell>
          <cell r="B459" t="str">
            <v>NITROFEN</v>
          </cell>
          <cell r="C459" t="str">
            <v>1836-75-5</v>
          </cell>
          <cell r="D459" t="str">
            <v>Neutral</v>
          </cell>
          <cell r="E459"/>
          <cell r="F459">
            <v>284.10000000000002</v>
          </cell>
          <cell r="G459"/>
          <cell r="H459">
            <v>1.0666666663999998E-3</v>
          </cell>
          <cell r="I459">
            <v>1</v>
          </cell>
          <cell r="J459"/>
          <cell r="K459">
            <v>43651.583224016598</v>
          </cell>
          <cell r="L459"/>
          <cell r="M459"/>
          <cell r="N459"/>
          <cell r="O459"/>
          <cell r="P459"/>
          <cell r="Q459">
            <v>8.3004750000000003E-7</v>
          </cell>
          <cell r="R459">
            <v>1.3370894686727339E-7</v>
          </cell>
          <cell r="S459">
            <v>1.4856549651919266E-8</v>
          </cell>
          <cell r="T459">
            <v>8.0225368120364042E-7</v>
          </cell>
          <cell r="U459"/>
          <cell r="V459"/>
          <cell r="W459">
            <v>30000</v>
          </cell>
          <cell r="X459">
            <v>0.33333333333333331</v>
          </cell>
          <cell r="Y459">
            <v>0.33333333333333331</v>
          </cell>
          <cell r="Z459">
            <v>0.33333333333333331</v>
          </cell>
          <cell r="AA459"/>
        </row>
        <row r="460">
          <cell r="A460">
            <v>453</v>
          </cell>
          <cell r="B460" t="str">
            <v>PROFENOFOS</v>
          </cell>
          <cell r="C460" t="str">
            <v>41198-08-7</v>
          </cell>
          <cell r="D460" t="str">
            <v>Neutral</v>
          </cell>
          <cell r="E460"/>
          <cell r="F460">
            <v>373.63</v>
          </cell>
          <cell r="G460"/>
          <cell r="H460">
            <v>1.1999999996999999E-4</v>
          </cell>
          <cell r="I460">
            <v>28</v>
          </cell>
          <cell r="J460"/>
          <cell r="K460">
            <v>47863.009232263823</v>
          </cell>
          <cell r="L460"/>
          <cell r="M460"/>
          <cell r="N460"/>
          <cell r="O460"/>
          <cell r="P460"/>
          <cell r="Q460">
            <v>3.3611557500000002E-5</v>
          </cell>
          <cell r="R460">
            <v>1.3370894686727339E-7</v>
          </cell>
          <cell r="S460">
            <v>1.4856549651919266E-8</v>
          </cell>
          <cell r="T460">
            <v>1.1460766874337719E-6</v>
          </cell>
          <cell r="U460"/>
          <cell r="V460"/>
          <cell r="W460">
            <v>30000</v>
          </cell>
          <cell r="X460">
            <v>0.33333333333333331</v>
          </cell>
          <cell r="Y460">
            <v>0.33333333333333331</v>
          </cell>
          <cell r="Z460">
            <v>0.33333333333333331</v>
          </cell>
          <cell r="AA460"/>
        </row>
        <row r="461">
          <cell r="A461">
            <v>454</v>
          </cell>
          <cell r="B461" t="str">
            <v>Cyclohexane, 5-isocyanato-1-(isocyanatomethyl)-1,3,3-trimethyl-</v>
          </cell>
          <cell r="C461" t="str">
            <v>4098-71-9</v>
          </cell>
          <cell r="D461" t="str">
            <v>Neutral</v>
          </cell>
          <cell r="E461"/>
          <cell r="F461">
            <v>222.29</v>
          </cell>
          <cell r="G461"/>
          <cell r="H461">
            <v>0.150666666629</v>
          </cell>
          <cell r="I461">
            <v>2.9279999999999999</v>
          </cell>
          <cell r="J461"/>
          <cell r="K461">
            <v>56234.132519034953</v>
          </cell>
          <cell r="L461"/>
          <cell r="M461"/>
          <cell r="N461"/>
          <cell r="O461"/>
          <cell r="P461"/>
          <cell r="Q461">
            <v>6.6186224999999995E-6</v>
          </cell>
          <cell r="R461">
            <v>2.1393431498763744E-7</v>
          </cell>
          <cell r="S461">
            <v>2.3770479443070826E-8</v>
          </cell>
          <cell r="T461">
            <v>1.0696715749381872E-7</v>
          </cell>
          <cell r="U461"/>
          <cell r="V461"/>
          <cell r="W461">
            <v>30000</v>
          </cell>
          <cell r="X461">
            <v>0.33333333333333331</v>
          </cell>
          <cell r="Y461">
            <v>0.33333333333333331</v>
          </cell>
          <cell r="Z461">
            <v>0.33333333333333331</v>
          </cell>
          <cell r="AA461"/>
        </row>
        <row r="462">
          <cell r="A462">
            <v>455</v>
          </cell>
          <cell r="B462" t="str">
            <v>ALLETHRIN</v>
          </cell>
          <cell r="C462" t="str">
            <v>584-79-2</v>
          </cell>
          <cell r="D462" t="str">
            <v>Neutral</v>
          </cell>
          <cell r="E462"/>
          <cell r="F462">
            <v>302.42</v>
          </cell>
          <cell r="G462"/>
          <cell r="H462">
            <v>43999999.989</v>
          </cell>
          <cell r="I462">
            <v>4.5999999999999996</v>
          </cell>
          <cell r="J462"/>
          <cell r="K462">
            <v>60255.95860743591</v>
          </cell>
          <cell r="L462"/>
          <cell r="M462"/>
          <cell r="N462"/>
          <cell r="O462"/>
          <cell r="P462"/>
          <cell r="Q462">
            <v>1.666893675E-4</v>
          </cell>
          <cell r="R462">
            <v>2.1393431498763744E-7</v>
          </cell>
          <cell r="S462">
            <v>2.3770479443070826E-8</v>
          </cell>
          <cell r="T462">
            <v>1.3370894686727339E-7</v>
          </cell>
          <cell r="U462"/>
          <cell r="V462"/>
          <cell r="W462">
            <v>30000</v>
          </cell>
          <cell r="X462">
            <v>0.33333333333333331</v>
          </cell>
          <cell r="Y462">
            <v>0.33333333333333331</v>
          </cell>
          <cell r="Z462">
            <v>0.33333333333333331</v>
          </cell>
          <cell r="AA462"/>
        </row>
        <row r="463">
          <cell r="A463">
            <v>456</v>
          </cell>
          <cell r="B463" t="str">
            <v>STILBENE</v>
          </cell>
          <cell r="C463" t="str">
            <v>588-59-0</v>
          </cell>
          <cell r="D463" t="str">
            <v>Neutral</v>
          </cell>
          <cell r="E463"/>
          <cell r="F463">
            <v>180.25</v>
          </cell>
          <cell r="G463"/>
          <cell r="H463">
            <v>0.91466666643799988</v>
          </cell>
          <cell r="I463">
            <v>0.29199999999999998</v>
          </cell>
          <cell r="J463"/>
          <cell r="K463">
            <v>64565.422903465565</v>
          </cell>
          <cell r="L463"/>
          <cell r="M463"/>
          <cell r="N463"/>
          <cell r="O463"/>
          <cell r="P463"/>
          <cell r="Q463">
            <v>4.5049739999999999E-5</v>
          </cell>
          <cell r="R463">
            <v>5.3483578746909358E-7</v>
          </cell>
          <cell r="S463">
            <v>5.9426198607677063E-8</v>
          </cell>
          <cell r="T463">
            <v>2.6741789373454679E-7</v>
          </cell>
          <cell r="U463"/>
          <cell r="V463"/>
          <cell r="W463">
            <v>30000</v>
          </cell>
          <cell r="X463">
            <v>0.33333333333333331</v>
          </cell>
          <cell r="Y463">
            <v>0.33333333333333331</v>
          </cell>
          <cell r="Z463">
            <v>0.33333333333333331</v>
          </cell>
          <cell r="AA463"/>
        </row>
        <row r="464">
          <cell r="A464">
            <v>457</v>
          </cell>
          <cell r="B464" t="str">
            <v>CARBOPHENOTHION-METHYL</v>
          </cell>
          <cell r="C464" t="str">
            <v>953-17-3</v>
          </cell>
          <cell r="D464" t="str">
            <v>Neutral</v>
          </cell>
          <cell r="E464"/>
          <cell r="F464">
            <v>314.8</v>
          </cell>
          <cell r="G464"/>
          <cell r="H464">
            <v>3.5599999991099995E-3</v>
          </cell>
          <cell r="I464">
            <v>1.6</v>
          </cell>
          <cell r="J464"/>
          <cell r="K464">
            <v>66069.344800759733</v>
          </cell>
          <cell r="L464"/>
          <cell r="M464"/>
          <cell r="N464"/>
          <cell r="O464"/>
          <cell r="P464"/>
          <cell r="Q464">
            <v>1.5869467500000001E-4</v>
          </cell>
          <cell r="R464">
            <v>2.1393431498763744E-7</v>
          </cell>
          <cell r="S464">
            <v>2.3770479443070826E-8</v>
          </cell>
          <cell r="T464">
            <v>1.0696715749381872E-7</v>
          </cell>
          <cell r="U464"/>
          <cell r="V464"/>
          <cell r="W464">
            <v>30000</v>
          </cell>
          <cell r="X464">
            <v>0.33333333333333331</v>
          </cell>
          <cell r="Y464">
            <v>0.33333333333333331</v>
          </cell>
          <cell r="Z464">
            <v>0.33333333333333331</v>
          </cell>
          <cell r="AA464"/>
        </row>
        <row r="465">
          <cell r="A465">
            <v>458</v>
          </cell>
          <cell r="B465" t="str">
            <v>Octoxynol</v>
          </cell>
          <cell r="C465" t="str">
            <v>9002-93-1</v>
          </cell>
          <cell r="D465" t="str">
            <v>Neutral</v>
          </cell>
          <cell r="E465"/>
          <cell r="F465">
            <v>250.38</v>
          </cell>
          <cell r="G465"/>
          <cell r="H465">
            <v>931.99999976699996</v>
          </cell>
          <cell r="I465">
            <v>5.3559999999999999</v>
          </cell>
          <cell r="J465"/>
          <cell r="K465">
            <v>72443.596007499116</v>
          </cell>
          <cell r="L465"/>
          <cell r="M465"/>
          <cell r="N465"/>
          <cell r="O465"/>
          <cell r="P465"/>
          <cell r="Q465">
            <v>2.9411820000000003E-5</v>
          </cell>
          <cell r="R465">
            <v>2.1393431498763744E-7</v>
          </cell>
          <cell r="S465">
            <v>2.3770479443070826E-8</v>
          </cell>
          <cell r="T465">
            <v>1.0696715749381872E-7</v>
          </cell>
          <cell r="U465"/>
          <cell r="V465"/>
          <cell r="W465">
            <v>30000</v>
          </cell>
          <cell r="X465">
            <v>0.33333333333333331</v>
          </cell>
          <cell r="Y465">
            <v>0.33333333333333331</v>
          </cell>
          <cell r="Z465">
            <v>0.33333333333333331</v>
          </cell>
          <cell r="AA465"/>
        </row>
        <row r="466">
          <cell r="A466">
            <v>459</v>
          </cell>
          <cell r="B466" t="str">
            <v>RONNEL</v>
          </cell>
          <cell r="C466" t="str">
            <v>299-84-3</v>
          </cell>
          <cell r="D466" t="str">
            <v>Neutral</v>
          </cell>
          <cell r="E466"/>
          <cell r="F466">
            <v>321.54000000000002</v>
          </cell>
          <cell r="G466"/>
          <cell r="H466">
            <v>9.9999999974999983E-3</v>
          </cell>
          <cell r="I466">
            <v>1</v>
          </cell>
          <cell r="J466"/>
          <cell r="K466">
            <v>75857.757502918481</v>
          </cell>
          <cell r="L466"/>
          <cell r="M466"/>
          <cell r="N466"/>
          <cell r="O466"/>
          <cell r="P466"/>
          <cell r="Q466">
            <v>4.4094547499999996E-5</v>
          </cell>
          <cell r="R466">
            <v>1.3370894686727339E-7</v>
          </cell>
          <cell r="S466">
            <v>1.4856549651919266E-8</v>
          </cell>
          <cell r="T466">
            <v>6.6854473433636697E-8</v>
          </cell>
          <cell r="U466"/>
          <cell r="V466"/>
          <cell r="W466">
            <v>30000</v>
          </cell>
          <cell r="X466">
            <v>0.33333333333333331</v>
          </cell>
          <cell r="Y466">
            <v>0.33333333333333331</v>
          </cell>
          <cell r="Z466">
            <v>0.33333333333333331</v>
          </cell>
          <cell r="AA466"/>
        </row>
        <row r="467">
          <cell r="A467">
            <v>460</v>
          </cell>
          <cell r="B467" t="str">
            <v>2,4-Dichlorodiphenyl ether</v>
          </cell>
          <cell r="C467" t="str">
            <v>51892-26-3</v>
          </cell>
          <cell r="D467" t="str">
            <v>Neutral</v>
          </cell>
          <cell r="E467"/>
          <cell r="F467">
            <v>239.1</v>
          </cell>
          <cell r="G467"/>
          <cell r="H467">
            <v>0.122666666636</v>
          </cell>
          <cell r="I467">
            <v>5.6</v>
          </cell>
          <cell r="J467"/>
          <cell r="K467">
            <v>85113.803820237721</v>
          </cell>
          <cell r="L467"/>
          <cell r="M467"/>
          <cell r="N467"/>
          <cell r="O467"/>
          <cell r="P467"/>
          <cell r="Q467">
            <v>2.8413525000000001E-6</v>
          </cell>
          <cell r="R467">
            <v>1.3370894686727339E-7</v>
          </cell>
          <cell r="S467">
            <v>1.4856549651919266E-8</v>
          </cell>
          <cell r="T467">
            <v>6.6854473433636697E-8</v>
          </cell>
          <cell r="U467"/>
          <cell r="V467"/>
          <cell r="W467">
            <v>30000</v>
          </cell>
          <cell r="X467">
            <v>0.33333333333333331</v>
          </cell>
          <cell r="Y467">
            <v>0.33333333333333331</v>
          </cell>
          <cell r="Z467">
            <v>0.33333333333333331</v>
          </cell>
          <cell r="AA467"/>
        </row>
        <row r="468">
          <cell r="A468">
            <v>461</v>
          </cell>
          <cell r="B468" t="str">
            <v>4-BROMOPHENYL PHENYL ETHER</v>
          </cell>
          <cell r="C468" t="str">
            <v>101-55-3</v>
          </cell>
          <cell r="D468" t="str">
            <v>Neutral</v>
          </cell>
          <cell r="E468"/>
          <cell r="F468">
            <v>249.11</v>
          </cell>
          <cell r="G468"/>
          <cell r="H468">
            <v>0.19999999994999998</v>
          </cell>
          <cell r="I468">
            <v>1.448</v>
          </cell>
          <cell r="J468"/>
          <cell r="K468">
            <v>87096.358995608287</v>
          </cell>
          <cell r="L468"/>
          <cell r="M468"/>
          <cell r="N468"/>
          <cell r="O468"/>
          <cell r="P468"/>
          <cell r="Q468">
            <v>3.8532075000000003E-6</v>
          </cell>
          <cell r="R468">
            <v>2.1393431498763744E-7</v>
          </cell>
          <cell r="S468">
            <v>2.3770479443070826E-8</v>
          </cell>
          <cell r="T468">
            <v>1.0696715749381872E-7</v>
          </cell>
          <cell r="U468"/>
          <cell r="V468"/>
          <cell r="W468">
            <v>30000</v>
          </cell>
          <cell r="X468">
            <v>0.33333333333333331</v>
          </cell>
          <cell r="Y468">
            <v>0.33333333333333331</v>
          </cell>
          <cell r="Z468">
            <v>0.33333333333333331</v>
          </cell>
          <cell r="AA468"/>
        </row>
        <row r="469">
          <cell r="A469">
            <v>462</v>
          </cell>
          <cell r="B469" t="str">
            <v>9-METHYLANTHRACENE</v>
          </cell>
          <cell r="C469" t="str">
            <v>779-02-2</v>
          </cell>
          <cell r="D469" t="str">
            <v>Neutral</v>
          </cell>
          <cell r="E469"/>
          <cell r="F469">
            <v>192.26</v>
          </cell>
          <cell r="G469"/>
          <cell r="H469">
            <v>5.3333333320000004E-3</v>
          </cell>
          <cell r="I469">
            <v>0.26100000000000001</v>
          </cell>
          <cell r="J469"/>
          <cell r="K469">
            <v>117489.75549395311</v>
          </cell>
          <cell r="L469"/>
          <cell r="M469"/>
          <cell r="N469"/>
          <cell r="O469"/>
          <cell r="P469"/>
          <cell r="Q469">
            <v>7.8419940000000007E-5</v>
          </cell>
          <cell r="R469">
            <v>2.1393431498763744E-7</v>
          </cell>
          <cell r="S469">
            <v>2.3770479443070826E-8</v>
          </cell>
          <cell r="T469">
            <v>1.0696715749381872E-7</v>
          </cell>
          <cell r="U469"/>
          <cell r="V469"/>
          <cell r="W469">
            <v>30000</v>
          </cell>
          <cell r="X469">
            <v>0.33333333333333331</v>
          </cell>
          <cell r="Y469">
            <v>0.33333333333333331</v>
          </cell>
          <cell r="Z469">
            <v>0.33333333333333331</v>
          </cell>
          <cell r="AA469"/>
        </row>
        <row r="470">
          <cell r="A470">
            <v>463</v>
          </cell>
          <cell r="B470" t="str">
            <v>2,4'-DICHLOROBIPHENYL</v>
          </cell>
          <cell r="C470" t="str">
            <v>34883-43-7</v>
          </cell>
          <cell r="D470" t="str">
            <v>Neutral</v>
          </cell>
          <cell r="E470"/>
          <cell r="F470">
            <v>223.1</v>
          </cell>
          <cell r="G470"/>
          <cell r="H470">
            <v>0.27866666659699996</v>
          </cell>
          <cell r="I470">
            <v>1.17</v>
          </cell>
          <cell r="J470"/>
          <cell r="K470">
            <v>123026.87708123829</v>
          </cell>
          <cell r="L470"/>
          <cell r="M470"/>
          <cell r="N470"/>
          <cell r="O470"/>
          <cell r="P470"/>
          <cell r="Q470">
            <v>1.2951824999999999E-6</v>
          </cell>
          <cell r="R470">
            <v>2.1393431498763744E-7</v>
          </cell>
          <cell r="S470">
            <v>2.3770479443070826E-8</v>
          </cell>
          <cell r="T470">
            <v>1.0696715749381872E-7</v>
          </cell>
          <cell r="U470"/>
          <cell r="V470"/>
          <cell r="W470">
            <v>30000</v>
          </cell>
          <cell r="X470">
            <v>0.33333333333333331</v>
          </cell>
          <cell r="Y470">
            <v>0.33333333333333331</v>
          </cell>
          <cell r="Z470">
            <v>0.33333333333333331</v>
          </cell>
          <cell r="AA470"/>
        </row>
        <row r="471">
          <cell r="A471">
            <v>464</v>
          </cell>
          <cell r="B471" t="str">
            <v>DICHLOFENTHION</v>
          </cell>
          <cell r="C471" t="str">
            <v>97-17-6</v>
          </cell>
          <cell r="D471" t="str">
            <v>Neutral</v>
          </cell>
          <cell r="E471"/>
          <cell r="F471">
            <v>315.14999999999998</v>
          </cell>
          <cell r="G471"/>
          <cell r="H471">
            <v>7.4666666647999994E-2</v>
          </cell>
          <cell r="I471">
            <v>0.245</v>
          </cell>
          <cell r="J471"/>
          <cell r="K471">
            <v>138038.42646028858</v>
          </cell>
          <cell r="L471"/>
          <cell r="M471"/>
          <cell r="N471"/>
          <cell r="O471"/>
          <cell r="P471"/>
          <cell r="Q471">
            <v>6.9252967500000004E-5</v>
          </cell>
          <cell r="R471">
            <v>1.3370894686727339E-7</v>
          </cell>
          <cell r="S471">
            <v>1.4856549651919266E-8</v>
          </cell>
          <cell r="T471">
            <v>1.3370894686727339E-6</v>
          </cell>
          <cell r="U471"/>
          <cell r="V471"/>
          <cell r="W471">
            <v>30000</v>
          </cell>
          <cell r="X471">
            <v>0.33333333333333331</v>
          </cell>
          <cell r="Y471">
            <v>0.33333333333333331</v>
          </cell>
          <cell r="Z471">
            <v>0.33333333333333331</v>
          </cell>
          <cell r="AA471"/>
        </row>
        <row r="472">
          <cell r="A472">
            <v>465</v>
          </cell>
          <cell r="B472" t="str">
            <v>P-(T-BUTYL)TOLUENE</v>
          </cell>
          <cell r="C472" t="str">
            <v>98-51-1</v>
          </cell>
          <cell r="D472" t="str">
            <v>Neutral</v>
          </cell>
          <cell r="E472"/>
          <cell r="F472">
            <v>148.25</v>
          </cell>
          <cell r="G472"/>
          <cell r="H472">
            <v>78.933333313599988</v>
          </cell>
          <cell r="I472">
            <v>2.9689999999999999</v>
          </cell>
          <cell r="J472"/>
          <cell r="K472">
            <v>147910.83881682079</v>
          </cell>
          <cell r="L472"/>
          <cell r="M472"/>
          <cell r="N472"/>
          <cell r="O472"/>
          <cell r="P472"/>
          <cell r="Q472">
            <v>1.0499999999999999E-5</v>
          </cell>
          <cell r="R472">
            <v>2.1393431498763744E-7</v>
          </cell>
          <cell r="S472">
            <v>2.3770479443070826E-8</v>
          </cell>
          <cell r="T472">
            <v>1.0696715749381872E-7</v>
          </cell>
          <cell r="U472"/>
          <cell r="V472"/>
          <cell r="W472">
            <v>30000</v>
          </cell>
          <cell r="X472">
            <v>0.33333333333333331</v>
          </cell>
          <cell r="Y472">
            <v>0.33333333333333331</v>
          </cell>
          <cell r="Z472">
            <v>0.33333333333333331</v>
          </cell>
          <cell r="AA472"/>
        </row>
        <row r="473">
          <cell r="A473">
            <v>466</v>
          </cell>
          <cell r="B473" t="str">
            <v>TRICHLORONATE</v>
          </cell>
          <cell r="C473" t="str">
            <v>327-98-0</v>
          </cell>
          <cell r="D473" t="str">
            <v>Neutral</v>
          </cell>
          <cell r="E473"/>
          <cell r="F473">
            <v>333.6</v>
          </cell>
          <cell r="G473"/>
          <cell r="H473">
            <v>1.9999999994999998E-3</v>
          </cell>
          <cell r="I473">
            <v>0.59</v>
          </cell>
          <cell r="J473"/>
          <cell r="K473">
            <v>169824.36524617471</v>
          </cell>
          <cell r="L473"/>
          <cell r="M473"/>
          <cell r="N473"/>
          <cell r="O473"/>
          <cell r="P473"/>
          <cell r="Q473">
            <v>5.5224217499999997E-5</v>
          </cell>
          <cell r="R473">
            <v>1.3370894686727339E-7</v>
          </cell>
          <cell r="S473">
            <v>1.4856549651919266E-8</v>
          </cell>
          <cell r="T473">
            <v>5.771609217292377E-8</v>
          </cell>
          <cell r="U473"/>
          <cell r="V473"/>
          <cell r="W473">
            <v>30000</v>
          </cell>
          <cell r="X473">
            <v>0.33333333333333331</v>
          </cell>
          <cell r="Y473">
            <v>0.33333333333333331</v>
          </cell>
          <cell r="Z473">
            <v>0.33333333333333331</v>
          </cell>
          <cell r="AA473"/>
        </row>
        <row r="474">
          <cell r="A474">
            <v>467</v>
          </cell>
          <cell r="B474" t="str">
            <v>Bromoxynil octanoate</v>
          </cell>
          <cell r="C474" t="str">
            <v>1689-99-2</v>
          </cell>
          <cell r="D474" t="str">
            <v>Neutral</v>
          </cell>
          <cell r="E474"/>
          <cell r="F474">
            <v>403.12</v>
          </cell>
          <cell r="G474"/>
          <cell r="H474">
            <v>6.3999999983999989E-4</v>
          </cell>
          <cell r="I474">
            <v>0.08</v>
          </cell>
          <cell r="J474"/>
          <cell r="K474">
            <v>251188.64315095844</v>
          </cell>
          <cell r="L474"/>
          <cell r="M474"/>
          <cell r="N474"/>
          <cell r="O474"/>
          <cell r="P474"/>
          <cell r="Q474">
            <v>5.5490399999999991E-6</v>
          </cell>
          <cell r="R474">
            <v>2.1393431498763744E-7</v>
          </cell>
          <cell r="S474">
            <v>2.3770479443070826E-8</v>
          </cell>
          <cell r="T474">
            <v>1.0028171015045505E-6</v>
          </cell>
          <cell r="U474"/>
          <cell r="V474"/>
          <cell r="W474">
            <v>30000</v>
          </cell>
          <cell r="X474">
            <v>0.33333333333333331</v>
          </cell>
          <cell r="Y474">
            <v>0.33333333333333331</v>
          </cell>
          <cell r="Z474">
            <v>0.33333333333333331</v>
          </cell>
          <cell r="AA474"/>
        </row>
        <row r="475">
          <cell r="A475">
            <v>468</v>
          </cell>
          <cell r="B475" t="str">
            <v>PENTACHLOROANISOLE</v>
          </cell>
          <cell r="C475" t="str">
            <v>1825-21-4</v>
          </cell>
          <cell r="D475" t="str">
            <v>Neutral</v>
          </cell>
          <cell r="E475"/>
          <cell r="F475">
            <v>280.37</v>
          </cell>
          <cell r="G475"/>
          <cell r="H475">
            <v>4.5866666655199999E-2</v>
          </cell>
          <cell r="I475">
            <v>0.35349999999999998</v>
          </cell>
          <cell r="J475"/>
          <cell r="K475">
            <v>281838.29312644573</v>
          </cell>
          <cell r="L475"/>
          <cell r="M475"/>
          <cell r="N475"/>
          <cell r="O475"/>
          <cell r="P475"/>
          <cell r="Q475">
            <v>8.2084500000000002E-7</v>
          </cell>
          <cell r="R475">
            <v>4.45696489557578E-8</v>
          </cell>
          <cell r="S475">
            <v>4.9521832173064224E-9</v>
          </cell>
          <cell r="T475">
            <v>2.22848244778789E-8</v>
          </cell>
          <cell r="U475"/>
          <cell r="V475"/>
          <cell r="W475">
            <v>30000</v>
          </cell>
          <cell r="X475">
            <v>0.33333333333333331</v>
          </cell>
          <cell r="Y475">
            <v>0.33333333333333331</v>
          </cell>
          <cell r="Z475">
            <v>0.33333333333333331</v>
          </cell>
          <cell r="AA475"/>
        </row>
        <row r="476">
          <cell r="A476">
            <v>469</v>
          </cell>
          <cell r="B476" t="str">
            <v>METHOPRENE</v>
          </cell>
          <cell r="C476" t="str">
            <v>40596-69-8</v>
          </cell>
          <cell r="D476" t="str">
            <v>Neutral</v>
          </cell>
          <cell r="E476"/>
          <cell r="F476">
            <v>310.48</v>
          </cell>
          <cell r="G476"/>
          <cell r="H476">
            <v>3.1466666658799998E-3</v>
          </cell>
          <cell r="I476">
            <v>1.4</v>
          </cell>
          <cell r="J476"/>
          <cell r="K476">
            <v>316227.7660168382</v>
          </cell>
          <cell r="L476"/>
          <cell r="M476"/>
          <cell r="N476"/>
          <cell r="O476"/>
          <cell r="P476"/>
          <cell r="Q476">
            <v>6.2215687500000004E-5</v>
          </cell>
          <cell r="R476">
            <v>2.1393431498763744E-7</v>
          </cell>
          <cell r="S476">
            <v>2.3770479443070826E-8</v>
          </cell>
          <cell r="T476">
            <v>8.0225368120364042E-7</v>
          </cell>
          <cell r="U476"/>
          <cell r="V476"/>
          <cell r="W476">
            <v>30000</v>
          </cell>
          <cell r="X476">
            <v>0.33333333333333331</v>
          </cell>
          <cell r="Y476">
            <v>0.33333333333333331</v>
          </cell>
          <cell r="Z476">
            <v>0.33333333333333331</v>
          </cell>
          <cell r="AA476"/>
        </row>
        <row r="477">
          <cell r="A477">
            <v>470</v>
          </cell>
          <cell r="B477" t="str">
            <v>PROCLONOL</v>
          </cell>
          <cell r="C477" t="str">
            <v>14088-71-2</v>
          </cell>
          <cell r="D477" t="str">
            <v>Neutral</v>
          </cell>
          <cell r="E477"/>
          <cell r="F477">
            <v>293.2</v>
          </cell>
          <cell r="G477"/>
          <cell r="H477">
            <v>7.9333333313499998E-6</v>
          </cell>
          <cell r="I477">
            <v>0.87439999999999996</v>
          </cell>
          <cell r="J477"/>
          <cell r="K477">
            <v>316227.7660168382</v>
          </cell>
          <cell r="L477"/>
          <cell r="M477"/>
          <cell r="N477"/>
          <cell r="O477"/>
          <cell r="P477"/>
          <cell r="Q477">
            <v>2.7829500000000002E-6</v>
          </cell>
          <cell r="R477">
            <v>1.3370894686727339E-7</v>
          </cell>
          <cell r="S477">
            <v>1.4856549651919266E-8</v>
          </cell>
          <cell r="T477">
            <v>6.6854473433636697E-8</v>
          </cell>
          <cell r="U477"/>
          <cell r="V477"/>
          <cell r="W477">
            <v>30000</v>
          </cell>
          <cell r="X477">
            <v>0.33333333333333331</v>
          </cell>
          <cell r="Y477">
            <v>0.33333333333333331</v>
          </cell>
          <cell r="Z477">
            <v>0.33333333333333331</v>
          </cell>
          <cell r="AA477"/>
        </row>
        <row r="478">
          <cell r="A478">
            <v>471</v>
          </cell>
          <cell r="B478" t="str">
            <v>IODOFENPHOS</v>
          </cell>
          <cell r="C478" t="str">
            <v>18181-70-9</v>
          </cell>
          <cell r="D478" t="str">
            <v>Neutral</v>
          </cell>
          <cell r="E478"/>
          <cell r="F478">
            <v>413</v>
          </cell>
          <cell r="G478"/>
          <cell r="H478">
            <v>1.099999999725E-4</v>
          </cell>
          <cell r="I478">
            <v>0.1</v>
          </cell>
          <cell r="J478"/>
          <cell r="K478">
            <v>323593.65692962846</v>
          </cell>
          <cell r="L478"/>
          <cell r="M478"/>
          <cell r="N478"/>
          <cell r="O478"/>
          <cell r="P478"/>
          <cell r="Q478">
            <v>4.4115900000000002E-5</v>
          </cell>
          <cell r="R478">
            <v>1.3370894686727339E-7</v>
          </cell>
          <cell r="S478">
            <v>1.4856549651919266E-8</v>
          </cell>
          <cell r="T478">
            <v>1.0285303605174876E-7</v>
          </cell>
          <cell r="U478"/>
          <cell r="V478"/>
          <cell r="W478">
            <v>30000</v>
          </cell>
          <cell r="X478">
            <v>0.33333333333333331</v>
          </cell>
          <cell r="Y478">
            <v>0.33333333333333331</v>
          </cell>
          <cell r="Z478">
            <v>0.33333333333333331</v>
          </cell>
          <cell r="AA478"/>
        </row>
        <row r="479">
          <cell r="A479">
            <v>472</v>
          </cell>
          <cell r="B479" t="str">
            <v>P-DIBUTYLTEREPHTHALATE</v>
          </cell>
          <cell r="C479" t="str">
            <v>1962-75-0</v>
          </cell>
          <cell r="D479" t="str">
            <v>Neutral</v>
          </cell>
          <cell r="E479"/>
          <cell r="F479">
            <v>278.35000000000002</v>
          </cell>
          <cell r="G479"/>
          <cell r="H479">
            <v>3.3999999991500003E-2</v>
          </cell>
          <cell r="I479">
            <v>0.95</v>
          </cell>
          <cell r="J479"/>
          <cell r="K479">
            <v>338844.15613920329</v>
          </cell>
          <cell r="L479"/>
          <cell r="M479"/>
          <cell r="N479"/>
          <cell r="O479"/>
          <cell r="P479"/>
          <cell r="Q479">
            <v>6.9577350000000002E-6</v>
          </cell>
          <cell r="R479">
            <v>9.2532143160742838E-7</v>
          </cell>
          <cell r="S479">
            <v>1.0281349240082538E-7</v>
          </cell>
          <cell r="T479">
            <v>4.6266071580371419E-7</v>
          </cell>
          <cell r="U479"/>
          <cell r="V479"/>
          <cell r="W479">
            <v>30000</v>
          </cell>
          <cell r="X479">
            <v>0.33333333333333331</v>
          </cell>
          <cell r="Y479">
            <v>0.33333333333333331</v>
          </cell>
          <cell r="Z479">
            <v>0.33333333333333331</v>
          </cell>
          <cell r="AA479"/>
        </row>
        <row r="480">
          <cell r="A480">
            <v>473</v>
          </cell>
          <cell r="B480" t="str">
            <v>LETHANE 60</v>
          </cell>
          <cell r="C480" t="str">
            <v>301-11-1</v>
          </cell>
          <cell r="D480" t="str">
            <v>Neutral</v>
          </cell>
          <cell r="E480"/>
          <cell r="F480">
            <v>285.45</v>
          </cell>
          <cell r="G480"/>
          <cell r="H480">
            <v>3.5066666657899997E-4</v>
          </cell>
          <cell r="I480">
            <v>0.21510000000000001</v>
          </cell>
          <cell r="J480"/>
          <cell r="K480">
            <v>467735.14128719864</v>
          </cell>
          <cell r="L480"/>
          <cell r="M480"/>
          <cell r="N480"/>
          <cell r="O480"/>
          <cell r="P480"/>
          <cell r="Q480">
            <v>1.78316475E-5</v>
          </cell>
          <cell r="R480">
            <v>5.3483578746909358E-7</v>
          </cell>
          <cell r="S480">
            <v>5.9426198607677063E-8</v>
          </cell>
          <cell r="T480">
            <v>2.6741789373454679E-7</v>
          </cell>
          <cell r="U480"/>
          <cell r="V480"/>
          <cell r="W480">
            <v>30000</v>
          </cell>
          <cell r="X480">
            <v>0.33333333333333331</v>
          </cell>
          <cell r="Y480">
            <v>0.33333333333333331</v>
          </cell>
          <cell r="Z480">
            <v>0.33333333333333331</v>
          </cell>
          <cell r="AA480"/>
        </row>
        <row r="481">
          <cell r="A481">
            <v>474</v>
          </cell>
          <cell r="B481" t="str">
            <v>FENPROPATHRIN</v>
          </cell>
          <cell r="C481" t="str">
            <v>39515-41-8</v>
          </cell>
          <cell r="D481" t="str">
            <v>Neutral</v>
          </cell>
          <cell r="E481"/>
          <cell r="F481">
            <v>349.43</v>
          </cell>
          <cell r="G481"/>
          <cell r="H481">
            <v>7.3066666648399997E-4</v>
          </cell>
          <cell r="I481">
            <v>0.33</v>
          </cell>
          <cell r="J481"/>
          <cell r="K481">
            <v>501187.23362727347</v>
          </cell>
          <cell r="L481"/>
          <cell r="M481"/>
          <cell r="N481"/>
          <cell r="O481"/>
          <cell r="P481"/>
          <cell r="Q481">
            <v>1.3403204999999999E-5</v>
          </cell>
          <cell r="R481">
            <v>1.3370894686727339E-7</v>
          </cell>
          <cell r="S481">
            <v>1.4856549651919266E-8</v>
          </cell>
          <cell r="T481">
            <v>2.8651917185844297E-7</v>
          </cell>
          <cell r="U481"/>
          <cell r="V481"/>
          <cell r="W481">
            <v>30000</v>
          </cell>
          <cell r="X481">
            <v>0.33333333333333331</v>
          </cell>
          <cell r="Y481">
            <v>0.33333333333333331</v>
          </cell>
          <cell r="Z481">
            <v>0.33333333333333331</v>
          </cell>
          <cell r="AA481"/>
        </row>
        <row r="482">
          <cell r="A482">
            <v>475</v>
          </cell>
          <cell r="B482" t="str">
            <v>PHENKAPTON</v>
          </cell>
          <cell r="C482" t="str">
            <v>2275-14-1</v>
          </cell>
          <cell r="D482" t="str">
            <v>Neutral</v>
          </cell>
          <cell r="E482"/>
          <cell r="F482">
            <v>377.3</v>
          </cell>
          <cell r="G482"/>
          <cell r="H482">
            <v>1.0079999997479999E-4</v>
          </cell>
          <cell r="I482">
            <v>4.3569999999999998E-2</v>
          </cell>
          <cell r="J482"/>
          <cell r="K482">
            <v>691830.97091893724</v>
          </cell>
          <cell r="L482"/>
          <cell r="M482"/>
          <cell r="N482"/>
          <cell r="O482"/>
          <cell r="P482"/>
          <cell r="Q482">
            <v>1.8266780250000001E-4</v>
          </cell>
          <cell r="R482">
            <v>1.3370894686727339E-7</v>
          </cell>
          <cell r="S482">
            <v>1.4856549651919266E-8</v>
          </cell>
          <cell r="T482">
            <v>6.6854473433636697E-8</v>
          </cell>
          <cell r="U482"/>
          <cell r="V482"/>
          <cell r="W482">
            <v>30000</v>
          </cell>
          <cell r="X482">
            <v>0.33333333333333331</v>
          </cell>
          <cell r="Y482">
            <v>0.33333333333333331</v>
          </cell>
          <cell r="Z482">
            <v>0.33333333333333331</v>
          </cell>
          <cell r="AA482"/>
        </row>
        <row r="483">
          <cell r="A483">
            <v>476</v>
          </cell>
          <cell r="B483" t="str">
            <v>O,P'-DDD</v>
          </cell>
          <cell r="C483" t="str">
            <v>53-19-0</v>
          </cell>
          <cell r="D483" t="str">
            <v>Neutral</v>
          </cell>
          <cell r="E483"/>
          <cell r="F483">
            <v>320.05</v>
          </cell>
          <cell r="G483"/>
          <cell r="H483">
            <v>2.5866666660200001E-4</v>
          </cell>
          <cell r="I483">
            <v>0.1</v>
          </cell>
          <cell r="J483"/>
          <cell r="K483">
            <v>741310.24130091805</v>
          </cell>
          <cell r="L483"/>
          <cell r="M483"/>
          <cell r="N483"/>
          <cell r="O483"/>
          <cell r="P483"/>
          <cell r="Q483">
            <v>3.2581125000000002E-6</v>
          </cell>
          <cell r="R483">
            <v>4.45696489557578E-8</v>
          </cell>
          <cell r="S483">
            <v>4.9521832173064224E-9</v>
          </cell>
          <cell r="T483">
            <v>2.22848244778789E-8</v>
          </cell>
          <cell r="U483"/>
          <cell r="V483"/>
          <cell r="W483">
            <v>30000</v>
          </cell>
          <cell r="X483">
            <v>0.33333333333333331</v>
          </cell>
          <cell r="Y483">
            <v>0.33333333333333331</v>
          </cell>
          <cell r="Z483">
            <v>0.33333333333333331</v>
          </cell>
          <cell r="AA483"/>
        </row>
        <row r="484">
          <cell r="A484">
            <v>477</v>
          </cell>
          <cell r="B484" t="str">
            <v>CYFLUTHRIN</v>
          </cell>
          <cell r="C484" t="str">
            <v>68359-37-5</v>
          </cell>
          <cell r="D484" t="str">
            <v>Neutral</v>
          </cell>
          <cell r="E484"/>
          <cell r="F484">
            <v>434.3</v>
          </cell>
          <cell r="G484"/>
          <cell r="H484">
            <v>1.9999999994999998E-8</v>
          </cell>
          <cell r="I484">
            <v>3.0000000000000001E-3</v>
          </cell>
          <cell r="J484"/>
          <cell r="K484">
            <v>891250.93813374708</v>
          </cell>
          <cell r="L484"/>
          <cell r="M484"/>
          <cell r="N484"/>
          <cell r="O484"/>
          <cell r="P484"/>
          <cell r="Q484">
            <v>9.3758024999999994E-6</v>
          </cell>
          <cell r="R484">
            <v>4.45696489557578E-8</v>
          </cell>
          <cell r="S484">
            <v>4.9521832173064224E-9</v>
          </cell>
          <cell r="T484">
            <v>6.1711821631049263E-7</v>
          </cell>
          <cell r="U484"/>
          <cell r="V484"/>
          <cell r="W484">
            <v>30000</v>
          </cell>
          <cell r="X484">
            <v>0.33333333333333331</v>
          </cell>
          <cell r="Y484">
            <v>0.33333333333333331</v>
          </cell>
          <cell r="Z484">
            <v>0.33333333333333331</v>
          </cell>
          <cell r="AA484"/>
        </row>
        <row r="485">
          <cell r="A485">
            <v>478</v>
          </cell>
          <cell r="B485" t="str">
            <v>Alcohols, C12-14, ethoxylated</v>
          </cell>
          <cell r="C485" t="str">
            <v>68439-50-9</v>
          </cell>
          <cell r="D485" t="str">
            <v>Neutral</v>
          </cell>
          <cell r="E485"/>
          <cell r="F485">
            <v>214.39</v>
          </cell>
          <cell r="G485"/>
          <cell r="H485">
            <v>3.3066666658399999</v>
          </cell>
          <cell r="I485">
            <v>0.29949999999999999</v>
          </cell>
          <cell r="J485"/>
          <cell r="K485">
            <v>912010.83935591124</v>
          </cell>
          <cell r="L485"/>
          <cell r="M485"/>
          <cell r="N485"/>
          <cell r="O485"/>
          <cell r="P485"/>
          <cell r="Q485">
            <v>2.2366919999999999E-5</v>
          </cell>
          <cell r="R485">
            <v>5.3483578746909358E-7</v>
          </cell>
          <cell r="S485">
            <v>5.9426198607677063E-8</v>
          </cell>
          <cell r="T485">
            <v>2.6741789373454679E-7</v>
          </cell>
          <cell r="U485"/>
          <cell r="V485"/>
          <cell r="W485">
            <v>30000</v>
          </cell>
          <cell r="X485">
            <v>0.33333333333333331</v>
          </cell>
          <cell r="Y485">
            <v>0.33333333333333331</v>
          </cell>
          <cell r="Z485">
            <v>0.33333333333333331</v>
          </cell>
          <cell r="AA485"/>
        </row>
        <row r="486">
          <cell r="A486">
            <v>479</v>
          </cell>
          <cell r="B486" t="str">
            <v>alpha-Cypermethrin</v>
          </cell>
          <cell r="C486" t="str">
            <v>67375-30-8</v>
          </cell>
          <cell r="D486" t="str">
            <v>Neutral</v>
          </cell>
          <cell r="E486"/>
          <cell r="F486">
            <v>416.31</v>
          </cell>
          <cell r="G486"/>
          <cell r="H486">
            <v>0.17333333328999997</v>
          </cell>
          <cell r="I486">
            <v>0.01</v>
          </cell>
          <cell r="J486"/>
          <cell r="K486">
            <v>1148153.6214968837</v>
          </cell>
          <cell r="L486"/>
          <cell r="M486"/>
          <cell r="N486"/>
          <cell r="O486"/>
          <cell r="P486"/>
          <cell r="Q486">
            <v>1.6070535E-5</v>
          </cell>
          <cell r="R486">
            <v>4.45696489557578E-8</v>
          </cell>
          <cell r="S486">
            <v>4.9521832173064224E-9</v>
          </cell>
          <cell r="T486">
            <v>2.292153374867544E-7</v>
          </cell>
          <cell r="U486"/>
          <cell r="V486"/>
          <cell r="W486">
            <v>30000</v>
          </cell>
          <cell r="X486">
            <v>0.33333333333333331</v>
          </cell>
          <cell r="Y486">
            <v>0.33333333333333331</v>
          </cell>
          <cell r="Z486">
            <v>0.33333333333333331</v>
          </cell>
          <cell r="AA486"/>
        </row>
        <row r="487">
          <cell r="A487">
            <v>480</v>
          </cell>
          <cell r="B487" t="str">
            <v>BETA-CYPERMETHRIN ISOMER</v>
          </cell>
          <cell r="C487" t="str">
            <v>65732-07-2</v>
          </cell>
          <cell r="D487" t="str">
            <v>Neutral</v>
          </cell>
          <cell r="E487"/>
          <cell r="F487">
            <v>416.31</v>
          </cell>
          <cell r="G487"/>
          <cell r="H487">
            <v>0.17333333328999997</v>
          </cell>
          <cell r="I487">
            <v>0.115</v>
          </cell>
          <cell r="J487"/>
          <cell r="K487">
            <v>1148153.6214968837</v>
          </cell>
          <cell r="L487"/>
          <cell r="M487"/>
          <cell r="N487"/>
          <cell r="O487"/>
          <cell r="P487"/>
          <cell r="Q487">
            <v>1.6070535E-5</v>
          </cell>
          <cell r="R487">
            <v>4.45696489557578E-8</v>
          </cell>
          <cell r="S487">
            <v>4.9521832173064224E-9</v>
          </cell>
          <cell r="T487">
            <v>2.22848244778789E-8</v>
          </cell>
          <cell r="U487"/>
          <cell r="V487"/>
          <cell r="W487">
            <v>30000</v>
          </cell>
          <cell r="X487">
            <v>0.33333333333333331</v>
          </cell>
          <cell r="Y487">
            <v>0.33333333333333331</v>
          </cell>
          <cell r="Z487">
            <v>0.33333333333333331</v>
          </cell>
          <cell r="AA487"/>
        </row>
        <row r="488">
          <cell r="A488">
            <v>481</v>
          </cell>
          <cell r="B488" t="str">
            <v>cis-Chlordane</v>
          </cell>
          <cell r="C488" t="str">
            <v>5103-71-9</v>
          </cell>
          <cell r="D488" t="str">
            <v>Neutral</v>
          </cell>
          <cell r="E488"/>
          <cell r="F488">
            <v>409.78</v>
          </cell>
          <cell r="G488"/>
          <cell r="H488">
            <v>1.3306666663339998E-3</v>
          </cell>
          <cell r="I488">
            <v>5.6000000000000001E-2</v>
          </cell>
          <cell r="J488"/>
          <cell r="K488">
            <v>1258925.4117941677</v>
          </cell>
          <cell r="L488"/>
          <cell r="M488"/>
          <cell r="N488"/>
          <cell r="O488"/>
          <cell r="P488"/>
          <cell r="Q488">
            <v>3.7788750000000003E-6</v>
          </cell>
          <cell r="R488">
            <v>4.45696489557578E-8</v>
          </cell>
          <cell r="S488">
            <v>4.9521832173064224E-9</v>
          </cell>
          <cell r="T488">
            <v>2.22848244778789E-8</v>
          </cell>
          <cell r="U488"/>
          <cell r="V488"/>
          <cell r="W488">
            <v>30000</v>
          </cell>
          <cell r="X488">
            <v>0.33333333333333331</v>
          </cell>
          <cell r="Y488">
            <v>0.33333333333333331</v>
          </cell>
          <cell r="Z488">
            <v>0.33333333333333331</v>
          </cell>
          <cell r="AA488"/>
        </row>
        <row r="489">
          <cell r="A489">
            <v>482</v>
          </cell>
          <cell r="B489" t="str">
            <v>RESMETHRIN</v>
          </cell>
          <cell r="C489" t="str">
            <v>10453-86-8</v>
          </cell>
          <cell r="D489" t="str">
            <v>Neutral</v>
          </cell>
          <cell r="E489"/>
          <cell r="F489">
            <v>338.45</v>
          </cell>
          <cell r="G489"/>
          <cell r="H489">
            <v>1.8666666661999998E-2</v>
          </cell>
          <cell r="I489">
            <v>3.7900000000000003E-2</v>
          </cell>
          <cell r="J489"/>
          <cell r="K489">
            <v>1380384.2646028849</v>
          </cell>
          <cell r="L489"/>
          <cell r="M489"/>
          <cell r="N489"/>
          <cell r="O489"/>
          <cell r="P489"/>
          <cell r="Q489">
            <v>2.1750890250000002E-4</v>
          </cell>
          <cell r="R489">
            <v>2.1393431498763744E-7</v>
          </cell>
          <cell r="S489">
            <v>2.3770479443070826E-8</v>
          </cell>
          <cell r="T489">
            <v>2.6741789373454679E-7</v>
          </cell>
          <cell r="U489"/>
          <cell r="V489"/>
          <cell r="W489">
            <v>30000</v>
          </cell>
          <cell r="X489">
            <v>0.33333333333333331</v>
          </cell>
          <cell r="Y489">
            <v>0.33333333333333331</v>
          </cell>
          <cell r="Z489">
            <v>0.33333333333333331</v>
          </cell>
          <cell r="AA489"/>
        </row>
        <row r="490">
          <cell r="A490">
            <v>483</v>
          </cell>
          <cell r="B490" t="str">
            <v>DELTAMETHRIN</v>
          </cell>
          <cell r="C490" t="str">
            <v>52918-63-5</v>
          </cell>
          <cell r="D490" t="str">
            <v>Neutral</v>
          </cell>
          <cell r="E490"/>
          <cell r="F490">
            <v>505.21</v>
          </cell>
          <cell r="G490"/>
          <cell r="H490">
            <v>1.9999999994999997E-6</v>
          </cell>
          <cell r="I490">
            <v>2E-3</v>
          </cell>
          <cell r="J490"/>
          <cell r="K490">
            <v>1584893.1924611153</v>
          </cell>
          <cell r="L490"/>
          <cell r="M490"/>
          <cell r="N490"/>
          <cell r="O490"/>
          <cell r="P490"/>
          <cell r="Q490">
            <v>1.7602147500000002E-5</v>
          </cell>
          <cell r="R490">
            <v>1.3370894686727339E-7</v>
          </cell>
          <cell r="S490">
            <v>1.4856549651919266E-8</v>
          </cell>
          <cell r="T490">
            <v>3.8202556247792398E-7</v>
          </cell>
          <cell r="U490"/>
          <cell r="V490"/>
          <cell r="W490">
            <v>30000</v>
          </cell>
          <cell r="X490">
            <v>0.33333333333333331</v>
          </cell>
          <cell r="Y490">
            <v>0.33333333333333331</v>
          </cell>
          <cell r="Z490">
            <v>0.33333333333333331</v>
          </cell>
          <cell r="AA490"/>
        </row>
        <row r="491">
          <cell r="A491">
            <v>484</v>
          </cell>
          <cell r="B491" t="str">
            <v>PCBS</v>
          </cell>
          <cell r="C491" t="str">
            <v>1336-36-3</v>
          </cell>
          <cell r="D491" t="str">
            <v>Neutral</v>
          </cell>
          <cell r="E491"/>
          <cell r="F491">
            <v>291.99</v>
          </cell>
          <cell r="G491"/>
          <cell r="H491">
            <v>1.1506666663789999E-2</v>
          </cell>
          <cell r="I491">
            <v>0.7</v>
          </cell>
          <cell r="J491"/>
          <cell r="K491">
            <v>1949844.5997580495</v>
          </cell>
          <cell r="L491"/>
          <cell r="M491"/>
          <cell r="N491"/>
          <cell r="O491"/>
          <cell r="P491"/>
          <cell r="Q491">
            <v>7.5000000000000002E-7</v>
          </cell>
          <cell r="R491">
            <v>4.45696489557578E-8</v>
          </cell>
          <cell r="S491">
            <v>4.9521832173064224E-9</v>
          </cell>
          <cell r="T491">
            <v>2.22848244778789E-8</v>
          </cell>
          <cell r="U491"/>
          <cell r="V491"/>
          <cell r="W491">
            <v>30000</v>
          </cell>
          <cell r="X491">
            <v>0.33333333333333331</v>
          </cell>
          <cell r="Y491">
            <v>0.33333333333333331</v>
          </cell>
          <cell r="Z491">
            <v>0.33333333333333331</v>
          </cell>
          <cell r="AA491"/>
        </row>
        <row r="492">
          <cell r="A492">
            <v>485</v>
          </cell>
          <cell r="B492" t="str">
            <v>TRI-M-CRESYL PHOSPHATE</v>
          </cell>
          <cell r="C492" t="str">
            <v>563-04-2</v>
          </cell>
          <cell r="D492" t="str">
            <v>Neutral</v>
          </cell>
          <cell r="E492"/>
          <cell r="F492">
            <v>368.37</v>
          </cell>
          <cell r="G492"/>
          <cell r="H492">
            <v>1.4533333329699999E-5</v>
          </cell>
          <cell r="I492">
            <v>1.8370000000000001E-2</v>
          </cell>
          <cell r="J492"/>
          <cell r="K492">
            <v>2187761.6239495561</v>
          </cell>
          <cell r="L492"/>
          <cell r="M492"/>
          <cell r="N492"/>
          <cell r="O492"/>
          <cell r="P492"/>
          <cell r="Q492">
            <v>2.1534652499999999E-5</v>
          </cell>
          <cell r="R492">
            <v>2.1393431498763744E-7</v>
          </cell>
          <cell r="S492">
            <v>2.3770479443070826E-8</v>
          </cell>
          <cell r="T492">
            <v>1.0696715749381872E-7</v>
          </cell>
          <cell r="U492"/>
          <cell r="V492"/>
          <cell r="W492">
            <v>30000</v>
          </cell>
          <cell r="X492">
            <v>0.33333333333333331</v>
          </cell>
          <cell r="Y492">
            <v>0.33333333333333331</v>
          </cell>
          <cell r="Z492">
            <v>0.33333333333333331</v>
          </cell>
          <cell r="AA492"/>
        </row>
        <row r="493">
          <cell r="A493">
            <v>486</v>
          </cell>
          <cell r="B493" t="str">
            <v>AROCLOR 1248</v>
          </cell>
          <cell r="C493" t="str">
            <v>12672-29-6</v>
          </cell>
          <cell r="D493" t="str">
            <v>Neutral</v>
          </cell>
          <cell r="E493"/>
          <cell r="F493">
            <v>291.99</v>
          </cell>
          <cell r="G493"/>
          <cell r="H493">
            <v>6.5866666650199995E-2</v>
          </cell>
          <cell r="I493">
            <v>0.1</v>
          </cell>
          <cell r="J493"/>
          <cell r="K493">
            <v>2187761.6239495561</v>
          </cell>
          <cell r="L493"/>
          <cell r="M493"/>
          <cell r="N493"/>
          <cell r="O493"/>
          <cell r="P493"/>
          <cell r="Q493">
            <v>9.6471750000000001E-7</v>
          </cell>
          <cell r="R493">
            <v>4.45696489557578E-8</v>
          </cell>
          <cell r="S493">
            <v>4.9521832173064224E-9</v>
          </cell>
          <cell r="T493">
            <v>2.22848244778789E-8</v>
          </cell>
          <cell r="U493"/>
          <cell r="V493"/>
          <cell r="W493">
            <v>30000</v>
          </cell>
          <cell r="X493">
            <v>0.33333333333333331</v>
          </cell>
          <cell r="Y493">
            <v>0.33333333333333331</v>
          </cell>
          <cell r="Z493">
            <v>0.33333333333333331</v>
          </cell>
          <cell r="AA493"/>
        </row>
        <row r="494">
          <cell r="A494">
            <v>487</v>
          </cell>
          <cell r="B494" t="str">
            <v>Aldrin</v>
          </cell>
          <cell r="C494" t="str">
            <v>309-00-2</v>
          </cell>
          <cell r="D494" t="str">
            <v>Neutral</v>
          </cell>
          <cell r="E494"/>
          <cell r="F494">
            <v>364.92</v>
          </cell>
          <cell r="G494"/>
          <cell r="H494">
            <v>1.5999999995999999E-2</v>
          </cell>
          <cell r="I494">
            <v>1.7000000000000001E-2</v>
          </cell>
          <cell r="J494"/>
          <cell r="K494">
            <v>3162277.6601683851</v>
          </cell>
          <cell r="L494"/>
          <cell r="M494"/>
          <cell r="N494"/>
          <cell r="O494"/>
          <cell r="P494"/>
          <cell r="Q494">
            <v>4.8442102499999998E-5</v>
          </cell>
          <cell r="R494">
            <v>4.45696489557578E-8</v>
          </cell>
          <cell r="S494">
            <v>4.9521832173064224E-9</v>
          </cell>
          <cell r="T494">
            <v>2.1979552909688777E-8</v>
          </cell>
          <cell r="U494"/>
          <cell r="V494"/>
          <cell r="W494">
            <v>30000</v>
          </cell>
          <cell r="X494">
            <v>0.33333333333333331</v>
          </cell>
          <cell r="Y494">
            <v>0.33333333333333331</v>
          </cell>
          <cell r="Z494">
            <v>0.33333333333333331</v>
          </cell>
          <cell r="AA494"/>
        </row>
        <row r="495">
          <cell r="A495">
            <v>488</v>
          </cell>
          <cell r="B495" t="str">
            <v>2,3,7,8-TetraCDF</v>
          </cell>
          <cell r="C495" t="str">
            <v>51207-31-9</v>
          </cell>
          <cell r="D495" t="str">
            <v>Neutral</v>
          </cell>
          <cell r="E495"/>
          <cell r="F495">
            <v>305.98</v>
          </cell>
          <cell r="G495"/>
          <cell r="H495">
            <v>1.9599999995100001E-5</v>
          </cell>
          <cell r="I495">
            <v>6.9200000000000002E-4</v>
          </cell>
          <cell r="J495"/>
          <cell r="K495">
            <v>3388441.5613920307</v>
          </cell>
          <cell r="L495"/>
          <cell r="M495"/>
          <cell r="N495"/>
          <cell r="O495"/>
          <cell r="P495"/>
          <cell r="Q495">
            <v>6.0169026090273026E-7</v>
          </cell>
          <cell r="R495">
            <v>3.0084513045136514E-8</v>
          </cell>
          <cell r="S495">
            <v>3.5007433361613396E-10</v>
          </cell>
          <cell r="T495">
            <v>3.5007433361613396E-10</v>
          </cell>
          <cell r="U495"/>
          <cell r="V495"/>
          <cell r="W495">
            <v>30000</v>
          </cell>
          <cell r="X495">
            <v>0.33333333333333331</v>
          </cell>
          <cell r="Y495">
            <v>0.33333333333333331</v>
          </cell>
          <cell r="Z495">
            <v>0.33333333333333331</v>
          </cell>
          <cell r="AA495"/>
        </row>
        <row r="496">
          <cell r="A496">
            <v>489</v>
          </cell>
          <cell r="B496" t="str">
            <v>DIMETHRIN</v>
          </cell>
          <cell r="C496" t="str">
            <v>70-38-2</v>
          </cell>
          <cell r="D496" t="str">
            <v>Neutral</v>
          </cell>
          <cell r="E496"/>
          <cell r="F496">
            <v>286.42</v>
          </cell>
          <cell r="G496"/>
          <cell r="H496">
            <v>1.4933333329599998E-2</v>
          </cell>
          <cell r="I496">
            <v>3.5709999999999999E-2</v>
          </cell>
          <cell r="J496"/>
          <cell r="K496">
            <v>3715352.2909717364</v>
          </cell>
          <cell r="L496"/>
          <cell r="M496"/>
          <cell r="N496"/>
          <cell r="O496"/>
          <cell r="P496"/>
          <cell r="Q496">
            <v>7.9154700000000003E-5</v>
          </cell>
          <cell r="R496">
            <v>2.1393431498763744E-7</v>
          </cell>
          <cell r="S496">
            <v>2.3770479443070826E-8</v>
          </cell>
          <cell r="T496">
            <v>1.0696715749381872E-7</v>
          </cell>
          <cell r="U496"/>
          <cell r="V496"/>
          <cell r="W496">
            <v>30000</v>
          </cell>
          <cell r="X496">
            <v>0.33333333333333331</v>
          </cell>
          <cell r="Y496">
            <v>0.33333333333333331</v>
          </cell>
          <cell r="Z496">
            <v>0.33333333333333331</v>
          </cell>
          <cell r="AA496"/>
        </row>
        <row r="497">
          <cell r="A497">
            <v>490</v>
          </cell>
          <cell r="B497" t="str">
            <v>CYPHENOTHRIN</v>
          </cell>
          <cell r="C497" t="str">
            <v>39515-40-7</v>
          </cell>
          <cell r="D497" t="str">
            <v>Neutral</v>
          </cell>
          <cell r="E497"/>
          <cell r="F497">
            <v>375.47</v>
          </cell>
          <cell r="G497"/>
          <cell r="H497">
            <v>1.1999999996999999E-4</v>
          </cell>
          <cell r="I497">
            <v>0.01</v>
          </cell>
          <cell r="J497"/>
          <cell r="K497">
            <v>4168693.8347033644</v>
          </cell>
          <cell r="L497"/>
          <cell r="M497"/>
          <cell r="N497"/>
          <cell r="O497"/>
          <cell r="P497"/>
          <cell r="Q497">
            <v>7.8275489999999999E-5</v>
          </cell>
          <cell r="R497">
            <v>1.3370894686727339E-7</v>
          </cell>
          <cell r="S497">
            <v>1.4856549651919266E-8</v>
          </cell>
          <cell r="T497">
            <v>6.6854473433636697E-8</v>
          </cell>
          <cell r="U497"/>
          <cell r="V497"/>
          <cell r="W497">
            <v>30000</v>
          </cell>
          <cell r="X497">
            <v>0.33333333333333331</v>
          </cell>
          <cell r="Y497">
            <v>0.33333333333333331</v>
          </cell>
          <cell r="Z497">
            <v>0.33333333333333331</v>
          </cell>
          <cell r="AA497"/>
        </row>
        <row r="498">
          <cell r="A498">
            <v>491</v>
          </cell>
          <cell r="B498" t="str">
            <v>1,1-DICHLORO-2,2-BIS(ETHYLPHENYL)ETHANE</v>
          </cell>
          <cell r="C498" t="str">
            <v>72-56-0</v>
          </cell>
          <cell r="D498" t="str">
            <v>Neutral</v>
          </cell>
          <cell r="E498"/>
          <cell r="F498">
            <v>307.27</v>
          </cell>
          <cell r="G498"/>
          <cell r="H498">
            <v>2.19999999945E-3</v>
          </cell>
          <cell r="I498">
            <v>0.1</v>
          </cell>
          <cell r="J498"/>
          <cell r="K498">
            <v>4570881.8961487599</v>
          </cell>
          <cell r="L498"/>
          <cell r="M498"/>
          <cell r="N498"/>
          <cell r="O498"/>
          <cell r="P498"/>
          <cell r="Q498">
            <v>1.1179777499999999E-5</v>
          </cell>
          <cell r="R498">
            <v>1.3370894686727339E-7</v>
          </cell>
          <cell r="S498">
            <v>1.4856549651919266E-8</v>
          </cell>
          <cell r="T498">
            <v>6.6854473433636697E-8</v>
          </cell>
          <cell r="U498"/>
          <cell r="V498"/>
          <cell r="W498">
            <v>30000</v>
          </cell>
          <cell r="X498">
            <v>0.33333333333333331</v>
          </cell>
          <cell r="Y498">
            <v>0.33333333333333331</v>
          </cell>
          <cell r="Z498">
            <v>0.33333333333333331</v>
          </cell>
          <cell r="AA498"/>
        </row>
        <row r="499">
          <cell r="A499">
            <v>492</v>
          </cell>
          <cell r="B499" t="str">
            <v>DICHLORPROP-ISOOCTYL</v>
          </cell>
          <cell r="C499" t="str">
            <v>28631-35-8</v>
          </cell>
          <cell r="D499" t="str">
            <v>Neutral</v>
          </cell>
          <cell r="E499"/>
          <cell r="F499">
            <v>347.28</v>
          </cell>
          <cell r="G499"/>
          <cell r="H499">
            <v>4.5066666655399994E-4</v>
          </cell>
          <cell r="I499">
            <v>1.257E-2</v>
          </cell>
          <cell r="J499"/>
          <cell r="K499">
            <v>4897788.1936844708</v>
          </cell>
          <cell r="L499"/>
          <cell r="M499"/>
          <cell r="N499"/>
          <cell r="O499"/>
          <cell r="P499"/>
          <cell r="Q499">
            <v>1.19100375E-5</v>
          </cell>
          <cell r="R499">
            <v>1.3370894686727339E-7</v>
          </cell>
          <cell r="S499">
            <v>1.4856549651919266E-8</v>
          </cell>
          <cell r="T499">
            <v>6.6854473433636697E-8</v>
          </cell>
          <cell r="U499"/>
          <cell r="V499"/>
          <cell r="W499">
            <v>30000</v>
          </cell>
          <cell r="X499">
            <v>0.33333333333333331</v>
          </cell>
          <cell r="Y499">
            <v>0.33333333333333331</v>
          </cell>
          <cell r="Z499">
            <v>0.33333333333333331</v>
          </cell>
          <cell r="AA499"/>
        </row>
        <row r="500">
          <cell r="A500">
            <v>493</v>
          </cell>
          <cell r="B500" t="str">
            <v>1,3,4-Metheno-1H-cyclobuta[cd]pentalene, 1,1a,2,2,3,3a,4,5,5,5a,5b-undecachlorooctahydro- (9CI)</v>
          </cell>
          <cell r="C500" t="str">
            <v>39801-14-4</v>
          </cell>
          <cell r="D500" t="str">
            <v>Neutral</v>
          </cell>
          <cell r="E500"/>
          <cell r="F500">
            <v>511.1</v>
          </cell>
          <cell r="G500"/>
          <cell r="H500">
            <v>8.8799999977799996E-4</v>
          </cell>
          <cell r="I500">
            <v>9.5830000000000004E-4</v>
          </cell>
          <cell r="J500"/>
          <cell r="K500">
            <v>6165950.0186148267</v>
          </cell>
          <cell r="L500"/>
          <cell r="M500"/>
          <cell r="N500"/>
          <cell r="O500"/>
          <cell r="P500"/>
          <cell r="Q500">
            <v>1.668675E-7</v>
          </cell>
          <cell r="R500">
            <v>4.45696489557578E-8</v>
          </cell>
          <cell r="S500">
            <v>4.9521832173064224E-9</v>
          </cell>
          <cell r="T500">
            <v>2.22848244778789E-8</v>
          </cell>
          <cell r="U500"/>
          <cell r="V500"/>
          <cell r="W500">
            <v>30000</v>
          </cell>
          <cell r="X500">
            <v>0.33333333333333331</v>
          </cell>
          <cell r="Y500">
            <v>0.33333333333333331</v>
          </cell>
          <cell r="Z500">
            <v>0.33333333333333331</v>
          </cell>
          <cell r="AA500"/>
        </row>
        <row r="501">
          <cell r="A501">
            <v>494</v>
          </cell>
          <cell r="B501" t="str">
            <v>ETOFENPROX</v>
          </cell>
          <cell r="C501" t="str">
            <v>80844-07-1</v>
          </cell>
          <cell r="D501" t="str">
            <v>Neutral</v>
          </cell>
          <cell r="E501"/>
          <cell r="F501">
            <v>376.5</v>
          </cell>
          <cell r="G501"/>
          <cell r="H501">
            <v>2.7866666659699999E-5</v>
          </cell>
          <cell r="I501">
            <v>1E-3</v>
          </cell>
          <cell r="J501"/>
          <cell r="K501">
            <v>11220184.543019636</v>
          </cell>
          <cell r="L501"/>
          <cell r="M501"/>
          <cell r="N501"/>
          <cell r="O501"/>
          <cell r="P501"/>
          <cell r="Q501">
            <v>4.6618230000000002E-5</v>
          </cell>
          <cell r="R501">
            <v>1.3370894686727339E-7</v>
          </cell>
          <cell r="S501">
            <v>1.4856549651919266E-8</v>
          </cell>
          <cell r="T501">
            <v>7.293215283669458E-7</v>
          </cell>
          <cell r="U501"/>
          <cell r="V501"/>
          <cell r="W501">
            <v>30000</v>
          </cell>
          <cell r="X501">
            <v>0.33333333333333331</v>
          </cell>
          <cell r="Y501">
            <v>0.33333333333333331</v>
          </cell>
          <cell r="Z501">
            <v>0.33333333333333331</v>
          </cell>
          <cell r="AA501"/>
        </row>
        <row r="502">
          <cell r="A502">
            <v>495</v>
          </cell>
          <cell r="B502" t="str">
            <v>CUMYLPHENYL DIPHENYL PHOSPHATE</v>
          </cell>
          <cell r="C502" t="str">
            <v>34364-42-6</v>
          </cell>
          <cell r="D502" t="str">
            <v>Neutral</v>
          </cell>
          <cell r="E502"/>
          <cell r="F502">
            <v>444.47</v>
          </cell>
          <cell r="G502"/>
          <cell r="H502">
            <v>2.7466666659799997E-6</v>
          </cell>
          <cell r="I502">
            <v>6.3E-2</v>
          </cell>
          <cell r="J502"/>
          <cell r="K502">
            <v>16595869.074375641</v>
          </cell>
          <cell r="L502"/>
          <cell r="M502"/>
          <cell r="N502"/>
          <cell r="O502"/>
          <cell r="P502"/>
          <cell r="Q502">
            <v>1.32638475E-5</v>
          </cell>
          <cell r="R502">
            <v>1.3370894686727339E-7</v>
          </cell>
          <cell r="S502">
            <v>1.4856549651919266E-8</v>
          </cell>
          <cell r="T502">
            <v>6.6854473433636697E-8</v>
          </cell>
          <cell r="U502"/>
          <cell r="V502"/>
          <cell r="W502">
            <v>30000</v>
          </cell>
          <cell r="X502">
            <v>0.33333333333333331</v>
          </cell>
          <cell r="Y502">
            <v>0.33333333333333331</v>
          </cell>
          <cell r="Z502">
            <v>0.33333333333333331</v>
          </cell>
          <cell r="AA502"/>
        </row>
        <row r="503">
          <cell r="A503">
            <v>496</v>
          </cell>
          <cell r="B503" t="str">
            <v>di-(2-ethylhexyl)-phthalate (DEHP)</v>
          </cell>
          <cell r="C503" t="str">
            <v>117-81-7</v>
          </cell>
          <cell r="D503" t="str">
            <v>Neutral</v>
          </cell>
          <cell r="E503"/>
          <cell r="F503">
            <v>390.57</v>
          </cell>
          <cell r="G503"/>
          <cell r="H503">
            <v>1.8933333328599999E-5</v>
          </cell>
          <cell r="I503">
            <v>0.27</v>
          </cell>
          <cell r="J503"/>
          <cell r="K503">
            <v>39810717.055349804</v>
          </cell>
          <cell r="L503"/>
          <cell r="M503"/>
          <cell r="N503"/>
          <cell r="O503"/>
          <cell r="P503"/>
          <cell r="Q503">
            <v>1.6466579999999998E-5</v>
          </cell>
          <cell r="R503">
            <v>5.3483578746909358E-7</v>
          </cell>
          <cell r="S503">
            <v>5.9426198607677063E-8</v>
          </cell>
          <cell r="T503">
            <v>2.6741789373454679E-7</v>
          </cell>
          <cell r="U503"/>
          <cell r="V503"/>
          <cell r="W503">
            <v>30000</v>
          </cell>
          <cell r="X503">
            <v>0.33333333333333331</v>
          </cell>
          <cell r="Y503">
            <v>0.33333333333333331</v>
          </cell>
          <cell r="Z503">
            <v>0.33333333333333331</v>
          </cell>
          <cell r="AA503"/>
        </row>
        <row r="504">
          <cell r="A504">
            <v>497</v>
          </cell>
          <cell r="B504" t="str">
            <v>DIFENACOUM</v>
          </cell>
          <cell r="C504" t="str">
            <v>56073-07-5</v>
          </cell>
          <cell r="D504" t="str">
            <v>Neutral</v>
          </cell>
          <cell r="E504"/>
          <cell r="F504">
            <v>444.53</v>
          </cell>
          <cell r="G504"/>
          <cell r="H504">
            <v>1.5999999995999997E-4</v>
          </cell>
          <cell r="I504">
            <v>3.1E-2</v>
          </cell>
          <cell r="J504"/>
          <cell r="K504">
            <v>41686938.347033612</v>
          </cell>
          <cell r="L504"/>
          <cell r="M504"/>
          <cell r="N504"/>
          <cell r="O504"/>
          <cell r="P504"/>
          <cell r="Q504">
            <v>4.6280782499999994E-5</v>
          </cell>
          <cell r="R504">
            <v>2.1393431498763744E-7</v>
          </cell>
          <cell r="S504">
            <v>2.3770479443070826E-8</v>
          </cell>
          <cell r="T504">
            <v>2.7663920041504839E-8</v>
          </cell>
          <cell r="U504"/>
          <cell r="V504"/>
          <cell r="W504">
            <v>30000</v>
          </cell>
          <cell r="X504">
            <v>0.33333333333333331</v>
          </cell>
          <cell r="Y504">
            <v>0.33333333333333331</v>
          </cell>
          <cell r="Z504">
            <v>0.33333333333333331</v>
          </cell>
          <cell r="AA504"/>
        </row>
        <row r="505">
          <cell r="A505">
            <v>498</v>
          </cell>
          <cell r="B505" t="str">
            <v>1-OCTADECANOL</v>
          </cell>
          <cell r="C505" t="str">
            <v>112-92-5</v>
          </cell>
          <cell r="D505" t="str">
            <v>Neutral</v>
          </cell>
          <cell r="E505"/>
          <cell r="F505">
            <v>270.5</v>
          </cell>
          <cell r="G505"/>
          <cell r="H505">
            <v>3.5999999990999997E-4</v>
          </cell>
          <cell r="I505">
            <v>1.1000000000000001E-3</v>
          </cell>
          <cell r="J505"/>
          <cell r="K505">
            <v>52480746.024977304</v>
          </cell>
          <cell r="L505"/>
          <cell r="M505"/>
          <cell r="N505"/>
          <cell r="O505"/>
          <cell r="P505"/>
          <cell r="Q505">
            <v>2.0004525E-5</v>
          </cell>
          <cell r="R505">
            <v>5.3483578746909358E-7</v>
          </cell>
          <cell r="S505">
            <v>5.9426198607677063E-8</v>
          </cell>
          <cell r="T505">
            <v>2.6741789373454679E-7</v>
          </cell>
          <cell r="U505"/>
          <cell r="V505"/>
          <cell r="W505">
            <v>30000</v>
          </cell>
          <cell r="X505">
            <v>0.33333333333333331</v>
          </cell>
          <cell r="Y505">
            <v>0.33333333333333331</v>
          </cell>
          <cell r="Z505">
            <v>0.33333333333333331</v>
          </cell>
          <cell r="AA505"/>
        </row>
        <row r="506">
          <cell r="A506">
            <v>499</v>
          </cell>
          <cell r="B506" t="str">
            <v>DIMETHYLPHENOL PHOSPHATE (3:1)</v>
          </cell>
          <cell r="C506" t="str">
            <v>25155-23-1</v>
          </cell>
          <cell r="D506" t="str">
            <v>Neutral</v>
          </cell>
          <cell r="E506"/>
          <cell r="F506">
            <v>410.45</v>
          </cell>
          <cell r="G506"/>
          <cell r="H506">
            <v>6.8666666649499992E-6</v>
          </cell>
          <cell r="I506">
            <v>0.89</v>
          </cell>
          <cell r="J506"/>
          <cell r="K506">
            <v>95499258.602143779</v>
          </cell>
          <cell r="L506"/>
          <cell r="M506"/>
          <cell r="N506"/>
          <cell r="O506"/>
          <cell r="P506"/>
          <cell r="Q506">
            <v>3.5080110000000004E-5</v>
          </cell>
          <cell r="R506">
            <v>1.3370894686727339E-7</v>
          </cell>
          <cell r="S506">
            <v>1.4856549651919266E-8</v>
          </cell>
          <cell r="T506">
            <v>6.6854473433636697E-8</v>
          </cell>
          <cell r="U506"/>
          <cell r="V506"/>
          <cell r="W506">
            <v>30000</v>
          </cell>
          <cell r="X506">
            <v>0.33333333333333331</v>
          </cell>
          <cell r="Y506">
            <v>0.33333333333333331</v>
          </cell>
          <cell r="Z506">
            <v>0.33333333333333331</v>
          </cell>
          <cell r="AA506"/>
        </row>
        <row r="507">
          <cell r="A507">
            <v>500</v>
          </cell>
          <cell r="B507" t="str">
            <v>Di(n-octyl) phthalate</v>
          </cell>
          <cell r="C507" t="str">
            <v>117-84-0</v>
          </cell>
          <cell r="D507" t="str">
            <v>Neutral</v>
          </cell>
          <cell r="E507"/>
          <cell r="F507">
            <v>390.57</v>
          </cell>
          <cell r="G507"/>
          <cell r="H507">
            <v>1.3333333329999999E-5</v>
          </cell>
          <cell r="I507">
            <v>2.1999999999999999E-2</v>
          </cell>
          <cell r="J507"/>
          <cell r="K507">
            <v>125892541.17941682</v>
          </cell>
          <cell r="L507"/>
          <cell r="M507"/>
          <cell r="N507"/>
          <cell r="O507"/>
          <cell r="P507"/>
          <cell r="Q507">
            <v>1.5436027500000001E-5</v>
          </cell>
          <cell r="R507">
            <v>5.3483578746909358E-7</v>
          </cell>
          <cell r="S507">
            <v>5.9426198607677063E-8</v>
          </cell>
          <cell r="T507">
            <v>2.6741789373454679E-7</v>
          </cell>
          <cell r="U507"/>
          <cell r="V507"/>
          <cell r="W507">
            <v>30000</v>
          </cell>
          <cell r="X507">
            <v>0.33333333333333331</v>
          </cell>
          <cell r="Y507">
            <v>0.33333333333333331</v>
          </cell>
          <cell r="Z507">
            <v>0.33333333333333331</v>
          </cell>
          <cell r="AA507"/>
        </row>
        <row r="508">
          <cell r="A508">
            <v>501</v>
          </cell>
          <cell r="B508" t="str">
            <v>1,2-Benzenedicarboxylic acid, heptyl nonyl ester, branched and linear</v>
          </cell>
          <cell r="C508" t="str">
            <v>111381-89-6</v>
          </cell>
          <cell r="D508" t="str">
            <v>Neutral</v>
          </cell>
          <cell r="E508"/>
          <cell r="F508">
            <v>390.57</v>
          </cell>
          <cell r="G508"/>
          <cell r="H508">
            <v>7.2399999981899996E-4</v>
          </cell>
          <cell r="I508">
            <v>3.1859999999999999E-4</v>
          </cell>
          <cell r="J508"/>
          <cell r="K508">
            <v>173780082.87493807</v>
          </cell>
          <cell r="L508"/>
          <cell r="M508"/>
          <cell r="N508"/>
          <cell r="O508"/>
          <cell r="P508"/>
          <cell r="Q508">
            <v>1.6589017500000001E-5</v>
          </cell>
          <cell r="R508">
            <v>2.1393431498763744E-7</v>
          </cell>
          <cell r="S508">
            <v>2.3770479443070826E-8</v>
          </cell>
          <cell r="T508">
            <v>1.0696715749381872E-7</v>
          </cell>
          <cell r="U508"/>
          <cell r="V508"/>
          <cell r="W508">
            <v>30000</v>
          </cell>
          <cell r="X508">
            <v>0.33333333333333331</v>
          </cell>
          <cell r="Y508">
            <v>0.33333333333333331</v>
          </cell>
          <cell r="Z508">
            <v>0.33333333333333331</v>
          </cell>
          <cell r="AA508"/>
        </row>
        <row r="509">
          <cell r="A509">
            <v>502</v>
          </cell>
          <cell r="B509" t="str">
            <v>2-Naphthalenecarboxamide, 3-hydroxy-4- (2-methoxy-5-nitrophenyl)azo -N-(3-nitrophenyl)-</v>
          </cell>
          <cell r="C509" t="str">
            <v>6471-49-4</v>
          </cell>
          <cell r="D509" t="str">
            <v>Neutral</v>
          </cell>
          <cell r="E509"/>
          <cell r="F509">
            <v>487.43</v>
          </cell>
          <cell r="G509"/>
          <cell r="H509">
            <v>4.9999999987499993E-17</v>
          </cell>
          <cell r="I509">
            <v>9.8339999999999997E-5</v>
          </cell>
          <cell r="J509"/>
          <cell r="K509">
            <v>199526231.49688843</v>
          </cell>
          <cell r="L509"/>
          <cell r="M509"/>
          <cell r="N509"/>
          <cell r="O509"/>
          <cell r="P509"/>
          <cell r="Q509">
            <v>1.041843E-5</v>
          </cell>
          <cell r="R509">
            <v>4.45696489557578E-8</v>
          </cell>
          <cell r="S509">
            <v>4.9521832173064224E-9</v>
          </cell>
          <cell r="T509">
            <v>2.22848244778789E-8</v>
          </cell>
          <cell r="U509"/>
          <cell r="V509"/>
          <cell r="W509">
            <v>30000</v>
          </cell>
          <cell r="X509">
            <v>0.33333333333333331</v>
          </cell>
          <cell r="Y509">
            <v>0.33333333333333331</v>
          </cell>
          <cell r="Z509">
            <v>0.33333333333333331</v>
          </cell>
          <cell r="AA509"/>
        </row>
        <row r="510">
          <cell r="A510">
            <v>503</v>
          </cell>
          <cell r="B510" t="str">
            <v>Butanamide, N,N'-(3,3'-dimethyl 1,1'-biphenyl -4,4'-diyl)bis 2- (2,4-dichlorophenyl)azo -3-oxo-</v>
          </cell>
          <cell r="C510" t="str">
            <v>5979-28-2</v>
          </cell>
          <cell r="D510" t="str">
            <v>Neutral</v>
          </cell>
          <cell r="E510"/>
          <cell r="F510">
            <v>726.45</v>
          </cell>
          <cell r="G510"/>
          <cell r="H510">
            <v>2.4666666660500001E-21</v>
          </cell>
          <cell r="I510">
            <v>6.9299999999999997E-7</v>
          </cell>
          <cell r="J510"/>
          <cell r="K510">
            <v>204173794.4669534</v>
          </cell>
          <cell r="L510"/>
          <cell r="M510"/>
          <cell r="N510"/>
          <cell r="O510"/>
          <cell r="P510"/>
          <cell r="Q510">
            <v>1.88780775E-5</v>
          </cell>
          <cell r="R510">
            <v>4.45696489557578E-8</v>
          </cell>
          <cell r="S510">
            <v>4.9521832173064224E-9</v>
          </cell>
          <cell r="T510">
            <v>2.22848244778789E-8</v>
          </cell>
          <cell r="U510"/>
          <cell r="V510"/>
          <cell r="W510">
            <v>30000</v>
          </cell>
          <cell r="X510">
            <v>0.33333333333333331</v>
          </cell>
          <cell r="Y510">
            <v>0.33333333333333331</v>
          </cell>
          <cell r="Z510">
            <v>0.33333333333333331</v>
          </cell>
          <cell r="AA510"/>
        </row>
        <row r="511">
          <cell r="A511">
            <v>504</v>
          </cell>
          <cell r="B511" t="str">
            <v>DODECYLBENZENE</v>
          </cell>
          <cell r="C511" t="str">
            <v>123-01-3</v>
          </cell>
          <cell r="D511" t="str">
            <v>Neutral</v>
          </cell>
          <cell r="E511"/>
          <cell r="F511">
            <v>246.44</v>
          </cell>
          <cell r="G511"/>
          <cell r="H511">
            <v>6.8133333316299999E-3</v>
          </cell>
          <cell r="I511">
            <v>0.01</v>
          </cell>
          <cell r="J511"/>
          <cell r="K511">
            <v>446683592.15096432</v>
          </cell>
          <cell r="L511"/>
          <cell r="M511"/>
          <cell r="N511"/>
          <cell r="O511"/>
          <cell r="P511"/>
          <cell r="Q511">
            <v>1.50205725E-5</v>
          </cell>
          <cell r="R511">
            <v>5.3483578746909358E-7</v>
          </cell>
          <cell r="S511">
            <v>5.9426198607677063E-8</v>
          </cell>
          <cell r="T511">
            <v>2.6741789373454679E-7</v>
          </cell>
          <cell r="U511"/>
          <cell r="V511"/>
          <cell r="W511">
            <v>30000</v>
          </cell>
          <cell r="X511">
            <v>0.33333333333333331</v>
          </cell>
          <cell r="Y511">
            <v>0.33333333333333331</v>
          </cell>
          <cell r="Z511">
            <v>0.33333333333333331</v>
          </cell>
          <cell r="AA511"/>
        </row>
        <row r="512">
          <cell r="A512">
            <v>505</v>
          </cell>
          <cell r="B512" t="str">
            <v>ALKYLBENZENE (C10-C15)</v>
          </cell>
          <cell r="C512" t="str">
            <v>68648-87-3</v>
          </cell>
          <cell r="D512" t="str">
            <v>Neutral</v>
          </cell>
          <cell r="E512"/>
          <cell r="F512">
            <v>246.44</v>
          </cell>
          <cell r="G512"/>
          <cell r="H512">
            <v>6.8133333316299999E-3</v>
          </cell>
          <cell r="I512">
            <v>0.01</v>
          </cell>
          <cell r="J512"/>
          <cell r="K512">
            <v>446683592.15096432</v>
          </cell>
          <cell r="L512"/>
          <cell r="M512"/>
          <cell r="N512"/>
          <cell r="O512"/>
          <cell r="P512"/>
          <cell r="Q512">
            <v>1.50205725E-5</v>
          </cell>
          <cell r="R512">
            <v>5.3483578746909358E-7</v>
          </cell>
          <cell r="S512">
            <v>5.9426198607677063E-8</v>
          </cell>
          <cell r="T512">
            <v>2.6741789373454679E-7</v>
          </cell>
          <cell r="U512"/>
          <cell r="V512"/>
          <cell r="W512">
            <v>30000</v>
          </cell>
          <cell r="X512">
            <v>0.33333333333333331</v>
          </cell>
          <cell r="Y512">
            <v>0.33333333333333331</v>
          </cell>
          <cell r="Z512">
            <v>0.33333333333333331</v>
          </cell>
          <cell r="AA512"/>
        </row>
        <row r="513">
          <cell r="A513">
            <v>506</v>
          </cell>
          <cell r="B513" t="str">
            <v>1,2-Benzenedicarboxylic acid, di-C9-11-branched alkyl esters, C10-rich</v>
          </cell>
          <cell r="C513" t="str">
            <v>68515-49-1</v>
          </cell>
          <cell r="D513" t="str">
            <v>Neutral</v>
          </cell>
          <cell r="E513"/>
          <cell r="F513">
            <v>446.68</v>
          </cell>
          <cell r="G513"/>
          <cell r="H513">
            <v>3.4666666658E-6</v>
          </cell>
          <cell r="I513">
            <v>2.5950000000000001E-6</v>
          </cell>
          <cell r="J513"/>
          <cell r="K513">
            <v>19054607179.632496</v>
          </cell>
          <cell r="L513"/>
          <cell r="M513"/>
          <cell r="N513"/>
          <cell r="O513"/>
          <cell r="P513"/>
          <cell r="Q513">
            <v>1.42146375E-5</v>
          </cell>
          <cell r="R513">
            <v>1.3370894686727339E-7</v>
          </cell>
          <cell r="S513">
            <v>1.4856549651919266E-8</v>
          </cell>
          <cell r="T513">
            <v>6.6854473433636697E-8</v>
          </cell>
          <cell r="U513"/>
          <cell r="V513"/>
          <cell r="W513">
            <v>30000</v>
          </cell>
          <cell r="X513">
            <v>0.33333333333333331</v>
          </cell>
          <cell r="Y513">
            <v>0.33333333333333331</v>
          </cell>
          <cell r="Z513">
            <v>0.33333333333333331</v>
          </cell>
          <cell r="AA513"/>
        </row>
        <row r="514">
          <cell r="A514">
            <v>507</v>
          </cell>
          <cell r="B514" t="str">
            <v>FUMARIC ACID</v>
          </cell>
          <cell r="C514" t="str">
            <v>110-17-8</v>
          </cell>
          <cell r="D514" t="str">
            <v>Acid</v>
          </cell>
          <cell r="E514">
            <v>3.03</v>
          </cell>
          <cell r="F514">
            <v>116.07</v>
          </cell>
          <cell r="G514"/>
          <cell r="H514">
            <v>2.0533333328199999E-2</v>
          </cell>
          <cell r="I514">
            <v>7000</v>
          </cell>
          <cell r="J514"/>
          <cell r="K514">
            <v>2.8840315031266059</v>
          </cell>
          <cell r="L514"/>
          <cell r="M514"/>
          <cell r="N514"/>
          <cell r="O514"/>
          <cell r="P514"/>
          <cell r="Q514">
            <v>5.9617500000000001E-6</v>
          </cell>
          <cell r="R514">
            <v>9.2532143160742838E-7</v>
          </cell>
          <cell r="S514">
            <v>1.0281349240082538E-7</v>
          </cell>
          <cell r="T514">
            <v>4.6266071580371419E-7</v>
          </cell>
          <cell r="U514"/>
          <cell r="V514"/>
          <cell r="W514">
            <v>30000</v>
          </cell>
          <cell r="X514">
            <v>0.33333333333333331</v>
          </cell>
          <cell r="Y514">
            <v>0.33333333333333331</v>
          </cell>
          <cell r="Z514">
            <v>0.33333333333333331</v>
          </cell>
          <cell r="AA514"/>
        </row>
        <row r="515">
          <cell r="A515">
            <v>508</v>
          </cell>
          <cell r="B515" t="str">
            <v>BENAZOLIN</v>
          </cell>
          <cell r="C515" t="str">
            <v>698-83-6</v>
          </cell>
          <cell r="D515" t="str">
            <v>Acid</v>
          </cell>
          <cell r="E515">
            <v>3.04</v>
          </cell>
          <cell r="F515">
            <v>243.67</v>
          </cell>
          <cell r="G515"/>
          <cell r="H515">
            <v>9.999999997499999E-8</v>
          </cell>
          <cell r="I515">
            <v>600</v>
          </cell>
          <cell r="J515"/>
          <cell r="K515">
            <v>21.877616239495538</v>
          </cell>
          <cell r="L515"/>
          <cell r="M515"/>
          <cell r="N515"/>
          <cell r="O515"/>
          <cell r="P515"/>
          <cell r="Q515">
            <v>4.0109400000000003E-6</v>
          </cell>
          <cell r="R515">
            <v>5.3483578746909358E-7</v>
          </cell>
          <cell r="S515">
            <v>5.9426198607677063E-8</v>
          </cell>
          <cell r="T515">
            <v>3.8202556247792398E-7</v>
          </cell>
          <cell r="U515"/>
          <cell r="V515"/>
          <cell r="W515">
            <v>30000</v>
          </cell>
          <cell r="X515">
            <v>0.33333333333333331</v>
          </cell>
          <cell r="Y515">
            <v>0.33333333333333331</v>
          </cell>
          <cell r="Z515">
            <v>0.33333333333333331</v>
          </cell>
          <cell r="AA515"/>
        </row>
        <row r="516">
          <cell r="A516">
            <v>509</v>
          </cell>
          <cell r="B516" t="str">
            <v>mecoprop</v>
          </cell>
          <cell r="C516" t="str">
            <v>93-65-2</v>
          </cell>
          <cell r="D516" t="str">
            <v>Acid</v>
          </cell>
          <cell r="E516">
            <v>3.1</v>
          </cell>
          <cell r="F516">
            <v>214.65</v>
          </cell>
          <cell r="G516"/>
          <cell r="H516">
            <v>3.9999999989999999E-4</v>
          </cell>
          <cell r="I516">
            <v>620</v>
          </cell>
          <cell r="J516"/>
          <cell r="K516">
            <v>1348.9628825916541</v>
          </cell>
          <cell r="L516"/>
          <cell r="M516"/>
          <cell r="N516"/>
          <cell r="O516"/>
          <cell r="P516"/>
          <cell r="Q516">
            <v>1.304655E-5</v>
          </cell>
          <cell r="R516">
            <v>2.1393431498763744E-7</v>
          </cell>
          <cell r="S516">
            <v>2.3770479443070826E-8</v>
          </cell>
          <cell r="T516">
            <v>1.0696715749381872E-7</v>
          </cell>
          <cell r="U516"/>
          <cell r="V516"/>
          <cell r="W516">
            <v>30000</v>
          </cell>
          <cell r="X516">
            <v>0.33333333333333331</v>
          </cell>
          <cell r="Y516">
            <v>0.33333333333333331</v>
          </cell>
          <cell r="Z516">
            <v>0.33333333333333331</v>
          </cell>
          <cell r="AA516"/>
        </row>
        <row r="517">
          <cell r="A517">
            <v>510</v>
          </cell>
          <cell r="B517" t="str">
            <v>(4-Chloro-2-methylphenoxy)acetic acid compd. with N-Methylmethanamine (1:1)</v>
          </cell>
          <cell r="C517" t="str">
            <v>2039-46-5</v>
          </cell>
          <cell r="D517" t="str">
            <v>Acid</v>
          </cell>
          <cell r="E517">
            <v>3.13</v>
          </cell>
          <cell r="F517">
            <v>200.62</v>
          </cell>
          <cell r="G517"/>
          <cell r="H517">
            <v>7.8666666646999995E-4</v>
          </cell>
          <cell r="I517">
            <v>630</v>
          </cell>
          <cell r="J517"/>
          <cell r="K517">
            <v>1778.2794100389244</v>
          </cell>
          <cell r="L517"/>
          <cell r="M517"/>
          <cell r="N517"/>
          <cell r="O517"/>
          <cell r="P517"/>
          <cell r="Q517">
            <v>9.469252500000001E-6</v>
          </cell>
          <cell r="R517">
            <v>5.3483578746909358E-7</v>
          </cell>
          <cell r="S517">
            <v>5.9426198607677063E-8</v>
          </cell>
          <cell r="T517">
            <v>2.6741789373454679E-7</v>
          </cell>
          <cell r="U517"/>
          <cell r="V517"/>
          <cell r="W517">
            <v>30000</v>
          </cell>
          <cell r="X517">
            <v>0.33333333333333331</v>
          </cell>
          <cell r="Y517">
            <v>0.33333333333333331</v>
          </cell>
          <cell r="Z517">
            <v>0.33333333333333331</v>
          </cell>
          <cell r="AA517"/>
        </row>
        <row r="518">
          <cell r="A518">
            <v>511</v>
          </cell>
          <cell r="B518" t="str">
            <v>2-Methyl-4-chlorophenoxyacetic acid</v>
          </cell>
          <cell r="C518" t="str">
            <v>94-74-6</v>
          </cell>
          <cell r="D518" t="str">
            <v>Acid</v>
          </cell>
          <cell r="E518">
            <v>3.13</v>
          </cell>
          <cell r="F518">
            <v>200.62</v>
          </cell>
          <cell r="G518"/>
          <cell r="H518">
            <v>7.8666666646999995E-4</v>
          </cell>
          <cell r="I518">
            <v>630</v>
          </cell>
          <cell r="J518"/>
          <cell r="K518">
            <v>1778.2794100389244</v>
          </cell>
          <cell r="L518"/>
          <cell r="M518"/>
          <cell r="N518"/>
          <cell r="O518"/>
          <cell r="P518"/>
          <cell r="Q518">
            <v>9.469252500000001E-6</v>
          </cell>
          <cell r="R518">
            <v>5.3483578746909358E-7</v>
          </cell>
          <cell r="S518">
            <v>5.9426198607677063E-8</v>
          </cell>
          <cell r="T518">
            <v>3.2090147248145614E-7</v>
          </cell>
          <cell r="U518"/>
          <cell r="V518"/>
          <cell r="W518">
            <v>30000</v>
          </cell>
          <cell r="X518">
            <v>0.33333333333333331</v>
          </cell>
          <cell r="Y518">
            <v>0.33333333333333331</v>
          </cell>
          <cell r="Z518">
            <v>0.33333333333333331</v>
          </cell>
          <cell r="AA518"/>
        </row>
        <row r="519">
          <cell r="A519">
            <v>512</v>
          </cell>
          <cell r="B519" t="str">
            <v>FUROSEMIDE</v>
          </cell>
          <cell r="C519" t="str">
            <v>54-31-9</v>
          </cell>
          <cell r="D519" t="str">
            <v>Acid</v>
          </cell>
          <cell r="E519">
            <v>3.18</v>
          </cell>
          <cell r="F519">
            <v>330.74</v>
          </cell>
          <cell r="G519"/>
          <cell r="H519">
            <v>4.0799999989800003E-9</v>
          </cell>
          <cell r="I519">
            <v>73.099999999999994</v>
          </cell>
          <cell r="J519"/>
          <cell r="K519">
            <v>107.15193052376065</v>
          </cell>
          <cell r="L519"/>
          <cell r="M519"/>
          <cell r="N519"/>
          <cell r="O519"/>
          <cell r="P519"/>
          <cell r="Q519">
            <v>8.4163575000000007E-5</v>
          </cell>
          <cell r="R519">
            <v>1.3370894686727339E-7</v>
          </cell>
          <cell r="S519">
            <v>1.4856549651919266E-8</v>
          </cell>
          <cell r="T519">
            <v>6.6854473433636697E-8</v>
          </cell>
          <cell r="U519"/>
          <cell r="V519"/>
          <cell r="W519">
            <v>30000</v>
          </cell>
          <cell r="X519">
            <v>0.33333333333333331</v>
          </cell>
          <cell r="Y519">
            <v>0.33333333333333331</v>
          </cell>
          <cell r="Z519">
            <v>0.33333333333333331</v>
          </cell>
          <cell r="AA519"/>
        </row>
        <row r="520">
          <cell r="A520">
            <v>513</v>
          </cell>
          <cell r="B520" t="str">
            <v>OXYTETRACYLCINE</v>
          </cell>
          <cell r="C520" t="str">
            <v>79-57-2</v>
          </cell>
          <cell r="D520" t="str">
            <v>Acid</v>
          </cell>
          <cell r="E520">
            <v>3.27</v>
          </cell>
          <cell r="F520">
            <v>460.44</v>
          </cell>
          <cell r="G520"/>
          <cell r="H520">
            <v>1.2066666663649999E-20</v>
          </cell>
          <cell r="I520">
            <v>313</v>
          </cell>
          <cell r="J520"/>
          <cell r="K520">
            <v>0.12589254117941667</v>
          </cell>
          <cell r="L520"/>
          <cell r="M520"/>
          <cell r="N520"/>
          <cell r="O520"/>
          <cell r="P520"/>
          <cell r="Q520">
            <v>1.9871081250000001E-4</v>
          </cell>
          <cell r="R520">
            <v>1.3370894686727339E-7</v>
          </cell>
          <cell r="S520">
            <v>1.4856549651919266E-8</v>
          </cell>
          <cell r="T520">
            <v>4.4569648955757796E-7</v>
          </cell>
          <cell r="U520"/>
          <cell r="V520"/>
          <cell r="W520">
            <v>30000</v>
          </cell>
          <cell r="X520">
            <v>0.33333333333333331</v>
          </cell>
          <cell r="Y520">
            <v>0.33333333333333331</v>
          </cell>
          <cell r="Z520">
            <v>0.33333333333333331</v>
          </cell>
          <cell r="AA520"/>
        </row>
        <row r="521">
          <cell r="A521">
            <v>514</v>
          </cell>
          <cell r="B521" t="str">
            <v>AUREOMYCIN</v>
          </cell>
          <cell r="C521" t="str">
            <v>57-62-5</v>
          </cell>
          <cell r="D521" t="str">
            <v>Acid</v>
          </cell>
          <cell r="E521">
            <v>3.3</v>
          </cell>
          <cell r="F521">
            <v>478.89</v>
          </cell>
          <cell r="G521"/>
          <cell r="H521">
            <v>7.7866666647199998E-20</v>
          </cell>
          <cell r="I521">
            <v>630</v>
          </cell>
          <cell r="J521"/>
          <cell r="K521">
            <v>0.23988329190194901</v>
          </cell>
          <cell r="L521"/>
          <cell r="M521"/>
          <cell r="N521"/>
          <cell r="O521"/>
          <cell r="P521"/>
          <cell r="Q521">
            <v>1.5641832749999998E-4</v>
          </cell>
          <cell r="R521">
            <v>4.45696489557578E-8</v>
          </cell>
          <cell r="S521">
            <v>4.9521832173064224E-9</v>
          </cell>
          <cell r="T521">
            <v>2.6741789373454679E-7</v>
          </cell>
          <cell r="U521"/>
          <cell r="V521"/>
          <cell r="W521">
            <v>30000</v>
          </cell>
          <cell r="X521">
            <v>0.33333333333333331</v>
          </cell>
          <cell r="Y521">
            <v>0.33333333333333331</v>
          </cell>
          <cell r="Z521">
            <v>0.33333333333333331</v>
          </cell>
          <cell r="AA521"/>
        </row>
        <row r="522">
          <cell r="A522">
            <v>515</v>
          </cell>
          <cell r="B522" t="str">
            <v>9H-FLUORENE-9-CARBOXYLIC AICD, 2-CHLORO-9-HYDROX</v>
          </cell>
          <cell r="C522" t="str">
            <v>2464-37-1</v>
          </cell>
          <cell r="D522" t="str">
            <v>Acid</v>
          </cell>
          <cell r="E522">
            <v>3.31</v>
          </cell>
          <cell r="F522">
            <v>260.68</v>
          </cell>
          <cell r="G522"/>
          <cell r="H522">
            <v>2.2266666661099999E-7</v>
          </cell>
          <cell r="I522">
            <v>21.8</v>
          </cell>
          <cell r="J522"/>
          <cell r="K522">
            <v>758.57757502918378</v>
          </cell>
          <cell r="L522"/>
          <cell r="M522"/>
          <cell r="N522"/>
          <cell r="O522"/>
          <cell r="P522"/>
          <cell r="Q522">
            <v>4.3596675000000002E-6</v>
          </cell>
          <cell r="R522">
            <v>2.1393431498763744E-7</v>
          </cell>
          <cell r="S522">
            <v>2.3770479443070826E-8</v>
          </cell>
          <cell r="T522">
            <v>1.0696715749381872E-7</v>
          </cell>
          <cell r="U522"/>
          <cell r="V522"/>
          <cell r="W522">
            <v>30000</v>
          </cell>
          <cell r="X522">
            <v>0.33333333333333331</v>
          </cell>
          <cell r="Y522">
            <v>0.33333333333333331</v>
          </cell>
          <cell r="Z522">
            <v>0.33333333333333331</v>
          </cell>
          <cell r="AA522"/>
        </row>
        <row r="523">
          <cell r="A523">
            <v>516</v>
          </cell>
          <cell r="B523" t="str">
            <v>BENZENESULFONIC ACID, 4-AMINO-</v>
          </cell>
          <cell r="C523" t="str">
            <v>121-57-3</v>
          </cell>
          <cell r="D523" t="str">
            <v>Acid</v>
          </cell>
          <cell r="E523">
            <v>3.34</v>
          </cell>
          <cell r="F523">
            <v>173.19</v>
          </cell>
          <cell r="G523"/>
          <cell r="H523">
            <v>3.4933333324600001E-7</v>
          </cell>
          <cell r="I523">
            <v>10800</v>
          </cell>
          <cell r="J523"/>
          <cell r="K523">
            <v>6.9183097091893601E-3</v>
          </cell>
          <cell r="L523"/>
          <cell r="M523"/>
          <cell r="N523"/>
          <cell r="O523"/>
          <cell r="P523"/>
          <cell r="Q523">
            <v>1.7365815E-5</v>
          </cell>
          <cell r="R523">
            <v>5.3483578746909358E-7</v>
          </cell>
          <cell r="S523">
            <v>5.9426198607677063E-8</v>
          </cell>
          <cell r="T523">
            <v>2.6741789373454679E-7</v>
          </cell>
          <cell r="U523"/>
          <cell r="V523"/>
          <cell r="W523">
            <v>30000</v>
          </cell>
          <cell r="X523">
            <v>0.33333333333333331</v>
          </cell>
          <cell r="Y523">
            <v>0.33333333333333331</v>
          </cell>
          <cell r="Z523">
            <v>0.33333333333333331</v>
          </cell>
          <cell r="AA523"/>
        </row>
        <row r="524">
          <cell r="A524">
            <v>517</v>
          </cell>
          <cell r="B524" t="str">
            <v>L-Cysteine, N-acetyl-</v>
          </cell>
          <cell r="C524" t="str">
            <v>616-91-1</v>
          </cell>
          <cell r="D524" t="str">
            <v>Acid</v>
          </cell>
          <cell r="E524">
            <v>3.37</v>
          </cell>
          <cell r="F524">
            <v>163.19</v>
          </cell>
          <cell r="G524"/>
          <cell r="H524">
            <v>1.4533333329700001E-3</v>
          </cell>
          <cell r="I524">
            <v>242900</v>
          </cell>
          <cell r="J524"/>
          <cell r="K524">
            <v>0.21877616239495523</v>
          </cell>
          <cell r="L524"/>
          <cell r="M524"/>
          <cell r="N524"/>
          <cell r="O524"/>
          <cell r="P524"/>
          <cell r="Q524">
            <v>4.1190269999999996E-5</v>
          </cell>
          <cell r="R524">
            <v>5.3483578746909358E-7</v>
          </cell>
          <cell r="S524">
            <v>5.9426198607677063E-8</v>
          </cell>
          <cell r="T524">
            <v>2.6741789373454679E-7</v>
          </cell>
          <cell r="U524"/>
          <cell r="V524"/>
          <cell r="W524">
            <v>30000</v>
          </cell>
          <cell r="X524">
            <v>0.33333333333333331</v>
          </cell>
          <cell r="Y524">
            <v>0.33333333333333331</v>
          </cell>
          <cell r="Z524">
            <v>0.33333333333333331</v>
          </cell>
          <cell r="AA524"/>
        </row>
        <row r="525">
          <cell r="A525">
            <v>518</v>
          </cell>
          <cell r="B525" t="str">
            <v>PROBENECID</v>
          </cell>
          <cell r="C525" t="str">
            <v>57-66-9</v>
          </cell>
          <cell r="D525" t="str">
            <v>Acid</v>
          </cell>
          <cell r="E525">
            <v>3.4</v>
          </cell>
          <cell r="F525">
            <v>285.36</v>
          </cell>
          <cell r="G525"/>
          <cell r="H525">
            <v>2.9733333325900001E-6</v>
          </cell>
          <cell r="I525">
            <v>27.08</v>
          </cell>
          <cell r="J525"/>
          <cell r="K525">
            <v>1621.8100973589308</v>
          </cell>
          <cell r="L525"/>
          <cell r="M525"/>
          <cell r="N525"/>
          <cell r="O525"/>
          <cell r="P525"/>
          <cell r="Q525">
            <v>1.8505957499999999E-5</v>
          </cell>
          <cell r="R525">
            <v>2.1393431498763744E-7</v>
          </cell>
          <cell r="S525">
            <v>2.3770479443070826E-8</v>
          </cell>
          <cell r="T525">
            <v>1.0696715749381872E-7</v>
          </cell>
          <cell r="U525"/>
          <cell r="V525"/>
          <cell r="W525">
            <v>30000</v>
          </cell>
          <cell r="X525">
            <v>0.33333333333333331</v>
          </cell>
          <cell r="Y525">
            <v>0.33333333333333331</v>
          </cell>
          <cell r="Z525">
            <v>0.33333333333333331</v>
          </cell>
          <cell r="AA525"/>
        </row>
        <row r="526">
          <cell r="A526">
            <v>519</v>
          </cell>
          <cell r="B526" t="str">
            <v>DINITROPHENOL</v>
          </cell>
          <cell r="C526" t="str">
            <v>25550-58-7</v>
          </cell>
          <cell r="D526" t="str">
            <v>Acid</v>
          </cell>
          <cell r="E526">
            <v>3.42</v>
          </cell>
          <cell r="F526">
            <v>184.11</v>
          </cell>
          <cell r="G526"/>
          <cell r="H526">
            <v>5.8799999985299995E-3</v>
          </cell>
          <cell r="I526">
            <v>5.6</v>
          </cell>
          <cell r="J526"/>
          <cell r="K526">
            <v>23.442288153199236</v>
          </cell>
          <cell r="L526"/>
          <cell r="M526"/>
          <cell r="N526"/>
          <cell r="O526"/>
          <cell r="P526"/>
          <cell r="Q526">
            <v>4.9542749999999997E-7</v>
          </cell>
          <cell r="R526">
            <v>2.1393431498763744E-7</v>
          </cell>
          <cell r="S526">
            <v>2.3770479443070826E-8</v>
          </cell>
          <cell r="T526">
            <v>1.0696715749381872E-7</v>
          </cell>
          <cell r="U526"/>
          <cell r="V526"/>
          <cell r="W526">
            <v>30000</v>
          </cell>
          <cell r="X526">
            <v>0.33333333333333331</v>
          </cell>
          <cell r="Y526">
            <v>0.33333333333333331</v>
          </cell>
          <cell r="Z526">
            <v>0.33333333333333331</v>
          </cell>
          <cell r="AA526"/>
        </row>
        <row r="527">
          <cell r="A527">
            <v>520</v>
          </cell>
          <cell r="B527" t="str">
            <v>P-NITROBENZOIC ACID</v>
          </cell>
          <cell r="C527" t="str">
            <v>62-23-7</v>
          </cell>
          <cell r="D527" t="str">
            <v>Acid</v>
          </cell>
          <cell r="E527">
            <v>3.44</v>
          </cell>
          <cell r="F527">
            <v>167.12</v>
          </cell>
          <cell r="G527"/>
          <cell r="H527">
            <v>3.3733333324899995E-4</v>
          </cell>
          <cell r="I527">
            <v>200</v>
          </cell>
          <cell r="J527"/>
          <cell r="K527">
            <v>77.624711662869217</v>
          </cell>
          <cell r="L527"/>
          <cell r="M527"/>
          <cell r="N527"/>
          <cell r="O527"/>
          <cell r="P527"/>
          <cell r="Q527">
            <v>4.3986000000000002E-7</v>
          </cell>
          <cell r="R527">
            <v>2.1393431498763744E-7</v>
          </cell>
          <cell r="S527">
            <v>2.3770479443070826E-8</v>
          </cell>
          <cell r="T527">
            <v>1.0696715749381872E-7</v>
          </cell>
          <cell r="U527"/>
          <cell r="V527"/>
          <cell r="W527">
            <v>30000</v>
          </cell>
          <cell r="X527">
            <v>0.33333333333333331</v>
          </cell>
          <cell r="Y527">
            <v>0.33333333333333331</v>
          </cell>
          <cell r="Z527">
            <v>0.33333333333333331</v>
          </cell>
          <cell r="AA527"/>
        </row>
        <row r="528">
          <cell r="A528">
            <v>521</v>
          </cell>
          <cell r="B528" t="str">
            <v>Butanedioic acid, methylene-</v>
          </cell>
          <cell r="C528" t="str">
            <v>97-65-4</v>
          </cell>
          <cell r="D528" t="str">
            <v>Acid</v>
          </cell>
          <cell r="E528">
            <v>3.45</v>
          </cell>
          <cell r="F528">
            <v>130.1</v>
          </cell>
          <cell r="G528"/>
          <cell r="H528">
            <v>1.1946666663679998E-2</v>
          </cell>
          <cell r="I528">
            <v>76800</v>
          </cell>
          <cell r="J528"/>
          <cell r="K528">
            <v>0.45708818961487502</v>
          </cell>
          <cell r="L528"/>
          <cell r="M528"/>
          <cell r="N528"/>
          <cell r="O528"/>
          <cell r="P528"/>
          <cell r="Q528">
            <v>1.4797875000000001E-5</v>
          </cell>
          <cell r="R528">
            <v>9.2532143160742838E-7</v>
          </cell>
          <cell r="S528">
            <v>1.0281349240082538E-7</v>
          </cell>
          <cell r="T528">
            <v>4.6266071580371419E-7</v>
          </cell>
          <cell r="U528"/>
          <cell r="V528"/>
          <cell r="W528">
            <v>30000</v>
          </cell>
          <cell r="X528">
            <v>0.33333333333333331</v>
          </cell>
          <cell r="Y528">
            <v>0.33333333333333331</v>
          </cell>
          <cell r="Z528">
            <v>0.33333333333333331</v>
          </cell>
          <cell r="AA528"/>
        </row>
        <row r="529">
          <cell r="A529">
            <v>522</v>
          </cell>
          <cell r="B529" t="str">
            <v>Ampicillin Trihydrate</v>
          </cell>
          <cell r="C529" t="str">
            <v>7177-48-2</v>
          </cell>
          <cell r="D529" t="str">
            <v>Acid</v>
          </cell>
          <cell r="E529">
            <v>3.46</v>
          </cell>
          <cell r="F529">
            <v>349.41</v>
          </cell>
          <cell r="G529"/>
          <cell r="H529">
            <v>3.7866666657200001E-11</v>
          </cell>
          <cell r="I529">
            <v>7560</v>
          </cell>
          <cell r="J529"/>
          <cell r="K529">
            <v>22.387211385683404</v>
          </cell>
          <cell r="L529"/>
          <cell r="M529"/>
          <cell r="N529"/>
          <cell r="O529"/>
          <cell r="P529"/>
          <cell r="Q529">
            <v>7.74914325E-5</v>
          </cell>
          <cell r="R529">
            <v>2.1393431498763744E-7</v>
          </cell>
          <cell r="S529">
            <v>2.3770479443070826E-8</v>
          </cell>
          <cell r="T529">
            <v>1.0696715749381872E-7</v>
          </cell>
          <cell r="U529"/>
          <cell r="V529"/>
          <cell r="W529">
            <v>30000</v>
          </cell>
          <cell r="X529">
            <v>0.33333333333333331</v>
          </cell>
          <cell r="Y529">
            <v>0.33333333333333331</v>
          </cell>
          <cell r="Z529">
            <v>0.33333333333333331</v>
          </cell>
          <cell r="AA529"/>
        </row>
        <row r="530">
          <cell r="A530">
            <v>523</v>
          </cell>
          <cell r="B530" t="str">
            <v>ACETYLSALICYLIC ACID</v>
          </cell>
          <cell r="C530" t="str">
            <v>50-78-2</v>
          </cell>
          <cell r="D530" t="str">
            <v>Acid</v>
          </cell>
          <cell r="E530">
            <v>3.49</v>
          </cell>
          <cell r="F530">
            <v>180.16</v>
          </cell>
          <cell r="G530"/>
          <cell r="H530">
            <v>3.3599999991599998E-3</v>
          </cell>
          <cell r="I530">
            <v>4600</v>
          </cell>
          <cell r="J530"/>
          <cell r="K530">
            <v>15.488166189124817</v>
          </cell>
          <cell r="L530"/>
          <cell r="M530"/>
          <cell r="N530"/>
          <cell r="O530"/>
          <cell r="P530"/>
          <cell r="Q530">
            <v>9.8006250000000007E-7</v>
          </cell>
          <cell r="R530">
            <v>5.3483578746909358E-7</v>
          </cell>
          <cell r="S530">
            <v>5.9426198607677063E-8</v>
          </cell>
          <cell r="T530">
            <v>2.6741789373454679E-7</v>
          </cell>
          <cell r="U530"/>
          <cell r="V530"/>
          <cell r="W530">
            <v>30000</v>
          </cell>
          <cell r="X530">
            <v>0.33333333333333331</v>
          </cell>
          <cell r="Y530">
            <v>0.33333333333333331</v>
          </cell>
          <cell r="Z530">
            <v>0.33333333333333331</v>
          </cell>
          <cell r="AA530"/>
        </row>
        <row r="531">
          <cell r="A531">
            <v>524</v>
          </cell>
          <cell r="B531" t="str">
            <v>BUTYL XANTHATE</v>
          </cell>
          <cell r="C531" t="str">
            <v>110-50-9</v>
          </cell>
          <cell r="D531" t="str">
            <v>Acid</v>
          </cell>
          <cell r="E531">
            <v>3.59</v>
          </cell>
          <cell r="F531">
            <v>150.25</v>
          </cell>
          <cell r="G531"/>
          <cell r="H531">
            <v>15.066666662899999</v>
          </cell>
          <cell r="I531">
            <v>1993</v>
          </cell>
          <cell r="J531"/>
          <cell r="K531">
            <v>70.794578438413865</v>
          </cell>
          <cell r="L531"/>
          <cell r="M531"/>
          <cell r="N531"/>
          <cell r="O531"/>
          <cell r="P531"/>
          <cell r="Q531">
            <v>3.3633577499999998E-5</v>
          </cell>
          <cell r="R531">
            <v>5.3483578746909358E-7</v>
          </cell>
          <cell r="S531">
            <v>5.9426198607677063E-8</v>
          </cell>
          <cell r="T531">
            <v>2.6741789373454679E-7</v>
          </cell>
          <cell r="U531"/>
          <cell r="V531"/>
          <cell r="W531">
            <v>30000</v>
          </cell>
          <cell r="X531">
            <v>0.33333333333333331</v>
          </cell>
          <cell r="Y531">
            <v>0.33333333333333331</v>
          </cell>
          <cell r="Z531">
            <v>0.33333333333333331</v>
          </cell>
          <cell r="AA531"/>
        </row>
        <row r="532">
          <cell r="A532">
            <v>525</v>
          </cell>
          <cell r="B532" t="str">
            <v>ENDOTHAL</v>
          </cell>
          <cell r="C532" t="str">
            <v>145-73-3</v>
          </cell>
          <cell r="D532" t="str">
            <v>Acid</v>
          </cell>
          <cell r="E532">
            <v>3.64</v>
          </cell>
          <cell r="F532">
            <v>186.17</v>
          </cell>
          <cell r="G532"/>
          <cell r="H532">
            <v>2.0933333328099999E-8</v>
          </cell>
          <cell r="I532">
            <v>100000</v>
          </cell>
          <cell r="J532"/>
          <cell r="K532">
            <v>81.283051616409963</v>
          </cell>
          <cell r="L532"/>
          <cell r="M532"/>
          <cell r="N532"/>
          <cell r="O532"/>
          <cell r="P532"/>
          <cell r="Q532">
            <v>1.5249749999999999E-5</v>
          </cell>
          <cell r="R532">
            <v>9.2532143160742838E-7</v>
          </cell>
          <cell r="S532">
            <v>1.0281349240082538E-7</v>
          </cell>
          <cell r="T532">
            <v>1.1460766874337719E-6</v>
          </cell>
          <cell r="U532"/>
          <cell r="V532"/>
          <cell r="W532">
            <v>30000</v>
          </cell>
          <cell r="X532">
            <v>0.33333333333333331</v>
          </cell>
          <cell r="Y532">
            <v>0.33333333333333331</v>
          </cell>
          <cell r="Z532">
            <v>0.33333333333333331</v>
          </cell>
          <cell r="AA532"/>
        </row>
        <row r="533">
          <cell r="A533">
            <v>526</v>
          </cell>
          <cell r="B533" t="str">
            <v>Mecoprop-P</v>
          </cell>
          <cell r="C533" t="str">
            <v>16484-77-8</v>
          </cell>
          <cell r="D533" t="str">
            <v>Acid</v>
          </cell>
          <cell r="E533">
            <v>3.68</v>
          </cell>
          <cell r="F533">
            <v>214.65</v>
          </cell>
          <cell r="G533"/>
          <cell r="H533">
            <v>3.9999999989999999E-4</v>
          </cell>
          <cell r="I533">
            <v>860</v>
          </cell>
          <cell r="J533"/>
          <cell r="K533">
            <v>1584.8931924611156</v>
          </cell>
          <cell r="L533"/>
          <cell r="M533"/>
          <cell r="N533"/>
          <cell r="O533"/>
          <cell r="P533"/>
          <cell r="Q533">
            <v>1.304655E-5</v>
          </cell>
          <cell r="R533">
            <v>2.1393431498763744E-7</v>
          </cell>
          <cell r="S533">
            <v>2.3770479443070826E-8</v>
          </cell>
          <cell r="T533">
            <v>3.8202556247792398E-7</v>
          </cell>
          <cell r="U533"/>
          <cell r="V533"/>
          <cell r="W533">
            <v>30000</v>
          </cell>
          <cell r="X533">
            <v>0.33333333333333331</v>
          </cell>
          <cell r="Y533">
            <v>0.33333333333333331</v>
          </cell>
          <cell r="Z533">
            <v>0.33333333333333331</v>
          </cell>
          <cell r="AA533"/>
        </row>
        <row r="534">
          <cell r="A534">
            <v>527</v>
          </cell>
          <cell r="B534" t="str">
            <v>Ciprofibrate</v>
          </cell>
          <cell r="C534" t="str">
            <v>52214-84-3</v>
          </cell>
          <cell r="D534" t="str">
            <v>Acid</v>
          </cell>
          <cell r="E534">
            <v>3.72</v>
          </cell>
          <cell r="F534">
            <v>289.16000000000003</v>
          </cell>
          <cell r="G534"/>
          <cell r="H534">
            <v>8.3066666645899994E-4</v>
          </cell>
          <cell r="I534">
            <v>15.08</v>
          </cell>
          <cell r="J534"/>
          <cell r="K534">
            <v>8709.6358995608189</v>
          </cell>
          <cell r="L534"/>
          <cell r="M534"/>
          <cell r="N534"/>
          <cell r="O534"/>
          <cell r="P534"/>
          <cell r="Q534">
            <v>2.052528E-5</v>
          </cell>
          <cell r="R534">
            <v>1.3370894686727339E-7</v>
          </cell>
          <cell r="S534">
            <v>1.4856549651919266E-8</v>
          </cell>
          <cell r="T534">
            <v>6.6854473433636697E-8</v>
          </cell>
          <cell r="U534"/>
          <cell r="V534"/>
          <cell r="W534">
            <v>30000</v>
          </cell>
          <cell r="X534">
            <v>0.33333333333333331</v>
          </cell>
          <cell r="Y534">
            <v>0.33333333333333331</v>
          </cell>
          <cell r="Z534">
            <v>0.33333333333333331</v>
          </cell>
          <cell r="AA534"/>
        </row>
        <row r="535">
          <cell r="A535">
            <v>528</v>
          </cell>
          <cell r="B535" t="str">
            <v>Formic acid</v>
          </cell>
          <cell r="C535" t="str">
            <v>64-18-6</v>
          </cell>
          <cell r="D535" t="str">
            <v>Acid</v>
          </cell>
          <cell r="E535">
            <v>3.75</v>
          </cell>
          <cell r="F535">
            <v>46.03</v>
          </cell>
          <cell r="G535"/>
          <cell r="H535">
            <v>5679.9999985799996</v>
          </cell>
          <cell r="I535">
            <v>1000000</v>
          </cell>
          <cell r="J535"/>
          <cell r="K535">
            <v>0.28840315031266056</v>
          </cell>
          <cell r="L535"/>
          <cell r="M535"/>
          <cell r="N535"/>
          <cell r="O535"/>
          <cell r="P535"/>
          <cell r="Q535">
            <v>3.375E-7</v>
          </cell>
          <cell r="R535">
            <v>9.2532143160742838E-7</v>
          </cell>
          <cell r="S535">
            <v>1.0281349240082538E-7</v>
          </cell>
          <cell r="T535">
            <v>5.7303834371688613E-6</v>
          </cell>
          <cell r="U535"/>
          <cell r="V535"/>
          <cell r="W535">
            <v>30000</v>
          </cell>
          <cell r="X535">
            <v>0.33333333333333331</v>
          </cell>
          <cell r="Y535">
            <v>0.33333333333333331</v>
          </cell>
          <cell r="Z535">
            <v>0.33333333333333331</v>
          </cell>
          <cell r="AA535"/>
        </row>
        <row r="536">
          <cell r="A536">
            <v>529</v>
          </cell>
          <cell r="B536" t="str">
            <v>6-CHLOROPICOLINIC ACID</v>
          </cell>
          <cell r="C536" t="str">
            <v>4684-94-0</v>
          </cell>
          <cell r="D536" t="str">
            <v>Acid</v>
          </cell>
          <cell r="E536">
            <v>3.78</v>
          </cell>
          <cell r="F536">
            <v>157.56</v>
          </cell>
          <cell r="G536"/>
          <cell r="H536">
            <v>0.15999999995999997</v>
          </cell>
          <cell r="I536">
            <v>3676</v>
          </cell>
          <cell r="J536"/>
          <cell r="K536">
            <v>31.622776601683803</v>
          </cell>
          <cell r="L536"/>
          <cell r="M536"/>
          <cell r="N536"/>
          <cell r="O536"/>
          <cell r="P536"/>
          <cell r="Q536">
            <v>4.432575E-7</v>
          </cell>
          <cell r="R536">
            <v>2.1393431498763744E-7</v>
          </cell>
          <cell r="S536">
            <v>2.3770479443070826E-8</v>
          </cell>
          <cell r="T536">
            <v>1.0696715749381872E-7</v>
          </cell>
          <cell r="U536"/>
          <cell r="V536"/>
          <cell r="W536">
            <v>30000</v>
          </cell>
          <cell r="X536">
            <v>0.33333333333333331</v>
          </cell>
          <cell r="Y536">
            <v>0.33333333333333331</v>
          </cell>
          <cell r="Z536">
            <v>0.33333333333333331</v>
          </cell>
          <cell r="AA536"/>
        </row>
        <row r="537">
          <cell r="A537">
            <v>530</v>
          </cell>
          <cell r="B537" t="str">
            <v>2-AMINO-4-NITROBENZOIC ACID</v>
          </cell>
          <cell r="C537" t="str">
            <v>619-17-0</v>
          </cell>
          <cell r="D537" t="str">
            <v>Acid</v>
          </cell>
          <cell r="E537">
            <v>3.85</v>
          </cell>
          <cell r="F537">
            <v>182.14</v>
          </cell>
          <cell r="G537"/>
          <cell r="H537">
            <v>2.0133333328299999E-5</v>
          </cell>
          <cell r="I537">
            <v>1257</v>
          </cell>
          <cell r="J537"/>
          <cell r="K537">
            <v>81.283051616409963</v>
          </cell>
          <cell r="L537"/>
          <cell r="M537"/>
          <cell r="N537"/>
          <cell r="O537"/>
          <cell r="P537"/>
          <cell r="Q537">
            <v>3.0020474999999997E-6</v>
          </cell>
          <cell r="R537">
            <v>2.1393431498763744E-7</v>
          </cell>
          <cell r="S537">
            <v>2.3770479443070826E-8</v>
          </cell>
          <cell r="T537">
            <v>1.0696715749381872E-7</v>
          </cell>
          <cell r="U537"/>
          <cell r="V537"/>
          <cell r="W537">
            <v>30000</v>
          </cell>
          <cell r="X537">
            <v>0.33333333333333331</v>
          </cell>
          <cell r="Y537">
            <v>0.33333333333333331</v>
          </cell>
          <cell r="Z537">
            <v>0.33333333333333331</v>
          </cell>
          <cell r="AA537"/>
        </row>
        <row r="538">
          <cell r="A538">
            <v>531</v>
          </cell>
          <cell r="B538" t="str">
            <v>OCHRATOXIN A</v>
          </cell>
          <cell r="C538" t="str">
            <v>303-47-9</v>
          </cell>
          <cell r="D538" t="str">
            <v>Acid</v>
          </cell>
          <cell r="E538">
            <v>3.86</v>
          </cell>
          <cell r="F538">
            <v>403.82</v>
          </cell>
          <cell r="G538"/>
          <cell r="H538">
            <v>1.0079999997479999E-12</v>
          </cell>
          <cell r="I538">
            <v>0.98719999999999997</v>
          </cell>
          <cell r="J538"/>
          <cell r="K538">
            <v>54954.087385762505</v>
          </cell>
          <cell r="L538"/>
          <cell r="M538"/>
          <cell r="N538"/>
          <cell r="O538"/>
          <cell r="P538"/>
          <cell r="Q538">
            <v>1.8622394999999999E-5</v>
          </cell>
          <cell r="R538">
            <v>2.1393431498763744E-7</v>
          </cell>
          <cell r="S538">
            <v>2.3770479443070826E-8</v>
          </cell>
          <cell r="T538">
            <v>1.0696715749381872E-7</v>
          </cell>
          <cell r="U538"/>
          <cell r="V538"/>
          <cell r="W538">
            <v>30000</v>
          </cell>
          <cell r="X538">
            <v>0.33333333333333331</v>
          </cell>
          <cell r="Y538">
            <v>0.33333333333333331</v>
          </cell>
          <cell r="Z538">
            <v>0.33333333333333331</v>
          </cell>
          <cell r="AA538"/>
        </row>
        <row r="539">
          <cell r="A539">
            <v>532</v>
          </cell>
          <cell r="B539" t="str">
            <v>BROMOXYNIL</v>
          </cell>
          <cell r="C539" t="str">
            <v>1689-84-5</v>
          </cell>
          <cell r="D539" t="str">
            <v>Acid</v>
          </cell>
          <cell r="E539">
            <v>3.86</v>
          </cell>
          <cell r="F539">
            <v>276.92</v>
          </cell>
          <cell r="G539"/>
          <cell r="H539">
            <v>6.2933333317599997E-6</v>
          </cell>
          <cell r="I539">
            <v>130</v>
          </cell>
          <cell r="J539"/>
          <cell r="K539">
            <v>2454.7089156850338</v>
          </cell>
          <cell r="L539"/>
          <cell r="M539"/>
          <cell r="N539"/>
          <cell r="O539"/>
          <cell r="P539"/>
          <cell r="Q539">
            <v>1.5722250000000002E-7</v>
          </cell>
          <cell r="R539">
            <v>2.1393431498763744E-7</v>
          </cell>
          <cell r="S539">
            <v>2.3770479443070826E-8</v>
          </cell>
          <cell r="T539">
            <v>1.0028171015045505E-6</v>
          </cell>
          <cell r="U539"/>
          <cell r="V539"/>
          <cell r="W539">
            <v>30000</v>
          </cell>
          <cell r="X539">
            <v>0.33333333333333331</v>
          </cell>
          <cell r="Y539">
            <v>0.33333333333333331</v>
          </cell>
          <cell r="Z539">
            <v>0.33333333333333331</v>
          </cell>
          <cell r="AA539"/>
        </row>
        <row r="540">
          <cell r="A540">
            <v>533</v>
          </cell>
          <cell r="B540" t="str">
            <v>M-PHENOXYBENZOIC ACID</v>
          </cell>
          <cell r="C540" t="str">
            <v>3739-38-6</v>
          </cell>
          <cell r="D540" t="str">
            <v>Acid</v>
          </cell>
          <cell r="E540">
            <v>3.92</v>
          </cell>
          <cell r="F540">
            <v>214.22</v>
          </cell>
          <cell r="G540"/>
          <cell r="H540">
            <v>4.2133333322799996E-4</v>
          </cell>
          <cell r="I540">
            <v>16.91</v>
          </cell>
          <cell r="J540"/>
          <cell r="K540">
            <v>8128.3051616410066</v>
          </cell>
          <cell r="L540"/>
          <cell r="M540"/>
          <cell r="N540"/>
          <cell r="O540"/>
          <cell r="P540"/>
          <cell r="Q540">
            <v>5.0870474999999997E-6</v>
          </cell>
          <cell r="R540">
            <v>5.3483578746909358E-7</v>
          </cell>
          <cell r="S540">
            <v>5.9426198607677063E-8</v>
          </cell>
          <cell r="T540">
            <v>1.8657062353573035E-6</v>
          </cell>
          <cell r="U540"/>
          <cell r="V540"/>
          <cell r="W540">
            <v>30000</v>
          </cell>
          <cell r="X540">
            <v>0.33333333333333331</v>
          </cell>
          <cell r="Y540">
            <v>0.33333333333333331</v>
          </cell>
          <cell r="Z540">
            <v>0.33333333333333331</v>
          </cell>
          <cell r="AA540"/>
        </row>
        <row r="541">
          <cell r="A541">
            <v>534</v>
          </cell>
          <cell r="B541" t="str">
            <v>2,6-DINITROPHENOL</v>
          </cell>
          <cell r="C541" t="str">
            <v>573-56-8</v>
          </cell>
          <cell r="D541" t="str">
            <v>Acid</v>
          </cell>
          <cell r="E541">
            <v>3.97</v>
          </cell>
          <cell r="F541">
            <v>184.11</v>
          </cell>
          <cell r="G541"/>
          <cell r="H541">
            <v>5.8799999985299995E-3</v>
          </cell>
          <cell r="I541">
            <v>5.6</v>
          </cell>
          <cell r="J541"/>
          <cell r="K541">
            <v>23.442288153199236</v>
          </cell>
          <cell r="L541"/>
          <cell r="M541"/>
          <cell r="N541"/>
          <cell r="O541"/>
          <cell r="P541"/>
          <cell r="Q541">
            <v>4.9542749999999997E-7</v>
          </cell>
          <cell r="R541">
            <v>2.1393431498763744E-7</v>
          </cell>
          <cell r="S541">
            <v>2.3770479443070826E-8</v>
          </cell>
          <cell r="T541">
            <v>1.0696715749381872E-7</v>
          </cell>
          <cell r="U541"/>
          <cell r="V541"/>
          <cell r="W541">
            <v>30000</v>
          </cell>
          <cell r="X541">
            <v>0.33333333333333331</v>
          </cell>
          <cell r="Y541">
            <v>0.33333333333333331</v>
          </cell>
          <cell r="Z541">
            <v>0.33333333333333331</v>
          </cell>
          <cell r="AA541"/>
        </row>
        <row r="542">
          <cell r="A542">
            <v>535</v>
          </cell>
          <cell r="B542" t="str">
            <v>TRICLOPYR</v>
          </cell>
          <cell r="C542" t="str">
            <v>55335-06-3</v>
          </cell>
          <cell r="D542" t="str">
            <v>Acid</v>
          </cell>
          <cell r="E542">
            <v>3.97</v>
          </cell>
          <cell r="F542">
            <v>256.47000000000003</v>
          </cell>
          <cell r="G542"/>
          <cell r="H542">
            <v>1.67999999958E-4</v>
          </cell>
          <cell r="I542">
            <v>440</v>
          </cell>
          <cell r="J542"/>
          <cell r="K542">
            <v>338.84415613920248</v>
          </cell>
          <cell r="L542"/>
          <cell r="M542"/>
          <cell r="N542"/>
          <cell r="O542"/>
          <cell r="P542"/>
          <cell r="Q542">
            <v>3.6294675E-6</v>
          </cell>
          <cell r="R542">
            <v>1.3370894686727339E-7</v>
          </cell>
          <cell r="S542">
            <v>1.4856549651919266E-8</v>
          </cell>
          <cell r="T542">
            <v>2.6741789373454679E-7</v>
          </cell>
          <cell r="U542"/>
          <cell r="V542"/>
          <cell r="W542">
            <v>30000</v>
          </cell>
          <cell r="X542">
            <v>0.33333333333333331</v>
          </cell>
          <cell r="Y542">
            <v>0.33333333333333331</v>
          </cell>
          <cell r="Z542">
            <v>0.33333333333333331</v>
          </cell>
          <cell r="AA542"/>
        </row>
        <row r="543">
          <cell r="A543">
            <v>536</v>
          </cell>
          <cell r="B543" t="str">
            <v>3-CHLOROPROPIONIC ACID</v>
          </cell>
          <cell r="C543" t="str">
            <v>107-94-8</v>
          </cell>
          <cell r="D543" t="str">
            <v>Acid</v>
          </cell>
          <cell r="E543">
            <v>3.99</v>
          </cell>
          <cell r="F543">
            <v>108.53</v>
          </cell>
          <cell r="G543"/>
          <cell r="H543">
            <v>263.99999993399996</v>
          </cell>
          <cell r="I543">
            <v>122000</v>
          </cell>
          <cell r="J543"/>
          <cell r="K543">
            <v>2.5703957827688639</v>
          </cell>
          <cell r="L543"/>
          <cell r="M543"/>
          <cell r="N543"/>
          <cell r="O543"/>
          <cell r="P543"/>
          <cell r="Q543">
            <v>9.0654750000000006E-7</v>
          </cell>
          <cell r="R543">
            <v>5.3483578746909358E-7</v>
          </cell>
          <cell r="S543">
            <v>5.9426198607677063E-8</v>
          </cell>
          <cell r="T543">
            <v>2.6741789373454679E-7</v>
          </cell>
          <cell r="U543"/>
          <cell r="V543"/>
          <cell r="W543">
            <v>30000</v>
          </cell>
          <cell r="X543">
            <v>0.33333333333333331</v>
          </cell>
          <cell r="Y543">
            <v>0.33333333333333331</v>
          </cell>
          <cell r="Z543">
            <v>0.33333333333333331</v>
          </cell>
          <cell r="AA543"/>
        </row>
        <row r="544">
          <cell r="A544">
            <v>537</v>
          </cell>
          <cell r="B544" t="str">
            <v>GIBBERELLIC ACID</v>
          </cell>
          <cell r="C544" t="str">
            <v>77-06-5</v>
          </cell>
          <cell r="D544" t="str">
            <v>Acid</v>
          </cell>
          <cell r="E544">
            <v>4</v>
          </cell>
          <cell r="F544">
            <v>346.38</v>
          </cell>
          <cell r="G544"/>
          <cell r="H544">
            <v>1.7866666662200002E-11</v>
          </cell>
          <cell r="I544">
            <v>5000</v>
          </cell>
          <cell r="J544"/>
          <cell r="K544">
            <v>1.7378008287493756</v>
          </cell>
          <cell r="L544"/>
          <cell r="M544"/>
          <cell r="N544"/>
          <cell r="O544"/>
          <cell r="P544"/>
          <cell r="Q544">
            <v>9.8718509999999994E-5</v>
          </cell>
          <cell r="R544">
            <v>1.3370894686727339E-7</v>
          </cell>
          <cell r="S544">
            <v>1.4856549651919266E-8</v>
          </cell>
          <cell r="T544">
            <v>2.3595696505989421E-6</v>
          </cell>
          <cell r="U544"/>
          <cell r="V544"/>
          <cell r="W544">
            <v>30000</v>
          </cell>
          <cell r="X544">
            <v>0.33333333333333331</v>
          </cell>
          <cell r="Y544">
            <v>0.33333333333333331</v>
          </cell>
          <cell r="Z544">
            <v>0.33333333333333331</v>
          </cell>
          <cell r="AA544"/>
        </row>
        <row r="545">
          <cell r="A545">
            <v>538</v>
          </cell>
          <cell r="B545" t="str">
            <v>BARBITURIC ACID</v>
          </cell>
          <cell r="C545" t="str">
            <v>67-52-7</v>
          </cell>
          <cell r="D545" t="str">
            <v>Acid</v>
          </cell>
          <cell r="E545">
            <v>4.04</v>
          </cell>
          <cell r="F545">
            <v>128.09</v>
          </cell>
          <cell r="G545"/>
          <cell r="H545">
            <v>1.9999999994999997E-6</v>
          </cell>
          <cell r="I545">
            <v>1.9E-2</v>
          </cell>
          <cell r="J545"/>
          <cell r="K545">
            <v>3.3884415613920249E-2</v>
          </cell>
          <cell r="L545"/>
          <cell r="M545"/>
          <cell r="N545"/>
          <cell r="O545"/>
          <cell r="P545"/>
          <cell r="Q545">
            <v>1.8940275000000002E-6</v>
          </cell>
          <cell r="R545">
            <v>5.3483578746909358E-7</v>
          </cell>
          <cell r="S545">
            <v>5.9426198607677063E-8</v>
          </cell>
          <cell r="T545">
            <v>2.6741789373454679E-7</v>
          </cell>
          <cell r="U545"/>
          <cell r="V545"/>
          <cell r="W545">
            <v>30000</v>
          </cell>
          <cell r="X545">
            <v>0.33333333333333331</v>
          </cell>
          <cell r="Y545">
            <v>0.33333333333333331</v>
          </cell>
          <cell r="Z545">
            <v>0.33333333333333331</v>
          </cell>
          <cell r="AA545"/>
        </row>
        <row r="546">
          <cell r="A546">
            <v>539</v>
          </cell>
          <cell r="B546" t="str">
            <v>Methionine Hydroxy Analog</v>
          </cell>
          <cell r="C546" t="str">
            <v>583-91-5</v>
          </cell>
          <cell r="D546" t="str">
            <v>Acid</v>
          </cell>
          <cell r="E546">
            <v>4.0599999999999996</v>
          </cell>
          <cell r="F546">
            <v>150.19</v>
          </cell>
          <cell r="G546"/>
          <cell r="H546">
            <v>1.190666666369E-2</v>
          </cell>
          <cell r="I546">
            <v>216300</v>
          </cell>
          <cell r="J546"/>
          <cell r="K546">
            <v>0.85113803820237643</v>
          </cell>
          <cell r="L546"/>
          <cell r="M546"/>
          <cell r="N546"/>
          <cell r="O546"/>
          <cell r="P546"/>
          <cell r="Q546">
            <v>1.5043814999999999E-5</v>
          </cell>
          <cell r="R546">
            <v>9.2532143160742838E-7</v>
          </cell>
          <cell r="S546">
            <v>1.0281349240082538E-7</v>
          </cell>
          <cell r="T546">
            <v>4.6266071580371419E-7</v>
          </cell>
          <cell r="U546"/>
          <cell r="V546"/>
          <cell r="W546">
            <v>30000</v>
          </cell>
          <cell r="X546">
            <v>0.33333333333333331</v>
          </cell>
          <cell r="Y546">
            <v>0.33333333333333331</v>
          </cell>
          <cell r="Z546">
            <v>0.33333333333333331</v>
          </cell>
          <cell r="AA546"/>
        </row>
        <row r="547">
          <cell r="A547">
            <v>540</v>
          </cell>
          <cell r="B547" t="str">
            <v>Fluvastatin</v>
          </cell>
          <cell r="C547" t="str">
            <v>93957-54-1</v>
          </cell>
          <cell r="D547" t="str">
            <v>Acid</v>
          </cell>
          <cell r="E547">
            <v>4.08</v>
          </cell>
          <cell r="F547">
            <v>411.48</v>
          </cell>
          <cell r="G547"/>
          <cell r="H547">
            <v>2.5466666660299999E-14</v>
          </cell>
          <cell r="I547">
            <v>0.46810000000000002</v>
          </cell>
          <cell r="J547"/>
          <cell r="K547">
            <v>70794.578438413781</v>
          </cell>
          <cell r="L547"/>
          <cell r="M547"/>
          <cell r="N547"/>
          <cell r="O547"/>
          <cell r="P547"/>
          <cell r="Q547">
            <v>1.825599825E-4</v>
          </cell>
          <cell r="R547">
            <v>2.1393431498763744E-7</v>
          </cell>
          <cell r="S547">
            <v>2.3770479443070826E-8</v>
          </cell>
          <cell r="T547">
            <v>1.0696715749381872E-7</v>
          </cell>
          <cell r="U547"/>
          <cell r="V547"/>
          <cell r="W547">
            <v>30000</v>
          </cell>
          <cell r="X547">
            <v>0.33333333333333331</v>
          </cell>
          <cell r="Y547">
            <v>0.33333333333333331</v>
          </cell>
          <cell r="Z547">
            <v>0.33333333333333331</v>
          </cell>
          <cell r="AA547"/>
        </row>
        <row r="548">
          <cell r="A548">
            <v>541</v>
          </cell>
          <cell r="B548" t="str">
            <v>Meloxicam</v>
          </cell>
          <cell r="C548" t="str">
            <v>71125-38-7</v>
          </cell>
          <cell r="D548" t="str">
            <v>Acid</v>
          </cell>
          <cell r="E548">
            <v>4.08</v>
          </cell>
          <cell r="F548">
            <v>351.4</v>
          </cell>
          <cell r="G548"/>
          <cell r="H548">
            <v>1.4266666663099999E-13</v>
          </cell>
          <cell r="I548">
            <v>7.1520000000000001</v>
          </cell>
          <cell r="J548"/>
          <cell r="K548">
            <v>2691.5348039269184</v>
          </cell>
          <cell r="L548"/>
          <cell r="M548"/>
          <cell r="N548"/>
          <cell r="O548"/>
          <cell r="P548"/>
          <cell r="Q548">
            <v>2.3265397500000002E-5</v>
          </cell>
          <cell r="R548">
            <v>2.1393431498763744E-7</v>
          </cell>
          <cell r="S548">
            <v>2.3770479443070826E-8</v>
          </cell>
          <cell r="T548">
            <v>1.0696715749381872E-7</v>
          </cell>
          <cell r="U548"/>
          <cell r="V548"/>
          <cell r="W548">
            <v>30000</v>
          </cell>
          <cell r="X548">
            <v>0.33333333333333331</v>
          </cell>
          <cell r="Y548">
            <v>0.33333333333333331</v>
          </cell>
          <cell r="Z548">
            <v>0.33333333333333331</v>
          </cell>
          <cell r="AA548"/>
        </row>
        <row r="549">
          <cell r="A549">
            <v>542</v>
          </cell>
          <cell r="B549" t="str">
            <v>Bixin</v>
          </cell>
          <cell r="C549" t="str">
            <v>6983-79-5</v>
          </cell>
          <cell r="D549" t="str">
            <v>Acid</v>
          </cell>
          <cell r="E549">
            <v>4.09</v>
          </cell>
          <cell r="F549">
            <v>394.52</v>
          </cell>
          <cell r="G549"/>
          <cell r="H549">
            <v>3.2666666658499993E-8</v>
          </cell>
          <cell r="I549">
            <v>7.6970000000000001E-4</v>
          </cell>
          <cell r="J549"/>
          <cell r="K549">
            <v>169824365.24617496</v>
          </cell>
          <cell r="L549"/>
          <cell r="M549"/>
          <cell r="N549"/>
          <cell r="O549"/>
          <cell r="P549"/>
          <cell r="Q549">
            <v>3.648079575E-4</v>
          </cell>
          <cell r="R549">
            <v>5.3483578746909358E-7</v>
          </cell>
          <cell r="S549">
            <v>5.9426198607677063E-8</v>
          </cell>
          <cell r="T549">
            <v>2.6741789373454679E-7</v>
          </cell>
          <cell r="U549"/>
          <cell r="V549"/>
          <cell r="W549">
            <v>30000</v>
          </cell>
          <cell r="X549">
            <v>0.33333333333333331</v>
          </cell>
          <cell r="Y549">
            <v>0.33333333333333331</v>
          </cell>
          <cell r="Z549">
            <v>0.33333333333333331</v>
          </cell>
          <cell r="AA549"/>
        </row>
        <row r="550">
          <cell r="A550">
            <v>543</v>
          </cell>
          <cell r="B550" t="str">
            <v>2,4-Dinitrophenol</v>
          </cell>
          <cell r="C550" t="str">
            <v>51-28-5</v>
          </cell>
          <cell r="D550" t="str">
            <v>Acid</v>
          </cell>
          <cell r="E550">
            <v>4.09</v>
          </cell>
          <cell r="F550">
            <v>184.11</v>
          </cell>
          <cell r="G550"/>
          <cell r="H550">
            <v>5.1999999986999994E-2</v>
          </cell>
          <cell r="I550">
            <v>2790</v>
          </cell>
          <cell r="J550"/>
          <cell r="K550">
            <v>46.773514128719818</v>
          </cell>
          <cell r="L550"/>
          <cell r="M550"/>
          <cell r="N550"/>
          <cell r="O550"/>
          <cell r="P550"/>
          <cell r="Q550">
            <v>4.9542749999999997E-7</v>
          </cell>
          <cell r="R550">
            <v>2.1393431498763744E-7</v>
          </cell>
          <cell r="S550">
            <v>2.3770479443070826E-8</v>
          </cell>
          <cell r="T550">
            <v>1.0696715749381872E-7</v>
          </cell>
          <cell r="U550"/>
          <cell r="V550"/>
          <cell r="W550">
            <v>30000</v>
          </cell>
          <cell r="X550">
            <v>0.33333333333333331</v>
          </cell>
          <cell r="Y550">
            <v>0.33333333333333331</v>
          </cell>
          <cell r="Z550">
            <v>0.33333333333333331</v>
          </cell>
          <cell r="AA550"/>
        </row>
        <row r="551">
          <cell r="A551">
            <v>544</v>
          </cell>
          <cell r="B551" t="str">
            <v>2-Propynoic acid</v>
          </cell>
          <cell r="C551" t="str">
            <v>471-25-0</v>
          </cell>
          <cell r="D551" t="str">
            <v>Acid</v>
          </cell>
          <cell r="E551">
            <v>4.0999999999999996</v>
          </cell>
          <cell r="F551">
            <v>70.05</v>
          </cell>
          <cell r="G551"/>
          <cell r="H551">
            <v>469.33333321599997</v>
          </cell>
          <cell r="I551">
            <v>491900</v>
          </cell>
          <cell r="J551"/>
          <cell r="K551">
            <v>0.64565422903465541</v>
          </cell>
          <cell r="L551"/>
          <cell r="M551"/>
          <cell r="N551"/>
          <cell r="O551"/>
          <cell r="P551"/>
          <cell r="Q551">
            <v>2.2274999999999998E-6</v>
          </cell>
          <cell r="R551">
            <v>9.2532143160742838E-7</v>
          </cell>
          <cell r="S551">
            <v>1.0281349240082538E-7</v>
          </cell>
          <cell r="T551">
            <v>4.6266071580371419E-7</v>
          </cell>
          <cell r="U551"/>
          <cell r="V551"/>
          <cell r="W551">
            <v>30000</v>
          </cell>
          <cell r="X551">
            <v>0.33333333333333331</v>
          </cell>
          <cell r="Y551">
            <v>0.33333333333333331</v>
          </cell>
          <cell r="Z551">
            <v>0.33333333333333331</v>
          </cell>
          <cell r="AA551"/>
        </row>
        <row r="552">
          <cell r="A552">
            <v>545</v>
          </cell>
          <cell r="B552" t="str">
            <v>METHANE ARSONATE</v>
          </cell>
          <cell r="C552" t="str">
            <v>124-58-3</v>
          </cell>
          <cell r="D552" t="str">
            <v>Acid</v>
          </cell>
          <cell r="E552">
            <v>4.0999999999999996</v>
          </cell>
          <cell r="F552">
            <v>139.97</v>
          </cell>
          <cell r="G552"/>
          <cell r="H552">
            <v>1.63999999959E-2</v>
          </cell>
          <cell r="I552">
            <v>256000</v>
          </cell>
          <cell r="J552"/>
          <cell r="K552">
            <v>6.6069344800759586E-2</v>
          </cell>
          <cell r="L552"/>
          <cell r="M552"/>
          <cell r="N552"/>
          <cell r="O552"/>
          <cell r="P552"/>
          <cell r="Q552">
            <v>3.5279999999999998E-7</v>
          </cell>
          <cell r="R552">
            <v>5.3483578746909358E-7</v>
          </cell>
          <cell r="S552">
            <v>5.9426198607677063E-8</v>
          </cell>
          <cell r="T552">
            <v>2.6741789373454679E-7</v>
          </cell>
          <cell r="U552"/>
          <cell r="V552"/>
          <cell r="W552">
            <v>30000</v>
          </cell>
          <cell r="X552">
            <v>0.33333333333333331</v>
          </cell>
          <cell r="Y552">
            <v>0.33333333333333331</v>
          </cell>
          <cell r="Z552">
            <v>0.33333333333333331</v>
          </cell>
          <cell r="AA552"/>
        </row>
        <row r="553">
          <cell r="A553">
            <v>546</v>
          </cell>
          <cell r="B553" t="str">
            <v>Cyclanilide</v>
          </cell>
          <cell r="C553" t="str">
            <v>113136-77-9</v>
          </cell>
          <cell r="D553" t="str">
            <v>Acid</v>
          </cell>
          <cell r="E553">
            <v>4.17</v>
          </cell>
          <cell r="F553">
            <v>274.11</v>
          </cell>
          <cell r="G553"/>
          <cell r="H553">
            <v>1.2106666663639998E-6</v>
          </cell>
          <cell r="I553">
            <v>37</v>
          </cell>
          <cell r="J553"/>
          <cell r="K553">
            <v>63.095734448019364</v>
          </cell>
          <cell r="L553"/>
          <cell r="M553"/>
          <cell r="N553"/>
          <cell r="O553"/>
          <cell r="P553"/>
          <cell r="Q553">
            <v>1.3887749999999999E-6</v>
          </cell>
          <cell r="R553">
            <v>2.1393431498763744E-7</v>
          </cell>
          <cell r="S553">
            <v>2.3770479443070826E-8</v>
          </cell>
          <cell r="T553">
            <v>2.8651917185844297E-7</v>
          </cell>
          <cell r="U553"/>
          <cell r="V553"/>
          <cell r="W553">
            <v>30000</v>
          </cell>
          <cell r="X553">
            <v>0.33333333333333331</v>
          </cell>
          <cell r="Y553">
            <v>0.33333333333333331</v>
          </cell>
          <cell r="Z553">
            <v>0.33333333333333331</v>
          </cell>
          <cell r="AA553"/>
        </row>
        <row r="554">
          <cell r="A554">
            <v>547</v>
          </cell>
          <cell r="B554" t="str">
            <v>BUTANEDIOC ACID</v>
          </cell>
          <cell r="C554" t="str">
            <v>110-15-6</v>
          </cell>
          <cell r="D554" t="str">
            <v>Acid</v>
          </cell>
          <cell r="E554">
            <v>4.21</v>
          </cell>
          <cell r="F554">
            <v>118.09</v>
          </cell>
          <cell r="G554"/>
          <cell r="H554">
            <v>2.5466666660299999E-5</v>
          </cell>
          <cell r="I554">
            <v>83200</v>
          </cell>
          <cell r="J554"/>
          <cell r="K554">
            <v>0.25703957827688634</v>
          </cell>
          <cell r="L554"/>
          <cell r="M554"/>
          <cell r="N554"/>
          <cell r="O554"/>
          <cell r="P554"/>
          <cell r="Q554">
            <v>2.0724225000000001E-6</v>
          </cell>
          <cell r="R554">
            <v>9.2532143160742838E-7</v>
          </cell>
          <cell r="S554">
            <v>1.0281349240082538E-7</v>
          </cell>
          <cell r="T554">
            <v>4.6266071580371419E-7</v>
          </cell>
          <cell r="U554"/>
          <cell r="V554"/>
          <cell r="W554">
            <v>30000</v>
          </cell>
          <cell r="X554">
            <v>0.33333333333333331</v>
          </cell>
          <cell r="Y554">
            <v>0.33333333333333331</v>
          </cell>
          <cell r="Z554">
            <v>0.33333333333333331</v>
          </cell>
          <cell r="AA554"/>
        </row>
        <row r="555">
          <cell r="A555">
            <v>548</v>
          </cell>
          <cell r="B555" t="str">
            <v>NAPHTHALENEACETIC ACID</v>
          </cell>
          <cell r="C555" t="str">
            <v>86-87-3</v>
          </cell>
          <cell r="D555" t="str">
            <v>Acid</v>
          </cell>
          <cell r="E555">
            <v>4.2300000000000004</v>
          </cell>
          <cell r="F555">
            <v>186.21</v>
          </cell>
          <cell r="G555"/>
          <cell r="H555">
            <v>1.275999999681E-3</v>
          </cell>
          <cell r="I555">
            <v>420</v>
          </cell>
          <cell r="J555"/>
          <cell r="K555">
            <v>173.78008287493768</v>
          </cell>
          <cell r="L555"/>
          <cell r="M555"/>
          <cell r="N555"/>
          <cell r="O555"/>
          <cell r="P555"/>
          <cell r="Q555">
            <v>2.7785835E-5</v>
          </cell>
          <cell r="R555">
            <v>5.3483578746909358E-7</v>
          </cell>
          <cell r="S555">
            <v>5.9426198607677063E-8</v>
          </cell>
          <cell r="T555">
            <v>1.9101278123896199E-7</v>
          </cell>
          <cell r="U555"/>
          <cell r="V555"/>
          <cell r="W555">
            <v>30000</v>
          </cell>
          <cell r="X555">
            <v>0.33333333333333331</v>
          </cell>
          <cell r="Y555">
            <v>0.33333333333333331</v>
          </cell>
          <cell r="Z555">
            <v>0.33333333333333331</v>
          </cell>
          <cell r="AA555"/>
        </row>
        <row r="556">
          <cell r="A556">
            <v>549</v>
          </cell>
          <cell r="B556" t="str">
            <v>3,4-DIHYDROXYBENZOIC ACID</v>
          </cell>
          <cell r="C556" t="str">
            <v>99-50-3</v>
          </cell>
          <cell r="D556" t="str">
            <v>Acid</v>
          </cell>
          <cell r="E556">
            <v>4.26</v>
          </cell>
          <cell r="F556">
            <v>154.12</v>
          </cell>
          <cell r="G556"/>
          <cell r="H556">
            <v>2.4266666660599996E-5</v>
          </cell>
          <cell r="I556">
            <v>18200</v>
          </cell>
          <cell r="J556"/>
          <cell r="K556">
            <v>7.2443596007499025</v>
          </cell>
          <cell r="L556"/>
          <cell r="M556"/>
          <cell r="N556"/>
          <cell r="O556"/>
          <cell r="P556"/>
          <cell r="Q556">
            <v>6.9714974999999999E-6</v>
          </cell>
          <cell r="R556">
            <v>5.3483578746909358E-7</v>
          </cell>
          <cell r="S556">
            <v>5.9426198607677063E-8</v>
          </cell>
          <cell r="T556">
            <v>2.6741789373454679E-7</v>
          </cell>
          <cell r="U556"/>
          <cell r="V556"/>
          <cell r="W556">
            <v>30000</v>
          </cell>
          <cell r="X556">
            <v>0.33333333333333331</v>
          </cell>
          <cell r="Y556">
            <v>0.33333333333333331</v>
          </cell>
          <cell r="Z556">
            <v>0.33333333333333331</v>
          </cell>
          <cell r="AA556"/>
        </row>
        <row r="557">
          <cell r="A557">
            <v>550</v>
          </cell>
          <cell r="B557" t="str">
            <v>Acrylic acid</v>
          </cell>
          <cell r="C557" t="str">
            <v>79-10-7</v>
          </cell>
          <cell r="D557" t="str">
            <v>Acid</v>
          </cell>
          <cell r="E557">
            <v>4.26</v>
          </cell>
          <cell r="F557">
            <v>72.06</v>
          </cell>
          <cell r="G557"/>
          <cell r="H557">
            <v>529.33333320099996</v>
          </cell>
          <cell r="I557">
            <v>1000000</v>
          </cell>
          <cell r="J557"/>
          <cell r="K557">
            <v>2.2387211385683394</v>
          </cell>
          <cell r="L557"/>
          <cell r="M557"/>
          <cell r="N557"/>
          <cell r="O557"/>
          <cell r="P557"/>
          <cell r="Q557">
            <v>7.2937500000000003E-6</v>
          </cell>
          <cell r="R557">
            <v>9.2532143160742838E-7</v>
          </cell>
          <cell r="S557">
            <v>1.0281349240082538E-7</v>
          </cell>
          <cell r="T557">
            <v>4.6266071580371419E-7</v>
          </cell>
          <cell r="U557"/>
          <cell r="V557"/>
          <cell r="W557">
            <v>30000</v>
          </cell>
          <cell r="X557">
            <v>0.33333333333333331</v>
          </cell>
          <cell r="Y557">
            <v>0.33333333333333331</v>
          </cell>
          <cell r="Z557">
            <v>0.33333333333333331</v>
          </cell>
          <cell r="AA557"/>
        </row>
        <row r="558">
          <cell r="A558">
            <v>551</v>
          </cell>
          <cell r="B558" t="str">
            <v>M-HYDROXYBENZOIC ACID</v>
          </cell>
          <cell r="C558" t="str">
            <v>99-06-9</v>
          </cell>
          <cell r="D558" t="str">
            <v>Acid</v>
          </cell>
          <cell r="E558">
            <v>4.3</v>
          </cell>
          <cell r="F558">
            <v>138.12</v>
          </cell>
          <cell r="G558"/>
          <cell r="H558">
            <v>1.3186666663369999E-3</v>
          </cell>
          <cell r="I558">
            <v>7250</v>
          </cell>
          <cell r="J558"/>
          <cell r="K558">
            <v>31.622776601683803</v>
          </cell>
          <cell r="L558"/>
          <cell r="M558"/>
          <cell r="N558"/>
          <cell r="O558"/>
          <cell r="P558"/>
          <cell r="Q558">
            <v>7.3140075000000003E-6</v>
          </cell>
          <cell r="R558">
            <v>5.3483578746909358E-7</v>
          </cell>
          <cell r="S558">
            <v>5.9426198607677063E-8</v>
          </cell>
          <cell r="T558">
            <v>2.6741789373454679E-7</v>
          </cell>
          <cell r="U558"/>
          <cell r="V558"/>
          <cell r="W558">
            <v>30000</v>
          </cell>
          <cell r="X558">
            <v>0.33333333333333331</v>
          </cell>
          <cell r="Y558">
            <v>0.33333333333333331</v>
          </cell>
          <cell r="Z558">
            <v>0.33333333333333331</v>
          </cell>
          <cell r="AA558"/>
        </row>
        <row r="559">
          <cell r="A559">
            <v>552</v>
          </cell>
          <cell r="B559" t="str">
            <v>4,6-Dinitro-o-cresol</v>
          </cell>
          <cell r="C559" t="str">
            <v>534-52-1</v>
          </cell>
          <cell r="D559" t="str">
            <v>Acid</v>
          </cell>
          <cell r="E559">
            <v>4.3099999999999996</v>
          </cell>
          <cell r="F559">
            <v>198.14</v>
          </cell>
          <cell r="G559"/>
          <cell r="H559">
            <v>1.5999999995999999E-2</v>
          </cell>
          <cell r="I559">
            <v>198</v>
          </cell>
          <cell r="J559"/>
          <cell r="K559">
            <v>134.89628825916537</v>
          </cell>
          <cell r="L559"/>
          <cell r="M559"/>
          <cell r="N559"/>
          <cell r="O559"/>
          <cell r="P559"/>
          <cell r="Q559">
            <v>2.2706249999999999E-7</v>
          </cell>
          <cell r="R559">
            <v>2.1393431498763744E-7</v>
          </cell>
          <cell r="S559">
            <v>2.3770479443070826E-8</v>
          </cell>
          <cell r="T559">
            <v>9.4382786023957694E-7</v>
          </cell>
          <cell r="U559"/>
          <cell r="V559"/>
          <cell r="W559">
            <v>30000</v>
          </cell>
          <cell r="X559">
            <v>0.33333333333333331</v>
          </cell>
          <cell r="Y559">
            <v>0.33333333333333331</v>
          </cell>
          <cell r="Z559">
            <v>0.33333333333333331</v>
          </cell>
          <cell r="AA559"/>
        </row>
        <row r="560">
          <cell r="A560">
            <v>553</v>
          </cell>
          <cell r="B560" t="str">
            <v>Quinclorac</v>
          </cell>
          <cell r="C560" t="str">
            <v>84087-01-4</v>
          </cell>
          <cell r="D560" t="str">
            <v>Acid</v>
          </cell>
          <cell r="E560">
            <v>4.34</v>
          </cell>
          <cell r="F560">
            <v>242.06</v>
          </cell>
          <cell r="G560"/>
          <cell r="H560">
            <v>5.2666666653500004E-6</v>
          </cell>
          <cell r="I560">
            <v>6.5000000000000002E-2</v>
          </cell>
          <cell r="J560"/>
          <cell r="K560">
            <v>933.25430079699197</v>
          </cell>
          <cell r="L560"/>
          <cell r="M560"/>
          <cell r="N560"/>
          <cell r="O560"/>
          <cell r="P560"/>
          <cell r="Q560">
            <v>9.5792250000000006E-7</v>
          </cell>
          <cell r="R560">
            <v>2.1393431498763744E-7</v>
          </cell>
          <cell r="S560">
            <v>2.3770479443070826E-8</v>
          </cell>
          <cell r="T560">
            <v>1.782785958230312E-8</v>
          </cell>
          <cell r="U560"/>
          <cell r="V560"/>
          <cell r="W560">
            <v>30000</v>
          </cell>
          <cell r="X560">
            <v>0.33333333333333331</v>
          </cell>
          <cell r="Y560">
            <v>0.33333333333333331</v>
          </cell>
          <cell r="Z560">
            <v>0.33333333333333331</v>
          </cell>
          <cell r="AA560"/>
        </row>
        <row r="561">
          <cell r="A561">
            <v>554</v>
          </cell>
          <cell r="B561" t="str">
            <v>Benzoic acid, 2-(4-chlorobenzoyl)-</v>
          </cell>
          <cell r="C561" t="str">
            <v>85-56-3</v>
          </cell>
          <cell r="D561" t="str">
            <v>Acid</v>
          </cell>
          <cell r="E561">
            <v>4.3600000000000003</v>
          </cell>
          <cell r="F561">
            <v>260.68</v>
          </cell>
          <cell r="G561"/>
          <cell r="H561">
            <v>3.4933333324599997E-5</v>
          </cell>
          <cell r="I561">
            <v>500</v>
          </cell>
          <cell r="J561"/>
          <cell r="K561">
            <v>2137.9620895022344</v>
          </cell>
          <cell r="L561"/>
          <cell r="M561"/>
          <cell r="N561"/>
          <cell r="O561"/>
          <cell r="P561"/>
          <cell r="Q561">
            <v>1.69146E-6</v>
          </cell>
          <cell r="R561">
            <v>2.1393431498763744E-7</v>
          </cell>
          <cell r="S561">
            <v>2.3770479443070826E-8</v>
          </cell>
          <cell r="T561">
            <v>1.0696715749381872E-7</v>
          </cell>
          <cell r="U561"/>
          <cell r="V561"/>
          <cell r="W561">
            <v>30000</v>
          </cell>
          <cell r="X561">
            <v>0.33333333333333331</v>
          </cell>
          <cell r="Y561">
            <v>0.33333333333333331</v>
          </cell>
          <cell r="Z561">
            <v>0.33333333333333331</v>
          </cell>
          <cell r="AA561"/>
        </row>
        <row r="562">
          <cell r="A562">
            <v>555</v>
          </cell>
          <cell r="B562" t="str">
            <v>BENZOIC ACID, 4-(TERT-BUTYL)-</v>
          </cell>
          <cell r="C562" t="str">
            <v>98-73-7</v>
          </cell>
          <cell r="D562" t="str">
            <v>Acid</v>
          </cell>
          <cell r="E562">
            <v>4.4000000000000004</v>
          </cell>
          <cell r="F562">
            <v>178.23</v>
          </cell>
          <cell r="G562"/>
          <cell r="H562">
            <v>1.061333333068E-2</v>
          </cell>
          <cell r="I562">
            <v>28</v>
          </cell>
          <cell r="J562"/>
          <cell r="K562">
            <v>7079.4578438413828</v>
          </cell>
          <cell r="L562"/>
          <cell r="M562"/>
          <cell r="N562"/>
          <cell r="O562"/>
          <cell r="P562"/>
          <cell r="Q562">
            <v>1.95933E-6</v>
          </cell>
          <cell r="R562">
            <v>2.1393431498763744E-7</v>
          </cell>
          <cell r="S562">
            <v>2.3770479443070826E-8</v>
          </cell>
          <cell r="T562">
            <v>1.0696715749381872E-7</v>
          </cell>
          <cell r="U562"/>
          <cell r="V562"/>
          <cell r="W562">
            <v>30000</v>
          </cell>
          <cell r="X562">
            <v>0.33333333333333331</v>
          </cell>
          <cell r="Y562">
            <v>0.33333333333333331</v>
          </cell>
          <cell r="Z562">
            <v>0.33333333333333331</v>
          </cell>
          <cell r="AA562"/>
        </row>
        <row r="563">
          <cell r="A563">
            <v>556</v>
          </cell>
          <cell r="B563" t="str">
            <v>ALPHA-PHENYLPROPIONIC ACID</v>
          </cell>
          <cell r="C563" t="str">
            <v>492-37-5</v>
          </cell>
          <cell r="D563" t="str">
            <v>Acid</v>
          </cell>
          <cell r="E563">
            <v>4.41</v>
          </cell>
          <cell r="F563">
            <v>150.18</v>
          </cell>
          <cell r="G563"/>
          <cell r="H563">
            <v>0.93866666643200003</v>
          </cell>
          <cell r="I563">
            <v>4987</v>
          </cell>
          <cell r="J563"/>
          <cell r="K563">
            <v>70.794578438413865</v>
          </cell>
          <cell r="L563"/>
          <cell r="M563"/>
          <cell r="N563"/>
          <cell r="O563"/>
          <cell r="P563"/>
          <cell r="Q563">
            <v>5.0761649999999999E-6</v>
          </cell>
          <cell r="R563">
            <v>5.3483578746909358E-7</v>
          </cell>
          <cell r="S563">
            <v>5.9426198607677063E-8</v>
          </cell>
          <cell r="T563">
            <v>2.6741789373454679E-7</v>
          </cell>
          <cell r="U563"/>
          <cell r="V563"/>
          <cell r="W563">
            <v>30000</v>
          </cell>
          <cell r="X563">
            <v>0.33333333333333331</v>
          </cell>
          <cell r="Y563">
            <v>0.33333333333333331</v>
          </cell>
          <cell r="Z563">
            <v>0.33333333333333331</v>
          </cell>
          <cell r="AA563"/>
        </row>
        <row r="564">
          <cell r="A564">
            <v>557</v>
          </cell>
          <cell r="B564" t="str">
            <v>3-PHENYL-N-BUTYRIC ACID</v>
          </cell>
          <cell r="C564" t="str">
            <v>4593-90-2</v>
          </cell>
          <cell r="D564" t="str">
            <v>Acid</v>
          </cell>
          <cell r="E564">
            <v>4.41</v>
          </cell>
          <cell r="F564">
            <v>164.21</v>
          </cell>
          <cell r="G564"/>
          <cell r="H564">
            <v>0.9333333331</v>
          </cell>
          <cell r="I564">
            <v>2235</v>
          </cell>
          <cell r="J564"/>
          <cell r="K564">
            <v>151.3561248436209</v>
          </cell>
          <cell r="L564"/>
          <cell r="M564"/>
          <cell r="N564"/>
          <cell r="O564"/>
          <cell r="P564"/>
          <cell r="Q564">
            <v>6.1887675000000002E-6</v>
          </cell>
          <cell r="R564">
            <v>5.3483578746909358E-7</v>
          </cell>
          <cell r="S564">
            <v>5.9426198607677063E-8</v>
          </cell>
          <cell r="T564">
            <v>2.6741789373454679E-7</v>
          </cell>
          <cell r="U564"/>
          <cell r="V564"/>
          <cell r="W564">
            <v>30000</v>
          </cell>
          <cell r="X564">
            <v>0.33333333333333331</v>
          </cell>
          <cell r="Y564">
            <v>0.33333333333333331</v>
          </cell>
          <cell r="Z564">
            <v>0.33333333333333331</v>
          </cell>
          <cell r="AA564"/>
        </row>
        <row r="565">
          <cell r="A565">
            <v>558</v>
          </cell>
          <cell r="B565" t="str">
            <v>Benzeneacetic acid, ,alpha,-ethyl-</v>
          </cell>
          <cell r="C565" t="str">
            <v>90-27-7</v>
          </cell>
          <cell r="D565" t="str">
            <v>Acid</v>
          </cell>
          <cell r="E565">
            <v>4.41</v>
          </cell>
          <cell r="F565">
            <v>164.21</v>
          </cell>
          <cell r="G565"/>
          <cell r="H565">
            <v>0.9333333331</v>
          </cell>
          <cell r="I565">
            <v>2235</v>
          </cell>
          <cell r="J565"/>
          <cell r="K565">
            <v>151.3561248436209</v>
          </cell>
          <cell r="L565"/>
          <cell r="M565"/>
          <cell r="N565"/>
          <cell r="O565"/>
          <cell r="P565"/>
          <cell r="Q565">
            <v>6.1887675000000002E-6</v>
          </cell>
          <cell r="R565">
            <v>5.3483578746909358E-7</v>
          </cell>
          <cell r="S565">
            <v>5.9426198607677063E-8</v>
          </cell>
          <cell r="T565">
            <v>2.6741789373454679E-7</v>
          </cell>
          <cell r="U565"/>
          <cell r="V565"/>
          <cell r="W565">
            <v>30000</v>
          </cell>
          <cell r="X565">
            <v>0.33333333333333331</v>
          </cell>
          <cell r="Y565">
            <v>0.33333333333333331</v>
          </cell>
          <cell r="Z565">
            <v>0.33333333333333331</v>
          </cell>
          <cell r="AA565"/>
        </row>
        <row r="566">
          <cell r="A566">
            <v>559</v>
          </cell>
          <cell r="B566" t="str">
            <v>6-AMINOHEXANOIC ACID</v>
          </cell>
          <cell r="C566" t="str">
            <v>60-32-2</v>
          </cell>
          <cell r="D566" t="str">
            <v>Acid</v>
          </cell>
          <cell r="E566">
            <v>4.43</v>
          </cell>
          <cell r="F566">
            <v>131.18</v>
          </cell>
          <cell r="G566"/>
          <cell r="H566">
            <v>3.9866666656700005E-6</v>
          </cell>
          <cell r="I566">
            <v>505000</v>
          </cell>
          <cell r="J566"/>
          <cell r="K566">
            <v>1.1220184543019622E-3</v>
          </cell>
          <cell r="L566"/>
          <cell r="M566"/>
          <cell r="N566"/>
          <cell r="O566"/>
          <cell r="P566"/>
          <cell r="Q566">
            <v>2.7978592500000003E-5</v>
          </cell>
          <cell r="R566">
            <v>9.2532143160742838E-7</v>
          </cell>
          <cell r="S566">
            <v>1.0281349240082538E-7</v>
          </cell>
          <cell r="T566">
            <v>4.6266071580371419E-7</v>
          </cell>
          <cell r="U566"/>
          <cell r="V566"/>
          <cell r="W566">
            <v>30000</v>
          </cell>
          <cell r="X566">
            <v>0.33333333333333331</v>
          </cell>
          <cell r="Y566">
            <v>0.33333333333333331</v>
          </cell>
          <cell r="Z566">
            <v>0.33333333333333331</v>
          </cell>
          <cell r="AA566"/>
        </row>
        <row r="567">
          <cell r="A567">
            <v>560</v>
          </cell>
          <cell r="B567" t="str">
            <v>HEXANEDIOIC ACID</v>
          </cell>
          <cell r="C567" t="str">
            <v>124-04-9</v>
          </cell>
          <cell r="D567" t="str">
            <v>Acid</v>
          </cell>
          <cell r="E567">
            <v>4.4400000000000004</v>
          </cell>
          <cell r="F567">
            <v>146.13999999999999</v>
          </cell>
          <cell r="G567"/>
          <cell r="H567">
            <v>4.23999999894E-5</v>
          </cell>
          <cell r="I567">
            <v>30800</v>
          </cell>
          <cell r="J567"/>
          <cell r="K567">
            <v>1.2022644346174129</v>
          </cell>
          <cell r="L567"/>
          <cell r="M567"/>
          <cell r="N567"/>
          <cell r="O567"/>
          <cell r="P567"/>
          <cell r="Q567">
            <v>4.1919975000000005E-6</v>
          </cell>
          <cell r="R567">
            <v>9.2532143160742838E-7</v>
          </cell>
          <cell r="S567">
            <v>1.0281349240082538E-7</v>
          </cell>
          <cell r="T567">
            <v>4.6266071580371419E-7</v>
          </cell>
          <cell r="U567"/>
          <cell r="V567"/>
          <cell r="W567">
            <v>30000</v>
          </cell>
          <cell r="X567">
            <v>0.33333333333333331</v>
          </cell>
          <cell r="Y567">
            <v>0.33333333333333331</v>
          </cell>
          <cell r="Z567">
            <v>0.33333333333333331</v>
          </cell>
          <cell r="AA567"/>
        </row>
        <row r="568">
          <cell r="A568">
            <v>561</v>
          </cell>
          <cell r="B568" t="str">
            <v>KETOPROFEN</v>
          </cell>
          <cell r="C568" t="str">
            <v>22071-15-4</v>
          </cell>
          <cell r="D568" t="str">
            <v>Acid</v>
          </cell>
          <cell r="E568">
            <v>4.45</v>
          </cell>
          <cell r="F568">
            <v>254.29</v>
          </cell>
          <cell r="G568"/>
          <cell r="H568">
            <v>1.94666666618E-4</v>
          </cell>
          <cell r="I568">
            <v>51</v>
          </cell>
          <cell r="J568"/>
          <cell r="K568">
            <v>1318.2567385564089</v>
          </cell>
          <cell r="L568"/>
          <cell r="M568"/>
          <cell r="N568"/>
          <cell r="O568"/>
          <cell r="P568"/>
          <cell r="Q568">
            <v>4.5440175000000004E-6</v>
          </cell>
          <cell r="R568">
            <v>5.3483578746909358E-7</v>
          </cell>
          <cell r="S568">
            <v>5.9426198607677063E-8</v>
          </cell>
          <cell r="T568">
            <v>2.6741789373454679E-7</v>
          </cell>
          <cell r="U568"/>
          <cell r="V568"/>
          <cell r="W568">
            <v>30000</v>
          </cell>
          <cell r="X568">
            <v>0.33333333333333331</v>
          </cell>
          <cell r="Y568">
            <v>0.33333333333333331</v>
          </cell>
          <cell r="Z568">
            <v>0.33333333333333331</v>
          </cell>
          <cell r="AA568"/>
        </row>
        <row r="569">
          <cell r="A569">
            <v>562</v>
          </cell>
          <cell r="B569" t="str">
            <v>Etodolac</v>
          </cell>
          <cell r="C569" t="str">
            <v>41340-25-4</v>
          </cell>
          <cell r="D569" t="str">
            <v>Acid</v>
          </cell>
          <cell r="E569">
            <v>4.46</v>
          </cell>
          <cell r="F569">
            <v>287.36</v>
          </cell>
          <cell r="G569"/>
          <cell r="H569">
            <v>2.6933333326599995E-6</v>
          </cell>
          <cell r="I569">
            <v>16.010000000000002</v>
          </cell>
          <cell r="J569"/>
          <cell r="K569">
            <v>8511.3803820237772</v>
          </cell>
          <cell r="L569"/>
          <cell r="M569"/>
          <cell r="N569"/>
          <cell r="O569"/>
          <cell r="P569"/>
          <cell r="Q569">
            <v>1.6333959E-4</v>
          </cell>
          <cell r="R569">
            <v>2.1393431498763744E-7</v>
          </cell>
          <cell r="S569">
            <v>2.3770479443070826E-8</v>
          </cell>
          <cell r="T569">
            <v>1.0696715749381872E-7</v>
          </cell>
          <cell r="U569"/>
          <cell r="V569"/>
          <cell r="W569">
            <v>30000</v>
          </cell>
          <cell r="X569">
            <v>0.33333333333333331</v>
          </cell>
          <cell r="Y569">
            <v>0.33333333333333331</v>
          </cell>
          <cell r="Z569">
            <v>0.33333333333333331</v>
          </cell>
          <cell r="AA569"/>
        </row>
        <row r="570">
          <cell r="A570">
            <v>563</v>
          </cell>
          <cell r="B570" t="str">
            <v>Actarit</v>
          </cell>
          <cell r="C570" t="str">
            <v>18699-02-0</v>
          </cell>
          <cell r="D570" t="str">
            <v>Acid</v>
          </cell>
          <cell r="E570">
            <v>4.47</v>
          </cell>
          <cell r="F570">
            <v>193.2</v>
          </cell>
          <cell r="G570"/>
          <cell r="H570">
            <v>3.2533333325199997E-5</v>
          </cell>
          <cell r="I570">
            <v>16540</v>
          </cell>
          <cell r="J570"/>
          <cell r="K570">
            <v>3.4673685045253171</v>
          </cell>
          <cell r="L570"/>
          <cell r="M570"/>
          <cell r="N570"/>
          <cell r="O570"/>
          <cell r="P570"/>
          <cell r="Q570">
            <v>1.0596075E-5</v>
          </cell>
          <cell r="R570">
            <v>5.3483578746909358E-7</v>
          </cell>
          <cell r="S570">
            <v>5.9426198607677063E-8</v>
          </cell>
          <cell r="T570">
            <v>2.6741789373454679E-7</v>
          </cell>
          <cell r="U570"/>
          <cell r="V570"/>
          <cell r="W570">
            <v>30000</v>
          </cell>
          <cell r="X570">
            <v>0.33333333333333331</v>
          </cell>
          <cell r="Y570">
            <v>0.33333333333333331</v>
          </cell>
          <cell r="Z570">
            <v>0.33333333333333331</v>
          </cell>
          <cell r="AA570"/>
        </row>
        <row r="571">
          <cell r="A571">
            <v>564</v>
          </cell>
          <cell r="B571" t="str">
            <v>CLETHODIM</v>
          </cell>
          <cell r="C571" t="str">
            <v>99129-21-2</v>
          </cell>
          <cell r="D571" t="str">
            <v>Acid</v>
          </cell>
          <cell r="E571">
            <v>4.47</v>
          </cell>
          <cell r="F571">
            <v>359.91</v>
          </cell>
          <cell r="G571"/>
          <cell r="H571">
            <v>3.5466666657799995E-7</v>
          </cell>
          <cell r="I571">
            <v>1.36</v>
          </cell>
          <cell r="J571"/>
          <cell r="K571">
            <v>16218.100973589309</v>
          </cell>
          <cell r="L571"/>
          <cell r="M571"/>
          <cell r="N571"/>
          <cell r="O571"/>
          <cell r="P571"/>
          <cell r="Q571">
            <v>1.164528225E-4</v>
          </cell>
          <cell r="R571">
            <v>2.1393431498763744E-7</v>
          </cell>
          <cell r="S571">
            <v>2.3770479443070826E-8</v>
          </cell>
          <cell r="T571">
            <v>2.6741789373454678E-6</v>
          </cell>
          <cell r="U571"/>
          <cell r="V571"/>
          <cell r="W571">
            <v>30000</v>
          </cell>
          <cell r="X571">
            <v>0.33333333333333331</v>
          </cell>
          <cell r="Y571">
            <v>0.33333333333333331</v>
          </cell>
          <cell r="Z571">
            <v>0.33333333333333331</v>
          </cell>
          <cell r="AA571"/>
        </row>
        <row r="572">
          <cell r="A572">
            <v>565</v>
          </cell>
          <cell r="B572" t="str">
            <v>Gemfibrozil</v>
          </cell>
          <cell r="C572" t="str">
            <v>25812-30-0</v>
          </cell>
          <cell r="D572" t="str">
            <v>Acid</v>
          </cell>
          <cell r="E572">
            <v>4.4800000000000004</v>
          </cell>
          <cell r="F572">
            <v>250.34</v>
          </cell>
          <cell r="G572"/>
          <cell r="H572">
            <v>4.0666666656499996E-3</v>
          </cell>
          <cell r="I572">
            <v>4.9640000000000004</v>
          </cell>
          <cell r="J572"/>
          <cell r="K572">
            <v>58884.365535558936</v>
          </cell>
          <cell r="L572"/>
          <cell r="M572"/>
          <cell r="N572"/>
          <cell r="O572"/>
          <cell r="P572"/>
          <cell r="Q572">
            <v>6.1789469999999993E-5</v>
          </cell>
          <cell r="R572">
            <v>2.1393431498763744E-7</v>
          </cell>
          <cell r="S572">
            <v>2.3770479443070826E-8</v>
          </cell>
          <cell r="T572">
            <v>1.0696715749381872E-7</v>
          </cell>
          <cell r="U572"/>
          <cell r="V572"/>
          <cell r="W572">
            <v>30000</v>
          </cell>
          <cell r="X572">
            <v>0.33333333333333331</v>
          </cell>
          <cell r="Y572">
            <v>0.33333333333333331</v>
          </cell>
          <cell r="Z572">
            <v>0.33333333333333331</v>
          </cell>
          <cell r="AA572"/>
        </row>
        <row r="573">
          <cell r="A573">
            <v>566</v>
          </cell>
          <cell r="B573" t="str">
            <v>ALCOFENAC</v>
          </cell>
          <cell r="C573" t="str">
            <v>22131-79-9</v>
          </cell>
          <cell r="D573" t="str">
            <v>Acid</v>
          </cell>
          <cell r="E573">
            <v>4.5</v>
          </cell>
          <cell r="F573">
            <v>226.66</v>
          </cell>
          <cell r="G573"/>
          <cell r="H573">
            <v>5.0933333320599995E-3</v>
          </cell>
          <cell r="I573">
            <v>600.29999999999995</v>
          </cell>
          <cell r="J573"/>
          <cell r="K573">
            <v>301.99517204020168</v>
          </cell>
          <cell r="L573"/>
          <cell r="M573"/>
          <cell r="N573"/>
          <cell r="O573"/>
          <cell r="P573"/>
          <cell r="Q573">
            <v>2.9769900000000001E-5</v>
          </cell>
          <cell r="R573">
            <v>2.1393431498763744E-7</v>
          </cell>
          <cell r="S573">
            <v>2.3770479443070826E-8</v>
          </cell>
          <cell r="T573">
            <v>1.0696715749381872E-7</v>
          </cell>
          <cell r="U573"/>
          <cell r="V573"/>
          <cell r="W573">
            <v>30000</v>
          </cell>
          <cell r="X573">
            <v>0.33333333333333331</v>
          </cell>
          <cell r="Y573">
            <v>0.33333333333333331</v>
          </cell>
          <cell r="Z573">
            <v>0.33333333333333331</v>
          </cell>
          <cell r="AA573"/>
        </row>
        <row r="574">
          <cell r="A574">
            <v>567</v>
          </cell>
          <cell r="B574" t="str">
            <v>4-HYDROXY-3-METHOXYBENZOIC ACID</v>
          </cell>
          <cell r="C574" t="str">
            <v>121-34-6</v>
          </cell>
          <cell r="D574" t="str">
            <v>Acid</v>
          </cell>
          <cell r="E574">
            <v>4.51</v>
          </cell>
          <cell r="F574">
            <v>168.15</v>
          </cell>
          <cell r="G574"/>
          <cell r="H574">
            <v>1.9733333328399998E-4</v>
          </cell>
          <cell r="I574">
            <v>1500</v>
          </cell>
          <cell r="J574"/>
          <cell r="K574">
            <v>26.915348039269158</v>
          </cell>
          <cell r="L574"/>
          <cell r="M574"/>
          <cell r="N574"/>
          <cell r="O574"/>
          <cell r="P574"/>
          <cell r="Q574">
            <v>9.1229324999999992E-6</v>
          </cell>
          <cell r="R574">
            <v>5.3483578746909358E-7</v>
          </cell>
          <cell r="S574">
            <v>5.9426198607677063E-8</v>
          </cell>
          <cell r="T574">
            <v>2.6741789373454679E-7</v>
          </cell>
          <cell r="U574"/>
          <cell r="V574"/>
          <cell r="W574">
            <v>30000</v>
          </cell>
          <cell r="X574">
            <v>0.33333333333333331</v>
          </cell>
          <cell r="Y574">
            <v>0.33333333333333331</v>
          </cell>
          <cell r="Z574">
            <v>0.33333333333333331</v>
          </cell>
          <cell r="AA574"/>
        </row>
        <row r="575">
          <cell r="A575">
            <v>568</v>
          </cell>
          <cell r="B575" t="str">
            <v>Trinexapac-ethyl</v>
          </cell>
          <cell r="C575" t="str">
            <v>95266-40-3</v>
          </cell>
          <cell r="D575" t="str">
            <v>Acid</v>
          </cell>
          <cell r="E575">
            <v>4.57</v>
          </cell>
          <cell r="F575">
            <v>252.27</v>
          </cell>
          <cell r="G575"/>
          <cell r="H575">
            <v>2.1599999994600001E-3</v>
          </cell>
          <cell r="I575">
            <v>2.8</v>
          </cell>
          <cell r="J575"/>
          <cell r="K575">
            <v>39.810717055349755</v>
          </cell>
          <cell r="L575"/>
          <cell r="M575"/>
          <cell r="N575"/>
          <cell r="O575"/>
          <cell r="P575"/>
          <cell r="Q575">
            <v>7.1314192500000005E-5</v>
          </cell>
          <cell r="R575">
            <v>5.3483578746909358E-7</v>
          </cell>
          <cell r="S575">
            <v>5.9426198607677063E-8</v>
          </cell>
          <cell r="T575">
            <v>5.4948882274221939E-7</v>
          </cell>
          <cell r="U575"/>
          <cell r="V575"/>
          <cell r="W575">
            <v>30000</v>
          </cell>
          <cell r="X575">
            <v>0.33333333333333331</v>
          </cell>
          <cell r="Y575">
            <v>0.33333333333333331</v>
          </cell>
          <cell r="Z575">
            <v>0.33333333333333331</v>
          </cell>
          <cell r="AA575"/>
        </row>
        <row r="576">
          <cell r="A576">
            <v>569</v>
          </cell>
          <cell r="B576" t="str">
            <v>Enoxolone</v>
          </cell>
          <cell r="C576" t="str">
            <v>471-53-4</v>
          </cell>
          <cell r="D576" t="str">
            <v>Acid</v>
          </cell>
          <cell r="E576">
            <v>4.59</v>
          </cell>
          <cell r="F576">
            <v>470.7</v>
          </cell>
          <cell r="G576"/>
          <cell r="H576">
            <v>3.8799999990299996E-13</v>
          </cell>
          <cell r="I576">
            <v>1.1379999999999999E-2</v>
          </cell>
          <cell r="J576"/>
          <cell r="K576">
            <v>7943282.3472428275</v>
          </cell>
          <cell r="L576"/>
          <cell r="M576"/>
          <cell r="N576"/>
          <cell r="O576"/>
          <cell r="P576"/>
          <cell r="Q576">
            <v>8.3833019999999996E-5</v>
          </cell>
          <cell r="R576">
            <v>4.45696489557578E-8</v>
          </cell>
          <cell r="S576">
            <v>4.9521832173064224E-9</v>
          </cell>
          <cell r="T576">
            <v>2.22848244778789E-8</v>
          </cell>
          <cell r="U576"/>
          <cell r="V576"/>
          <cell r="W576">
            <v>30000</v>
          </cell>
          <cell r="X576">
            <v>0.33333333333333331</v>
          </cell>
          <cell r="Y576">
            <v>0.33333333333333331</v>
          </cell>
          <cell r="Z576">
            <v>0.33333333333333331</v>
          </cell>
          <cell r="AA576"/>
        </row>
        <row r="577">
          <cell r="A577">
            <v>570</v>
          </cell>
          <cell r="B577" t="str">
            <v>4-PENTYNOIC ACID</v>
          </cell>
          <cell r="C577" t="str">
            <v>1530-25-0</v>
          </cell>
          <cell r="D577" t="str">
            <v>Acid</v>
          </cell>
          <cell r="E577">
            <v>4.59</v>
          </cell>
          <cell r="F577">
            <v>98.1</v>
          </cell>
          <cell r="G577"/>
          <cell r="H577">
            <v>28.133333326299997</v>
          </cell>
          <cell r="I577">
            <v>62390</v>
          </cell>
          <cell r="J577"/>
          <cell r="K577">
            <v>6.1659500186148231</v>
          </cell>
          <cell r="L577"/>
          <cell r="M577"/>
          <cell r="N577"/>
          <cell r="O577"/>
          <cell r="P577"/>
          <cell r="Q577">
            <v>7.14783E-6</v>
          </cell>
          <cell r="R577">
            <v>9.2532143160742838E-7</v>
          </cell>
          <cell r="S577">
            <v>1.0281349240082538E-7</v>
          </cell>
          <cell r="T577">
            <v>4.6266071580371419E-7</v>
          </cell>
          <cell r="U577"/>
          <cell r="V577"/>
          <cell r="W577">
            <v>30000</v>
          </cell>
          <cell r="X577">
            <v>0.33333333333333331</v>
          </cell>
          <cell r="Y577">
            <v>0.33333333333333331</v>
          </cell>
          <cell r="Z577">
            <v>0.33333333333333331</v>
          </cell>
          <cell r="AA577"/>
        </row>
        <row r="578">
          <cell r="A578">
            <v>571</v>
          </cell>
          <cell r="B578" t="str">
            <v>Dinoseb</v>
          </cell>
          <cell r="C578" t="str">
            <v>88-85-7</v>
          </cell>
          <cell r="D578" t="str">
            <v>Acid</v>
          </cell>
          <cell r="E578">
            <v>4.62</v>
          </cell>
          <cell r="F578">
            <v>240.22</v>
          </cell>
          <cell r="G578"/>
          <cell r="H578">
            <v>9.9199999975199994E-3</v>
          </cell>
          <cell r="I578">
            <v>52</v>
          </cell>
          <cell r="J578"/>
          <cell r="K578">
            <v>3630.7805477010188</v>
          </cell>
          <cell r="L578"/>
          <cell r="M578"/>
          <cell r="N578"/>
          <cell r="O578"/>
          <cell r="P578"/>
          <cell r="Q578">
            <v>3.0254175000000002E-6</v>
          </cell>
          <cell r="R578">
            <v>2.1393431498763744E-7</v>
          </cell>
          <cell r="S578">
            <v>2.3770479443070826E-8</v>
          </cell>
          <cell r="T578">
            <v>4.4569648955757796E-7</v>
          </cell>
          <cell r="U578"/>
          <cell r="V578"/>
          <cell r="W578">
            <v>30000</v>
          </cell>
          <cell r="X578">
            <v>0.33333333333333331</v>
          </cell>
          <cell r="Y578">
            <v>0.33333333333333331</v>
          </cell>
          <cell r="Z578">
            <v>0.33333333333333331</v>
          </cell>
          <cell r="AA578"/>
        </row>
        <row r="579">
          <cell r="A579">
            <v>572</v>
          </cell>
          <cell r="B579" t="str">
            <v>2-PROPENOIC ACID, 3-(3,4-DIHYDROXYPHENYL)-, (E)-</v>
          </cell>
          <cell r="C579" t="str">
            <v>331-39-5</v>
          </cell>
          <cell r="D579" t="str">
            <v>Acid</v>
          </cell>
          <cell r="E579">
            <v>4.62</v>
          </cell>
          <cell r="F579">
            <v>180.16</v>
          </cell>
          <cell r="G579"/>
          <cell r="H579">
            <v>3.9199999990199996E-6</v>
          </cell>
          <cell r="I579">
            <v>54070</v>
          </cell>
          <cell r="J579"/>
          <cell r="K579">
            <v>14.125375446227544</v>
          </cell>
          <cell r="L579"/>
          <cell r="M579"/>
          <cell r="N579"/>
          <cell r="O579"/>
          <cell r="P579"/>
          <cell r="Q579">
            <v>3.15828675E-5</v>
          </cell>
          <cell r="R579">
            <v>9.2532143160742838E-7</v>
          </cell>
          <cell r="S579">
            <v>1.0281349240082538E-7</v>
          </cell>
          <cell r="T579">
            <v>4.6266071580371419E-7</v>
          </cell>
          <cell r="U579"/>
          <cell r="V579"/>
          <cell r="W579">
            <v>30000</v>
          </cell>
          <cell r="X579">
            <v>0.33333333333333331</v>
          </cell>
          <cell r="Y579">
            <v>0.33333333333333331</v>
          </cell>
          <cell r="Z579">
            <v>0.33333333333333331</v>
          </cell>
          <cell r="AA579"/>
        </row>
        <row r="580">
          <cell r="A580">
            <v>573</v>
          </cell>
          <cell r="B580" t="str">
            <v>PENTABROMOPHENOL</v>
          </cell>
          <cell r="C580" t="str">
            <v>608-71-9</v>
          </cell>
          <cell r="D580" t="str">
            <v>Acid</v>
          </cell>
          <cell r="E580">
            <v>4.62</v>
          </cell>
          <cell r="F580">
            <v>488.59</v>
          </cell>
          <cell r="G580"/>
          <cell r="H580">
            <v>6.7733333316399994E-6</v>
          </cell>
          <cell r="I580">
            <v>2.605E-2</v>
          </cell>
          <cell r="J580"/>
          <cell r="K580">
            <v>912010.83935591124</v>
          </cell>
          <cell r="L580"/>
          <cell r="M580"/>
          <cell r="N580"/>
          <cell r="O580"/>
          <cell r="P580"/>
          <cell r="Q580">
            <v>3.3821999999999997E-7</v>
          </cell>
          <cell r="R580">
            <v>4.45696489557578E-8</v>
          </cell>
          <cell r="S580">
            <v>4.9521832173064224E-9</v>
          </cell>
          <cell r="T580">
            <v>2.22848244778789E-8</v>
          </cell>
          <cell r="U580"/>
          <cell r="V580"/>
          <cell r="W580">
            <v>30000</v>
          </cell>
          <cell r="X580">
            <v>0.33333333333333331</v>
          </cell>
          <cell r="Y580">
            <v>0.33333333333333331</v>
          </cell>
          <cell r="Z580">
            <v>0.33333333333333331</v>
          </cell>
          <cell r="AA580"/>
        </row>
        <row r="581">
          <cell r="A581">
            <v>574</v>
          </cell>
          <cell r="B581" t="str">
            <v>4-Pentenoic acid</v>
          </cell>
          <cell r="C581" t="str">
            <v>591-80-0</v>
          </cell>
          <cell r="D581" t="str">
            <v>Acid</v>
          </cell>
          <cell r="E581">
            <v>4.63</v>
          </cell>
          <cell r="F581">
            <v>100.12</v>
          </cell>
          <cell r="G581"/>
          <cell r="H581">
            <v>85.066666645399991</v>
          </cell>
          <cell r="I581">
            <v>17650</v>
          </cell>
          <cell r="J581"/>
          <cell r="K581">
            <v>26.302679918953825</v>
          </cell>
          <cell r="L581"/>
          <cell r="M581"/>
          <cell r="N581"/>
          <cell r="O581"/>
          <cell r="P581"/>
          <cell r="Q581">
            <v>2.1622822500000001E-5</v>
          </cell>
          <cell r="R581">
            <v>9.2532143160742838E-7</v>
          </cell>
          <cell r="S581">
            <v>1.0281349240082538E-7</v>
          </cell>
          <cell r="T581">
            <v>4.6266071580371419E-7</v>
          </cell>
          <cell r="U581"/>
          <cell r="V581"/>
          <cell r="W581">
            <v>30000</v>
          </cell>
          <cell r="X581">
            <v>0.33333333333333331</v>
          </cell>
          <cell r="Y581">
            <v>0.33333333333333331</v>
          </cell>
          <cell r="Z581">
            <v>0.33333333333333331</v>
          </cell>
          <cell r="AA581"/>
        </row>
        <row r="582">
          <cell r="A582">
            <v>575</v>
          </cell>
          <cell r="B582" t="str">
            <v>METHACRYLIC ACID</v>
          </cell>
          <cell r="C582" t="str">
            <v>79-41-4</v>
          </cell>
          <cell r="D582" t="str">
            <v>Acid</v>
          </cell>
          <cell r="E582">
            <v>4.6500000000000004</v>
          </cell>
          <cell r="F582">
            <v>86.09</v>
          </cell>
          <cell r="G582"/>
          <cell r="H582">
            <v>131.99999996699998</v>
          </cell>
          <cell r="I582">
            <v>89000</v>
          </cell>
          <cell r="J582"/>
          <cell r="K582">
            <v>8.5113803820237681</v>
          </cell>
          <cell r="L582"/>
          <cell r="M582"/>
          <cell r="N582"/>
          <cell r="O582"/>
          <cell r="P582"/>
          <cell r="Q582">
            <v>1.39845E-5</v>
          </cell>
          <cell r="R582">
            <v>9.2532143160742838E-7</v>
          </cell>
          <cell r="S582">
            <v>1.0281349240082538E-7</v>
          </cell>
          <cell r="T582">
            <v>4.6266071580371419E-7</v>
          </cell>
          <cell r="U582"/>
          <cell r="V582"/>
          <cell r="W582">
            <v>30000</v>
          </cell>
          <cell r="X582">
            <v>0.33333333333333331</v>
          </cell>
          <cell r="Y582">
            <v>0.33333333333333331</v>
          </cell>
          <cell r="Z582">
            <v>0.33333333333333331</v>
          </cell>
          <cell r="AA582"/>
        </row>
        <row r="583">
          <cell r="A583">
            <v>576</v>
          </cell>
          <cell r="B583" t="str">
            <v>BETA-PHENYLPROPIONIC ACID</v>
          </cell>
          <cell r="C583" t="str">
            <v>501-52-0</v>
          </cell>
          <cell r="D583" t="str">
            <v>Acid</v>
          </cell>
          <cell r="E583">
            <v>4.66</v>
          </cell>
          <cell r="F583">
            <v>150.18</v>
          </cell>
          <cell r="G583"/>
          <cell r="H583">
            <v>0.35599999991100001</v>
          </cell>
          <cell r="I583">
            <v>5900</v>
          </cell>
          <cell r="J583"/>
          <cell r="K583">
            <v>69.183097091893657</v>
          </cell>
          <cell r="L583"/>
          <cell r="M583"/>
          <cell r="N583"/>
          <cell r="O583"/>
          <cell r="P583"/>
          <cell r="Q583">
            <v>5.5316249999999997E-6</v>
          </cell>
          <cell r="R583">
            <v>5.3483578746909358E-7</v>
          </cell>
          <cell r="S583">
            <v>5.9426198607677063E-8</v>
          </cell>
          <cell r="T583">
            <v>2.6741789373454679E-7</v>
          </cell>
          <cell r="U583"/>
          <cell r="V583"/>
          <cell r="W583">
            <v>30000</v>
          </cell>
          <cell r="X583">
            <v>0.33333333333333331</v>
          </cell>
          <cell r="Y583">
            <v>0.33333333333333331</v>
          </cell>
          <cell r="Z583">
            <v>0.33333333333333331</v>
          </cell>
          <cell r="AA583"/>
        </row>
        <row r="584">
          <cell r="A584">
            <v>577</v>
          </cell>
          <cell r="B584" t="str">
            <v>DAMINOZIDE</v>
          </cell>
          <cell r="C584" t="str">
            <v>1596-84-5</v>
          </cell>
          <cell r="D584" t="str">
            <v>Acid</v>
          </cell>
          <cell r="E584">
            <v>4.68</v>
          </cell>
          <cell r="F584">
            <v>160.16999999999999</v>
          </cell>
          <cell r="G584"/>
          <cell r="H584">
            <v>2.6666666660000001E-2</v>
          </cell>
          <cell r="I584">
            <v>100000</v>
          </cell>
          <cell r="J584"/>
          <cell r="K584">
            <v>3.1622776601683784E-2</v>
          </cell>
          <cell r="L584"/>
          <cell r="M584"/>
          <cell r="N584"/>
          <cell r="O584"/>
          <cell r="P584"/>
          <cell r="Q584">
            <v>9.1073775000000004E-6</v>
          </cell>
          <cell r="R584">
            <v>5.3483578746909358E-7</v>
          </cell>
          <cell r="S584">
            <v>5.9426198607677063E-8</v>
          </cell>
          <cell r="T584">
            <v>1.3370894686727342E-5</v>
          </cell>
          <cell r="U584"/>
          <cell r="V584"/>
          <cell r="W584">
            <v>30000</v>
          </cell>
          <cell r="X584">
            <v>0.33333333333333331</v>
          </cell>
          <cell r="Y584">
            <v>0.33333333333333331</v>
          </cell>
          <cell r="Z584">
            <v>0.33333333333333331</v>
          </cell>
          <cell r="AA584"/>
        </row>
        <row r="585">
          <cell r="A585">
            <v>578</v>
          </cell>
          <cell r="B585" t="str">
            <v>RETINOIC ACID</v>
          </cell>
          <cell r="C585" t="str">
            <v>302-79-4</v>
          </cell>
          <cell r="D585" t="str">
            <v>Acid</v>
          </cell>
          <cell r="E585">
            <v>4.6900000000000004</v>
          </cell>
          <cell r="F585">
            <v>300.44</v>
          </cell>
          <cell r="G585"/>
          <cell r="H585">
            <v>1.35999999966E-5</v>
          </cell>
          <cell r="I585">
            <v>0.1263</v>
          </cell>
          <cell r="J585"/>
          <cell r="K585">
            <v>1995262.31496888</v>
          </cell>
          <cell r="L585"/>
          <cell r="M585"/>
          <cell r="N585"/>
          <cell r="O585"/>
          <cell r="P585"/>
          <cell r="Q585">
            <v>2.1940313249999997E-4</v>
          </cell>
          <cell r="R585">
            <v>2.1393431498763744E-7</v>
          </cell>
          <cell r="S585">
            <v>2.3770479443070826E-8</v>
          </cell>
          <cell r="T585">
            <v>1.0696715749381872E-7</v>
          </cell>
          <cell r="U585"/>
          <cell r="V585"/>
          <cell r="W585">
            <v>30000</v>
          </cell>
          <cell r="X585">
            <v>0.33333333333333331</v>
          </cell>
          <cell r="Y585">
            <v>0.33333333333333331</v>
          </cell>
          <cell r="Z585">
            <v>0.33333333333333331</v>
          </cell>
          <cell r="AA585"/>
        </row>
        <row r="586">
          <cell r="A586">
            <v>579</v>
          </cell>
          <cell r="B586" t="str">
            <v>pentachlorophenol</v>
          </cell>
          <cell r="C586" t="str">
            <v>87-86-5</v>
          </cell>
          <cell r="D586" t="str">
            <v>Acid</v>
          </cell>
          <cell r="E586">
            <v>4.7</v>
          </cell>
          <cell r="F586">
            <v>266.33999999999997</v>
          </cell>
          <cell r="G586"/>
          <cell r="H586">
            <v>1.4666666663E-2</v>
          </cell>
          <cell r="I586">
            <v>14</v>
          </cell>
          <cell r="J586"/>
          <cell r="K586">
            <v>131825.67385564081</v>
          </cell>
          <cell r="L586"/>
          <cell r="M586"/>
          <cell r="N586"/>
          <cell r="O586"/>
          <cell r="P586"/>
          <cell r="Q586">
            <v>4.128675E-7</v>
          </cell>
          <cell r="R586">
            <v>4.45696489557578E-8</v>
          </cell>
          <cell r="S586">
            <v>4.9521832173064224E-9</v>
          </cell>
          <cell r="T586">
            <v>1.27341854159308E-7</v>
          </cell>
          <cell r="U586"/>
          <cell r="V586"/>
          <cell r="W586">
            <v>30000</v>
          </cell>
          <cell r="X586">
            <v>0.33333333333333331</v>
          </cell>
          <cell r="Y586">
            <v>0.33333333333333331</v>
          </cell>
          <cell r="Z586">
            <v>0.33333333333333331</v>
          </cell>
          <cell r="AA586"/>
        </row>
        <row r="587">
          <cell r="A587">
            <v>580</v>
          </cell>
          <cell r="B587" t="str">
            <v>METHOTREXATE</v>
          </cell>
          <cell r="C587" t="str">
            <v>59-05-2</v>
          </cell>
          <cell r="D587" t="str">
            <v>Acid</v>
          </cell>
          <cell r="E587">
            <v>4.7</v>
          </cell>
          <cell r="F587">
            <v>454.45</v>
          </cell>
          <cell r="G587"/>
          <cell r="H587">
            <v>2.01333333283E-15</v>
          </cell>
          <cell r="I587">
            <v>2600</v>
          </cell>
          <cell r="J587"/>
          <cell r="K587">
            <v>1.4125375446227528E-2</v>
          </cell>
          <cell r="L587"/>
          <cell r="M587"/>
          <cell r="N587"/>
          <cell r="O587"/>
          <cell r="P587"/>
          <cell r="Q587">
            <v>2.378055975E-4</v>
          </cell>
          <cell r="R587">
            <v>2.1393431498763744E-7</v>
          </cell>
          <cell r="S587">
            <v>2.3770479443070826E-8</v>
          </cell>
          <cell r="T587">
            <v>1.0696715749381872E-7</v>
          </cell>
          <cell r="U587"/>
          <cell r="V587"/>
          <cell r="W587">
            <v>30000</v>
          </cell>
          <cell r="X587">
            <v>0.33333333333333331</v>
          </cell>
          <cell r="Y587">
            <v>0.33333333333333331</v>
          </cell>
          <cell r="Z587">
            <v>0.33333333333333331</v>
          </cell>
          <cell r="AA587"/>
        </row>
        <row r="588">
          <cell r="A588">
            <v>581</v>
          </cell>
          <cell r="B588" t="str">
            <v>2-ETHYLBUTYRIC ACID</v>
          </cell>
          <cell r="C588" t="str">
            <v>88-09-5</v>
          </cell>
          <cell r="D588" t="str">
            <v>Acid</v>
          </cell>
          <cell r="E588">
            <v>4.71</v>
          </cell>
          <cell r="F588">
            <v>116.16</v>
          </cell>
          <cell r="G588"/>
          <cell r="H588">
            <v>25.066666660399999</v>
          </cell>
          <cell r="I588">
            <v>18000</v>
          </cell>
          <cell r="J588"/>
          <cell r="K588">
            <v>47.863009232263856</v>
          </cell>
          <cell r="L588"/>
          <cell r="M588"/>
          <cell r="N588"/>
          <cell r="O588"/>
          <cell r="P588"/>
          <cell r="Q588">
            <v>4.0151025000000001E-6</v>
          </cell>
          <cell r="R588">
            <v>9.2532143160742838E-7</v>
          </cell>
          <cell r="S588">
            <v>1.0281349240082538E-7</v>
          </cell>
          <cell r="T588">
            <v>4.6266071580371419E-7</v>
          </cell>
          <cell r="U588"/>
          <cell r="V588"/>
          <cell r="W588">
            <v>30000</v>
          </cell>
          <cell r="X588">
            <v>0.33333333333333331</v>
          </cell>
          <cell r="Y588">
            <v>0.33333333333333331</v>
          </cell>
          <cell r="Z588">
            <v>0.33333333333333331</v>
          </cell>
          <cell r="AA588"/>
        </row>
        <row r="589">
          <cell r="A589">
            <v>582</v>
          </cell>
          <cell r="B589" t="str">
            <v>Fatty acids, C9-13-neo-</v>
          </cell>
          <cell r="C589" t="str">
            <v>68938-07-8</v>
          </cell>
          <cell r="D589" t="str">
            <v>Acid</v>
          </cell>
          <cell r="E589">
            <v>4.72</v>
          </cell>
          <cell r="F589">
            <v>200.32</v>
          </cell>
          <cell r="G589"/>
          <cell r="H589">
            <v>4.2133333322800004</v>
          </cell>
          <cell r="I589">
            <v>225.9</v>
          </cell>
          <cell r="J589"/>
          <cell r="K589">
            <v>2398.8329190194918</v>
          </cell>
          <cell r="L589"/>
          <cell r="M589"/>
          <cell r="N589"/>
          <cell r="O589"/>
          <cell r="P589"/>
          <cell r="Q589">
            <v>7.2910725000000001E-6</v>
          </cell>
          <cell r="R589">
            <v>5.3483578746909358E-7</v>
          </cell>
          <cell r="S589">
            <v>5.9426198607677063E-8</v>
          </cell>
          <cell r="T589">
            <v>2.6741789373454679E-7</v>
          </cell>
          <cell r="U589"/>
          <cell r="V589"/>
          <cell r="W589">
            <v>30000</v>
          </cell>
          <cell r="X589">
            <v>0.33333333333333331</v>
          </cell>
          <cell r="Y589">
            <v>0.33333333333333331</v>
          </cell>
          <cell r="Z589">
            <v>0.33333333333333331</v>
          </cell>
          <cell r="AA589"/>
        </row>
        <row r="590">
          <cell r="A590">
            <v>583</v>
          </cell>
          <cell r="B590" t="str">
            <v>HEXANOIC ACID, 2-ETHYL-</v>
          </cell>
          <cell r="C590" t="str">
            <v>149-57-5</v>
          </cell>
          <cell r="D590" t="str">
            <v>Acid</v>
          </cell>
          <cell r="E590">
            <v>4.72</v>
          </cell>
          <cell r="F590">
            <v>144.22</v>
          </cell>
          <cell r="G590"/>
          <cell r="H590">
            <v>3.9999999989999995</v>
          </cell>
          <cell r="I590">
            <v>2000</v>
          </cell>
          <cell r="J590"/>
          <cell r="K590">
            <v>436.51583224016622</v>
          </cell>
          <cell r="L590"/>
          <cell r="M590"/>
          <cell r="N590"/>
          <cell r="O590"/>
          <cell r="P590"/>
          <cell r="Q590">
            <v>6.1346775E-6</v>
          </cell>
          <cell r="R590">
            <v>9.2532143160742838E-7</v>
          </cell>
          <cell r="S590">
            <v>1.0281349240082538E-7</v>
          </cell>
          <cell r="T590">
            <v>4.6266071580371419E-7</v>
          </cell>
          <cell r="U590"/>
          <cell r="V590"/>
          <cell r="W590">
            <v>30000</v>
          </cell>
          <cell r="X590">
            <v>0.33333333333333331</v>
          </cell>
          <cell r="Y590">
            <v>0.33333333333333331</v>
          </cell>
          <cell r="Z590">
            <v>0.33333333333333331</v>
          </cell>
          <cell r="AA590"/>
        </row>
        <row r="591">
          <cell r="A591">
            <v>584</v>
          </cell>
          <cell r="B591" t="str">
            <v>CHENODEOXYCHOLIC ACID</v>
          </cell>
          <cell r="C591" t="str">
            <v>474-25-9</v>
          </cell>
          <cell r="D591" t="str">
            <v>Acid</v>
          </cell>
          <cell r="E591">
            <v>4.74</v>
          </cell>
          <cell r="F591">
            <v>392.58</v>
          </cell>
          <cell r="G591"/>
          <cell r="H591">
            <v>5.1333333320499997E-10</v>
          </cell>
          <cell r="I591">
            <v>89.9</v>
          </cell>
          <cell r="J591"/>
          <cell r="K591">
            <v>14125.375446227561</v>
          </cell>
          <cell r="L591"/>
          <cell r="M591"/>
          <cell r="N591"/>
          <cell r="O591"/>
          <cell r="P591"/>
          <cell r="Q591">
            <v>3.9596137499999998E-5</v>
          </cell>
          <cell r="R591">
            <v>2.1393431498763744E-7</v>
          </cell>
          <cell r="S591">
            <v>2.3770479443070826E-8</v>
          </cell>
          <cell r="T591">
            <v>1.0696715749381872E-7</v>
          </cell>
          <cell r="U591"/>
          <cell r="V591"/>
          <cell r="W591">
            <v>30000</v>
          </cell>
          <cell r="X591">
            <v>0.33333333333333331</v>
          </cell>
          <cell r="Y591">
            <v>0.33333333333333331</v>
          </cell>
          <cell r="Z591">
            <v>0.33333333333333331</v>
          </cell>
          <cell r="AA591"/>
        </row>
        <row r="592">
          <cell r="A592">
            <v>585</v>
          </cell>
          <cell r="B592" t="str">
            <v>OLEIC ACID</v>
          </cell>
          <cell r="C592" t="str">
            <v>112-80-1</v>
          </cell>
          <cell r="D592" t="str">
            <v>Acid</v>
          </cell>
          <cell r="E592">
            <v>4.74</v>
          </cell>
          <cell r="F592">
            <v>282.47000000000003</v>
          </cell>
          <cell r="G592"/>
          <cell r="H592">
            <v>1.8666666661999997E-4</v>
          </cell>
          <cell r="I592">
            <v>1.1509999999999999E-2</v>
          </cell>
          <cell r="J592"/>
          <cell r="K592">
            <v>43651583.224016666</v>
          </cell>
          <cell r="L592"/>
          <cell r="M592"/>
          <cell r="N592"/>
          <cell r="O592"/>
          <cell r="P592"/>
          <cell r="Q592">
            <v>5.6644380000000001E-5</v>
          </cell>
          <cell r="R592">
            <v>5.3483578746909358E-7</v>
          </cell>
          <cell r="S592">
            <v>5.9426198607677063E-8</v>
          </cell>
          <cell r="T592">
            <v>2.6741789373454679E-7</v>
          </cell>
          <cell r="U592"/>
          <cell r="V592"/>
          <cell r="W592">
            <v>30000</v>
          </cell>
          <cell r="X592">
            <v>0.33333333333333331</v>
          </cell>
          <cell r="Y592">
            <v>0.33333333333333331</v>
          </cell>
          <cell r="Z592">
            <v>0.33333333333333331</v>
          </cell>
          <cell r="AA592"/>
        </row>
        <row r="593">
          <cell r="A593">
            <v>586</v>
          </cell>
          <cell r="B593" t="str">
            <v>LITHOCHOLIC ACID</v>
          </cell>
          <cell r="C593" t="str">
            <v>434-13-9</v>
          </cell>
          <cell r="D593" t="str">
            <v>Acid</v>
          </cell>
          <cell r="E593">
            <v>4.75</v>
          </cell>
          <cell r="F593">
            <v>376.58</v>
          </cell>
          <cell r="G593"/>
          <cell r="H593">
            <v>3.6933333324099997E-9</v>
          </cell>
          <cell r="I593">
            <v>0.377</v>
          </cell>
          <cell r="J593"/>
          <cell r="K593">
            <v>1548816.6189124861</v>
          </cell>
          <cell r="L593"/>
          <cell r="M593"/>
          <cell r="N593"/>
          <cell r="O593"/>
          <cell r="P593"/>
          <cell r="Q593">
            <v>3.2846475000000003E-5</v>
          </cell>
          <cell r="R593">
            <v>2.1393431498763744E-7</v>
          </cell>
          <cell r="S593">
            <v>2.3770479443070826E-8</v>
          </cell>
          <cell r="T593">
            <v>1.0696715749381872E-7</v>
          </cell>
          <cell r="U593"/>
          <cell r="V593"/>
          <cell r="W593">
            <v>30000</v>
          </cell>
          <cell r="X593">
            <v>0.33333333333333331</v>
          </cell>
          <cell r="Y593">
            <v>0.33333333333333331</v>
          </cell>
          <cell r="Z593">
            <v>0.33333333333333331</v>
          </cell>
          <cell r="AA593"/>
        </row>
        <row r="594">
          <cell r="A594">
            <v>587</v>
          </cell>
          <cell r="B594" t="str">
            <v>Butanoic acid, 3,3-dimethyl-</v>
          </cell>
          <cell r="C594" t="str">
            <v>1070-83-3</v>
          </cell>
          <cell r="D594" t="str">
            <v>Acid</v>
          </cell>
          <cell r="E594">
            <v>4.75</v>
          </cell>
          <cell r="F594">
            <v>116.16</v>
          </cell>
          <cell r="G594"/>
          <cell r="H594">
            <v>78.933333313599988</v>
          </cell>
          <cell r="I594">
            <v>5670</v>
          </cell>
          <cell r="J594"/>
          <cell r="K594">
            <v>87.096358995608071</v>
          </cell>
          <cell r="L594"/>
          <cell r="M594"/>
          <cell r="N594"/>
          <cell r="O594"/>
          <cell r="P594"/>
          <cell r="Q594">
            <v>1.4125950000000001E-6</v>
          </cell>
          <cell r="R594">
            <v>5.3483578746909358E-7</v>
          </cell>
          <cell r="S594">
            <v>5.9426198607677063E-8</v>
          </cell>
          <cell r="T594">
            <v>2.6741789373454679E-7</v>
          </cell>
          <cell r="U594"/>
          <cell r="V594"/>
          <cell r="W594">
            <v>30000</v>
          </cell>
          <cell r="X594">
            <v>0.33333333333333331</v>
          </cell>
          <cell r="Y594">
            <v>0.33333333333333331</v>
          </cell>
          <cell r="Z594">
            <v>0.33333333333333331</v>
          </cell>
          <cell r="AA594"/>
        </row>
        <row r="595">
          <cell r="A595">
            <v>588</v>
          </cell>
          <cell r="B595" t="str">
            <v>INDOLE-3-ACETIC ACID</v>
          </cell>
          <cell r="C595" t="str">
            <v>87-51-4</v>
          </cell>
          <cell r="D595" t="str">
            <v>Acid</v>
          </cell>
          <cell r="E595">
            <v>4.75</v>
          </cell>
          <cell r="F595">
            <v>175.19</v>
          </cell>
          <cell r="G595"/>
          <cell r="H595">
            <v>2.7999999992999998E-4</v>
          </cell>
          <cell r="I595">
            <v>1500</v>
          </cell>
          <cell r="J595"/>
          <cell r="K595">
            <v>25.703957827688647</v>
          </cell>
          <cell r="L595"/>
          <cell r="M595"/>
          <cell r="N595"/>
          <cell r="O595"/>
          <cell r="P595"/>
          <cell r="Q595">
            <v>1.5091537499999999E-4</v>
          </cell>
          <cell r="R595">
            <v>5.3483578746909358E-7</v>
          </cell>
          <cell r="S595">
            <v>5.9426198607677063E-8</v>
          </cell>
          <cell r="T595">
            <v>2.6741789373454679E-7</v>
          </cell>
          <cell r="U595"/>
          <cell r="V595"/>
          <cell r="W595">
            <v>30000</v>
          </cell>
          <cell r="X595">
            <v>0.33333333333333331</v>
          </cell>
          <cell r="Y595">
            <v>0.33333333333333331</v>
          </cell>
          <cell r="Z595">
            <v>0.33333333333333331</v>
          </cell>
          <cell r="AA595"/>
        </row>
        <row r="596">
          <cell r="A596">
            <v>589</v>
          </cell>
          <cell r="B596" t="str">
            <v>PALUSTRIC ACID</v>
          </cell>
          <cell r="C596" t="str">
            <v>1945-53-5</v>
          </cell>
          <cell r="D596" t="str">
            <v>Acid</v>
          </cell>
          <cell r="E596">
            <v>4.75</v>
          </cell>
          <cell r="F596">
            <v>302.45999999999998</v>
          </cell>
          <cell r="G596"/>
          <cell r="H596">
            <v>4.7333333321499995E-5</v>
          </cell>
          <cell r="I596">
            <v>1.8079999999999999E-2</v>
          </cell>
          <cell r="J596"/>
          <cell r="K596">
            <v>18620871.366628703</v>
          </cell>
          <cell r="L596"/>
          <cell r="M596"/>
          <cell r="N596"/>
          <cell r="O596"/>
          <cell r="P596"/>
          <cell r="Q596">
            <v>2.2562839500000001E-4</v>
          </cell>
          <cell r="R596">
            <v>2.1393431498763744E-7</v>
          </cell>
          <cell r="S596">
            <v>2.3770479443070826E-8</v>
          </cell>
          <cell r="T596">
            <v>1.0696715749381872E-7</v>
          </cell>
          <cell r="U596"/>
          <cell r="V596"/>
          <cell r="W596">
            <v>30000</v>
          </cell>
          <cell r="X596">
            <v>0.33333333333333331</v>
          </cell>
          <cell r="Y596">
            <v>0.33333333333333331</v>
          </cell>
          <cell r="Z596">
            <v>0.33333333333333331</v>
          </cell>
          <cell r="AA596"/>
        </row>
        <row r="597">
          <cell r="A597">
            <v>590</v>
          </cell>
          <cell r="B597" t="str">
            <v>Endrocide (Endox) (Coumatetralyl)</v>
          </cell>
          <cell r="C597" t="str">
            <v>5836-29-3</v>
          </cell>
          <cell r="D597" t="str">
            <v>Acid</v>
          </cell>
          <cell r="E597">
            <v>4.75</v>
          </cell>
          <cell r="F597">
            <v>292.33999999999997</v>
          </cell>
          <cell r="G597"/>
          <cell r="H597">
            <v>8.5066666645400006E-9</v>
          </cell>
          <cell r="I597">
            <v>4</v>
          </cell>
          <cell r="J597"/>
          <cell r="K597">
            <v>16982.436524617482</v>
          </cell>
          <cell r="L597"/>
          <cell r="M597"/>
          <cell r="N597"/>
          <cell r="O597"/>
          <cell r="P597"/>
          <cell r="Q597">
            <v>3.9541605000000001E-5</v>
          </cell>
          <cell r="R597">
            <v>2.1393431498763744E-7</v>
          </cell>
          <cell r="S597">
            <v>2.3770479443070826E-8</v>
          </cell>
          <cell r="T597">
            <v>9.0140863056588808E-8</v>
          </cell>
          <cell r="U597"/>
          <cell r="V597"/>
          <cell r="W597">
            <v>30000</v>
          </cell>
          <cell r="X597">
            <v>0.33333333333333331</v>
          </cell>
          <cell r="Y597">
            <v>0.33333333333333331</v>
          </cell>
          <cell r="Z597">
            <v>0.33333333333333331</v>
          </cell>
          <cell r="AA597"/>
        </row>
        <row r="598">
          <cell r="A598">
            <v>591</v>
          </cell>
          <cell r="B598" t="str">
            <v>4-PHENYLBUTYRIC ACID</v>
          </cell>
          <cell r="C598" t="str">
            <v>1821-12-1</v>
          </cell>
          <cell r="D598" t="str">
            <v>Acid</v>
          </cell>
          <cell r="E598">
            <v>4.76</v>
          </cell>
          <cell r="F598">
            <v>164.21</v>
          </cell>
          <cell r="G598"/>
          <cell r="H598">
            <v>0.24933333327099996</v>
          </cell>
          <cell r="I598">
            <v>1394</v>
          </cell>
          <cell r="J598"/>
          <cell r="K598">
            <v>263.02679918953817</v>
          </cell>
          <cell r="L598"/>
          <cell r="M598"/>
          <cell r="N598"/>
          <cell r="O598"/>
          <cell r="P598"/>
          <cell r="Q598">
            <v>6.5914124999999993E-6</v>
          </cell>
          <cell r="R598">
            <v>5.3483578746909358E-7</v>
          </cell>
          <cell r="S598">
            <v>5.9426198607677063E-8</v>
          </cell>
          <cell r="T598">
            <v>2.6741789373454679E-7</v>
          </cell>
          <cell r="U598"/>
          <cell r="V598"/>
          <cell r="W598">
            <v>30000</v>
          </cell>
          <cell r="X598">
            <v>0.33333333333333331</v>
          </cell>
          <cell r="Y598">
            <v>0.33333333333333331</v>
          </cell>
          <cell r="Z598">
            <v>0.33333333333333331</v>
          </cell>
          <cell r="AA598"/>
        </row>
        <row r="599">
          <cell r="A599">
            <v>592</v>
          </cell>
          <cell r="B599" t="str">
            <v>ACETIC ACID</v>
          </cell>
          <cell r="C599" t="str">
            <v>64-19-7</v>
          </cell>
          <cell r="D599" t="str">
            <v>Acid</v>
          </cell>
          <cell r="E599">
            <v>4.76</v>
          </cell>
          <cell r="F599">
            <v>60.05</v>
          </cell>
          <cell r="G599"/>
          <cell r="H599">
            <v>2093.3333328099998</v>
          </cell>
          <cell r="I599">
            <v>1000000</v>
          </cell>
          <cell r="J599"/>
          <cell r="K599">
            <v>0.67608297539198181</v>
          </cell>
          <cell r="L599"/>
          <cell r="M599"/>
          <cell r="N599"/>
          <cell r="O599"/>
          <cell r="P599"/>
          <cell r="Q599">
            <v>5.5499999999999998E-7</v>
          </cell>
          <cell r="R599">
            <v>9.2532143160742838E-7</v>
          </cell>
          <cell r="S599">
            <v>1.0281349240082538E-7</v>
          </cell>
          <cell r="T599">
            <v>6.6854473433636709E-6</v>
          </cell>
          <cell r="U599"/>
          <cell r="V599"/>
          <cell r="W599">
            <v>30000</v>
          </cell>
          <cell r="X599">
            <v>0.33333333333333331</v>
          </cell>
          <cell r="Y599">
            <v>0.33333333333333331</v>
          </cell>
          <cell r="Z599">
            <v>0.33333333333333331</v>
          </cell>
          <cell r="AA599"/>
        </row>
        <row r="600">
          <cell r="A600">
            <v>593</v>
          </cell>
          <cell r="B600" t="str">
            <v>ISOVALERIC ACID</v>
          </cell>
          <cell r="C600" t="str">
            <v>503-74-2</v>
          </cell>
          <cell r="D600" t="str">
            <v>Acid</v>
          </cell>
          <cell r="E600">
            <v>4.7699999999999996</v>
          </cell>
          <cell r="F600">
            <v>102.13</v>
          </cell>
          <cell r="G600"/>
          <cell r="H600">
            <v>58.666666651999996</v>
          </cell>
          <cell r="I600">
            <v>40700</v>
          </cell>
          <cell r="J600"/>
          <cell r="K600">
            <v>14.454397707459275</v>
          </cell>
          <cell r="L600"/>
          <cell r="M600"/>
          <cell r="N600"/>
          <cell r="O600"/>
          <cell r="P600"/>
          <cell r="Q600">
            <v>3.0767849999999997E-6</v>
          </cell>
          <cell r="R600">
            <v>9.2532143160742838E-7</v>
          </cell>
          <cell r="S600">
            <v>1.0281349240082538E-7</v>
          </cell>
          <cell r="T600">
            <v>4.6266071580371419E-7</v>
          </cell>
          <cell r="U600"/>
          <cell r="V600"/>
          <cell r="W600">
            <v>30000</v>
          </cell>
          <cell r="X600">
            <v>0.33333333333333331</v>
          </cell>
          <cell r="Y600">
            <v>0.33333333333333331</v>
          </cell>
          <cell r="Z600">
            <v>0.33333333333333331</v>
          </cell>
          <cell r="AA600"/>
        </row>
        <row r="601">
          <cell r="A601">
            <v>594</v>
          </cell>
          <cell r="B601" t="str">
            <v>Abietic acid</v>
          </cell>
          <cell r="C601" t="str">
            <v>514-10-3</v>
          </cell>
          <cell r="D601" t="str">
            <v>Acid</v>
          </cell>
          <cell r="E601">
            <v>4.7699999999999996</v>
          </cell>
          <cell r="F601">
            <v>302.45999999999998</v>
          </cell>
          <cell r="G601"/>
          <cell r="H601">
            <v>4.2533333322699995E-5</v>
          </cell>
          <cell r="I601">
            <v>48.4</v>
          </cell>
          <cell r="J601"/>
          <cell r="K601">
            <v>2884031.5031266073</v>
          </cell>
          <cell r="L601"/>
          <cell r="M601"/>
          <cell r="N601"/>
          <cell r="O601"/>
          <cell r="P601"/>
          <cell r="Q601">
            <v>2.0821803750000002E-4</v>
          </cell>
          <cell r="R601">
            <v>2.1393431498763744E-7</v>
          </cell>
          <cell r="S601">
            <v>2.3770479443070826E-8</v>
          </cell>
          <cell r="T601">
            <v>1.0696715749381872E-7</v>
          </cell>
          <cell r="U601"/>
          <cell r="V601"/>
          <cell r="W601">
            <v>30000</v>
          </cell>
          <cell r="X601">
            <v>0.33333333333333331</v>
          </cell>
          <cell r="Y601">
            <v>0.33333333333333331</v>
          </cell>
          <cell r="Z601">
            <v>0.33333333333333331</v>
          </cell>
          <cell r="AA601"/>
        </row>
        <row r="602">
          <cell r="A602">
            <v>595</v>
          </cell>
          <cell r="B602" t="str">
            <v>PENTANOIC ACID, 2-METHYL-</v>
          </cell>
          <cell r="C602" t="str">
            <v>97-61-0</v>
          </cell>
          <cell r="D602" t="str">
            <v>Acid</v>
          </cell>
          <cell r="E602">
            <v>4.79</v>
          </cell>
          <cell r="F602">
            <v>116.16</v>
          </cell>
          <cell r="G602"/>
          <cell r="H602">
            <v>57.199999985699996</v>
          </cell>
          <cell r="I602">
            <v>15000</v>
          </cell>
          <cell r="J602"/>
          <cell r="K602">
            <v>63.095734448019364</v>
          </cell>
          <cell r="L602"/>
          <cell r="M602"/>
          <cell r="N602"/>
          <cell r="O602"/>
          <cell r="P602"/>
          <cell r="Q602">
            <v>3.9045600000000004E-6</v>
          </cell>
          <cell r="R602">
            <v>9.2532143160742838E-7</v>
          </cell>
          <cell r="S602">
            <v>1.0281349240082538E-7</v>
          </cell>
          <cell r="T602">
            <v>4.6266071580371419E-7</v>
          </cell>
          <cell r="U602"/>
          <cell r="V602"/>
          <cell r="W602">
            <v>30000</v>
          </cell>
          <cell r="X602">
            <v>0.33333333333333331</v>
          </cell>
          <cell r="Y602">
            <v>0.33333333333333331</v>
          </cell>
          <cell r="Z602">
            <v>0.33333333333333331</v>
          </cell>
          <cell r="AA602"/>
        </row>
        <row r="603">
          <cell r="A603">
            <v>596</v>
          </cell>
          <cell r="B603" t="str">
            <v>Isopimaric Acid</v>
          </cell>
          <cell r="C603" t="str">
            <v>5835-26-7</v>
          </cell>
          <cell r="D603" t="str">
            <v>Acid</v>
          </cell>
          <cell r="E603">
            <v>4.8</v>
          </cell>
          <cell r="F603">
            <v>302.45999999999998</v>
          </cell>
          <cell r="G603"/>
          <cell r="H603">
            <v>7.5333333314499989E-5</v>
          </cell>
          <cell r="I603">
            <v>9.2319999999999999E-2</v>
          </cell>
          <cell r="J603"/>
          <cell r="K603">
            <v>2818382.9312644606</v>
          </cell>
          <cell r="L603"/>
          <cell r="M603"/>
          <cell r="N603"/>
          <cell r="O603"/>
          <cell r="P603"/>
          <cell r="Q603">
            <v>9.7597364999999999E-5</v>
          </cell>
          <cell r="R603">
            <v>2.1393431498763744E-7</v>
          </cell>
          <cell r="S603">
            <v>2.3770479443070826E-8</v>
          </cell>
          <cell r="T603">
            <v>1.0696715749381872E-7</v>
          </cell>
          <cell r="U603"/>
          <cell r="V603"/>
          <cell r="W603">
            <v>30000</v>
          </cell>
          <cell r="X603">
            <v>0.33333333333333331</v>
          </cell>
          <cell r="Y603">
            <v>0.33333333333333331</v>
          </cell>
          <cell r="Z603">
            <v>0.33333333333333331</v>
          </cell>
          <cell r="AA603"/>
        </row>
        <row r="604">
          <cell r="A604">
            <v>597</v>
          </cell>
          <cell r="B604" t="str">
            <v>HEPTANOIC ACID</v>
          </cell>
          <cell r="C604" t="str">
            <v>111-14-8</v>
          </cell>
          <cell r="D604" t="str">
            <v>Acid</v>
          </cell>
          <cell r="E604">
            <v>4.8</v>
          </cell>
          <cell r="F604">
            <v>130.19</v>
          </cell>
          <cell r="G604"/>
          <cell r="H604">
            <v>1.4266666663099998</v>
          </cell>
          <cell r="I604">
            <v>2820</v>
          </cell>
          <cell r="J604"/>
          <cell r="K604">
            <v>263.02679918953817</v>
          </cell>
          <cell r="L604"/>
          <cell r="M604"/>
          <cell r="N604"/>
          <cell r="O604"/>
          <cell r="P604"/>
          <cell r="Q604">
            <v>5.2026449999999997E-6</v>
          </cell>
          <cell r="R604">
            <v>9.2532143160742838E-7</v>
          </cell>
          <cell r="S604">
            <v>1.0281349240082538E-7</v>
          </cell>
          <cell r="T604">
            <v>4.6266071580371419E-7</v>
          </cell>
          <cell r="U604"/>
          <cell r="V604"/>
          <cell r="W604">
            <v>30000</v>
          </cell>
          <cell r="X604">
            <v>0.33333333333333331</v>
          </cell>
          <cell r="Y604">
            <v>0.33333333333333331</v>
          </cell>
          <cell r="Z604">
            <v>0.33333333333333331</v>
          </cell>
          <cell r="AA604"/>
        </row>
        <row r="605">
          <cell r="A605">
            <v>598</v>
          </cell>
          <cell r="B605" t="str">
            <v>MANCOZEB</v>
          </cell>
          <cell r="C605" t="str">
            <v>2234-56-2</v>
          </cell>
          <cell r="D605" t="str">
            <v>Acid</v>
          </cell>
          <cell r="E605">
            <v>4.8099999999999996</v>
          </cell>
          <cell r="F605">
            <v>212.36</v>
          </cell>
          <cell r="G605"/>
          <cell r="H605">
            <v>9.9999999974999983E-6</v>
          </cell>
          <cell r="I605">
            <v>114000</v>
          </cell>
          <cell r="J605"/>
          <cell r="K605">
            <v>4.1686938347033546</v>
          </cell>
          <cell r="L605"/>
          <cell r="M605"/>
          <cell r="N605"/>
          <cell r="O605"/>
          <cell r="P605"/>
          <cell r="Q605">
            <v>1.5927604500000001E-4</v>
          </cell>
          <cell r="R605">
            <v>2.1393431498763744E-7</v>
          </cell>
          <cell r="S605">
            <v>2.3770479443070826E-8</v>
          </cell>
          <cell r="T605">
            <v>4.4569648955757796E-7</v>
          </cell>
          <cell r="U605"/>
          <cell r="V605"/>
          <cell r="W605">
            <v>30000</v>
          </cell>
          <cell r="X605">
            <v>0.33333333333333331</v>
          </cell>
          <cell r="Y605">
            <v>0.33333333333333331</v>
          </cell>
          <cell r="Z605">
            <v>0.33333333333333331</v>
          </cell>
          <cell r="AA605"/>
        </row>
        <row r="606">
          <cell r="A606">
            <v>599</v>
          </cell>
          <cell r="B606" t="str">
            <v>Butanoic acid, 2-methyl-, (,+-,)-</v>
          </cell>
          <cell r="C606" t="str">
            <v>600-07-7</v>
          </cell>
          <cell r="D606" t="str">
            <v>Acid</v>
          </cell>
          <cell r="E606">
            <v>4.8099999999999996</v>
          </cell>
          <cell r="F606">
            <v>102.13</v>
          </cell>
          <cell r="G606"/>
          <cell r="H606">
            <v>65.466666650299999</v>
          </cell>
          <cell r="I606">
            <v>45000</v>
          </cell>
          <cell r="J606"/>
          <cell r="K606">
            <v>15.135612484362087</v>
          </cell>
          <cell r="L606"/>
          <cell r="M606"/>
          <cell r="N606"/>
          <cell r="O606"/>
          <cell r="P606"/>
          <cell r="Q606">
            <v>2.8447725E-6</v>
          </cell>
          <cell r="R606">
            <v>9.2532143160742838E-7</v>
          </cell>
          <cell r="S606">
            <v>1.0281349240082538E-7</v>
          </cell>
          <cell r="T606">
            <v>4.6266071580371419E-7</v>
          </cell>
          <cell r="U606"/>
          <cell r="V606"/>
          <cell r="W606">
            <v>30000</v>
          </cell>
          <cell r="X606">
            <v>0.33333333333333331</v>
          </cell>
          <cell r="Y606">
            <v>0.33333333333333331</v>
          </cell>
          <cell r="Z606">
            <v>0.33333333333333331</v>
          </cell>
          <cell r="AA606"/>
        </row>
        <row r="607">
          <cell r="A607">
            <v>600</v>
          </cell>
          <cell r="B607" t="str">
            <v>BUTYRIC ACID</v>
          </cell>
          <cell r="C607" t="str">
            <v>107-92-6</v>
          </cell>
          <cell r="D607" t="str">
            <v>Acid</v>
          </cell>
          <cell r="E607">
            <v>4.82</v>
          </cell>
          <cell r="F607">
            <v>88.11</v>
          </cell>
          <cell r="G607"/>
          <cell r="H607">
            <v>219.99999994499998</v>
          </cell>
          <cell r="I607">
            <v>60000</v>
          </cell>
          <cell r="J607"/>
          <cell r="K607">
            <v>6.1659500186148231</v>
          </cell>
          <cell r="L607"/>
          <cell r="M607"/>
          <cell r="N607"/>
          <cell r="O607"/>
          <cell r="P607"/>
          <cell r="Q607">
            <v>1.7999999999999999E-6</v>
          </cell>
          <cell r="R607">
            <v>9.2532143160742838E-7</v>
          </cell>
          <cell r="S607">
            <v>1.0281349240082538E-7</v>
          </cell>
          <cell r="T607">
            <v>4.6266071580371419E-7</v>
          </cell>
          <cell r="U607"/>
          <cell r="V607"/>
          <cell r="W607">
            <v>30000</v>
          </cell>
          <cell r="X607">
            <v>0.33333333333333331</v>
          </cell>
          <cell r="Y607">
            <v>0.33333333333333331</v>
          </cell>
          <cell r="Z607">
            <v>0.33333333333333331</v>
          </cell>
          <cell r="AA607"/>
        </row>
        <row r="608">
          <cell r="A608">
            <v>601</v>
          </cell>
          <cell r="B608" t="str">
            <v>MCPB</v>
          </cell>
          <cell r="C608" t="str">
            <v>94-81-5</v>
          </cell>
          <cell r="D608" t="str">
            <v>Acid</v>
          </cell>
          <cell r="E608">
            <v>4.84</v>
          </cell>
          <cell r="F608">
            <v>228.68</v>
          </cell>
          <cell r="G608"/>
          <cell r="H608">
            <v>5.7733333318899999E-5</v>
          </cell>
          <cell r="I608">
            <v>48</v>
          </cell>
          <cell r="J608"/>
          <cell r="K608">
            <v>3162.2776601683804</v>
          </cell>
          <cell r="L608"/>
          <cell r="M608"/>
          <cell r="N608"/>
          <cell r="O608"/>
          <cell r="P608"/>
          <cell r="Q608">
            <v>1.5182182499999999E-5</v>
          </cell>
          <cell r="R608">
            <v>2.1393431498763744E-7</v>
          </cell>
          <cell r="S608">
            <v>2.3770479443070826E-8</v>
          </cell>
          <cell r="T608">
            <v>1.1460766874337719E-6</v>
          </cell>
          <cell r="U608"/>
          <cell r="V608"/>
          <cell r="W608">
            <v>30000</v>
          </cell>
          <cell r="X608">
            <v>0.33333333333333331</v>
          </cell>
          <cell r="Y608">
            <v>0.33333333333333331</v>
          </cell>
          <cell r="Z608">
            <v>0.33333333333333331</v>
          </cell>
          <cell r="AA608"/>
        </row>
        <row r="609">
          <cell r="A609">
            <v>602</v>
          </cell>
          <cell r="B609" t="str">
            <v>ISOBUTYRIC ACID</v>
          </cell>
          <cell r="C609" t="str">
            <v>79-31-2</v>
          </cell>
          <cell r="D609" t="str">
            <v>Acid</v>
          </cell>
          <cell r="E609">
            <v>4.84</v>
          </cell>
          <cell r="F609">
            <v>88.11</v>
          </cell>
          <cell r="G609"/>
          <cell r="H609">
            <v>241.33333327299999</v>
          </cell>
          <cell r="I609">
            <v>167000</v>
          </cell>
          <cell r="J609"/>
          <cell r="K609">
            <v>8.709635899560805</v>
          </cell>
          <cell r="L609"/>
          <cell r="M609"/>
          <cell r="N609"/>
          <cell r="O609"/>
          <cell r="P609"/>
          <cell r="Q609">
            <v>1.5E-6</v>
          </cell>
          <cell r="R609">
            <v>9.2532143160742838E-7</v>
          </cell>
          <cell r="S609">
            <v>1.0281349240082538E-7</v>
          </cell>
          <cell r="T609">
            <v>4.6266071580371419E-7</v>
          </cell>
          <cell r="U609"/>
          <cell r="V609"/>
          <cell r="W609">
            <v>30000</v>
          </cell>
          <cell r="X609">
            <v>0.33333333333333331</v>
          </cell>
          <cell r="Y609">
            <v>0.33333333333333331</v>
          </cell>
          <cell r="Z609">
            <v>0.33333333333333331</v>
          </cell>
          <cell r="AA609"/>
        </row>
        <row r="610">
          <cell r="A610">
            <v>603</v>
          </cell>
          <cell r="B610" t="str">
            <v>4-METHYLPENTANOIC ACID</v>
          </cell>
          <cell r="C610" t="str">
            <v>646-07-1</v>
          </cell>
          <cell r="D610" t="str">
            <v>Acid</v>
          </cell>
          <cell r="E610">
            <v>4.84</v>
          </cell>
          <cell r="F610">
            <v>116.16</v>
          </cell>
          <cell r="G610"/>
          <cell r="H610">
            <v>46.933333321599996</v>
          </cell>
          <cell r="I610">
            <v>5266</v>
          </cell>
          <cell r="J610"/>
          <cell r="K610">
            <v>95.499258602143655</v>
          </cell>
          <cell r="L610"/>
          <cell r="M610"/>
          <cell r="N610"/>
          <cell r="O610"/>
          <cell r="P610"/>
          <cell r="Q610">
            <v>4.1365649999999996E-6</v>
          </cell>
          <cell r="R610">
            <v>9.2532143160742838E-7</v>
          </cell>
          <cell r="S610">
            <v>1.0281349240082538E-7</v>
          </cell>
          <cell r="T610">
            <v>4.6266071580371419E-7</v>
          </cell>
          <cell r="U610"/>
          <cell r="V610"/>
          <cell r="W610">
            <v>30000</v>
          </cell>
          <cell r="X610">
            <v>0.33333333333333331</v>
          </cell>
          <cell r="Y610">
            <v>0.33333333333333331</v>
          </cell>
          <cell r="Z610">
            <v>0.33333333333333331</v>
          </cell>
          <cell r="AA610"/>
        </row>
        <row r="611">
          <cell r="A611">
            <v>604</v>
          </cell>
          <cell r="B611" t="str">
            <v>hexanoic acid</v>
          </cell>
          <cell r="C611" t="str">
            <v>142-62-1</v>
          </cell>
          <cell r="D611" t="str">
            <v>Acid</v>
          </cell>
          <cell r="E611">
            <v>4.88</v>
          </cell>
          <cell r="F611">
            <v>116.16</v>
          </cell>
          <cell r="G611"/>
          <cell r="H611">
            <v>5.7999999985499997</v>
          </cell>
          <cell r="I611">
            <v>10300</v>
          </cell>
          <cell r="J611"/>
          <cell r="K611">
            <v>83.176377110267126</v>
          </cell>
          <cell r="L611"/>
          <cell r="M611"/>
          <cell r="N611"/>
          <cell r="O611"/>
          <cell r="P611"/>
          <cell r="Q611">
            <v>4.1428575000000002E-6</v>
          </cell>
          <cell r="R611">
            <v>9.2532143160742838E-7</v>
          </cell>
          <cell r="S611">
            <v>1.0281349240082538E-7</v>
          </cell>
          <cell r="T611">
            <v>4.6266071580371419E-7</v>
          </cell>
          <cell r="U611"/>
          <cell r="V611"/>
          <cell r="W611">
            <v>30000</v>
          </cell>
          <cell r="X611">
            <v>0.33333333333333331</v>
          </cell>
          <cell r="Y611">
            <v>0.33333333333333331</v>
          </cell>
          <cell r="Z611">
            <v>0.33333333333333331</v>
          </cell>
          <cell r="AA611"/>
        </row>
        <row r="612">
          <cell r="A612">
            <v>605</v>
          </cell>
          <cell r="B612" t="str">
            <v>5-PHENYLPENTANOIC ACID</v>
          </cell>
          <cell r="C612" t="str">
            <v>2270-20-4</v>
          </cell>
          <cell r="D612" t="str">
            <v>Acid</v>
          </cell>
          <cell r="E612">
            <v>4.88</v>
          </cell>
          <cell r="F612">
            <v>178.23</v>
          </cell>
          <cell r="G612"/>
          <cell r="H612">
            <v>6.7333333316500002E-2</v>
          </cell>
          <cell r="I612">
            <v>610</v>
          </cell>
          <cell r="J612"/>
          <cell r="K612">
            <v>870.96358995608091</v>
          </cell>
          <cell r="L612"/>
          <cell r="M612"/>
          <cell r="N612"/>
          <cell r="O612"/>
          <cell r="P612"/>
          <cell r="Q612">
            <v>7.6512000000000005E-6</v>
          </cell>
          <cell r="R612">
            <v>5.3483578746909358E-7</v>
          </cell>
          <cell r="S612">
            <v>5.9426198607677063E-8</v>
          </cell>
          <cell r="T612">
            <v>2.6741789373454679E-7</v>
          </cell>
          <cell r="U612"/>
          <cell r="V612"/>
          <cell r="W612">
            <v>30000</v>
          </cell>
          <cell r="X612">
            <v>0.33333333333333331</v>
          </cell>
          <cell r="Y612">
            <v>0.33333333333333331</v>
          </cell>
          <cell r="Z612">
            <v>0.33333333333333331</v>
          </cell>
          <cell r="AA612"/>
        </row>
        <row r="613">
          <cell r="A613">
            <v>606</v>
          </cell>
          <cell r="B613" t="str">
            <v>OCTANOIC ACID</v>
          </cell>
          <cell r="C613" t="str">
            <v>124-07-2</v>
          </cell>
          <cell r="D613" t="str">
            <v>Acid</v>
          </cell>
          <cell r="E613">
            <v>4.8899999999999997</v>
          </cell>
          <cell r="F613">
            <v>144.22</v>
          </cell>
          <cell r="G613"/>
          <cell r="H613">
            <v>0.49466666654300001</v>
          </cell>
          <cell r="I613">
            <v>789</v>
          </cell>
          <cell r="J613"/>
          <cell r="K613">
            <v>1122.0184543019636</v>
          </cell>
          <cell r="L613"/>
          <cell r="M613"/>
          <cell r="N613"/>
          <cell r="O613"/>
          <cell r="P613"/>
          <cell r="Q613">
            <v>6.2624325000000001E-6</v>
          </cell>
          <cell r="R613">
            <v>9.2532143160742838E-7</v>
          </cell>
          <cell r="S613">
            <v>1.0281349240082538E-7</v>
          </cell>
          <cell r="T613">
            <v>4.6266071580371419E-7</v>
          </cell>
          <cell r="U613"/>
          <cell r="V613"/>
          <cell r="W613">
            <v>30000</v>
          </cell>
          <cell r="X613">
            <v>0.33333333333333331</v>
          </cell>
          <cell r="Y613">
            <v>0.33333333333333331</v>
          </cell>
          <cell r="Z613">
            <v>0.33333333333333331</v>
          </cell>
          <cell r="AA613"/>
        </row>
        <row r="614">
          <cell r="A614">
            <v>607</v>
          </cell>
          <cell r="B614" t="str">
            <v>IBUPROFEN</v>
          </cell>
          <cell r="C614" t="str">
            <v>15687-27-1</v>
          </cell>
          <cell r="D614" t="str">
            <v>Acid</v>
          </cell>
          <cell r="E614">
            <v>4.91</v>
          </cell>
          <cell r="F614">
            <v>206.29</v>
          </cell>
          <cell r="G614"/>
          <cell r="H614">
            <v>2.4799999993799997E-2</v>
          </cell>
          <cell r="I614">
            <v>21</v>
          </cell>
          <cell r="J614"/>
          <cell r="K614">
            <v>9332.5430079699217</v>
          </cell>
          <cell r="L614"/>
          <cell r="M614"/>
          <cell r="N614"/>
          <cell r="O614"/>
          <cell r="P614"/>
          <cell r="Q614">
            <v>8.8817100000000007E-6</v>
          </cell>
          <cell r="R614">
            <v>5.3483578746909358E-7</v>
          </cell>
          <cell r="S614">
            <v>5.9426198607677063E-8</v>
          </cell>
          <cell r="T614">
            <v>2.6741789373454679E-7</v>
          </cell>
          <cell r="U614"/>
          <cell r="V614"/>
          <cell r="W614">
            <v>30000</v>
          </cell>
          <cell r="X614">
            <v>0.33333333333333331</v>
          </cell>
          <cell r="Y614">
            <v>0.33333333333333331</v>
          </cell>
          <cell r="Z614">
            <v>0.33333333333333331</v>
          </cell>
          <cell r="AA614"/>
        </row>
        <row r="615">
          <cell r="A615">
            <v>608</v>
          </cell>
          <cell r="B615" t="str">
            <v>NONANOIC ACID</v>
          </cell>
          <cell r="C615" t="str">
            <v>112-05-0</v>
          </cell>
          <cell r="D615" t="str">
            <v>Acid</v>
          </cell>
          <cell r="E615">
            <v>4.95</v>
          </cell>
          <cell r="F615">
            <v>158.24</v>
          </cell>
          <cell r="G615"/>
          <cell r="H615">
            <v>0.219999999945</v>
          </cell>
          <cell r="I615">
            <v>284</v>
          </cell>
          <cell r="J615"/>
          <cell r="K615">
            <v>2630.2679918953822</v>
          </cell>
          <cell r="L615"/>
          <cell r="M615"/>
          <cell r="N615"/>
          <cell r="O615"/>
          <cell r="P615"/>
          <cell r="Q615">
            <v>7.3222199999999997E-6</v>
          </cell>
          <cell r="R615">
            <v>9.2532143160742838E-7</v>
          </cell>
          <cell r="S615">
            <v>1.0281349240082538E-7</v>
          </cell>
          <cell r="T615">
            <v>4.6266071580371419E-7</v>
          </cell>
          <cell r="U615"/>
          <cell r="V615"/>
          <cell r="W615">
            <v>30000</v>
          </cell>
          <cell r="X615">
            <v>0.33333333333333331</v>
          </cell>
          <cell r="Y615">
            <v>0.33333333333333331</v>
          </cell>
          <cell r="Z615">
            <v>0.33333333333333331</v>
          </cell>
          <cell r="AA615"/>
        </row>
        <row r="616">
          <cell r="A616">
            <v>609</v>
          </cell>
          <cell r="B616" t="str">
            <v>Hexachloroprene</v>
          </cell>
          <cell r="C616" t="str">
            <v>70-30-4</v>
          </cell>
          <cell r="D616" t="str">
            <v>Acid</v>
          </cell>
          <cell r="E616">
            <v>4.95</v>
          </cell>
          <cell r="F616">
            <v>406.91</v>
          </cell>
          <cell r="G616"/>
          <cell r="H616">
            <v>1.1079999997229999E-8</v>
          </cell>
          <cell r="I616">
            <v>140</v>
          </cell>
          <cell r="J616"/>
          <cell r="K616">
            <v>34673685.045253254</v>
          </cell>
          <cell r="L616"/>
          <cell r="M616"/>
          <cell r="N616"/>
          <cell r="O616"/>
          <cell r="P616"/>
          <cell r="Q616">
            <v>1.6333875000000001E-6</v>
          </cell>
          <cell r="R616">
            <v>4.45696489557578E-8</v>
          </cell>
          <cell r="S616">
            <v>4.9521832173064224E-9</v>
          </cell>
          <cell r="T616">
            <v>2.22848244778789E-8</v>
          </cell>
          <cell r="U616"/>
          <cell r="V616"/>
          <cell r="W616">
            <v>30000</v>
          </cell>
          <cell r="X616">
            <v>0.33333333333333331</v>
          </cell>
          <cell r="Y616">
            <v>0.33333333333333331</v>
          </cell>
          <cell r="Z616">
            <v>0.33333333333333331</v>
          </cell>
          <cell r="AA616"/>
        </row>
        <row r="617">
          <cell r="A617">
            <v>610</v>
          </cell>
          <cell r="B617" t="str">
            <v>2,4-DICHLORO-6-NITROPHENOL</v>
          </cell>
          <cell r="C617" t="str">
            <v>609-89-2</v>
          </cell>
          <cell r="D617" t="str">
            <v>Acid</v>
          </cell>
          <cell r="E617">
            <v>4.96</v>
          </cell>
          <cell r="F617">
            <v>208</v>
          </cell>
          <cell r="G617"/>
          <cell r="H617">
            <v>4.9599999987599997E-3</v>
          </cell>
          <cell r="I617">
            <v>17</v>
          </cell>
          <cell r="J617"/>
          <cell r="K617">
            <v>1584.8931924611156</v>
          </cell>
          <cell r="L617"/>
          <cell r="M617"/>
          <cell r="N617"/>
          <cell r="O617"/>
          <cell r="P617"/>
          <cell r="Q617">
            <v>1.4852999999999999E-7</v>
          </cell>
          <cell r="R617">
            <v>1.3370894686727339E-7</v>
          </cell>
          <cell r="S617">
            <v>1.4856549651919266E-8</v>
          </cell>
          <cell r="T617">
            <v>6.6854473433636697E-8</v>
          </cell>
          <cell r="U617"/>
          <cell r="V617"/>
          <cell r="W617">
            <v>30000</v>
          </cell>
          <cell r="X617">
            <v>0.33333333333333331</v>
          </cell>
          <cell r="Y617">
            <v>0.33333333333333331</v>
          </cell>
          <cell r="Z617">
            <v>0.33333333333333331</v>
          </cell>
          <cell r="AA617"/>
        </row>
        <row r="618">
          <cell r="A618">
            <v>611</v>
          </cell>
          <cell r="B618" t="str">
            <v>2,2-DIMETHYL BUTYRIC ACID</v>
          </cell>
          <cell r="C618" t="str">
            <v>595-37-9</v>
          </cell>
          <cell r="D618" t="str">
            <v>Acid</v>
          </cell>
          <cell r="E618">
            <v>5.03</v>
          </cell>
          <cell r="F618">
            <v>116.16</v>
          </cell>
          <cell r="G618"/>
          <cell r="H618">
            <v>19.733333328399997</v>
          </cell>
          <cell r="I618">
            <v>6135</v>
          </cell>
          <cell r="J618"/>
          <cell r="K618">
            <v>79.432823472428197</v>
          </cell>
          <cell r="L618"/>
          <cell r="M618"/>
          <cell r="N618"/>
          <cell r="O618"/>
          <cell r="P618"/>
          <cell r="Q618">
            <v>1.627995E-6</v>
          </cell>
          <cell r="R618">
            <v>5.3483578746909358E-7</v>
          </cell>
          <cell r="S618">
            <v>5.9426198607677063E-8</v>
          </cell>
          <cell r="T618">
            <v>2.6741789373454679E-7</v>
          </cell>
          <cell r="U618"/>
          <cell r="V618"/>
          <cell r="W618">
            <v>30000</v>
          </cell>
          <cell r="X618">
            <v>0.33333333333333331</v>
          </cell>
          <cell r="Y618">
            <v>0.33333333333333331</v>
          </cell>
          <cell r="Z618">
            <v>0.33333333333333331</v>
          </cell>
          <cell r="AA618"/>
        </row>
        <row r="619">
          <cell r="A619">
            <v>612</v>
          </cell>
          <cell r="B619" t="str">
            <v>2-(1-Methylethyl)-4,6-dinitrophenol</v>
          </cell>
          <cell r="C619" t="str">
            <v>118-95-6</v>
          </cell>
          <cell r="D619" t="str">
            <v>Acid</v>
          </cell>
          <cell r="E619">
            <v>5.13</v>
          </cell>
          <cell r="F619">
            <v>226.19</v>
          </cell>
          <cell r="G619"/>
          <cell r="H619">
            <v>2.21333333278E-4</v>
          </cell>
          <cell r="I619">
            <v>71.849999999999994</v>
          </cell>
          <cell r="J619"/>
          <cell r="K619">
            <v>1258.925411794168</v>
          </cell>
          <cell r="L619"/>
          <cell r="M619"/>
          <cell r="N619"/>
          <cell r="O619"/>
          <cell r="P619"/>
          <cell r="Q619">
            <v>1.8291525000000001E-6</v>
          </cell>
          <cell r="R619">
            <v>2.1393431498763744E-7</v>
          </cell>
          <cell r="S619">
            <v>2.3770479443070826E-8</v>
          </cell>
          <cell r="T619">
            <v>1.0696715749381872E-7</v>
          </cell>
          <cell r="U619"/>
          <cell r="V619"/>
          <cell r="W619">
            <v>30000</v>
          </cell>
          <cell r="X619">
            <v>0.33333333333333331</v>
          </cell>
          <cell r="Y619">
            <v>0.33333333333333331</v>
          </cell>
          <cell r="Z619">
            <v>0.33333333333333331</v>
          </cell>
          <cell r="AA619"/>
        </row>
        <row r="620">
          <cell r="A620">
            <v>613</v>
          </cell>
          <cell r="B620" t="str">
            <v>2,3,5,6-tetrachlorophenol</v>
          </cell>
          <cell r="C620" t="str">
            <v>935-95-5</v>
          </cell>
          <cell r="D620" t="str">
            <v>Acid</v>
          </cell>
          <cell r="E620">
            <v>5.14</v>
          </cell>
          <cell r="F620">
            <v>231.89</v>
          </cell>
          <cell r="G620"/>
          <cell r="H620">
            <v>2.2399999994399997E-2</v>
          </cell>
          <cell r="I620">
            <v>54.9</v>
          </cell>
          <cell r="J620"/>
          <cell r="K620">
            <v>7585.7757502918394</v>
          </cell>
          <cell r="L620"/>
          <cell r="M620"/>
          <cell r="N620"/>
          <cell r="O620"/>
          <cell r="P620"/>
          <cell r="Q620">
            <v>1.1594399999999999E-6</v>
          </cell>
          <cell r="R620">
            <v>1.3370894686727339E-7</v>
          </cell>
          <cell r="S620">
            <v>1.4856549651919266E-8</v>
          </cell>
          <cell r="T620">
            <v>6.6854473433636697E-8</v>
          </cell>
          <cell r="U620"/>
          <cell r="V620"/>
          <cell r="W620">
            <v>30000</v>
          </cell>
          <cell r="X620">
            <v>0.33333333333333331</v>
          </cell>
          <cell r="Y620">
            <v>0.33333333333333331</v>
          </cell>
          <cell r="Z620">
            <v>0.33333333333333331</v>
          </cell>
          <cell r="AA620"/>
        </row>
        <row r="621">
          <cell r="A621">
            <v>614</v>
          </cell>
          <cell r="B621" t="str">
            <v>TETRACHLORO-1,2-BENZENEDIOL</v>
          </cell>
          <cell r="C621" t="str">
            <v>1198-55-6</v>
          </cell>
          <cell r="D621" t="str">
            <v>Acid</v>
          </cell>
          <cell r="E621">
            <v>5.2</v>
          </cell>
          <cell r="F621">
            <v>247.89</v>
          </cell>
          <cell r="G621"/>
          <cell r="H621">
            <v>5.5333333319499995E-4</v>
          </cell>
          <cell r="I621">
            <v>2.7</v>
          </cell>
          <cell r="J621"/>
          <cell r="K621">
            <v>19498.445997580486</v>
          </cell>
          <cell r="L621"/>
          <cell r="M621"/>
          <cell r="N621"/>
          <cell r="O621"/>
          <cell r="P621"/>
          <cell r="Q621">
            <v>9.3590999999999997E-7</v>
          </cell>
          <cell r="R621">
            <v>1.3370894686727339E-7</v>
          </cell>
          <cell r="S621">
            <v>1.4856549651919266E-8</v>
          </cell>
          <cell r="T621">
            <v>6.6854473433636697E-8</v>
          </cell>
          <cell r="U621"/>
          <cell r="V621"/>
          <cell r="W621">
            <v>30000</v>
          </cell>
          <cell r="X621">
            <v>0.33333333333333331</v>
          </cell>
          <cell r="Y621">
            <v>0.33333333333333331</v>
          </cell>
          <cell r="Z621">
            <v>0.33333333333333331</v>
          </cell>
          <cell r="AA621"/>
        </row>
        <row r="622">
          <cell r="A622">
            <v>615</v>
          </cell>
          <cell r="B622" t="str">
            <v>TRIPHENYLTIN HYDROXIDE</v>
          </cell>
          <cell r="C622" t="str">
            <v>76-87-9</v>
          </cell>
          <cell r="D622" t="str">
            <v>Acid</v>
          </cell>
          <cell r="E622">
            <v>5.2</v>
          </cell>
          <cell r="F622">
            <v>367.04</v>
          </cell>
          <cell r="G622"/>
          <cell r="H622">
            <v>4.7066666654899998E-5</v>
          </cell>
          <cell r="I622">
            <v>0.4</v>
          </cell>
          <cell r="J622"/>
          <cell r="K622">
            <v>3388.4415613920255</v>
          </cell>
          <cell r="L622"/>
          <cell r="M622"/>
          <cell r="N622"/>
          <cell r="O622"/>
          <cell r="P622"/>
          <cell r="Q622">
            <v>4.4921475000000005E-6</v>
          </cell>
          <cell r="R622">
            <v>2.1393431498763744E-7</v>
          </cell>
          <cell r="S622">
            <v>2.3770479443070826E-8</v>
          </cell>
          <cell r="T622">
            <v>1.0696715749381872E-7</v>
          </cell>
          <cell r="U622"/>
          <cell r="V622"/>
          <cell r="W622">
            <v>30000</v>
          </cell>
          <cell r="X622">
            <v>0.33333333333333331</v>
          </cell>
          <cell r="Y622">
            <v>0.33333333333333331</v>
          </cell>
          <cell r="Z622">
            <v>0.33333333333333331</v>
          </cell>
          <cell r="AA622"/>
        </row>
        <row r="623">
          <cell r="A623">
            <v>616</v>
          </cell>
          <cell r="B623" t="str">
            <v>BENSULFURON-METHYL (PH7)</v>
          </cell>
          <cell r="C623" t="str">
            <v>83055-99-6</v>
          </cell>
          <cell r="D623" t="str">
            <v>Acid</v>
          </cell>
          <cell r="E623">
            <v>5.2</v>
          </cell>
          <cell r="F623">
            <v>410.4</v>
          </cell>
          <cell r="G623"/>
          <cell r="H623">
            <v>2.7999999992999998E-12</v>
          </cell>
          <cell r="I623">
            <v>120</v>
          </cell>
          <cell r="J623"/>
          <cell r="K623">
            <v>151.3561248436209</v>
          </cell>
          <cell r="L623"/>
          <cell r="M623"/>
          <cell r="N623"/>
          <cell r="O623"/>
          <cell r="P623"/>
          <cell r="Q623">
            <v>1.576215E-4</v>
          </cell>
          <cell r="R623">
            <v>2.1393431498763744E-7</v>
          </cell>
          <cell r="S623">
            <v>2.3770479443070826E-8</v>
          </cell>
          <cell r="T623">
            <v>9.7835814780931768E-7</v>
          </cell>
          <cell r="U623"/>
          <cell r="V623"/>
          <cell r="W623">
            <v>30000</v>
          </cell>
          <cell r="X623">
            <v>0.33333333333333331</v>
          </cell>
          <cell r="Y623">
            <v>0.33333333333333331</v>
          </cell>
          <cell r="Z623">
            <v>0.33333333333333331</v>
          </cell>
          <cell r="AA623"/>
        </row>
        <row r="624">
          <cell r="A624">
            <v>617</v>
          </cell>
          <cell r="B624" t="str">
            <v>2,5-DINITROPHENOL</v>
          </cell>
          <cell r="C624" t="str">
            <v>329-71-5</v>
          </cell>
          <cell r="D624" t="str">
            <v>Acid</v>
          </cell>
          <cell r="E624">
            <v>5.21</v>
          </cell>
          <cell r="F624">
            <v>184.11</v>
          </cell>
          <cell r="G624"/>
          <cell r="H624">
            <v>1.6266666662599998E-2</v>
          </cell>
          <cell r="I624">
            <v>385</v>
          </cell>
          <cell r="J624"/>
          <cell r="K624">
            <v>56.234132519034915</v>
          </cell>
          <cell r="L624"/>
          <cell r="M624"/>
          <cell r="N624"/>
          <cell r="O624"/>
          <cell r="P624"/>
          <cell r="Q624">
            <v>3.7796249999999999E-7</v>
          </cell>
          <cell r="R624">
            <v>2.1393431498763744E-7</v>
          </cell>
          <cell r="S624">
            <v>2.3770479443070826E-8</v>
          </cell>
          <cell r="T624">
            <v>1.0696715749381872E-7</v>
          </cell>
          <cell r="U624"/>
          <cell r="V624"/>
          <cell r="W624">
            <v>30000</v>
          </cell>
          <cell r="X624">
            <v>0.33333333333333331</v>
          </cell>
          <cell r="Y624">
            <v>0.33333333333333331</v>
          </cell>
          <cell r="Z624">
            <v>0.33333333333333331</v>
          </cell>
          <cell r="AA624"/>
        </row>
        <row r="625">
          <cell r="A625">
            <v>618</v>
          </cell>
          <cell r="B625" t="str">
            <v>TETRACHLOROPHENOLS</v>
          </cell>
          <cell r="C625" t="str">
            <v>25167-83-3</v>
          </cell>
          <cell r="D625" t="str">
            <v>Acid</v>
          </cell>
          <cell r="E625">
            <v>5.31</v>
          </cell>
          <cell r="F625">
            <v>231.89</v>
          </cell>
          <cell r="G625"/>
          <cell r="H625">
            <v>8.8799999977799998E-2</v>
          </cell>
          <cell r="I625">
            <v>23</v>
          </cell>
          <cell r="J625"/>
          <cell r="K625">
            <v>28183.829312644593</v>
          </cell>
          <cell r="L625"/>
          <cell r="M625"/>
          <cell r="N625"/>
          <cell r="O625"/>
          <cell r="P625"/>
          <cell r="Q625">
            <v>2.0732250000000002E-7</v>
          </cell>
          <cell r="R625">
            <v>1.3370894686727339E-7</v>
          </cell>
          <cell r="S625">
            <v>1.4856549651919266E-8</v>
          </cell>
          <cell r="T625">
            <v>6.6854473433636697E-8</v>
          </cell>
          <cell r="U625"/>
          <cell r="V625"/>
          <cell r="W625">
            <v>30000</v>
          </cell>
          <cell r="X625">
            <v>0.33333333333333331</v>
          </cell>
          <cell r="Y625">
            <v>0.33333333333333331</v>
          </cell>
          <cell r="Z625">
            <v>0.33333333333333331</v>
          </cell>
          <cell r="AA625"/>
        </row>
        <row r="626">
          <cell r="A626">
            <v>619</v>
          </cell>
          <cell r="B626" t="str">
            <v>PICOLINIC ACID</v>
          </cell>
          <cell r="C626" t="str">
            <v>98-98-6</v>
          </cell>
          <cell r="D626" t="str">
            <v>Acid</v>
          </cell>
          <cell r="E626">
            <v>5.39</v>
          </cell>
          <cell r="F626">
            <v>123.11</v>
          </cell>
          <cell r="G626"/>
          <cell r="H626">
            <v>0.181333333288</v>
          </cell>
          <cell r="I626">
            <v>960000</v>
          </cell>
          <cell r="J626"/>
          <cell r="K626">
            <v>5.2480746024977263</v>
          </cell>
          <cell r="L626"/>
          <cell r="M626"/>
          <cell r="N626"/>
          <cell r="O626"/>
          <cell r="P626"/>
          <cell r="Q626">
            <v>4.9275000000000007E-7</v>
          </cell>
          <cell r="R626">
            <v>5.3483578746909358E-7</v>
          </cell>
          <cell r="S626">
            <v>5.9426198607677063E-8</v>
          </cell>
          <cell r="T626">
            <v>2.6741789373454679E-7</v>
          </cell>
          <cell r="U626"/>
          <cell r="V626"/>
          <cell r="W626">
            <v>30000</v>
          </cell>
          <cell r="X626">
            <v>0.33333333333333331</v>
          </cell>
          <cell r="Y626">
            <v>0.33333333333333331</v>
          </cell>
          <cell r="Z626">
            <v>0.33333333333333331</v>
          </cell>
          <cell r="AA626"/>
        </row>
        <row r="627">
          <cell r="A627">
            <v>620</v>
          </cell>
          <cell r="B627" t="str">
            <v>6-CHLORO-2-NITROPHENOL</v>
          </cell>
          <cell r="C627" t="str">
            <v>603-86-1</v>
          </cell>
          <cell r="D627" t="str">
            <v>Acid</v>
          </cell>
          <cell r="E627">
            <v>5.48</v>
          </cell>
          <cell r="F627">
            <v>173.56</v>
          </cell>
          <cell r="G627"/>
          <cell r="H627">
            <v>3.9466666656799994E-2</v>
          </cell>
          <cell r="I627">
            <v>390.8</v>
          </cell>
          <cell r="J627"/>
          <cell r="K627">
            <v>354.81338923357566</v>
          </cell>
          <cell r="L627"/>
          <cell r="M627"/>
          <cell r="N627"/>
          <cell r="O627"/>
          <cell r="P627"/>
          <cell r="Q627">
            <v>1.0170975E-6</v>
          </cell>
          <cell r="R627">
            <v>2.1393431498763744E-7</v>
          </cell>
          <cell r="S627">
            <v>2.3770479443070826E-8</v>
          </cell>
          <cell r="T627">
            <v>1.0696715749381872E-7</v>
          </cell>
          <cell r="U627"/>
          <cell r="V627"/>
          <cell r="W627">
            <v>30000</v>
          </cell>
          <cell r="X627">
            <v>0.33333333333333331</v>
          </cell>
          <cell r="Y627">
            <v>0.33333333333333331</v>
          </cell>
          <cell r="Z627">
            <v>0.33333333333333331</v>
          </cell>
          <cell r="AA627"/>
        </row>
        <row r="628">
          <cell r="A628">
            <v>621</v>
          </cell>
          <cell r="B628" t="str">
            <v>Enrofloxacin</v>
          </cell>
          <cell r="C628" t="str">
            <v>93106-60-6</v>
          </cell>
          <cell r="D628" t="str">
            <v>Acid</v>
          </cell>
          <cell r="E628">
            <v>5.64</v>
          </cell>
          <cell r="F628">
            <v>359.4</v>
          </cell>
          <cell r="G628"/>
          <cell r="H628">
            <v>4.0799999989799998E-10</v>
          </cell>
          <cell r="I628">
            <v>3397</v>
          </cell>
          <cell r="J628"/>
          <cell r="K628">
            <v>5.0118723362727229</v>
          </cell>
          <cell r="L628"/>
          <cell r="M628"/>
          <cell r="N628"/>
          <cell r="O628"/>
          <cell r="P628"/>
          <cell r="Q628">
            <v>2.4382438500000002E-4</v>
          </cell>
          <cell r="R628">
            <v>4.45696489557578E-8</v>
          </cell>
          <cell r="S628">
            <v>4.9521832173064224E-9</v>
          </cell>
          <cell r="T628">
            <v>6.5223876520621167E-8</v>
          </cell>
          <cell r="U628"/>
          <cell r="V628"/>
          <cell r="W628">
            <v>30000</v>
          </cell>
          <cell r="X628">
            <v>0.33333333333333331</v>
          </cell>
          <cell r="Y628">
            <v>0.33333333333333331</v>
          </cell>
          <cell r="Z628">
            <v>0.33333333333333331</v>
          </cell>
          <cell r="AA628"/>
        </row>
        <row r="629">
          <cell r="A629">
            <v>622</v>
          </cell>
          <cell r="B629" t="str">
            <v>Chlorambucil</v>
          </cell>
          <cell r="C629" t="str">
            <v>305-03-3</v>
          </cell>
          <cell r="D629" t="str">
            <v>Acid</v>
          </cell>
          <cell r="E629">
            <v>5.75</v>
          </cell>
          <cell r="F629">
            <v>304.22000000000003</v>
          </cell>
          <cell r="G629"/>
          <cell r="H629">
            <v>1.241333333023E-4</v>
          </cell>
          <cell r="I629">
            <v>4.6109999999999998</v>
          </cell>
          <cell r="J629"/>
          <cell r="K629">
            <v>27542.287033381719</v>
          </cell>
          <cell r="L629"/>
          <cell r="M629"/>
          <cell r="N629"/>
          <cell r="O629"/>
          <cell r="P629"/>
          <cell r="Q629">
            <v>1.42215525E-4</v>
          </cell>
          <cell r="R629">
            <v>1.3370894686727339E-7</v>
          </cell>
          <cell r="S629">
            <v>1.4856549651919266E-8</v>
          </cell>
          <cell r="T629">
            <v>6.6854473433636697E-8</v>
          </cell>
          <cell r="U629"/>
          <cell r="V629"/>
          <cell r="W629">
            <v>30000</v>
          </cell>
          <cell r="X629">
            <v>0.33333333333333331</v>
          </cell>
          <cell r="Y629">
            <v>0.33333333333333331</v>
          </cell>
          <cell r="Z629">
            <v>0.33333333333333331</v>
          </cell>
          <cell r="AA629"/>
        </row>
        <row r="630">
          <cell r="A630">
            <v>623</v>
          </cell>
          <cell r="B630" t="str">
            <v>2,3,6-TRICHLOROPHENOL</v>
          </cell>
          <cell r="C630" t="str">
            <v>933-75-5</v>
          </cell>
          <cell r="D630" t="str">
            <v>Acid</v>
          </cell>
          <cell r="E630">
            <v>5.8</v>
          </cell>
          <cell r="F630">
            <v>197.45</v>
          </cell>
          <cell r="G630"/>
          <cell r="H630">
            <v>0.37333333323999995</v>
          </cell>
          <cell r="I630">
            <v>450</v>
          </cell>
          <cell r="J630"/>
          <cell r="K630">
            <v>5888.4365535558973</v>
          </cell>
          <cell r="L630"/>
          <cell r="M630"/>
          <cell r="N630"/>
          <cell r="O630"/>
          <cell r="P630"/>
          <cell r="Q630">
            <v>1.6039274999999998E-6</v>
          </cell>
          <cell r="R630">
            <v>1.3370894686727339E-7</v>
          </cell>
          <cell r="S630">
            <v>1.4856549651919266E-8</v>
          </cell>
          <cell r="T630">
            <v>6.6854473433636697E-8</v>
          </cell>
          <cell r="U630"/>
          <cell r="V630"/>
          <cell r="W630">
            <v>30000</v>
          </cell>
          <cell r="X630">
            <v>0.33333333333333331</v>
          </cell>
          <cell r="Y630">
            <v>0.33333333333333331</v>
          </cell>
          <cell r="Z630">
            <v>0.33333333333333331</v>
          </cell>
          <cell r="AA630"/>
        </row>
        <row r="631">
          <cell r="A631">
            <v>624</v>
          </cell>
          <cell r="B631" t="str">
            <v>tetrachloroguaiacol</v>
          </cell>
          <cell r="C631" t="str">
            <v>2539-17-5</v>
          </cell>
          <cell r="D631" t="str">
            <v>Acid</v>
          </cell>
          <cell r="E631">
            <v>5.98</v>
          </cell>
          <cell r="F631">
            <v>261.92</v>
          </cell>
          <cell r="G631"/>
          <cell r="H631">
            <v>1.1199999997199998E-2</v>
          </cell>
          <cell r="I631">
            <v>4.2</v>
          </cell>
          <cell r="J631"/>
          <cell r="K631">
            <v>38904.514499428085</v>
          </cell>
          <cell r="L631"/>
          <cell r="M631"/>
          <cell r="N631"/>
          <cell r="O631"/>
          <cell r="P631"/>
          <cell r="Q631">
            <v>1.6392975E-6</v>
          </cell>
          <cell r="R631">
            <v>1.3370894686727339E-7</v>
          </cell>
          <cell r="S631">
            <v>1.4856549651919266E-8</v>
          </cell>
          <cell r="T631">
            <v>6.6854473433636697E-8</v>
          </cell>
          <cell r="U631"/>
          <cell r="V631"/>
          <cell r="W631">
            <v>30000</v>
          </cell>
          <cell r="X631">
            <v>0.33333333333333331</v>
          </cell>
          <cell r="Y631">
            <v>0.33333333333333331</v>
          </cell>
          <cell r="Z631">
            <v>0.33333333333333331</v>
          </cell>
          <cell r="AA631"/>
        </row>
        <row r="632">
          <cell r="A632">
            <v>625</v>
          </cell>
          <cell r="B632" t="str">
            <v>3-TRIFLUOROMETHYL-4-NITROPHENOL</v>
          </cell>
          <cell r="C632" t="str">
            <v>88-30-2</v>
          </cell>
          <cell r="D632" t="str">
            <v>Acid</v>
          </cell>
          <cell r="E632">
            <v>6.07</v>
          </cell>
          <cell r="F632">
            <v>207.11</v>
          </cell>
          <cell r="G632"/>
          <cell r="H632">
            <v>0.19466666661799997</v>
          </cell>
          <cell r="I632">
            <v>5000</v>
          </cell>
          <cell r="J632"/>
          <cell r="K632">
            <v>741.31024130091828</v>
          </cell>
          <cell r="L632"/>
          <cell r="M632"/>
          <cell r="N632"/>
          <cell r="O632"/>
          <cell r="P632"/>
          <cell r="Q632">
            <v>5.7774000000000004E-7</v>
          </cell>
          <cell r="R632">
            <v>1.3370894686727339E-7</v>
          </cell>
          <cell r="S632">
            <v>1.4856549651919266E-8</v>
          </cell>
          <cell r="T632">
            <v>6.6854473433636697E-8</v>
          </cell>
          <cell r="U632"/>
          <cell r="V632"/>
          <cell r="W632">
            <v>30000</v>
          </cell>
          <cell r="X632">
            <v>0.33333333333333331</v>
          </cell>
          <cell r="Y632">
            <v>0.33333333333333331</v>
          </cell>
          <cell r="Z632">
            <v>0.33333333333333331</v>
          </cell>
          <cell r="AA632"/>
        </row>
        <row r="633">
          <cell r="A633">
            <v>626</v>
          </cell>
          <cell r="B633" t="str">
            <v>2,4,6-TRIIODOPHENOL</v>
          </cell>
          <cell r="C633" t="str">
            <v>609-23-4</v>
          </cell>
          <cell r="D633" t="str">
            <v>Acid</v>
          </cell>
          <cell r="E633">
            <v>6.14</v>
          </cell>
          <cell r="F633">
            <v>471.8</v>
          </cell>
          <cell r="G633"/>
          <cell r="H633">
            <v>6.5999999983499993E-5</v>
          </cell>
          <cell r="I633">
            <v>0.59160000000000001</v>
          </cell>
          <cell r="J633"/>
          <cell r="K633">
            <v>31622.77660168384</v>
          </cell>
          <cell r="L633"/>
          <cell r="M633"/>
          <cell r="N633"/>
          <cell r="O633"/>
          <cell r="P633"/>
          <cell r="Q633">
            <v>3.9354750000000001E-7</v>
          </cell>
          <cell r="R633">
            <v>1.3370894686727339E-7</v>
          </cell>
          <cell r="S633">
            <v>1.4856549651919266E-8</v>
          </cell>
          <cell r="T633">
            <v>6.6854473433636697E-8</v>
          </cell>
          <cell r="U633"/>
          <cell r="V633"/>
          <cell r="W633">
            <v>30000</v>
          </cell>
          <cell r="X633">
            <v>0.33333333333333331</v>
          </cell>
          <cell r="Y633">
            <v>0.33333333333333331</v>
          </cell>
          <cell r="Z633">
            <v>0.33333333333333331</v>
          </cell>
          <cell r="AA633"/>
        </row>
        <row r="634">
          <cell r="A634">
            <v>627</v>
          </cell>
          <cell r="B634" t="str">
            <v>2,4,6-trichlorophenol</v>
          </cell>
          <cell r="C634" t="str">
            <v>88-06-2</v>
          </cell>
          <cell r="D634" t="str">
            <v>Acid</v>
          </cell>
          <cell r="E634">
            <v>6.23</v>
          </cell>
          <cell r="F634">
            <v>197.45</v>
          </cell>
          <cell r="G634"/>
          <cell r="H634">
            <v>1.0666666664</v>
          </cell>
          <cell r="I634">
            <v>800</v>
          </cell>
          <cell r="J634"/>
          <cell r="K634">
            <v>4897.7881936844633</v>
          </cell>
          <cell r="L634"/>
          <cell r="M634"/>
          <cell r="N634"/>
          <cell r="O634"/>
          <cell r="P634"/>
          <cell r="Q634">
            <v>4.5546000000000003E-7</v>
          </cell>
          <cell r="R634">
            <v>1.3370894686727339E-7</v>
          </cell>
          <cell r="S634">
            <v>1.4856549651919266E-8</v>
          </cell>
          <cell r="T634">
            <v>6.6854473433636697E-8</v>
          </cell>
          <cell r="U634"/>
          <cell r="V634"/>
          <cell r="W634">
            <v>30000</v>
          </cell>
          <cell r="X634">
            <v>0.33333333333333331</v>
          </cell>
          <cell r="Y634">
            <v>0.33333333333333331</v>
          </cell>
          <cell r="Z634">
            <v>0.33333333333333331</v>
          </cell>
          <cell r="AA634"/>
        </row>
        <row r="635">
          <cell r="A635">
            <v>628</v>
          </cell>
          <cell r="B635" t="str">
            <v>TRICHLOROPHENOL</v>
          </cell>
          <cell r="C635" t="str">
            <v>25167-82-2</v>
          </cell>
          <cell r="D635" t="str">
            <v>Acid</v>
          </cell>
          <cell r="E635">
            <v>6.23</v>
          </cell>
          <cell r="F635">
            <v>197.45</v>
          </cell>
          <cell r="G635"/>
          <cell r="H635">
            <v>1.0666666664</v>
          </cell>
          <cell r="I635">
            <v>800</v>
          </cell>
          <cell r="J635"/>
          <cell r="K635">
            <v>4897.7881936844633</v>
          </cell>
          <cell r="L635"/>
          <cell r="M635"/>
          <cell r="N635"/>
          <cell r="O635"/>
          <cell r="P635"/>
          <cell r="Q635">
            <v>4.5546000000000003E-7</v>
          </cell>
          <cell r="R635">
            <v>1.3370894686727339E-7</v>
          </cell>
          <cell r="S635">
            <v>1.4856549651919266E-8</v>
          </cell>
          <cell r="T635">
            <v>6.6854473433636697E-8</v>
          </cell>
          <cell r="U635"/>
          <cell r="V635"/>
          <cell r="W635">
            <v>30000</v>
          </cell>
          <cell r="X635">
            <v>0.33333333333333331</v>
          </cell>
          <cell r="Y635">
            <v>0.33333333333333331</v>
          </cell>
          <cell r="Z635">
            <v>0.33333333333333331</v>
          </cell>
          <cell r="AA635"/>
        </row>
        <row r="636">
          <cell r="A636">
            <v>629</v>
          </cell>
          <cell r="B636" t="str">
            <v>3,4,5-TRICHLOROCATECHOL</v>
          </cell>
          <cell r="C636" t="str">
            <v>56961-20-7</v>
          </cell>
          <cell r="D636" t="str">
            <v>Acid</v>
          </cell>
          <cell r="E636">
            <v>6.28</v>
          </cell>
          <cell r="F636">
            <v>213.45</v>
          </cell>
          <cell r="G636"/>
          <cell r="H636">
            <v>2.6933333326599998E-3</v>
          </cell>
          <cell r="I636">
            <v>96.17</v>
          </cell>
          <cell r="J636"/>
          <cell r="K636">
            <v>5128.6138399136489</v>
          </cell>
          <cell r="L636"/>
          <cell r="M636"/>
          <cell r="N636"/>
          <cell r="O636"/>
          <cell r="P636"/>
          <cell r="Q636">
            <v>2.6962274999999999E-6</v>
          </cell>
          <cell r="R636">
            <v>1.3370894686727339E-7</v>
          </cell>
          <cell r="S636">
            <v>1.4856549651919266E-8</v>
          </cell>
          <cell r="T636">
            <v>6.6854473433636697E-8</v>
          </cell>
          <cell r="U636"/>
          <cell r="V636"/>
          <cell r="W636">
            <v>30000</v>
          </cell>
          <cell r="X636">
            <v>0.33333333333333331</v>
          </cell>
          <cell r="Y636">
            <v>0.33333333333333331</v>
          </cell>
          <cell r="Z636">
            <v>0.33333333333333331</v>
          </cell>
          <cell r="AA636"/>
        </row>
        <row r="637">
          <cell r="A637">
            <v>630</v>
          </cell>
          <cell r="B637" t="str">
            <v>2,4,6-TRICHLORO-3-METHYLPHENOL</v>
          </cell>
          <cell r="C637" t="str">
            <v>551-76-8</v>
          </cell>
          <cell r="D637" t="str">
            <v>Acid</v>
          </cell>
          <cell r="E637">
            <v>6.33</v>
          </cell>
          <cell r="F637">
            <v>211.48</v>
          </cell>
          <cell r="G637"/>
          <cell r="H637">
            <v>0.41199999989699998</v>
          </cell>
          <cell r="I637">
            <v>112</v>
          </cell>
          <cell r="J637"/>
          <cell r="K637">
            <v>9772.3722095581161</v>
          </cell>
          <cell r="L637"/>
          <cell r="M637"/>
          <cell r="N637"/>
          <cell r="O637"/>
          <cell r="P637"/>
          <cell r="Q637">
            <v>6.3661499999999996E-7</v>
          </cell>
          <cell r="R637">
            <v>1.3370894686727339E-7</v>
          </cell>
          <cell r="S637">
            <v>1.4856549651919266E-8</v>
          </cell>
          <cell r="T637">
            <v>6.6854473433636697E-8</v>
          </cell>
          <cell r="U637"/>
          <cell r="V637"/>
          <cell r="W637">
            <v>30000</v>
          </cell>
          <cell r="X637">
            <v>0.33333333333333331</v>
          </cell>
          <cell r="Y637">
            <v>0.33333333333333331</v>
          </cell>
          <cell r="Z637">
            <v>0.33333333333333331</v>
          </cell>
          <cell r="AA637"/>
        </row>
        <row r="638">
          <cell r="A638">
            <v>631</v>
          </cell>
          <cell r="B638" t="str">
            <v>2,3,4,5-tetrachlorophenol</v>
          </cell>
          <cell r="C638" t="str">
            <v>4901-51-3</v>
          </cell>
          <cell r="D638" t="str">
            <v>Acid</v>
          </cell>
          <cell r="E638">
            <v>6.35</v>
          </cell>
          <cell r="F638">
            <v>231.89</v>
          </cell>
          <cell r="G638"/>
          <cell r="H638">
            <v>2.1599999994600001E-2</v>
          </cell>
          <cell r="I638">
            <v>28.69</v>
          </cell>
          <cell r="J638"/>
          <cell r="K638">
            <v>16218.100973589309</v>
          </cell>
          <cell r="L638"/>
          <cell r="M638"/>
          <cell r="N638"/>
          <cell r="O638"/>
          <cell r="P638"/>
          <cell r="Q638">
            <v>1.1594399999999999E-6</v>
          </cell>
          <cell r="R638">
            <v>1.3370894686727339E-7</v>
          </cell>
          <cell r="S638">
            <v>1.4856549651919266E-8</v>
          </cell>
          <cell r="T638">
            <v>6.6854473433636697E-8</v>
          </cell>
          <cell r="U638"/>
          <cell r="V638"/>
          <cell r="W638">
            <v>30000</v>
          </cell>
          <cell r="X638">
            <v>0.33333333333333331</v>
          </cell>
          <cell r="Y638">
            <v>0.33333333333333331</v>
          </cell>
          <cell r="Z638">
            <v>0.33333333333333331</v>
          </cell>
          <cell r="AA638"/>
        </row>
        <row r="639">
          <cell r="A639">
            <v>632</v>
          </cell>
          <cell r="B639" t="str">
            <v>Closantel</v>
          </cell>
          <cell r="C639" t="str">
            <v>57808-65-8</v>
          </cell>
          <cell r="D639" t="str">
            <v>Acid</v>
          </cell>
          <cell r="E639">
            <v>6.51</v>
          </cell>
          <cell r="F639">
            <v>663.08</v>
          </cell>
          <cell r="G639"/>
          <cell r="H639">
            <v>5.6799999985799991E-15</v>
          </cell>
          <cell r="I639">
            <v>1.519E-5</v>
          </cell>
          <cell r="J639"/>
          <cell r="K639">
            <v>128824955.16931349</v>
          </cell>
          <cell r="L639"/>
          <cell r="M639"/>
          <cell r="N639"/>
          <cell r="O639"/>
          <cell r="P639"/>
          <cell r="Q639">
            <v>1.1569514999999999E-5</v>
          </cell>
          <cell r="R639">
            <v>4.45696489557578E-8</v>
          </cell>
          <cell r="S639">
            <v>4.9521832173064224E-9</v>
          </cell>
          <cell r="T639">
            <v>2.22848244778789E-8</v>
          </cell>
          <cell r="U639"/>
          <cell r="V639"/>
          <cell r="W639">
            <v>30000</v>
          </cell>
          <cell r="X639">
            <v>0.33333333333333331</v>
          </cell>
          <cell r="Y639">
            <v>0.33333333333333331</v>
          </cell>
          <cell r="Z639">
            <v>0.33333333333333331</v>
          </cell>
          <cell r="AA639"/>
        </row>
        <row r="640">
          <cell r="A640">
            <v>633</v>
          </cell>
          <cell r="B640" t="str">
            <v>Phenol, 4,4'-(1-methylethylidene)bis 2,6-dichloro-</v>
          </cell>
          <cell r="C640" t="str">
            <v>79-95-8</v>
          </cell>
          <cell r="D640" t="str">
            <v>Acid</v>
          </cell>
          <cell r="E640">
            <v>6.61</v>
          </cell>
          <cell r="F640">
            <v>366.07</v>
          </cell>
          <cell r="G640"/>
          <cell r="H640">
            <v>3.8399999990399998E-7</v>
          </cell>
          <cell r="I640">
            <v>9.1579999999999995E-2</v>
          </cell>
          <cell r="J640"/>
          <cell r="K640">
            <v>1659586.9074375622</v>
          </cell>
          <cell r="L640"/>
          <cell r="M640"/>
          <cell r="N640"/>
          <cell r="O640"/>
          <cell r="P640"/>
          <cell r="Q640">
            <v>2.6561025E-6</v>
          </cell>
          <cell r="R640">
            <v>4.45696489557578E-8</v>
          </cell>
          <cell r="S640">
            <v>4.9521832173064224E-9</v>
          </cell>
          <cell r="T640">
            <v>2.22848244778789E-8</v>
          </cell>
          <cell r="U640"/>
          <cell r="V640"/>
          <cell r="W640">
            <v>30000</v>
          </cell>
          <cell r="X640">
            <v>0.33333333333333331</v>
          </cell>
          <cell r="Y640">
            <v>0.33333333333333331</v>
          </cell>
          <cell r="Z640">
            <v>0.33333333333333331</v>
          </cell>
          <cell r="AA640"/>
        </row>
        <row r="641">
          <cell r="A641">
            <v>634</v>
          </cell>
          <cell r="B641" t="str">
            <v>2,2-BIS(4-HYDROXY-3,5-DIBROMOPHENYL)PROPANE</v>
          </cell>
          <cell r="C641" t="str">
            <v>79-94-7</v>
          </cell>
          <cell r="D641" t="str">
            <v>Acid</v>
          </cell>
          <cell r="E641">
            <v>6.67</v>
          </cell>
          <cell r="F641">
            <v>543.88</v>
          </cell>
          <cell r="G641"/>
          <cell r="H641">
            <v>4.6133333321800002E-9</v>
          </cell>
          <cell r="I641">
            <v>1.0020000000000001E-3</v>
          </cell>
          <cell r="J641"/>
          <cell r="K641">
            <v>15848931.924611172</v>
          </cell>
          <cell r="L641"/>
          <cell r="M641"/>
          <cell r="N641"/>
          <cell r="O641"/>
          <cell r="P641"/>
          <cell r="Q641">
            <v>2.2188074999999999E-6</v>
          </cell>
          <cell r="R641">
            <v>4.45696489557578E-8</v>
          </cell>
          <cell r="S641">
            <v>4.9521832173064224E-9</v>
          </cell>
          <cell r="T641">
            <v>2.22848244778789E-8</v>
          </cell>
          <cell r="U641"/>
          <cell r="V641"/>
          <cell r="W641">
            <v>30000</v>
          </cell>
          <cell r="X641">
            <v>0.33333333333333331</v>
          </cell>
          <cell r="Y641">
            <v>0.33333333333333331</v>
          </cell>
          <cell r="Z641">
            <v>0.33333333333333331</v>
          </cell>
          <cell r="AA641"/>
        </row>
        <row r="642">
          <cell r="A642">
            <v>635</v>
          </cell>
          <cell r="B642" t="str">
            <v>2,6-dichlorophenol</v>
          </cell>
          <cell r="C642" t="str">
            <v>87-65-0</v>
          </cell>
          <cell r="D642" t="str">
            <v>Acid</v>
          </cell>
          <cell r="E642">
            <v>6.79</v>
          </cell>
          <cell r="F642">
            <v>163</v>
          </cell>
          <cell r="G642"/>
          <cell r="H642">
            <v>4.3999999989000003</v>
          </cell>
          <cell r="I642">
            <v>1900</v>
          </cell>
          <cell r="J642"/>
          <cell r="K642">
            <v>562.34132519034927</v>
          </cell>
          <cell r="L642"/>
          <cell r="M642"/>
          <cell r="N642"/>
          <cell r="O642"/>
          <cell r="P642"/>
          <cell r="Q642">
            <v>2.2357949999999999E-6</v>
          </cell>
          <cell r="R642">
            <v>2.1393431498763744E-7</v>
          </cell>
          <cell r="S642">
            <v>2.3770479443070826E-8</v>
          </cell>
          <cell r="T642">
            <v>1.0696715749381872E-7</v>
          </cell>
          <cell r="U642"/>
          <cell r="V642"/>
          <cell r="W642">
            <v>30000</v>
          </cell>
          <cell r="X642">
            <v>0.33333333333333331</v>
          </cell>
          <cell r="Y642">
            <v>0.33333333333333331</v>
          </cell>
          <cell r="Z642">
            <v>0.33333333333333331</v>
          </cell>
          <cell r="AA642"/>
        </row>
        <row r="643">
          <cell r="A643">
            <v>636</v>
          </cell>
          <cell r="B643" t="str">
            <v>2,4,6-TRIBROMOPHENOL</v>
          </cell>
          <cell r="C643" t="str">
            <v>118-79-6</v>
          </cell>
          <cell r="D643" t="str">
            <v>Acid</v>
          </cell>
          <cell r="E643">
            <v>6.8</v>
          </cell>
          <cell r="F643">
            <v>330.8</v>
          </cell>
          <cell r="G643"/>
          <cell r="H643">
            <v>4.0399999989899994E-2</v>
          </cell>
          <cell r="I643">
            <v>70</v>
          </cell>
          <cell r="J643"/>
          <cell r="K643">
            <v>13489.628825916556</v>
          </cell>
          <cell r="L643"/>
          <cell r="M643"/>
          <cell r="N643"/>
          <cell r="O643"/>
          <cell r="P643"/>
          <cell r="Q643">
            <v>3.5614499999999999E-7</v>
          </cell>
          <cell r="R643">
            <v>1.3370894686727339E-7</v>
          </cell>
          <cell r="S643">
            <v>1.4856549651919266E-8</v>
          </cell>
          <cell r="T643">
            <v>6.6854473433636697E-8</v>
          </cell>
          <cell r="U643"/>
          <cell r="V643"/>
          <cell r="W643">
            <v>30000</v>
          </cell>
          <cell r="X643">
            <v>0.33333333333333331</v>
          </cell>
          <cell r="Y643">
            <v>0.33333333333333331</v>
          </cell>
          <cell r="Z643">
            <v>0.33333333333333331</v>
          </cell>
          <cell r="AA643"/>
        </row>
        <row r="644">
          <cell r="A644">
            <v>637</v>
          </cell>
          <cell r="B644" t="str">
            <v>4,5,6-TRICHLOROGUAIACOL</v>
          </cell>
          <cell r="C644" t="str">
            <v>2668-24-8</v>
          </cell>
          <cell r="D644" t="str">
            <v>Acid</v>
          </cell>
          <cell r="E644">
            <v>6.84</v>
          </cell>
          <cell r="F644">
            <v>227.48</v>
          </cell>
          <cell r="G644"/>
          <cell r="H644">
            <v>0.24933333327099996</v>
          </cell>
          <cell r="I644">
            <v>20.89</v>
          </cell>
          <cell r="J644"/>
          <cell r="K644">
            <v>5248.0746024977352</v>
          </cell>
          <cell r="L644"/>
          <cell r="M644"/>
          <cell r="N644"/>
          <cell r="O644"/>
          <cell r="P644"/>
          <cell r="Q644">
            <v>2.3314125000000003E-6</v>
          </cell>
          <cell r="R644">
            <v>1.3370894686727339E-7</v>
          </cell>
          <cell r="S644">
            <v>1.4856549651919266E-8</v>
          </cell>
          <cell r="T644">
            <v>6.6854473433636697E-8</v>
          </cell>
          <cell r="U644"/>
          <cell r="V644"/>
          <cell r="W644">
            <v>30000</v>
          </cell>
          <cell r="X644">
            <v>0.33333333333333331</v>
          </cell>
          <cell r="Y644">
            <v>0.33333333333333331</v>
          </cell>
          <cell r="Z644">
            <v>0.33333333333333331</v>
          </cell>
          <cell r="AA644"/>
        </row>
        <row r="645">
          <cell r="A645">
            <v>638</v>
          </cell>
          <cell r="B645" t="str">
            <v>ALIZARINE</v>
          </cell>
          <cell r="C645" t="str">
            <v>72-48-0</v>
          </cell>
          <cell r="D645" t="str">
            <v>Acid</v>
          </cell>
          <cell r="E645">
            <v>6.86</v>
          </cell>
          <cell r="F645">
            <v>240.22</v>
          </cell>
          <cell r="G645"/>
          <cell r="H645">
            <v>1.167999999708E-7</v>
          </cell>
          <cell r="I645">
            <v>400</v>
          </cell>
          <cell r="J645"/>
          <cell r="K645">
            <v>1445.4397707459289</v>
          </cell>
          <cell r="L645"/>
          <cell r="M645"/>
          <cell r="N645"/>
          <cell r="O645"/>
          <cell r="P645"/>
          <cell r="Q645">
            <v>7.3837274999999995E-6</v>
          </cell>
          <cell r="R645">
            <v>2.1393431498763744E-7</v>
          </cell>
          <cell r="S645">
            <v>2.3770479443070826E-8</v>
          </cell>
          <cell r="T645">
            <v>1.0696715749381872E-7</v>
          </cell>
          <cell r="U645"/>
          <cell r="V645"/>
          <cell r="W645">
            <v>30000</v>
          </cell>
          <cell r="X645">
            <v>0.33333333333333331</v>
          </cell>
          <cell r="Y645">
            <v>0.33333333333333331</v>
          </cell>
          <cell r="Z645">
            <v>0.33333333333333331</v>
          </cell>
          <cell r="AA645"/>
        </row>
        <row r="646">
          <cell r="A646">
            <v>639</v>
          </cell>
          <cell r="B646" t="str">
            <v>OXOLINIC ACID</v>
          </cell>
          <cell r="C646" t="str">
            <v>14698-29-4</v>
          </cell>
          <cell r="D646" t="str">
            <v>Acid</v>
          </cell>
          <cell r="E646">
            <v>6.87</v>
          </cell>
          <cell r="F646">
            <v>261.24</v>
          </cell>
          <cell r="G646"/>
          <cell r="H646">
            <v>1.3599999996599999E-7</v>
          </cell>
          <cell r="I646">
            <v>3.2</v>
          </cell>
          <cell r="J646"/>
          <cell r="K646">
            <v>8.709635899560805</v>
          </cell>
          <cell r="L646"/>
          <cell r="M646"/>
          <cell r="N646"/>
          <cell r="O646"/>
          <cell r="P646"/>
          <cell r="Q646">
            <v>9.4445700000000003E-5</v>
          </cell>
          <cell r="R646">
            <v>2.1393431498763744E-7</v>
          </cell>
          <cell r="S646">
            <v>2.3770479443070826E-8</v>
          </cell>
          <cell r="T646">
            <v>1.4586430567338916E-8</v>
          </cell>
          <cell r="U646"/>
          <cell r="V646"/>
          <cell r="W646">
            <v>30000</v>
          </cell>
          <cell r="X646">
            <v>0.33333333333333331</v>
          </cell>
          <cell r="Y646">
            <v>0.33333333333333331</v>
          </cell>
          <cell r="Z646">
            <v>0.33333333333333331</v>
          </cell>
          <cell r="AA646"/>
        </row>
        <row r="647">
          <cell r="A647">
            <v>640</v>
          </cell>
          <cell r="B647" t="str">
            <v>3,4,5-TRICL-2,6-MEO PHENOL</v>
          </cell>
          <cell r="C647" t="str">
            <v>2539-26-6</v>
          </cell>
          <cell r="D647" t="str">
            <v>Acid</v>
          </cell>
          <cell r="E647">
            <v>6.88</v>
          </cell>
          <cell r="F647">
            <v>257.5</v>
          </cell>
          <cell r="G647"/>
          <cell r="H647">
            <v>3.01333333258E-3</v>
          </cell>
          <cell r="I647">
            <v>13.75</v>
          </cell>
          <cell r="J647"/>
          <cell r="K647">
            <v>5495.4087385762541</v>
          </cell>
          <cell r="L647"/>
          <cell r="M647"/>
          <cell r="N647"/>
          <cell r="O647"/>
          <cell r="P647"/>
          <cell r="Q647">
            <v>8.6925299999999989E-6</v>
          </cell>
          <cell r="R647">
            <v>1.3370894686727339E-7</v>
          </cell>
          <cell r="S647">
            <v>1.4856549651919266E-8</v>
          </cell>
          <cell r="T647">
            <v>6.6854473433636697E-8</v>
          </cell>
          <cell r="U647"/>
          <cell r="V647"/>
          <cell r="W647">
            <v>30000</v>
          </cell>
          <cell r="X647">
            <v>0.33333333333333331</v>
          </cell>
          <cell r="Y647">
            <v>0.33333333333333331</v>
          </cell>
          <cell r="Z647">
            <v>0.33333333333333331</v>
          </cell>
          <cell r="AA647"/>
        </row>
        <row r="648">
          <cell r="A648">
            <v>641</v>
          </cell>
          <cell r="B648" t="str">
            <v>2-MERCAPTOBENZOTHIAZOLE</v>
          </cell>
          <cell r="C648" t="str">
            <v>149-30-4</v>
          </cell>
          <cell r="D648" t="str">
            <v>Acid</v>
          </cell>
          <cell r="E648">
            <v>6.93</v>
          </cell>
          <cell r="F648">
            <v>167.24</v>
          </cell>
          <cell r="G648"/>
          <cell r="H648">
            <v>5.6133333319299998E-3</v>
          </cell>
          <cell r="I648">
            <v>120</v>
          </cell>
          <cell r="J648"/>
          <cell r="K648">
            <v>263.02679918953817</v>
          </cell>
          <cell r="L648"/>
          <cell r="M648"/>
          <cell r="N648"/>
          <cell r="O648"/>
          <cell r="P648"/>
          <cell r="Q648">
            <v>3.0476092500000001E-5</v>
          </cell>
          <cell r="R648">
            <v>5.3483578746909358E-7</v>
          </cell>
          <cell r="S648">
            <v>5.9426198607677063E-8</v>
          </cell>
          <cell r="T648">
            <v>2.6741789373454679E-7</v>
          </cell>
          <cell r="U648"/>
          <cell r="V648"/>
          <cell r="W648">
            <v>30000</v>
          </cell>
          <cell r="X648">
            <v>0.33333333333333331</v>
          </cell>
          <cell r="Y648">
            <v>0.33333333333333331</v>
          </cell>
          <cell r="Z648">
            <v>0.33333333333333331</v>
          </cell>
          <cell r="AA648"/>
        </row>
        <row r="649">
          <cell r="A649">
            <v>642</v>
          </cell>
          <cell r="B649" t="str">
            <v>QUERCETIN</v>
          </cell>
          <cell r="C649" t="str">
            <v>117-39-5</v>
          </cell>
          <cell r="D649" t="str">
            <v>Acid</v>
          </cell>
          <cell r="E649">
            <v>6.95</v>
          </cell>
          <cell r="F649">
            <v>302.24</v>
          </cell>
          <cell r="G649"/>
          <cell r="H649">
            <v>3.7199999990699997E-13</v>
          </cell>
          <cell r="I649">
            <v>60</v>
          </cell>
          <cell r="J649"/>
          <cell r="K649">
            <v>30.199517204020164</v>
          </cell>
          <cell r="L649"/>
          <cell r="M649"/>
          <cell r="N649"/>
          <cell r="O649"/>
          <cell r="P649"/>
          <cell r="Q649">
            <v>1.794E-4</v>
          </cell>
          <cell r="R649">
            <v>5.3483578746909358E-7</v>
          </cell>
          <cell r="S649">
            <v>5.9426198607677063E-8</v>
          </cell>
          <cell r="T649">
            <v>2.6741789373454679E-7</v>
          </cell>
          <cell r="U649"/>
          <cell r="V649"/>
          <cell r="W649">
            <v>30000</v>
          </cell>
          <cell r="X649">
            <v>0.33333333333333331</v>
          </cell>
          <cell r="Y649">
            <v>0.33333333333333331</v>
          </cell>
          <cell r="Z649">
            <v>0.33333333333333331</v>
          </cell>
          <cell r="AA649"/>
        </row>
        <row r="650">
          <cell r="A650">
            <v>643</v>
          </cell>
          <cell r="B650" t="str">
            <v>3-METHYL-4-NITROPHENOL</v>
          </cell>
          <cell r="C650" t="str">
            <v>2581-34-2</v>
          </cell>
          <cell r="D650" t="str">
            <v>Acid</v>
          </cell>
          <cell r="E650">
            <v>7.03</v>
          </cell>
          <cell r="F650">
            <v>153.13999999999999</v>
          </cell>
          <cell r="G650"/>
          <cell r="H650">
            <v>2.9599999992599997E-2</v>
          </cell>
          <cell r="I650">
            <v>1190</v>
          </cell>
          <cell r="J650"/>
          <cell r="K650">
            <v>301.99517204020168</v>
          </cell>
          <cell r="L650"/>
          <cell r="M650"/>
          <cell r="N650"/>
          <cell r="O650"/>
          <cell r="P650"/>
          <cell r="Q650">
            <v>8.3623200000000009E-6</v>
          </cell>
          <cell r="R650">
            <v>2.1393431498763744E-7</v>
          </cell>
          <cell r="S650">
            <v>2.3770479443070826E-8</v>
          </cell>
          <cell r="T650">
            <v>2.4310717612231532E-6</v>
          </cell>
          <cell r="U650"/>
          <cell r="V650"/>
          <cell r="W650">
            <v>30000</v>
          </cell>
          <cell r="X650">
            <v>0.33333333333333331</v>
          </cell>
          <cell r="Y650">
            <v>0.33333333333333331</v>
          </cell>
          <cell r="Z650">
            <v>0.33333333333333331</v>
          </cell>
          <cell r="AA650"/>
        </row>
        <row r="651">
          <cell r="A651">
            <v>644</v>
          </cell>
          <cell r="B651" t="str">
            <v>2,3,5-trichlorophenol</v>
          </cell>
          <cell r="C651" t="str">
            <v>933-78-8</v>
          </cell>
          <cell r="D651" t="str">
            <v>Acid</v>
          </cell>
          <cell r="E651">
            <v>7.07</v>
          </cell>
          <cell r="F651">
            <v>197.45</v>
          </cell>
          <cell r="G651"/>
          <cell r="H651">
            <v>2.9333333325999997</v>
          </cell>
          <cell r="I651">
            <v>90.09</v>
          </cell>
          <cell r="J651"/>
          <cell r="K651">
            <v>6918.3097091893687</v>
          </cell>
          <cell r="L651"/>
          <cell r="M651"/>
          <cell r="N651"/>
          <cell r="O651"/>
          <cell r="P651"/>
          <cell r="Q651">
            <v>3.7164449999999999E-6</v>
          </cell>
          <cell r="R651">
            <v>1.3370894686727339E-7</v>
          </cell>
          <cell r="S651">
            <v>1.4856549651919266E-8</v>
          </cell>
          <cell r="T651">
            <v>6.6854473433636697E-8</v>
          </cell>
          <cell r="U651"/>
          <cell r="V651"/>
          <cell r="W651">
            <v>30000</v>
          </cell>
          <cell r="X651">
            <v>0.33333333333333331</v>
          </cell>
          <cell r="Y651">
            <v>0.33333333333333331</v>
          </cell>
          <cell r="Z651">
            <v>0.33333333333333331</v>
          </cell>
          <cell r="AA651"/>
        </row>
        <row r="652">
          <cell r="A652">
            <v>645</v>
          </cell>
          <cell r="B652" t="str">
            <v>EMODIN</v>
          </cell>
          <cell r="C652" t="str">
            <v>518-82-1</v>
          </cell>
          <cell r="D652" t="str">
            <v>Acid</v>
          </cell>
          <cell r="E652">
            <v>7.09</v>
          </cell>
          <cell r="F652">
            <v>270.24</v>
          </cell>
          <cell r="G652"/>
          <cell r="H652">
            <v>8.9199999977699999E-10</v>
          </cell>
          <cell r="I652">
            <v>2.0419999999999998</v>
          </cell>
          <cell r="J652"/>
          <cell r="K652">
            <v>10232.929922807549</v>
          </cell>
          <cell r="L652"/>
          <cell r="M652"/>
          <cell r="N652"/>
          <cell r="O652"/>
          <cell r="P652"/>
          <cell r="Q652">
            <v>1.5041699999999999E-4</v>
          </cell>
          <cell r="R652">
            <v>2.1393431498763744E-7</v>
          </cell>
          <cell r="S652">
            <v>2.3770479443070826E-8</v>
          </cell>
          <cell r="T652">
            <v>1.0696715749381872E-7</v>
          </cell>
          <cell r="U652"/>
          <cell r="V652"/>
          <cell r="W652">
            <v>30000</v>
          </cell>
          <cell r="X652">
            <v>0.33333333333333331</v>
          </cell>
          <cell r="Y652">
            <v>0.33333333333333331</v>
          </cell>
          <cell r="Z652">
            <v>0.33333333333333331</v>
          </cell>
          <cell r="AA652"/>
        </row>
        <row r="653">
          <cell r="A653">
            <v>646</v>
          </cell>
          <cell r="B653" t="str">
            <v>4-Nitrophenol</v>
          </cell>
          <cell r="C653" t="str">
            <v>100-02-7</v>
          </cell>
          <cell r="D653" t="str">
            <v>Acid</v>
          </cell>
          <cell r="E653">
            <v>7.15</v>
          </cell>
          <cell r="F653">
            <v>139.11000000000001</v>
          </cell>
          <cell r="G653"/>
          <cell r="H653">
            <v>1.3053333330069998E-2</v>
          </cell>
          <cell r="I653">
            <v>11600</v>
          </cell>
          <cell r="J653"/>
          <cell r="K653">
            <v>81.283051616409963</v>
          </cell>
          <cell r="L653"/>
          <cell r="M653"/>
          <cell r="N653"/>
          <cell r="O653"/>
          <cell r="P653"/>
          <cell r="Q653">
            <v>3.2289300000000001E-6</v>
          </cell>
          <cell r="R653">
            <v>5.3483578746909358E-7</v>
          </cell>
          <cell r="S653">
            <v>5.9426198607677063E-8</v>
          </cell>
          <cell r="T653">
            <v>2.6741789373454679E-7</v>
          </cell>
          <cell r="U653"/>
          <cell r="V653"/>
          <cell r="W653">
            <v>30000</v>
          </cell>
          <cell r="X653">
            <v>0.33333333333333331</v>
          </cell>
          <cell r="Y653">
            <v>0.33333333333333331</v>
          </cell>
          <cell r="Z653">
            <v>0.33333333333333331</v>
          </cell>
          <cell r="AA653"/>
        </row>
        <row r="654">
          <cell r="A654">
            <v>647</v>
          </cell>
          <cell r="B654" t="str">
            <v>4-METHYL-2,6-DICHLOROPHENOL</v>
          </cell>
          <cell r="C654" t="str">
            <v>194-64-9</v>
          </cell>
          <cell r="D654" t="str">
            <v>Acid</v>
          </cell>
          <cell r="E654">
            <v>7.19</v>
          </cell>
          <cell r="F654">
            <v>177.03</v>
          </cell>
          <cell r="G654"/>
          <cell r="H654">
            <v>3.1733333325399999</v>
          </cell>
          <cell r="I654">
            <v>6730</v>
          </cell>
          <cell r="J654"/>
          <cell r="K654">
            <v>2238.7211385683418</v>
          </cell>
          <cell r="L654"/>
          <cell r="M654"/>
          <cell r="N654"/>
          <cell r="O654"/>
          <cell r="P654"/>
          <cell r="Q654">
            <v>1.5075899999999999E-6</v>
          </cell>
          <cell r="R654">
            <v>2.1393431498763744E-7</v>
          </cell>
          <cell r="S654">
            <v>2.3770479443070826E-8</v>
          </cell>
          <cell r="T654">
            <v>1.0696715749381872E-7</v>
          </cell>
          <cell r="U654"/>
          <cell r="V654"/>
          <cell r="W654">
            <v>30000</v>
          </cell>
          <cell r="X654">
            <v>0.33333333333333331</v>
          </cell>
          <cell r="Y654">
            <v>0.33333333333333331</v>
          </cell>
          <cell r="Z654">
            <v>0.33333333333333331</v>
          </cell>
          <cell r="AA654"/>
        </row>
        <row r="655">
          <cell r="A655">
            <v>648</v>
          </cell>
          <cell r="B655" t="str">
            <v>1,3-Benzenediol, 4,6-dichloro-</v>
          </cell>
          <cell r="C655" t="str">
            <v>137-19-9</v>
          </cell>
          <cell r="D655" t="str">
            <v>Acid</v>
          </cell>
          <cell r="E655">
            <v>7.23</v>
          </cell>
          <cell r="F655">
            <v>179</v>
          </cell>
          <cell r="G655"/>
          <cell r="H655">
            <v>7.3199999981700001E-2</v>
          </cell>
          <cell r="I655">
            <v>2203</v>
          </cell>
          <cell r="J655"/>
          <cell r="K655">
            <v>208.92961308540396</v>
          </cell>
          <cell r="L655"/>
          <cell r="M655"/>
          <cell r="N655"/>
          <cell r="O655"/>
          <cell r="P655"/>
          <cell r="Q655">
            <v>3.6630120000000002E-5</v>
          </cell>
          <cell r="R655">
            <v>2.1393431498763744E-7</v>
          </cell>
          <cell r="S655">
            <v>2.3770479443070826E-8</v>
          </cell>
          <cell r="T655">
            <v>1.0696715749381872E-7</v>
          </cell>
          <cell r="U655"/>
          <cell r="V655"/>
          <cell r="W655">
            <v>30000</v>
          </cell>
          <cell r="X655">
            <v>0.33333333333333331</v>
          </cell>
          <cell r="Y655">
            <v>0.33333333333333331</v>
          </cell>
          <cell r="Z655">
            <v>0.33333333333333331</v>
          </cell>
          <cell r="AA655"/>
        </row>
        <row r="656">
          <cell r="A656">
            <v>649</v>
          </cell>
          <cell r="B656" t="str">
            <v>Benzaldehyde, 2,4-dihydroxy-</v>
          </cell>
          <cell r="C656" t="str">
            <v>95-01-2</v>
          </cell>
          <cell r="D656" t="str">
            <v>Acid</v>
          </cell>
          <cell r="E656">
            <v>7.33</v>
          </cell>
          <cell r="F656">
            <v>138.12</v>
          </cell>
          <cell r="G656"/>
          <cell r="H656">
            <v>4.9333333320999992E-3</v>
          </cell>
          <cell r="I656">
            <v>16100</v>
          </cell>
          <cell r="J656"/>
          <cell r="K656">
            <v>33.884415613920268</v>
          </cell>
          <cell r="L656"/>
          <cell r="M656"/>
          <cell r="N656"/>
          <cell r="O656"/>
          <cell r="P656"/>
          <cell r="Q656">
            <v>1.5355788E-4</v>
          </cell>
          <cell r="R656">
            <v>5.3483578746909358E-7</v>
          </cell>
          <cell r="S656">
            <v>5.9426198607677063E-8</v>
          </cell>
          <cell r="T656">
            <v>2.6741789373454679E-7</v>
          </cell>
          <cell r="U656"/>
          <cell r="V656"/>
          <cell r="W656">
            <v>30000</v>
          </cell>
          <cell r="X656">
            <v>0.33333333333333331</v>
          </cell>
          <cell r="Y656">
            <v>0.33333333333333331</v>
          </cell>
          <cell r="Z656">
            <v>0.33333333333333331</v>
          </cell>
          <cell r="AA656"/>
        </row>
        <row r="657">
          <cell r="A657">
            <v>650</v>
          </cell>
          <cell r="B657" t="str">
            <v>TRYPTOPHAN</v>
          </cell>
          <cell r="C657" t="str">
            <v>73-22-3</v>
          </cell>
          <cell r="D657" t="str">
            <v>Acid</v>
          </cell>
          <cell r="E657">
            <v>7.38</v>
          </cell>
          <cell r="F657">
            <v>204.23</v>
          </cell>
          <cell r="G657"/>
          <cell r="H657">
            <v>2.5866666660199998E-7</v>
          </cell>
          <cell r="I657">
            <v>13400</v>
          </cell>
          <cell r="J657"/>
          <cell r="K657">
            <v>8.7096358995608011E-2</v>
          </cell>
          <cell r="L657"/>
          <cell r="M657"/>
          <cell r="N657"/>
          <cell r="O657"/>
          <cell r="P657"/>
          <cell r="Q657">
            <v>1.7948441999999999E-4</v>
          </cell>
          <cell r="R657">
            <v>5.3483578746909358E-7</v>
          </cell>
          <cell r="S657">
            <v>5.9426198607677063E-8</v>
          </cell>
          <cell r="T657">
            <v>2.6741789373454679E-7</v>
          </cell>
          <cell r="U657"/>
          <cell r="V657"/>
          <cell r="W657">
            <v>30000</v>
          </cell>
          <cell r="X657">
            <v>0.33333333333333331</v>
          </cell>
          <cell r="Y657">
            <v>0.33333333333333331</v>
          </cell>
          <cell r="Z657">
            <v>0.33333333333333331</v>
          </cell>
          <cell r="AA657"/>
        </row>
        <row r="658">
          <cell r="A658">
            <v>651</v>
          </cell>
          <cell r="B658" t="str">
            <v>DL-TRYPTOPHAN</v>
          </cell>
          <cell r="C658" t="str">
            <v>54-12-6</v>
          </cell>
          <cell r="D658" t="str">
            <v>Acid</v>
          </cell>
          <cell r="E658">
            <v>7.38</v>
          </cell>
          <cell r="F658">
            <v>204.23</v>
          </cell>
          <cell r="G658"/>
          <cell r="H658">
            <v>2.5866666660199998E-7</v>
          </cell>
          <cell r="I658">
            <v>13400</v>
          </cell>
          <cell r="J658"/>
          <cell r="K658">
            <v>8.9125093813374537E-2</v>
          </cell>
          <cell r="L658"/>
          <cell r="M658"/>
          <cell r="N658"/>
          <cell r="O658"/>
          <cell r="P658"/>
          <cell r="Q658">
            <v>1.7948441999999999E-4</v>
          </cell>
          <cell r="R658">
            <v>5.3483578746909358E-7</v>
          </cell>
          <cell r="S658">
            <v>5.9426198607677063E-8</v>
          </cell>
          <cell r="T658">
            <v>2.6741789373454679E-7</v>
          </cell>
          <cell r="U658"/>
          <cell r="V658"/>
          <cell r="W658">
            <v>30000</v>
          </cell>
          <cell r="X658">
            <v>0.33333333333333331</v>
          </cell>
          <cell r="Y658">
            <v>0.33333333333333331</v>
          </cell>
          <cell r="Z658">
            <v>0.33333333333333331</v>
          </cell>
          <cell r="AA658"/>
        </row>
        <row r="659">
          <cell r="A659">
            <v>652</v>
          </cell>
          <cell r="B659" t="str">
            <v>SALICYLANILIDE</v>
          </cell>
          <cell r="C659" t="str">
            <v>87-17-2</v>
          </cell>
          <cell r="D659" t="str">
            <v>Acid</v>
          </cell>
          <cell r="E659">
            <v>7.4</v>
          </cell>
          <cell r="F659">
            <v>213.24</v>
          </cell>
          <cell r="G659"/>
          <cell r="H659">
            <v>7.8399999980399991E-6</v>
          </cell>
          <cell r="I659">
            <v>55</v>
          </cell>
          <cell r="J659"/>
          <cell r="K659">
            <v>1862.0871366628687</v>
          </cell>
          <cell r="L659"/>
          <cell r="M659"/>
          <cell r="N659"/>
          <cell r="O659"/>
          <cell r="P659"/>
          <cell r="Q659">
            <v>3.2203034999999999E-5</v>
          </cell>
          <cell r="R659">
            <v>5.3483578746909358E-7</v>
          </cell>
          <cell r="S659">
            <v>5.9426198607677063E-8</v>
          </cell>
          <cell r="T659">
            <v>2.6741789373454679E-7</v>
          </cell>
          <cell r="U659"/>
          <cell r="V659"/>
          <cell r="W659">
            <v>30000</v>
          </cell>
          <cell r="X659">
            <v>0.33333333333333331</v>
          </cell>
          <cell r="Y659">
            <v>0.33333333333333331</v>
          </cell>
          <cell r="Z659">
            <v>0.33333333333333331</v>
          </cell>
          <cell r="AA659"/>
        </row>
        <row r="660">
          <cell r="A660">
            <v>653</v>
          </cell>
          <cell r="B660" t="str">
            <v>VANILLIN</v>
          </cell>
          <cell r="C660" t="str">
            <v>121-33-5</v>
          </cell>
          <cell r="D660" t="str">
            <v>Acid</v>
          </cell>
          <cell r="E660">
            <v>7.4</v>
          </cell>
          <cell r="F660">
            <v>152.15</v>
          </cell>
          <cell r="G660"/>
          <cell r="H660">
            <v>1.5733333329399999E-2</v>
          </cell>
          <cell r="I660">
            <v>11000</v>
          </cell>
          <cell r="J660"/>
          <cell r="K660">
            <v>16.218100973589298</v>
          </cell>
          <cell r="L660"/>
          <cell r="M660"/>
          <cell r="N660"/>
          <cell r="O660"/>
          <cell r="P660"/>
          <cell r="Q660">
            <v>2.0505720000000001E-5</v>
          </cell>
          <cell r="R660">
            <v>5.3483578746909358E-7</v>
          </cell>
          <cell r="S660">
            <v>5.9426198607677063E-8</v>
          </cell>
          <cell r="T660">
            <v>2.6741789373454679E-7</v>
          </cell>
          <cell r="U660"/>
          <cell r="V660"/>
          <cell r="W660">
            <v>30000</v>
          </cell>
          <cell r="X660">
            <v>0.33333333333333331</v>
          </cell>
          <cell r="Y660">
            <v>0.33333333333333331</v>
          </cell>
          <cell r="Z660">
            <v>0.33333333333333331</v>
          </cell>
          <cell r="AA660"/>
        </row>
        <row r="661">
          <cell r="A661">
            <v>654</v>
          </cell>
          <cell r="B661" t="str">
            <v>3-METHYL-2-NITROPHENOL</v>
          </cell>
          <cell r="C661" t="str">
            <v>4920-77-8</v>
          </cell>
          <cell r="D661" t="str">
            <v>Acid</v>
          </cell>
          <cell r="E661">
            <v>7.49</v>
          </cell>
          <cell r="F661">
            <v>153.13999999999999</v>
          </cell>
          <cell r="G661"/>
          <cell r="H661">
            <v>4.959999998759999</v>
          </cell>
          <cell r="I661">
            <v>3510</v>
          </cell>
          <cell r="J661"/>
          <cell r="K661">
            <v>194.98445997580458</v>
          </cell>
          <cell r="L661"/>
          <cell r="M661"/>
          <cell r="N661"/>
          <cell r="O661"/>
          <cell r="P661"/>
          <cell r="Q661">
            <v>8.3623274999999998E-6</v>
          </cell>
          <cell r="R661">
            <v>2.1393431498763744E-7</v>
          </cell>
          <cell r="S661">
            <v>2.3770479443070826E-8</v>
          </cell>
          <cell r="T661">
            <v>1.0696715749381872E-7</v>
          </cell>
          <cell r="U661"/>
          <cell r="V661"/>
          <cell r="W661">
            <v>30000</v>
          </cell>
          <cell r="X661">
            <v>0.33333333333333331</v>
          </cell>
          <cell r="Y661">
            <v>0.33333333333333331</v>
          </cell>
          <cell r="Z661">
            <v>0.33333333333333331</v>
          </cell>
          <cell r="AA661"/>
        </row>
        <row r="662">
          <cell r="A662">
            <v>655</v>
          </cell>
          <cell r="B662" t="str">
            <v>3,4,5-TRICHLORO-2-METHOXYPHENOL</v>
          </cell>
          <cell r="C662" t="str">
            <v>57057-83-7</v>
          </cell>
          <cell r="D662" t="str">
            <v>Acid</v>
          </cell>
          <cell r="E662">
            <v>7.5</v>
          </cell>
          <cell r="F662">
            <v>227.48</v>
          </cell>
          <cell r="G662"/>
          <cell r="H662">
            <v>0.11999999996999999</v>
          </cell>
          <cell r="I662">
            <v>306</v>
          </cell>
          <cell r="J662"/>
          <cell r="K662">
            <v>5888.4365535558973</v>
          </cell>
          <cell r="L662"/>
          <cell r="M662"/>
          <cell r="N662"/>
          <cell r="O662"/>
          <cell r="P662"/>
          <cell r="Q662">
            <v>3.8511299999999998E-6</v>
          </cell>
          <cell r="R662">
            <v>1.3370894686727339E-7</v>
          </cell>
          <cell r="S662">
            <v>1.4856549651919266E-8</v>
          </cell>
          <cell r="T662">
            <v>6.6854473433636697E-8</v>
          </cell>
          <cell r="U662"/>
          <cell r="V662"/>
          <cell r="W662">
            <v>30000</v>
          </cell>
          <cell r="X662">
            <v>0.33333333333333331</v>
          </cell>
          <cell r="Y662">
            <v>0.33333333333333331</v>
          </cell>
          <cell r="Z662">
            <v>0.33333333333333331</v>
          </cell>
          <cell r="AA662"/>
        </row>
        <row r="663">
          <cell r="A663">
            <v>656</v>
          </cell>
          <cell r="B663" t="str">
            <v>METHYL 2,4-DIHYDROXYBENZOATE</v>
          </cell>
          <cell r="C663" t="str">
            <v>2150-47-2</v>
          </cell>
          <cell r="D663" t="str">
            <v>Acid</v>
          </cell>
          <cell r="E663">
            <v>7.53</v>
          </cell>
          <cell r="F663">
            <v>168.15</v>
          </cell>
          <cell r="G663"/>
          <cell r="H663">
            <v>3.8933333323599999E-3</v>
          </cell>
          <cell r="I663">
            <v>3666</v>
          </cell>
          <cell r="J663"/>
          <cell r="K663">
            <v>131.82567385564084</v>
          </cell>
          <cell r="L663"/>
          <cell r="M663"/>
          <cell r="N663"/>
          <cell r="O663"/>
          <cell r="P663"/>
          <cell r="Q663">
            <v>1.3763233499999999E-4</v>
          </cell>
          <cell r="R663">
            <v>5.3483578746909358E-7</v>
          </cell>
          <cell r="S663">
            <v>5.9426198607677063E-8</v>
          </cell>
          <cell r="T663">
            <v>2.6741789373454679E-7</v>
          </cell>
          <cell r="U663"/>
          <cell r="V663"/>
          <cell r="W663">
            <v>30000</v>
          </cell>
          <cell r="X663">
            <v>0.33333333333333331</v>
          </cell>
          <cell r="Y663">
            <v>0.33333333333333331</v>
          </cell>
          <cell r="Z663">
            <v>0.33333333333333331</v>
          </cell>
          <cell r="AA663"/>
        </row>
        <row r="664">
          <cell r="A664">
            <v>657</v>
          </cell>
          <cell r="B664" t="str">
            <v>Anthrarobin</v>
          </cell>
          <cell r="C664" t="str">
            <v>577-33-3</v>
          </cell>
          <cell r="D664" t="str">
            <v>Acid</v>
          </cell>
          <cell r="E664">
            <v>7.53</v>
          </cell>
          <cell r="F664">
            <v>226.23</v>
          </cell>
          <cell r="G664"/>
          <cell r="H664">
            <v>7.8666666646999994E-8</v>
          </cell>
          <cell r="I664">
            <v>31.13</v>
          </cell>
          <cell r="J664"/>
          <cell r="K664">
            <v>794.32823472428208</v>
          </cell>
          <cell r="L664"/>
          <cell r="M664"/>
          <cell r="N664"/>
          <cell r="O664"/>
          <cell r="P664"/>
          <cell r="Q664">
            <v>1.5031499999999999E-4</v>
          </cell>
          <cell r="R664">
            <v>5.3483578746909358E-7</v>
          </cell>
          <cell r="S664">
            <v>5.9426198607677063E-8</v>
          </cell>
          <cell r="T664">
            <v>2.6741789373454679E-7</v>
          </cell>
          <cell r="U664"/>
          <cell r="V664"/>
          <cell r="W664">
            <v>30000</v>
          </cell>
          <cell r="X664">
            <v>0.33333333333333331</v>
          </cell>
          <cell r="Y664">
            <v>0.33333333333333331</v>
          </cell>
          <cell r="Z664">
            <v>0.33333333333333331</v>
          </cell>
          <cell r="AA664"/>
        </row>
        <row r="665">
          <cell r="A665">
            <v>658</v>
          </cell>
          <cell r="B665" t="str">
            <v>Benzaldehyde, 5-bromo-2-hydroxy-</v>
          </cell>
          <cell r="C665" t="str">
            <v>1761-61-1</v>
          </cell>
          <cell r="D665" t="str">
            <v>Acid</v>
          </cell>
          <cell r="E665">
            <v>7.55</v>
          </cell>
          <cell r="F665">
            <v>201.02</v>
          </cell>
          <cell r="G665"/>
          <cell r="H665">
            <v>7.1599999982099996E-2</v>
          </cell>
          <cell r="I665">
            <v>100</v>
          </cell>
          <cell r="J665"/>
          <cell r="K665">
            <v>794.32823472428208</v>
          </cell>
          <cell r="L665"/>
          <cell r="M665"/>
          <cell r="N665"/>
          <cell r="O665"/>
          <cell r="P665"/>
          <cell r="Q665">
            <v>1.51226775E-5</v>
          </cell>
          <cell r="R665">
            <v>2.1393431498763744E-7</v>
          </cell>
          <cell r="S665">
            <v>2.3770479443070826E-8</v>
          </cell>
          <cell r="T665">
            <v>1.0696715749381872E-7</v>
          </cell>
          <cell r="U665"/>
          <cell r="V665"/>
          <cell r="W665">
            <v>30000</v>
          </cell>
          <cell r="X665">
            <v>0.33333333333333331</v>
          </cell>
          <cell r="Y665">
            <v>0.33333333333333331</v>
          </cell>
          <cell r="Z665">
            <v>0.33333333333333331</v>
          </cell>
          <cell r="AA665"/>
        </row>
        <row r="666">
          <cell r="A666">
            <v>659</v>
          </cell>
          <cell r="B666" t="str">
            <v>Zearalenone</v>
          </cell>
          <cell r="C666" t="str">
            <v>17924-92-4</v>
          </cell>
          <cell r="D666" t="str">
            <v>Acid</v>
          </cell>
          <cell r="E666">
            <v>7.55</v>
          </cell>
          <cell r="F666">
            <v>318.37</v>
          </cell>
          <cell r="G666"/>
          <cell r="H666">
            <v>1.4266666663099999E-9</v>
          </cell>
          <cell r="I666">
            <v>31.76</v>
          </cell>
          <cell r="J666"/>
          <cell r="K666">
            <v>3801.8939632056172</v>
          </cell>
          <cell r="L666"/>
          <cell r="M666"/>
          <cell r="N666"/>
          <cell r="O666"/>
          <cell r="P666"/>
          <cell r="Q666">
            <v>2.0543332499999999E-4</v>
          </cell>
          <cell r="R666">
            <v>2.1393431498763744E-7</v>
          </cell>
          <cell r="S666">
            <v>2.3770479443070826E-8</v>
          </cell>
          <cell r="T666">
            <v>1.0696715749381872E-7</v>
          </cell>
          <cell r="U666"/>
          <cell r="V666"/>
          <cell r="W666">
            <v>30000</v>
          </cell>
          <cell r="X666">
            <v>0.33333333333333331</v>
          </cell>
          <cell r="Y666">
            <v>0.33333333333333331</v>
          </cell>
          <cell r="Z666">
            <v>0.33333333333333331</v>
          </cell>
          <cell r="AA666"/>
        </row>
        <row r="667">
          <cell r="A667">
            <v>660</v>
          </cell>
          <cell r="B667" t="str">
            <v>Benzaldehyde, 5-chloro-2-hydroxy-</v>
          </cell>
          <cell r="C667" t="str">
            <v>635-93-8</v>
          </cell>
          <cell r="D667" t="str">
            <v>Acid</v>
          </cell>
          <cell r="E667">
            <v>7.58</v>
          </cell>
          <cell r="F667">
            <v>156.57</v>
          </cell>
          <cell r="G667"/>
          <cell r="H667">
            <v>0.10399999997399999</v>
          </cell>
          <cell r="I667">
            <v>1467</v>
          </cell>
          <cell r="J667"/>
          <cell r="K667">
            <v>446.68359215096331</v>
          </cell>
          <cell r="L667"/>
          <cell r="M667"/>
          <cell r="N667"/>
          <cell r="O667"/>
          <cell r="P667"/>
          <cell r="Q667">
            <v>1.5166762499999999E-5</v>
          </cell>
          <cell r="R667">
            <v>2.1393431498763744E-7</v>
          </cell>
          <cell r="S667">
            <v>2.3770479443070826E-8</v>
          </cell>
          <cell r="T667">
            <v>1.0696715749381872E-7</v>
          </cell>
          <cell r="U667"/>
          <cell r="V667"/>
          <cell r="W667">
            <v>30000</v>
          </cell>
          <cell r="X667">
            <v>0.33333333333333331</v>
          </cell>
          <cell r="Y667">
            <v>0.33333333333333331</v>
          </cell>
          <cell r="Z667">
            <v>0.33333333333333331</v>
          </cell>
          <cell r="AA667"/>
        </row>
        <row r="668">
          <cell r="A668">
            <v>661</v>
          </cell>
          <cell r="B668" t="str">
            <v>4-METHYL-2-NITROPHENOL</v>
          </cell>
          <cell r="C668" t="str">
            <v>119-33-5</v>
          </cell>
          <cell r="D668" t="str">
            <v>Acid</v>
          </cell>
          <cell r="E668">
            <v>7.6</v>
          </cell>
          <cell r="F668">
            <v>153.13999999999999</v>
          </cell>
          <cell r="G668"/>
          <cell r="H668">
            <v>10.3999999974</v>
          </cell>
          <cell r="I668">
            <v>633</v>
          </cell>
          <cell r="J668"/>
          <cell r="K668">
            <v>234.42288153199232</v>
          </cell>
          <cell r="L668"/>
          <cell r="M668"/>
          <cell r="N668"/>
          <cell r="O668"/>
          <cell r="P668"/>
          <cell r="Q668">
            <v>4.0364924999999997E-6</v>
          </cell>
          <cell r="R668">
            <v>2.1393431498763744E-7</v>
          </cell>
          <cell r="S668">
            <v>2.3770479443070826E-8</v>
          </cell>
          <cell r="T668">
            <v>1.0696715749381872E-7</v>
          </cell>
          <cell r="U668"/>
          <cell r="V668"/>
          <cell r="W668">
            <v>30000</v>
          </cell>
          <cell r="X668">
            <v>0.33333333333333331</v>
          </cell>
          <cell r="Y668">
            <v>0.33333333333333331</v>
          </cell>
          <cell r="Z668">
            <v>0.33333333333333331</v>
          </cell>
          <cell r="AA668"/>
        </row>
        <row r="669">
          <cell r="A669">
            <v>662</v>
          </cell>
          <cell r="B669" t="str">
            <v>PHENOL,2,2'-METHYLENEBIS 4-CHLORO-</v>
          </cell>
          <cell r="C669" t="str">
            <v>97-23-4</v>
          </cell>
          <cell r="D669" t="str">
            <v>Acid</v>
          </cell>
          <cell r="E669">
            <v>7.6</v>
          </cell>
          <cell r="F669">
            <v>269.13</v>
          </cell>
          <cell r="G669"/>
          <cell r="H669">
            <v>1.299999999675E-8</v>
          </cell>
          <cell r="I669">
            <v>30</v>
          </cell>
          <cell r="J669"/>
          <cell r="K669">
            <v>18197.008586099837</v>
          </cell>
          <cell r="L669"/>
          <cell r="M669"/>
          <cell r="N669"/>
          <cell r="O669"/>
          <cell r="P669"/>
          <cell r="Q669">
            <v>1.8692940000000001E-5</v>
          </cell>
          <cell r="R669">
            <v>1.3370894686727339E-7</v>
          </cell>
          <cell r="S669">
            <v>1.4856549651919266E-8</v>
          </cell>
          <cell r="T669">
            <v>6.1711821631049263E-7</v>
          </cell>
          <cell r="U669"/>
          <cell r="V669"/>
          <cell r="W669">
            <v>30000</v>
          </cell>
          <cell r="X669">
            <v>0.33333333333333331</v>
          </cell>
          <cell r="Y669">
            <v>0.33333333333333331</v>
          </cell>
          <cell r="Z669">
            <v>0.33333333333333331</v>
          </cell>
          <cell r="AA669"/>
        </row>
        <row r="670">
          <cell r="A670">
            <v>663</v>
          </cell>
          <cell r="B670" t="str">
            <v>2-Nitropropane</v>
          </cell>
          <cell r="C670" t="str">
            <v>79-46-9</v>
          </cell>
          <cell r="D670" t="str">
            <v>Acid</v>
          </cell>
          <cell r="E670">
            <v>7.68</v>
          </cell>
          <cell r="F670">
            <v>89.09</v>
          </cell>
          <cell r="G670"/>
          <cell r="H670">
            <v>2293.3333327599998</v>
          </cell>
          <cell r="I670">
            <v>17000</v>
          </cell>
          <cell r="J670"/>
          <cell r="K670">
            <v>8.5113803820237681</v>
          </cell>
          <cell r="L670"/>
          <cell r="M670"/>
          <cell r="N670"/>
          <cell r="O670"/>
          <cell r="P670"/>
          <cell r="Q670">
            <v>1.9500000000000001E-7</v>
          </cell>
          <cell r="R670">
            <v>5.3483578746909358E-7</v>
          </cell>
          <cell r="S670">
            <v>5.9426198607677063E-8</v>
          </cell>
          <cell r="T670">
            <v>2.6741789373454679E-7</v>
          </cell>
          <cell r="U670"/>
          <cell r="V670"/>
          <cell r="W670">
            <v>30000</v>
          </cell>
          <cell r="X670">
            <v>0.33333333333333331</v>
          </cell>
          <cell r="Y670">
            <v>0.33333333333333331</v>
          </cell>
          <cell r="Z670">
            <v>0.33333333333333331</v>
          </cell>
          <cell r="AA670"/>
        </row>
        <row r="671">
          <cell r="A671">
            <v>664</v>
          </cell>
          <cell r="B671" t="str">
            <v>Antimycin A</v>
          </cell>
          <cell r="C671" t="str">
            <v>1397-94-0</v>
          </cell>
          <cell r="D671" t="str">
            <v>Acid</v>
          </cell>
          <cell r="E671">
            <v>7.69</v>
          </cell>
          <cell r="F671">
            <v>548.64</v>
          </cell>
          <cell r="G671"/>
          <cell r="H671">
            <v>4.1066666656399997E-20</v>
          </cell>
          <cell r="I671">
            <v>8.9010000000000006E-2</v>
          </cell>
          <cell r="J671"/>
          <cell r="K671">
            <v>16218.100973589309</v>
          </cell>
          <cell r="L671"/>
          <cell r="M671"/>
          <cell r="N671"/>
          <cell r="O671"/>
          <cell r="P671"/>
          <cell r="Q671">
            <v>7.7865299999999995E-5</v>
          </cell>
          <cell r="R671">
            <v>2.1393431498763744E-7</v>
          </cell>
          <cell r="S671">
            <v>2.3770479443070826E-8</v>
          </cell>
          <cell r="T671">
            <v>1.0696715749381872E-7</v>
          </cell>
          <cell r="U671"/>
          <cell r="V671"/>
          <cell r="W671">
            <v>30000</v>
          </cell>
          <cell r="X671">
            <v>0.33333333333333331</v>
          </cell>
          <cell r="Y671">
            <v>0.33333333333333331</v>
          </cell>
          <cell r="Z671">
            <v>0.33333333333333331</v>
          </cell>
          <cell r="AA671"/>
        </row>
        <row r="672">
          <cell r="A672">
            <v>665</v>
          </cell>
          <cell r="B672" t="str">
            <v>2,3-DICHLOROPHENOL</v>
          </cell>
          <cell r="C672" t="str">
            <v>576-24-9</v>
          </cell>
          <cell r="D672" t="str">
            <v>Acid</v>
          </cell>
          <cell r="E672">
            <v>7.7</v>
          </cell>
          <cell r="F672">
            <v>163</v>
          </cell>
          <cell r="G672"/>
          <cell r="H672">
            <v>7.7333333313999999</v>
          </cell>
          <cell r="I672">
            <v>3600</v>
          </cell>
          <cell r="J672"/>
          <cell r="K672">
            <v>691.83097091893671</v>
          </cell>
          <cell r="L672"/>
          <cell r="M672"/>
          <cell r="N672"/>
          <cell r="O672"/>
          <cell r="P672"/>
          <cell r="Q672">
            <v>1.2449999999999999E-6</v>
          </cell>
          <cell r="R672">
            <v>2.1393431498763744E-7</v>
          </cell>
          <cell r="S672">
            <v>2.3770479443070826E-8</v>
          </cell>
          <cell r="T672">
            <v>1.0696715749381872E-7</v>
          </cell>
          <cell r="U672"/>
          <cell r="V672"/>
          <cell r="W672">
            <v>30000</v>
          </cell>
          <cell r="X672">
            <v>0.33333333333333331</v>
          </cell>
          <cell r="Y672">
            <v>0.33333333333333331</v>
          </cell>
          <cell r="Z672">
            <v>0.33333333333333331</v>
          </cell>
          <cell r="AA672"/>
        </row>
        <row r="673">
          <cell r="A673">
            <v>666</v>
          </cell>
          <cell r="B673" t="str">
            <v>PHENOL, 4-AMINO-2-NITRO-</v>
          </cell>
          <cell r="C673" t="str">
            <v>119-34-6</v>
          </cell>
          <cell r="D673" t="str">
            <v>Acid</v>
          </cell>
          <cell r="E673">
            <v>7.71</v>
          </cell>
          <cell r="F673">
            <v>154.13</v>
          </cell>
          <cell r="G673"/>
          <cell r="H673">
            <v>3.1333333325499996E-3</v>
          </cell>
          <cell r="I673">
            <v>11020</v>
          </cell>
          <cell r="J673"/>
          <cell r="K673">
            <v>9.1201083935590983</v>
          </cell>
          <cell r="L673"/>
          <cell r="M673"/>
          <cell r="N673"/>
          <cell r="O673"/>
          <cell r="P673"/>
          <cell r="Q673">
            <v>5.223015E-6</v>
          </cell>
          <cell r="R673">
            <v>2.1393431498763744E-7</v>
          </cell>
          <cell r="S673">
            <v>2.3770479443070826E-8</v>
          </cell>
          <cell r="T673">
            <v>1.0696715749381872E-7</v>
          </cell>
          <cell r="U673"/>
          <cell r="V673"/>
          <cell r="W673">
            <v>30000</v>
          </cell>
          <cell r="X673">
            <v>0.33333333333333331</v>
          </cell>
          <cell r="Y673">
            <v>0.33333333333333331</v>
          </cell>
          <cell r="Z673">
            <v>0.33333333333333331</v>
          </cell>
          <cell r="AA673"/>
        </row>
        <row r="674">
          <cell r="A674">
            <v>667</v>
          </cell>
          <cell r="B674" t="str">
            <v>P-CYANOPHENOL</v>
          </cell>
          <cell r="C674" t="str">
            <v>767-00-0</v>
          </cell>
          <cell r="D674" t="str">
            <v>Acid</v>
          </cell>
          <cell r="E674">
            <v>7.73</v>
          </cell>
          <cell r="F674">
            <v>119.12</v>
          </cell>
          <cell r="G674"/>
          <cell r="H674">
            <v>0.23866666660699998</v>
          </cell>
          <cell r="I674">
            <v>8982</v>
          </cell>
          <cell r="J674"/>
          <cell r="K674">
            <v>39.810717055349755</v>
          </cell>
          <cell r="L674"/>
          <cell r="M674"/>
          <cell r="N674"/>
          <cell r="O674"/>
          <cell r="P674"/>
          <cell r="Q674">
            <v>4.5184799999999995E-6</v>
          </cell>
          <cell r="R674">
            <v>5.3483578746909358E-7</v>
          </cell>
          <cell r="S674">
            <v>5.9426198607677063E-8</v>
          </cell>
          <cell r="T674">
            <v>2.6741789373454679E-7</v>
          </cell>
          <cell r="U674"/>
          <cell r="V674"/>
          <cell r="W674">
            <v>30000</v>
          </cell>
          <cell r="X674">
            <v>0.33333333333333331</v>
          </cell>
          <cell r="Y674">
            <v>0.33333333333333331</v>
          </cell>
          <cell r="Z674">
            <v>0.33333333333333331</v>
          </cell>
          <cell r="AA674"/>
        </row>
        <row r="675">
          <cell r="A675">
            <v>668</v>
          </cell>
          <cell r="B675" t="str">
            <v>2,4-DIMETHOXY-6-HYDROXY-BENZALDEHYD</v>
          </cell>
          <cell r="C675" t="str">
            <v>708-76-9</v>
          </cell>
          <cell r="D675" t="str">
            <v>Acid</v>
          </cell>
          <cell r="E675">
            <v>7.74</v>
          </cell>
          <cell r="F675">
            <v>182.18</v>
          </cell>
          <cell r="G675"/>
          <cell r="H675">
            <v>2.3999999994000001E-2</v>
          </cell>
          <cell r="I675">
            <v>2871</v>
          </cell>
          <cell r="J675"/>
          <cell r="K675">
            <v>147.91083881682084</v>
          </cell>
          <cell r="L675"/>
          <cell r="M675"/>
          <cell r="N675"/>
          <cell r="O675"/>
          <cell r="P675"/>
          <cell r="Q675">
            <v>1.6400790000000001E-4</v>
          </cell>
          <cell r="R675">
            <v>5.3483578746909358E-7</v>
          </cell>
          <cell r="S675">
            <v>5.9426198607677063E-8</v>
          </cell>
          <cell r="T675">
            <v>2.6741789373454679E-7</v>
          </cell>
          <cell r="U675"/>
          <cell r="V675"/>
          <cell r="W675">
            <v>30000</v>
          </cell>
          <cell r="X675">
            <v>0.33333333333333331</v>
          </cell>
          <cell r="Y675">
            <v>0.33333333333333331</v>
          </cell>
          <cell r="Z675">
            <v>0.33333333333333331</v>
          </cell>
          <cell r="AA675"/>
        </row>
        <row r="676">
          <cell r="A676">
            <v>669</v>
          </cell>
          <cell r="B676" t="str">
            <v>PROPYL GALLATE</v>
          </cell>
          <cell r="C676" t="str">
            <v>121-79-9</v>
          </cell>
          <cell r="D676" t="str">
            <v>Acid</v>
          </cell>
          <cell r="E676">
            <v>7.8</v>
          </cell>
          <cell r="F676">
            <v>212.2</v>
          </cell>
          <cell r="G676"/>
          <cell r="H676">
            <v>5.4399999986399999E-5</v>
          </cell>
          <cell r="I676">
            <v>3500</v>
          </cell>
          <cell r="J676"/>
          <cell r="K676">
            <v>63.095734448019364</v>
          </cell>
          <cell r="L676"/>
          <cell r="M676"/>
          <cell r="N676"/>
          <cell r="O676"/>
          <cell r="P676"/>
          <cell r="Q676">
            <v>6.9153067499999995E-5</v>
          </cell>
          <cell r="R676">
            <v>5.3483578746909358E-7</v>
          </cell>
          <cell r="S676">
            <v>5.9426198607677063E-8</v>
          </cell>
          <cell r="T676">
            <v>2.6741789373454679E-7</v>
          </cell>
          <cell r="U676"/>
          <cell r="V676"/>
          <cell r="W676">
            <v>30000</v>
          </cell>
          <cell r="X676">
            <v>0.33333333333333331</v>
          </cell>
          <cell r="Y676">
            <v>0.33333333333333331</v>
          </cell>
          <cell r="Z676">
            <v>0.33333333333333331</v>
          </cell>
          <cell r="AA676"/>
        </row>
        <row r="677">
          <cell r="A677">
            <v>670</v>
          </cell>
          <cell r="B677" t="str">
            <v>3,4,5-TRICHLOROPHENOL</v>
          </cell>
          <cell r="C677" t="str">
            <v>609-19-8</v>
          </cell>
          <cell r="D677" t="str">
            <v>Acid</v>
          </cell>
          <cell r="E677">
            <v>7.84</v>
          </cell>
          <cell r="F677">
            <v>197.45</v>
          </cell>
          <cell r="G677"/>
          <cell r="H677">
            <v>6.6133333316800005E-2</v>
          </cell>
          <cell r="I677">
            <v>64.489999999999995</v>
          </cell>
          <cell r="J677"/>
          <cell r="K677">
            <v>10232.929922807549</v>
          </cell>
          <cell r="L677"/>
          <cell r="M677"/>
          <cell r="N677"/>
          <cell r="O677"/>
          <cell r="P677"/>
          <cell r="Q677">
            <v>3.7164449999999999E-6</v>
          </cell>
          <cell r="R677">
            <v>1.3370894686727339E-7</v>
          </cell>
          <cell r="S677">
            <v>1.4856549651919266E-8</v>
          </cell>
          <cell r="T677">
            <v>6.6854473433636697E-8</v>
          </cell>
          <cell r="U677"/>
          <cell r="V677"/>
          <cell r="W677">
            <v>30000</v>
          </cell>
          <cell r="X677">
            <v>0.33333333333333331</v>
          </cell>
          <cell r="Y677">
            <v>0.33333333333333331</v>
          </cell>
          <cell r="Z677">
            <v>0.33333333333333331</v>
          </cell>
          <cell r="AA677"/>
        </row>
        <row r="678">
          <cell r="A678">
            <v>671</v>
          </cell>
          <cell r="B678" t="str">
            <v>DICHLOROPHENOL</v>
          </cell>
          <cell r="C678" t="str">
            <v>25167-81-1</v>
          </cell>
          <cell r="D678" t="str">
            <v>Acid</v>
          </cell>
          <cell r="E678">
            <v>7.89</v>
          </cell>
          <cell r="F678">
            <v>163</v>
          </cell>
          <cell r="G678"/>
          <cell r="H678">
            <v>11.999999997</v>
          </cell>
          <cell r="I678">
            <v>4500</v>
          </cell>
          <cell r="J678"/>
          <cell r="K678">
            <v>1148.1536214968839</v>
          </cell>
          <cell r="L678"/>
          <cell r="M678"/>
          <cell r="N678"/>
          <cell r="O678"/>
          <cell r="P678"/>
          <cell r="Q678">
            <v>7.9499999999999991E-7</v>
          </cell>
          <cell r="R678">
            <v>2.1393431498763744E-7</v>
          </cell>
          <cell r="S678">
            <v>2.3770479443070826E-8</v>
          </cell>
          <cell r="T678">
            <v>1.0696715749381872E-7</v>
          </cell>
          <cell r="U678"/>
          <cell r="V678"/>
          <cell r="W678">
            <v>30000</v>
          </cell>
          <cell r="X678">
            <v>0.33333333333333331</v>
          </cell>
          <cell r="Y678">
            <v>0.33333333333333331</v>
          </cell>
          <cell r="Z678">
            <v>0.33333333333333331</v>
          </cell>
          <cell r="AA678"/>
        </row>
        <row r="679">
          <cell r="A679">
            <v>672</v>
          </cell>
          <cell r="B679" t="str">
            <v>2,4-dichlorophenol</v>
          </cell>
          <cell r="C679" t="str">
            <v>120-83-2</v>
          </cell>
          <cell r="D679" t="str">
            <v>Acid</v>
          </cell>
          <cell r="E679">
            <v>7.89</v>
          </cell>
          <cell r="F679">
            <v>163</v>
          </cell>
          <cell r="G679"/>
          <cell r="H679">
            <v>11.999999997</v>
          </cell>
          <cell r="I679">
            <v>4500</v>
          </cell>
          <cell r="J679"/>
          <cell r="K679">
            <v>1148.1536214968839</v>
          </cell>
          <cell r="L679"/>
          <cell r="M679"/>
          <cell r="N679"/>
          <cell r="O679"/>
          <cell r="P679"/>
          <cell r="Q679">
            <v>7.9499999999999991E-7</v>
          </cell>
          <cell r="R679">
            <v>2.1393431498763744E-7</v>
          </cell>
          <cell r="S679">
            <v>2.3770479443070826E-8</v>
          </cell>
          <cell r="T679">
            <v>1.0696715749381872E-7</v>
          </cell>
          <cell r="U679"/>
          <cell r="V679"/>
          <cell r="W679">
            <v>30000</v>
          </cell>
          <cell r="X679">
            <v>0.33333333333333331</v>
          </cell>
          <cell r="Y679">
            <v>0.33333333333333331</v>
          </cell>
          <cell r="Z679">
            <v>0.33333333333333331</v>
          </cell>
          <cell r="AA679"/>
        </row>
        <row r="680">
          <cell r="A680">
            <v>673</v>
          </cell>
          <cell r="B680" t="str">
            <v>HYDROCHLOROTHIAZIDE</v>
          </cell>
          <cell r="C680" t="str">
            <v>58-93-5</v>
          </cell>
          <cell r="D680" t="str">
            <v>Acid</v>
          </cell>
          <cell r="E680">
            <v>7.9</v>
          </cell>
          <cell r="F680">
            <v>297.73</v>
          </cell>
          <cell r="G680"/>
          <cell r="H680">
            <v>2.3733333327400001E-8</v>
          </cell>
          <cell r="I680">
            <v>722</v>
          </cell>
          <cell r="J680"/>
          <cell r="K680">
            <v>0.85113803820237643</v>
          </cell>
          <cell r="L680"/>
          <cell r="M680"/>
          <cell r="N680"/>
          <cell r="O680"/>
          <cell r="P680"/>
          <cell r="Q680">
            <v>6.1614982500000001E-5</v>
          </cell>
          <cell r="R680">
            <v>1.3370894686727339E-7</v>
          </cell>
          <cell r="S680">
            <v>1.4856549651919266E-8</v>
          </cell>
          <cell r="T680">
            <v>6.6854473433636697E-8</v>
          </cell>
          <cell r="U680"/>
          <cell r="V680"/>
          <cell r="W680">
            <v>30000</v>
          </cell>
          <cell r="X680">
            <v>0.33333333333333331</v>
          </cell>
          <cell r="Y680">
            <v>0.33333333333333331</v>
          </cell>
          <cell r="Z680">
            <v>0.33333333333333331</v>
          </cell>
          <cell r="AA680"/>
        </row>
        <row r="681">
          <cell r="A681">
            <v>674</v>
          </cell>
          <cell r="B681" t="str">
            <v>O-VANILLIN</v>
          </cell>
          <cell r="C681" t="str">
            <v>148-53-8</v>
          </cell>
          <cell r="D681" t="str">
            <v>Acid</v>
          </cell>
          <cell r="E681">
            <v>7.91</v>
          </cell>
          <cell r="F681">
            <v>152.15</v>
          </cell>
          <cell r="G681"/>
          <cell r="H681">
            <v>0.41333333322999999</v>
          </cell>
          <cell r="I681">
            <v>5019</v>
          </cell>
          <cell r="J681"/>
          <cell r="K681">
            <v>23.442288153199236</v>
          </cell>
          <cell r="L681"/>
          <cell r="M681"/>
          <cell r="N681"/>
          <cell r="O681"/>
          <cell r="P681"/>
          <cell r="Q681">
            <v>2.0505720000000001E-5</v>
          </cell>
          <cell r="R681">
            <v>5.3483578746909358E-7</v>
          </cell>
          <cell r="S681">
            <v>5.9426198607677063E-8</v>
          </cell>
          <cell r="T681">
            <v>2.6741789373454679E-7</v>
          </cell>
          <cell r="U681"/>
          <cell r="V681"/>
          <cell r="W681">
            <v>30000</v>
          </cell>
          <cell r="X681">
            <v>0.33333333333333331</v>
          </cell>
          <cell r="Y681">
            <v>0.33333333333333331</v>
          </cell>
          <cell r="Z681">
            <v>0.33333333333333331</v>
          </cell>
          <cell r="AA681"/>
        </row>
        <row r="682">
          <cell r="A682">
            <v>675</v>
          </cell>
          <cell r="B682" t="str">
            <v>CURCUMIN</v>
          </cell>
          <cell r="C682" t="str">
            <v>458-37-7</v>
          </cell>
          <cell r="D682" t="str">
            <v>Acid</v>
          </cell>
          <cell r="E682">
            <v>7.97</v>
          </cell>
          <cell r="F682">
            <v>368.39</v>
          </cell>
          <cell r="G682"/>
          <cell r="H682">
            <v>4.1066666656399993E-10</v>
          </cell>
          <cell r="I682">
            <v>7.4749999999999996</v>
          </cell>
          <cell r="J682"/>
          <cell r="K682">
            <v>1949.8445997580463</v>
          </cell>
          <cell r="L682"/>
          <cell r="M682"/>
          <cell r="N682"/>
          <cell r="O682"/>
          <cell r="P682"/>
          <cell r="Q682">
            <v>1.18643175E-4</v>
          </cell>
          <cell r="R682">
            <v>2.1393431498763744E-7</v>
          </cell>
          <cell r="S682">
            <v>2.3770479443070826E-8</v>
          </cell>
          <cell r="T682">
            <v>1.0696715749381872E-7</v>
          </cell>
          <cell r="U682"/>
          <cell r="V682"/>
          <cell r="W682">
            <v>30000</v>
          </cell>
          <cell r="X682">
            <v>0.33333333333333331</v>
          </cell>
          <cell r="Y682">
            <v>0.33333333333333331</v>
          </cell>
          <cell r="Z682">
            <v>0.33333333333333331</v>
          </cell>
          <cell r="AA682"/>
        </row>
        <row r="683">
          <cell r="A683">
            <v>676</v>
          </cell>
          <cell r="B683" t="str">
            <v>5-CHLORO-2-(2,4-DICHLOROPHENOXY)PHENOL</v>
          </cell>
          <cell r="C683" t="str">
            <v>3380-34-5</v>
          </cell>
          <cell r="D683" t="str">
            <v>Acid</v>
          </cell>
          <cell r="E683">
            <v>8.01</v>
          </cell>
          <cell r="F683">
            <v>289.55</v>
          </cell>
          <cell r="G683"/>
          <cell r="H683">
            <v>6.1999999984499996E-4</v>
          </cell>
          <cell r="I683">
            <v>10</v>
          </cell>
          <cell r="J683"/>
          <cell r="K683">
            <v>57543.993733715732</v>
          </cell>
          <cell r="L683"/>
          <cell r="M683"/>
          <cell r="N683"/>
          <cell r="O683"/>
          <cell r="P683"/>
          <cell r="Q683">
            <v>1.2086047500000001E-5</v>
          </cell>
          <cell r="R683">
            <v>1.3370894686727339E-7</v>
          </cell>
          <cell r="S683">
            <v>1.4856549651919266E-8</v>
          </cell>
          <cell r="T683">
            <v>6.6854473433636697E-8</v>
          </cell>
          <cell r="U683"/>
          <cell r="V683"/>
          <cell r="W683">
            <v>30000</v>
          </cell>
          <cell r="X683">
            <v>0.33333333333333331</v>
          </cell>
          <cell r="Y683">
            <v>0.33333333333333331</v>
          </cell>
          <cell r="Z683">
            <v>0.33333333333333331</v>
          </cell>
          <cell r="AA683"/>
        </row>
        <row r="684">
          <cell r="A684">
            <v>677</v>
          </cell>
          <cell r="B684" t="str">
            <v>P-HYDROXYACETOPHENONE</v>
          </cell>
          <cell r="C684" t="str">
            <v>99-93-4</v>
          </cell>
          <cell r="D684" t="str">
            <v>Acid</v>
          </cell>
          <cell r="E684">
            <v>8.0500000000000007</v>
          </cell>
          <cell r="F684">
            <v>136.15</v>
          </cell>
          <cell r="G684"/>
          <cell r="H684">
            <v>0.26133333326799996</v>
          </cell>
          <cell r="I684">
            <v>9900</v>
          </cell>
          <cell r="J684"/>
          <cell r="K684">
            <v>22.387211385683404</v>
          </cell>
          <cell r="L684"/>
          <cell r="M684"/>
          <cell r="N684"/>
          <cell r="O684"/>
          <cell r="P684"/>
          <cell r="Q684">
            <v>2.2967145000000002E-5</v>
          </cell>
          <cell r="R684">
            <v>5.3483578746909358E-7</v>
          </cell>
          <cell r="S684">
            <v>5.9426198607677063E-8</v>
          </cell>
          <cell r="T684">
            <v>2.6741789373454679E-7</v>
          </cell>
          <cell r="U684"/>
          <cell r="V684"/>
          <cell r="W684">
            <v>30000</v>
          </cell>
          <cell r="X684">
            <v>0.33333333333333331</v>
          </cell>
          <cell r="Y684">
            <v>0.33333333333333331</v>
          </cell>
          <cell r="Z684">
            <v>0.33333333333333331</v>
          </cell>
          <cell r="AA684"/>
        </row>
        <row r="685">
          <cell r="A685">
            <v>678</v>
          </cell>
          <cell r="B685" t="str">
            <v>4-CHLORORESORCINOL</v>
          </cell>
          <cell r="C685" t="str">
            <v>95-88-5</v>
          </cell>
          <cell r="D685" t="str">
            <v>Acid</v>
          </cell>
          <cell r="E685">
            <v>8.11</v>
          </cell>
          <cell r="F685">
            <v>144.56</v>
          </cell>
          <cell r="G685"/>
          <cell r="H685">
            <v>6.5333333316999989E-2</v>
          </cell>
          <cell r="I685">
            <v>8840</v>
          </cell>
          <cell r="J685"/>
          <cell r="K685">
            <v>63.095734448019364</v>
          </cell>
          <cell r="L685"/>
          <cell r="M685"/>
          <cell r="N685"/>
          <cell r="O685"/>
          <cell r="P685"/>
          <cell r="Q685">
            <v>1.2494870999999998E-4</v>
          </cell>
          <cell r="R685">
            <v>5.3483578746909358E-7</v>
          </cell>
          <cell r="S685">
            <v>5.9426198607677063E-8</v>
          </cell>
          <cell r="T685">
            <v>2.6741789373454679E-7</v>
          </cell>
          <cell r="U685"/>
          <cell r="V685"/>
          <cell r="W685">
            <v>30000</v>
          </cell>
          <cell r="X685">
            <v>0.33333333333333331</v>
          </cell>
          <cell r="Y685">
            <v>0.33333333333333331</v>
          </cell>
          <cell r="Z685">
            <v>0.33333333333333331</v>
          </cell>
          <cell r="AA685"/>
        </row>
        <row r="686">
          <cell r="A686">
            <v>679</v>
          </cell>
          <cell r="B686" t="str">
            <v>4,6-DICHLORO-O-CRESOL</v>
          </cell>
          <cell r="C686" t="str">
            <v>1570-65-6</v>
          </cell>
          <cell r="D686" t="str">
            <v>Acid</v>
          </cell>
          <cell r="E686">
            <v>8.15</v>
          </cell>
          <cell r="F686">
            <v>177.03</v>
          </cell>
          <cell r="G686"/>
          <cell r="H686">
            <v>0.72399999981899998</v>
          </cell>
          <cell r="I686">
            <v>1600</v>
          </cell>
          <cell r="J686"/>
          <cell r="K686">
            <v>2238.7211385683418</v>
          </cell>
          <cell r="L686"/>
          <cell r="M686"/>
          <cell r="N686"/>
          <cell r="O686"/>
          <cell r="P686"/>
          <cell r="Q686">
            <v>1.5075899999999999E-6</v>
          </cell>
          <cell r="R686">
            <v>2.1393431498763744E-7</v>
          </cell>
          <cell r="S686">
            <v>2.3770479443070826E-8</v>
          </cell>
          <cell r="T686">
            <v>1.0696715749381872E-7</v>
          </cell>
          <cell r="U686"/>
          <cell r="V686"/>
          <cell r="W686">
            <v>30000</v>
          </cell>
          <cell r="X686">
            <v>0.33333333333333331</v>
          </cell>
          <cell r="Y686">
            <v>0.33333333333333331</v>
          </cell>
          <cell r="Z686">
            <v>0.33333333333333331</v>
          </cell>
          <cell r="AA686"/>
        </row>
        <row r="687">
          <cell r="A687">
            <v>680</v>
          </cell>
          <cell r="B687" t="str">
            <v>P-PHENYLAZOPHENOL</v>
          </cell>
          <cell r="C687" t="str">
            <v>1689-82-3</v>
          </cell>
          <cell r="D687" t="str">
            <v>Acid</v>
          </cell>
          <cell r="E687">
            <v>8.1999999999999993</v>
          </cell>
          <cell r="F687">
            <v>198.23</v>
          </cell>
          <cell r="G687"/>
          <cell r="H687">
            <v>3.0799999992299999E-5</v>
          </cell>
          <cell r="I687">
            <v>90</v>
          </cell>
          <cell r="J687"/>
          <cell r="K687">
            <v>4265.7951880159299</v>
          </cell>
          <cell r="L687"/>
          <cell r="M687"/>
          <cell r="N687"/>
          <cell r="O687"/>
          <cell r="P687"/>
          <cell r="Q687">
            <v>1.05896625E-5</v>
          </cell>
          <cell r="R687">
            <v>2.1393431498763744E-7</v>
          </cell>
          <cell r="S687">
            <v>2.3770479443070826E-8</v>
          </cell>
          <cell r="T687">
            <v>1.0696715749381872E-7</v>
          </cell>
          <cell r="U687"/>
          <cell r="V687"/>
          <cell r="W687">
            <v>30000</v>
          </cell>
          <cell r="X687">
            <v>0.33333333333333331</v>
          </cell>
          <cell r="Y687">
            <v>0.33333333333333331</v>
          </cell>
          <cell r="Z687">
            <v>0.33333333333333331</v>
          </cell>
          <cell r="AA687"/>
        </row>
        <row r="688">
          <cell r="A688">
            <v>681</v>
          </cell>
          <cell r="B688" t="str">
            <v>Benzaldehyde, 4-(diethylamino)-2-hydroxy-</v>
          </cell>
          <cell r="C688" t="str">
            <v>17754-90-4</v>
          </cell>
          <cell r="D688" t="str">
            <v>Acid</v>
          </cell>
          <cell r="E688">
            <v>8.24</v>
          </cell>
          <cell r="F688">
            <v>193.25</v>
          </cell>
          <cell r="G688"/>
          <cell r="H688">
            <v>6.4266666650599994E-3</v>
          </cell>
          <cell r="I688">
            <v>186.5</v>
          </cell>
          <cell r="J688"/>
          <cell r="K688">
            <v>660.69344800759643</v>
          </cell>
          <cell r="L688"/>
          <cell r="M688"/>
          <cell r="N688"/>
          <cell r="O688"/>
          <cell r="P688"/>
          <cell r="Q688">
            <v>1.7604372000000002E-4</v>
          </cell>
          <cell r="R688">
            <v>2.1393431498763744E-7</v>
          </cell>
          <cell r="S688">
            <v>2.3770479443070826E-8</v>
          </cell>
          <cell r="T688">
            <v>1.0696715749381872E-7</v>
          </cell>
          <cell r="U688"/>
          <cell r="V688"/>
          <cell r="W688">
            <v>30000</v>
          </cell>
          <cell r="X688">
            <v>0.33333333333333331</v>
          </cell>
          <cell r="Y688">
            <v>0.33333333333333331</v>
          </cell>
          <cell r="Z688">
            <v>0.33333333333333331</v>
          </cell>
          <cell r="AA688"/>
        </row>
        <row r="689">
          <cell r="A689">
            <v>682</v>
          </cell>
          <cell r="B689" t="str">
            <v>PHTHALIMIDE</v>
          </cell>
          <cell r="C689" t="str">
            <v>85-41-6</v>
          </cell>
          <cell r="D689" t="str">
            <v>Acid</v>
          </cell>
          <cell r="E689">
            <v>8.3000000000000007</v>
          </cell>
          <cell r="F689">
            <v>147.13</v>
          </cell>
          <cell r="G689"/>
          <cell r="H689">
            <v>1.3999999996499998E-6</v>
          </cell>
          <cell r="I689">
            <v>360</v>
          </cell>
          <cell r="J689"/>
          <cell r="K689">
            <v>14.125375446227544</v>
          </cell>
          <cell r="L689"/>
          <cell r="M689"/>
          <cell r="N689"/>
          <cell r="O689"/>
          <cell r="P689"/>
          <cell r="Q689">
            <v>4.6869E-6</v>
          </cell>
          <cell r="R689">
            <v>5.3483578746909358E-7</v>
          </cell>
          <cell r="S689">
            <v>5.9426198607677063E-8</v>
          </cell>
          <cell r="T689">
            <v>3.4880594834940889E-6</v>
          </cell>
          <cell r="U689"/>
          <cell r="V689"/>
          <cell r="W689">
            <v>30000</v>
          </cell>
          <cell r="X689">
            <v>0.33333333333333331</v>
          </cell>
          <cell r="Y689">
            <v>0.33333333333333331</v>
          </cell>
          <cell r="Z689">
            <v>0.33333333333333331</v>
          </cell>
          <cell r="AA689"/>
        </row>
        <row r="690">
          <cell r="A690">
            <v>683</v>
          </cell>
          <cell r="B690" t="str">
            <v>4-CHLORCATECHOL</v>
          </cell>
          <cell r="C690" t="str">
            <v>2138-22-9</v>
          </cell>
          <cell r="D690" t="str">
            <v>Acid</v>
          </cell>
          <cell r="E690">
            <v>8.33</v>
          </cell>
          <cell r="F690">
            <v>144.56</v>
          </cell>
          <cell r="G690"/>
          <cell r="H690">
            <v>9.7066666642400004E-2</v>
          </cell>
          <cell r="I690">
            <v>11260</v>
          </cell>
          <cell r="J690"/>
          <cell r="K690">
            <v>47.863009232263856</v>
          </cell>
          <cell r="L690"/>
          <cell r="M690"/>
          <cell r="N690"/>
          <cell r="O690"/>
          <cell r="P690"/>
          <cell r="Q690">
            <v>1.23149025E-5</v>
          </cell>
          <cell r="R690">
            <v>5.3483578746909358E-7</v>
          </cell>
          <cell r="S690">
            <v>5.9426198607677063E-8</v>
          </cell>
          <cell r="T690">
            <v>2.6741789373454679E-7</v>
          </cell>
          <cell r="U690"/>
          <cell r="V690"/>
          <cell r="W690">
            <v>30000</v>
          </cell>
          <cell r="X690">
            <v>0.33333333333333331</v>
          </cell>
          <cell r="Y690">
            <v>0.33333333333333331</v>
          </cell>
          <cell r="Z690">
            <v>0.33333333333333331</v>
          </cell>
          <cell r="AA690"/>
        </row>
        <row r="691">
          <cell r="A691">
            <v>684</v>
          </cell>
          <cell r="B691" t="str">
            <v>3-NITROPHENOL</v>
          </cell>
          <cell r="C691" t="str">
            <v>554-84-7</v>
          </cell>
          <cell r="D691" t="str">
            <v>Acid</v>
          </cell>
          <cell r="E691">
            <v>8.36</v>
          </cell>
          <cell r="F691">
            <v>139.11000000000001</v>
          </cell>
          <cell r="G691"/>
          <cell r="H691">
            <v>0.15733333329400001</v>
          </cell>
          <cell r="I691">
            <v>13500</v>
          </cell>
          <cell r="J691"/>
          <cell r="K691">
            <v>100</v>
          </cell>
          <cell r="L691"/>
          <cell r="M691"/>
          <cell r="N691"/>
          <cell r="O691"/>
          <cell r="P691"/>
          <cell r="Q691">
            <v>2.2890449999999998E-6</v>
          </cell>
          <cell r="R691">
            <v>5.3483578746909358E-7</v>
          </cell>
          <cell r="S691">
            <v>5.9426198607677063E-8</v>
          </cell>
          <cell r="T691">
            <v>2.6741789373454679E-7</v>
          </cell>
          <cell r="U691"/>
          <cell r="V691"/>
          <cell r="W691">
            <v>30000</v>
          </cell>
          <cell r="X691">
            <v>0.33333333333333331</v>
          </cell>
          <cell r="Y691">
            <v>0.33333333333333331</v>
          </cell>
          <cell r="Z691">
            <v>0.33333333333333331</v>
          </cell>
          <cell r="AA691"/>
        </row>
        <row r="692">
          <cell r="A692">
            <v>685</v>
          </cell>
          <cell r="B692" t="str">
            <v>O-BROMOPHENOL</v>
          </cell>
          <cell r="C692" t="str">
            <v>95-56-7</v>
          </cell>
          <cell r="D692" t="str">
            <v>Acid</v>
          </cell>
          <cell r="E692">
            <v>8.4499999999999993</v>
          </cell>
          <cell r="F692">
            <v>173.01</v>
          </cell>
          <cell r="G692"/>
          <cell r="H692">
            <v>33.866666658199996</v>
          </cell>
          <cell r="I692">
            <v>2227</v>
          </cell>
          <cell r="J692"/>
          <cell r="K692">
            <v>223.87211385683412</v>
          </cell>
          <cell r="L692"/>
          <cell r="M692"/>
          <cell r="N692"/>
          <cell r="O692"/>
          <cell r="P692"/>
          <cell r="Q692">
            <v>7.2690974999999994E-6</v>
          </cell>
          <cell r="R692">
            <v>2.1393431498763744E-7</v>
          </cell>
          <cell r="S692">
            <v>2.3770479443070826E-8</v>
          </cell>
          <cell r="T692">
            <v>1.0696715749381872E-7</v>
          </cell>
          <cell r="U692"/>
          <cell r="V692"/>
          <cell r="W692">
            <v>30000</v>
          </cell>
          <cell r="X692">
            <v>0.33333333333333331</v>
          </cell>
          <cell r="Y692">
            <v>0.33333333333333331</v>
          </cell>
          <cell r="Z692">
            <v>0.33333333333333331</v>
          </cell>
          <cell r="AA692"/>
        </row>
        <row r="693">
          <cell r="A693">
            <v>686</v>
          </cell>
          <cell r="B693" t="str">
            <v>2-METHYL-6-CHLOROPHENOL</v>
          </cell>
          <cell r="C693" t="str">
            <v>87-64-9</v>
          </cell>
          <cell r="D693" t="str">
            <v>Acid</v>
          </cell>
          <cell r="E693">
            <v>8.69</v>
          </cell>
          <cell r="F693">
            <v>142.59</v>
          </cell>
          <cell r="G693"/>
          <cell r="H693">
            <v>32.533333325199997</v>
          </cell>
          <cell r="I693">
            <v>24000</v>
          </cell>
          <cell r="J693"/>
          <cell r="K693">
            <v>630.95734448019323</v>
          </cell>
          <cell r="L693"/>
          <cell r="M693"/>
          <cell r="N693"/>
          <cell r="O693"/>
          <cell r="P693"/>
          <cell r="Q693">
            <v>9.1532549999999995E-6</v>
          </cell>
          <cell r="R693">
            <v>2.1393431498763744E-7</v>
          </cell>
          <cell r="S693">
            <v>2.3770479443070826E-8</v>
          </cell>
          <cell r="T693">
            <v>1.0696715749381872E-7</v>
          </cell>
          <cell r="U693"/>
          <cell r="V693"/>
          <cell r="W693">
            <v>30000</v>
          </cell>
          <cell r="X693">
            <v>0.33333333333333331</v>
          </cell>
          <cell r="Y693">
            <v>0.33333333333333331</v>
          </cell>
          <cell r="Z693">
            <v>0.33333333333333331</v>
          </cell>
          <cell r="AA693"/>
        </row>
        <row r="694">
          <cell r="A694">
            <v>687</v>
          </cell>
          <cell r="B694" t="str">
            <v>PHENYLEPHRINE HCL</v>
          </cell>
          <cell r="C694" t="str">
            <v>61-76-7</v>
          </cell>
          <cell r="D694" t="str">
            <v>Acid</v>
          </cell>
          <cell r="E694">
            <v>8.86</v>
          </cell>
          <cell r="F694">
            <v>203.67</v>
          </cell>
          <cell r="G694"/>
          <cell r="H694">
            <v>1.50666666629E-8</v>
          </cell>
          <cell r="I694">
            <v>1000000</v>
          </cell>
          <cell r="J694"/>
          <cell r="K694">
            <v>7.9432823472428099E-4</v>
          </cell>
          <cell r="L694"/>
          <cell r="M694"/>
          <cell r="N694"/>
          <cell r="O694"/>
          <cell r="P694"/>
          <cell r="Q694">
            <v>7.4736299999999991E-5</v>
          </cell>
          <cell r="R694">
            <v>5.3483578746909358E-7</v>
          </cell>
          <cell r="S694">
            <v>5.9426198607677063E-8</v>
          </cell>
          <cell r="T694">
            <v>2.6741789373454679E-7</v>
          </cell>
          <cell r="U694"/>
          <cell r="V694"/>
          <cell r="W694">
            <v>30000</v>
          </cell>
          <cell r="X694">
            <v>0.33333333333333331</v>
          </cell>
          <cell r="Y694">
            <v>0.33333333333333331</v>
          </cell>
          <cell r="Z694">
            <v>0.33333333333333331</v>
          </cell>
          <cell r="AA694"/>
        </row>
        <row r="695">
          <cell r="A695">
            <v>688</v>
          </cell>
          <cell r="B695" t="str">
            <v>ERYTHROMYCIN</v>
          </cell>
          <cell r="C695" t="str">
            <v>114-07-8</v>
          </cell>
          <cell r="D695" t="str">
            <v>Acid</v>
          </cell>
          <cell r="E695">
            <v>8.8800000000000008</v>
          </cell>
          <cell r="F695">
            <v>733.95</v>
          </cell>
          <cell r="G695"/>
          <cell r="H695">
            <v>2.8266666659599997E-23</v>
          </cell>
          <cell r="I695">
            <v>0.51680000000000004</v>
          </cell>
          <cell r="J695"/>
          <cell r="K695">
            <v>1148.1536214968839</v>
          </cell>
          <cell r="L695"/>
          <cell r="M695"/>
          <cell r="N695"/>
          <cell r="O695"/>
          <cell r="P695"/>
          <cell r="Q695">
            <v>3.0215574749999996E-4</v>
          </cell>
          <cell r="R695">
            <v>4.45696489557578E-8</v>
          </cell>
          <cell r="S695">
            <v>4.9521832173064224E-9</v>
          </cell>
          <cell r="T695">
            <v>2.22848244778789E-8</v>
          </cell>
          <cell r="U695"/>
          <cell r="V695"/>
          <cell r="W695">
            <v>30000</v>
          </cell>
          <cell r="X695">
            <v>0.33333333333333331</v>
          </cell>
          <cell r="Y695">
            <v>0.33333333333333331</v>
          </cell>
          <cell r="Z695">
            <v>0.33333333333333331</v>
          </cell>
          <cell r="AA695"/>
        </row>
        <row r="696">
          <cell r="A696">
            <v>689</v>
          </cell>
          <cell r="B696" t="str">
            <v>2,4-PENTANEDIONE</v>
          </cell>
          <cell r="C696" t="str">
            <v>123-54-6</v>
          </cell>
          <cell r="D696" t="str">
            <v>Acid</v>
          </cell>
          <cell r="E696">
            <v>8.93</v>
          </cell>
          <cell r="F696">
            <v>100.12</v>
          </cell>
          <cell r="G696"/>
          <cell r="H696">
            <v>394.66666656799998</v>
          </cell>
          <cell r="I696">
            <v>166000</v>
          </cell>
          <cell r="J696"/>
          <cell r="K696">
            <v>2.5118864315095806</v>
          </cell>
          <cell r="L696"/>
          <cell r="M696"/>
          <cell r="N696"/>
          <cell r="O696"/>
          <cell r="P696"/>
          <cell r="Q696">
            <v>8.625E-7</v>
          </cell>
          <cell r="R696">
            <v>5.3483578746909358E-7</v>
          </cell>
          <cell r="S696">
            <v>5.9426198607677063E-8</v>
          </cell>
          <cell r="T696">
            <v>2.6741789373454679E-7</v>
          </cell>
          <cell r="U696"/>
          <cell r="V696"/>
          <cell r="W696">
            <v>30000</v>
          </cell>
          <cell r="X696">
            <v>0.33333333333333331</v>
          </cell>
          <cell r="Y696">
            <v>0.33333333333333331</v>
          </cell>
          <cell r="Z696">
            <v>0.33333333333333331</v>
          </cell>
          <cell r="AA696"/>
        </row>
        <row r="697">
          <cell r="A697">
            <v>690</v>
          </cell>
          <cell r="B697" t="str">
            <v>M-TRIFLUOROMETHYLPHENOL</v>
          </cell>
          <cell r="C697" t="str">
            <v>98-17-9</v>
          </cell>
          <cell r="D697" t="str">
            <v>Acid</v>
          </cell>
          <cell r="E697">
            <v>8.9499999999999993</v>
          </cell>
          <cell r="F697">
            <v>162.11000000000001</v>
          </cell>
          <cell r="G697"/>
          <cell r="H697">
            <v>81.199999979699996</v>
          </cell>
          <cell r="I697">
            <v>769.7</v>
          </cell>
          <cell r="J697"/>
          <cell r="K697">
            <v>891.25093813374656</v>
          </cell>
          <cell r="L697"/>
          <cell r="M697"/>
          <cell r="N697"/>
          <cell r="O697"/>
          <cell r="P697"/>
          <cell r="Q697">
            <v>3.8875200000000002E-6</v>
          </cell>
          <cell r="R697">
            <v>2.1393431498763744E-7</v>
          </cell>
          <cell r="S697">
            <v>2.3770479443070826E-8</v>
          </cell>
          <cell r="T697">
            <v>1.0696715749381872E-7</v>
          </cell>
          <cell r="U697"/>
          <cell r="V697"/>
          <cell r="W697">
            <v>30000</v>
          </cell>
          <cell r="X697">
            <v>0.33333333333333331</v>
          </cell>
          <cell r="Y697">
            <v>0.33333333333333331</v>
          </cell>
          <cell r="Z697">
            <v>0.33333333333333331</v>
          </cell>
          <cell r="AA697"/>
        </row>
        <row r="698">
          <cell r="A698">
            <v>691</v>
          </cell>
          <cell r="B698" t="str">
            <v>Hematoxylin</v>
          </cell>
          <cell r="C698" t="str">
            <v>517-28-2</v>
          </cell>
          <cell r="D698" t="str">
            <v>Acid</v>
          </cell>
          <cell r="E698">
            <v>8.99</v>
          </cell>
          <cell r="F698">
            <v>302.29000000000002</v>
          </cell>
          <cell r="G698"/>
          <cell r="H698">
            <v>1.4799999996300001E-9</v>
          </cell>
          <cell r="I698">
            <v>35940</v>
          </cell>
          <cell r="J698"/>
          <cell r="K698">
            <v>5.1286138399136494</v>
          </cell>
          <cell r="L698"/>
          <cell r="M698"/>
          <cell r="N698"/>
          <cell r="O698"/>
          <cell r="P698"/>
          <cell r="Q698">
            <v>1.7200476749999998E-4</v>
          </cell>
          <cell r="R698">
            <v>2.1393431498763744E-7</v>
          </cell>
          <cell r="S698">
            <v>2.3770479443070826E-8</v>
          </cell>
          <cell r="T698">
            <v>1.0696715749381872E-7</v>
          </cell>
          <cell r="U698"/>
          <cell r="V698"/>
          <cell r="W698">
            <v>30000</v>
          </cell>
          <cell r="X698">
            <v>0.33333333333333331</v>
          </cell>
          <cell r="Y698">
            <v>0.33333333333333331</v>
          </cell>
          <cell r="Z698">
            <v>0.33333333333333331</v>
          </cell>
          <cell r="AA698"/>
        </row>
        <row r="699">
          <cell r="A699">
            <v>692</v>
          </cell>
          <cell r="B699" t="str">
            <v>DIISOPROPANOLAMINE</v>
          </cell>
          <cell r="C699" t="str">
            <v>110-97-4</v>
          </cell>
          <cell r="D699" t="str">
            <v>Acid</v>
          </cell>
          <cell r="E699">
            <v>9.1</v>
          </cell>
          <cell r="F699">
            <v>133.19</v>
          </cell>
          <cell r="G699"/>
          <cell r="H699">
            <v>1.6666666662499999E-2</v>
          </cell>
          <cell r="I699">
            <v>860000</v>
          </cell>
          <cell r="J699"/>
          <cell r="K699">
            <v>0.15135612484362079</v>
          </cell>
          <cell r="L699"/>
          <cell r="M699"/>
          <cell r="N699"/>
          <cell r="O699"/>
          <cell r="P699"/>
          <cell r="Q699">
            <v>7.6264507499999992E-5</v>
          </cell>
          <cell r="R699">
            <v>5.3483578746909358E-7</v>
          </cell>
          <cell r="S699">
            <v>5.9426198607677063E-8</v>
          </cell>
          <cell r="T699">
            <v>2.6741789373454679E-7</v>
          </cell>
          <cell r="U699"/>
          <cell r="V699"/>
          <cell r="W699">
            <v>30000</v>
          </cell>
          <cell r="X699">
            <v>0.33333333333333331</v>
          </cell>
          <cell r="Y699">
            <v>0.33333333333333331</v>
          </cell>
          <cell r="Z699">
            <v>0.33333333333333331</v>
          </cell>
          <cell r="AA699"/>
        </row>
        <row r="700">
          <cell r="A700">
            <v>693</v>
          </cell>
          <cell r="B700" t="str">
            <v>3-CHLOROPHENOL</v>
          </cell>
          <cell r="C700" t="str">
            <v>108-43-0</v>
          </cell>
          <cell r="D700" t="str">
            <v>Acid</v>
          </cell>
          <cell r="E700">
            <v>9.1199999999999992</v>
          </cell>
          <cell r="F700">
            <v>128.56</v>
          </cell>
          <cell r="G700"/>
          <cell r="H700">
            <v>16.666666662499999</v>
          </cell>
          <cell r="I700">
            <v>26000</v>
          </cell>
          <cell r="J700"/>
          <cell r="K700">
            <v>316.22776601683825</v>
          </cell>
          <cell r="L700"/>
          <cell r="M700"/>
          <cell r="N700"/>
          <cell r="O700"/>
          <cell r="P700"/>
          <cell r="Q700">
            <v>1.7688337500000001E-5</v>
          </cell>
          <cell r="R700">
            <v>5.3483578746909358E-7</v>
          </cell>
          <cell r="S700">
            <v>5.9426198607677063E-8</v>
          </cell>
          <cell r="T700">
            <v>2.6741789373454679E-7</v>
          </cell>
          <cell r="U700"/>
          <cell r="V700"/>
          <cell r="W700">
            <v>30000</v>
          </cell>
          <cell r="X700">
            <v>0.33333333333333331</v>
          </cell>
          <cell r="Y700">
            <v>0.33333333333333331</v>
          </cell>
          <cell r="Z700">
            <v>0.33333333333333331</v>
          </cell>
          <cell r="AA700"/>
        </row>
        <row r="701">
          <cell r="A701">
            <v>694</v>
          </cell>
          <cell r="B701" t="str">
            <v>PHENOL, 4-PHENOXY-</v>
          </cell>
          <cell r="C701" t="str">
            <v>831-82-3</v>
          </cell>
          <cell r="D701" t="str">
            <v>Acid</v>
          </cell>
          <cell r="E701">
            <v>9.1300000000000008</v>
          </cell>
          <cell r="F701">
            <v>186.21</v>
          </cell>
          <cell r="G701"/>
          <cell r="H701">
            <v>9.9999999974999983E-3</v>
          </cell>
          <cell r="I701">
            <v>268.8</v>
          </cell>
          <cell r="J701"/>
          <cell r="K701">
            <v>2238.7211385683418</v>
          </cell>
          <cell r="L701"/>
          <cell r="M701"/>
          <cell r="N701"/>
          <cell r="O701"/>
          <cell r="P701"/>
          <cell r="Q701">
            <v>2.87907675E-5</v>
          </cell>
          <cell r="R701">
            <v>5.3483578746909358E-7</v>
          </cell>
          <cell r="S701">
            <v>5.9426198607677063E-8</v>
          </cell>
          <cell r="T701">
            <v>2.6741789373454679E-7</v>
          </cell>
          <cell r="U701"/>
          <cell r="V701"/>
          <cell r="W701">
            <v>30000</v>
          </cell>
          <cell r="X701">
            <v>0.33333333333333331</v>
          </cell>
          <cell r="Y701">
            <v>0.33333333333333331</v>
          </cell>
          <cell r="Z701">
            <v>0.33333333333333331</v>
          </cell>
          <cell r="AA701"/>
        </row>
        <row r="702">
          <cell r="A702">
            <v>695</v>
          </cell>
          <cell r="B702" t="str">
            <v>P-BROMOPHENOL</v>
          </cell>
          <cell r="C702" t="str">
            <v>106-41-2</v>
          </cell>
          <cell r="D702" t="str">
            <v>Acid</v>
          </cell>
          <cell r="E702">
            <v>9.17</v>
          </cell>
          <cell r="F702">
            <v>173.01</v>
          </cell>
          <cell r="G702"/>
          <cell r="H702">
            <v>1.55999999961</v>
          </cell>
          <cell r="I702">
            <v>14000</v>
          </cell>
          <cell r="J702"/>
          <cell r="K702">
            <v>389.04514499428063</v>
          </cell>
          <cell r="L702"/>
          <cell r="M702"/>
          <cell r="N702"/>
          <cell r="O702"/>
          <cell r="P702"/>
          <cell r="Q702">
            <v>7.2690974999999994E-6</v>
          </cell>
          <cell r="R702">
            <v>2.1393431498763744E-7</v>
          </cell>
          <cell r="S702">
            <v>2.3770479443070826E-8</v>
          </cell>
          <cell r="T702">
            <v>1.0696715749381872E-7</v>
          </cell>
          <cell r="U702"/>
          <cell r="V702"/>
          <cell r="W702">
            <v>30000</v>
          </cell>
          <cell r="X702">
            <v>0.33333333333333331</v>
          </cell>
          <cell r="Y702">
            <v>0.33333333333333331</v>
          </cell>
          <cell r="Z702">
            <v>0.33333333333333331</v>
          </cell>
          <cell r="AA702"/>
        </row>
        <row r="703">
          <cell r="A703">
            <v>696</v>
          </cell>
          <cell r="B703" t="str">
            <v>4-IODOPHENOL</v>
          </cell>
          <cell r="C703" t="str">
            <v>540-38-5</v>
          </cell>
          <cell r="D703" t="str">
            <v>Acid</v>
          </cell>
          <cell r="E703">
            <v>9.2100000000000009</v>
          </cell>
          <cell r="F703">
            <v>220.01</v>
          </cell>
          <cell r="G703"/>
          <cell r="H703">
            <v>0.29599999992600001</v>
          </cell>
          <cell r="I703">
            <v>428.2</v>
          </cell>
          <cell r="J703"/>
          <cell r="K703">
            <v>812.83051616409978</v>
          </cell>
          <cell r="L703"/>
          <cell r="M703"/>
          <cell r="N703"/>
          <cell r="O703"/>
          <cell r="P703"/>
          <cell r="Q703">
            <v>8.3615999999999997E-6</v>
          </cell>
          <cell r="R703">
            <v>2.1393431498763744E-7</v>
          </cell>
          <cell r="S703">
            <v>2.3770479443070826E-8</v>
          </cell>
          <cell r="T703">
            <v>1.0696715749381872E-7</v>
          </cell>
          <cell r="U703"/>
          <cell r="V703"/>
          <cell r="W703">
            <v>30000</v>
          </cell>
          <cell r="X703">
            <v>0.33333333333333331</v>
          </cell>
          <cell r="Y703">
            <v>0.33333333333333331</v>
          </cell>
          <cell r="Z703">
            <v>0.33333333333333331</v>
          </cell>
          <cell r="AA703"/>
        </row>
        <row r="704">
          <cell r="A704">
            <v>697</v>
          </cell>
          <cell r="B704" t="str">
            <v>PHENOLPHTHALEIN</v>
          </cell>
          <cell r="C704" t="str">
            <v>77-09-8</v>
          </cell>
          <cell r="D704" t="str">
            <v>Acid</v>
          </cell>
          <cell r="E704">
            <v>9.23</v>
          </cell>
          <cell r="F704">
            <v>318.33</v>
          </cell>
          <cell r="G704"/>
          <cell r="H704">
            <v>8.3733333312400006E-11</v>
          </cell>
          <cell r="I704">
            <v>400</v>
          </cell>
          <cell r="J704"/>
          <cell r="K704">
            <v>1148.1536214968839</v>
          </cell>
          <cell r="L704"/>
          <cell r="M704"/>
          <cell r="N704"/>
          <cell r="O704"/>
          <cell r="P704"/>
          <cell r="Q704">
            <v>6.3119362499999991E-5</v>
          </cell>
          <cell r="R704">
            <v>2.1393431498763744E-7</v>
          </cell>
          <cell r="S704">
            <v>2.3770479443070826E-8</v>
          </cell>
          <cell r="T704">
            <v>1.0696715749381872E-7</v>
          </cell>
          <cell r="U704"/>
          <cell r="V704"/>
          <cell r="W704">
            <v>30000</v>
          </cell>
          <cell r="X704">
            <v>0.33333333333333331</v>
          </cell>
          <cell r="Y704">
            <v>0.33333333333333331</v>
          </cell>
          <cell r="Z704">
            <v>0.33333333333333331</v>
          </cell>
          <cell r="AA704"/>
        </row>
        <row r="705">
          <cell r="A705">
            <v>698</v>
          </cell>
          <cell r="B705" t="str">
            <v>1,1,1,3,3,3-HEXAFLUOROPROPAN-2-OL</v>
          </cell>
          <cell r="C705" t="str">
            <v>920-66-1</v>
          </cell>
          <cell r="D705" t="str">
            <v>Acid</v>
          </cell>
          <cell r="E705">
            <v>9.3000000000000007</v>
          </cell>
          <cell r="F705">
            <v>168.04</v>
          </cell>
          <cell r="G705"/>
          <cell r="H705">
            <v>21199.9999947</v>
          </cell>
          <cell r="I705">
            <v>7770</v>
          </cell>
          <cell r="J705"/>
          <cell r="K705">
            <v>45.708818961487509</v>
          </cell>
          <cell r="L705"/>
          <cell r="M705"/>
          <cell r="N705"/>
          <cell r="O705"/>
          <cell r="P705"/>
          <cell r="Q705">
            <v>1.9350000000000001E-8</v>
          </cell>
          <cell r="R705">
            <v>1.3370894686727339E-7</v>
          </cell>
          <cell r="S705">
            <v>1.4856549651919266E-8</v>
          </cell>
          <cell r="T705">
            <v>6.6854473433636697E-8</v>
          </cell>
          <cell r="U705"/>
          <cell r="V705"/>
          <cell r="W705">
            <v>30000</v>
          </cell>
          <cell r="X705">
            <v>0.33333333333333331</v>
          </cell>
          <cell r="Y705">
            <v>0.33333333333333331</v>
          </cell>
          <cell r="Z705">
            <v>0.33333333333333331</v>
          </cell>
          <cell r="AA705"/>
        </row>
        <row r="706">
          <cell r="A706">
            <v>699</v>
          </cell>
          <cell r="B706" t="str">
            <v>1,2-BENZENEDIOL, 4-METHYL-</v>
          </cell>
          <cell r="C706" t="str">
            <v>452-86-8</v>
          </cell>
          <cell r="D706" t="str">
            <v>Acid</v>
          </cell>
          <cell r="E706">
            <v>9.32</v>
          </cell>
          <cell r="F706">
            <v>124.14</v>
          </cell>
          <cell r="G706"/>
          <cell r="H706">
            <v>0.27199999993200003</v>
          </cell>
          <cell r="I706">
            <v>24900</v>
          </cell>
          <cell r="J706"/>
          <cell r="K706">
            <v>23.442288153199236</v>
          </cell>
          <cell r="L706"/>
          <cell r="M706"/>
          <cell r="N706"/>
          <cell r="O706"/>
          <cell r="P706"/>
          <cell r="Q706">
            <v>1.17E-4</v>
          </cell>
          <cell r="R706">
            <v>5.3483578746909358E-7</v>
          </cell>
          <cell r="S706">
            <v>5.9426198607677063E-8</v>
          </cell>
          <cell r="T706">
            <v>2.6741789373454679E-7</v>
          </cell>
          <cell r="U706"/>
          <cell r="V706"/>
          <cell r="W706">
            <v>30000</v>
          </cell>
          <cell r="X706">
            <v>0.33333333333333331</v>
          </cell>
          <cell r="Y706">
            <v>0.33333333333333331</v>
          </cell>
          <cell r="Z706">
            <v>0.33333333333333331</v>
          </cell>
          <cell r="AA706"/>
        </row>
        <row r="707">
          <cell r="A707">
            <v>700</v>
          </cell>
          <cell r="B707" t="str">
            <v>1,4-DIHYDROXY-9,10-ANTHRACENEDIONE</v>
          </cell>
          <cell r="C707" t="str">
            <v>81-64-1</v>
          </cell>
          <cell r="D707" t="str">
            <v>Acid</v>
          </cell>
          <cell r="E707">
            <v>9.32</v>
          </cell>
          <cell r="F707">
            <v>240.22</v>
          </cell>
          <cell r="G707"/>
          <cell r="H707">
            <v>3.2399999991899997E-6</v>
          </cell>
          <cell r="I707">
            <v>9.6100000000000005E-2</v>
          </cell>
          <cell r="J707"/>
          <cell r="K707">
            <v>8709.6358995608189</v>
          </cell>
          <cell r="L707"/>
          <cell r="M707"/>
          <cell r="N707"/>
          <cell r="O707"/>
          <cell r="P707"/>
          <cell r="Q707">
            <v>7.3837274999999995E-6</v>
          </cell>
          <cell r="R707">
            <v>2.1393431498763744E-7</v>
          </cell>
          <cell r="S707">
            <v>2.3770479443070826E-8</v>
          </cell>
          <cell r="T707">
            <v>1.0696715749381872E-7</v>
          </cell>
          <cell r="U707"/>
          <cell r="V707"/>
          <cell r="W707">
            <v>30000</v>
          </cell>
          <cell r="X707">
            <v>0.33333333333333331</v>
          </cell>
          <cell r="Y707">
            <v>0.33333333333333331</v>
          </cell>
          <cell r="Z707">
            <v>0.33333333333333331</v>
          </cell>
          <cell r="AA707"/>
        </row>
        <row r="708">
          <cell r="A708">
            <v>701</v>
          </cell>
          <cell r="B708" t="str">
            <v>RESORCINOL</v>
          </cell>
          <cell r="C708" t="str">
            <v>108-46-3</v>
          </cell>
          <cell r="D708" t="str">
            <v>Acid</v>
          </cell>
          <cell r="E708">
            <v>9.32</v>
          </cell>
          <cell r="F708">
            <v>110.11</v>
          </cell>
          <cell r="G708"/>
          <cell r="H708">
            <v>6.5199999983699991E-2</v>
          </cell>
          <cell r="I708">
            <v>717000</v>
          </cell>
          <cell r="J708"/>
          <cell r="K708">
            <v>6.3095734448019343</v>
          </cell>
          <cell r="L708"/>
          <cell r="M708"/>
          <cell r="N708"/>
          <cell r="O708"/>
          <cell r="P708"/>
          <cell r="Q708">
            <v>1.5021000000000001E-4</v>
          </cell>
          <cell r="R708">
            <v>5.3483578746909358E-7</v>
          </cell>
          <cell r="S708">
            <v>5.9426198607677063E-8</v>
          </cell>
          <cell r="T708">
            <v>2.6741789373454679E-7</v>
          </cell>
          <cell r="U708"/>
          <cell r="V708"/>
          <cell r="W708">
            <v>30000</v>
          </cell>
          <cell r="X708">
            <v>0.33333333333333331</v>
          </cell>
          <cell r="Y708">
            <v>0.33333333333333331</v>
          </cell>
          <cell r="Z708">
            <v>0.33333333333333331</v>
          </cell>
          <cell r="AA708"/>
        </row>
        <row r="709">
          <cell r="A709">
            <v>702</v>
          </cell>
          <cell r="B709" t="str">
            <v>1-NAPHTHOL</v>
          </cell>
          <cell r="C709" t="str">
            <v>90-15-3</v>
          </cell>
          <cell r="D709" t="str">
            <v>Acid</v>
          </cell>
          <cell r="E709">
            <v>9.34</v>
          </cell>
          <cell r="F709">
            <v>144.16999999999999</v>
          </cell>
          <cell r="G709"/>
          <cell r="H709">
            <v>3.6533333324199994E-2</v>
          </cell>
          <cell r="I709">
            <v>866</v>
          </cell>
          <cell r="J709"/>
          <cell r="K709">
            <v>707.94578438413873</v>
          </cell>
          <cell r="L709"/>
          <cell r="M709"/>
          <cell r="N709"/>
          <cell r="O709"/>
          <cell r="P709"/>
          <cell r="Q709">
            <v>4.125E-4</v>
          </cell>
          <cell r="R709">
            <v>5.3483578746909358E-7</v>
          </cell>
          <cell r="S709">
            <v>5.9426198607677063E-8</v>
          </cell>
          <cell r="T709">
            <v>1.5136861909502649E-5</v>
          </cell>
          <cell r="U709"/>
          <cell r="V709"/>
          <cell r="W709">
            <v>30000</v>
          </cell>
          <cell r="X709">
            <v>0.33333333333333331</v>
          </cell>
          <cell r="Y709">
            <v>0.33333333333333331</v>
          </cell>
          <cell r="Z709">
            <v>0.33333333333333331</v>
          </cell>
          <cell r="AA709"/>
        </row>
        <row r="710">
          <cell r="A710">
            <v>703</v>
          </cell>
          <cell r="B710" t="str">
            <v>2,7-Naphthalenediol</v>
          </cell>
          <cell r="C710" t="str">
            <v>582-17-2</v>
          </cell>
          <cell r="D710" t="str">
            <v>Acid</v>
          </cell>
          <cell r="E710">
            <v>9.3699999999999992</v>
          </cell>
          <cell r="F710">
            <v>160.16999999999999</v>
          </cell>
          <cell r="G710"/>
          <cell r="H710">
            <v>1.1359999997159998E-4</v>
          </cell>
          <cell r="I710">
            <v>1000</v>
          </cell>
          <cell r="J710"/>
          <cell r="K710">
            <v>79.432823472428197</v>
          </cell>
          <cell r="L710"/>
          <cell r="M710"/>
          <cell r="N710"/>
          <cell r="O710"/>
          <cell r="P710"/>
          <cell r="Q710">
            <v>1.5021000000000001E-4</v>
          </cell>
          <cell r="R710">
            <v>5.3483578746909358E-7</v>
          </cell>
          <cell r="S710">
            <v>5.9426198607677063E-8</v>
          </cell>
          <cell r="T710">
            <v>2.6741789373454679E-7</v>
          </cell>
          <cell r="U710"/>
          <cell r="V710"/>
          <cell r="W710">
            <v>30000</v>
          </cell>
          <cell r="X710">
            <v>0.33333333333333331</v>
          </cell>
          <cell r="Y710">
            <v>0.33333333333333331</v>
          </cell>
          <cell r="Z710">
            <v>0.33333333333333331</v>
          </cell>
          <cell r="AA710"/>
        </row>
        <row r="711">
          <cell r="A711">
            <v>704</v>
          </cell>
          <cell r="B711" t="str">
            <v>4-chlorophenol</v>
          </cell>
          <cell r="C711" t="str">
            <v>106-48-9</v>
          </cell>
          <cell r="D711" t="str">
            <v>Acid</v>
          </cell>
          <cell r="E711">
            <v>9.41</v>
          </cell>
          <cell r="F711">
            <v>128.56</v>
          </cell>
          <cell r="G711"/>
          <cell r="H711">
            <v>11.866666663699998</v>
          </cell>
          <cell r="I711">
            <v>24000</v>
          </cell>
          <cell r="J711"/>
          <cell r="K711">
            <v>245.4708915685033</v>
          </cell>
          <cell r="L711"/>
          <cell r="M711"/>
          <cell r="N711"/>
          <cell r="O711"/>
          <cell r="P711"/>
          <cell r="Q711">
            <v>7.4029575000000005E-6</v>
          </cell>
          <cell r="R711">
            <v>5.3483578746909358E-7</v>
          </cell>
          <cell r="S711">
            <v>5.9426198607677063E-8</v>
          </cell>
          <cell r="T711">
            <v>2.6741789373454679E-7</v>
          </cell>
          <cell r="U711"/>
          <cell r="V711"/>
          <cell r="W711">
            <v>30000</v>
          </cell>
          <cell r="X711">
            <v>0.33333333333333331</v>
          </cell>
          <cell r="Y711">
            <v>0.33333333333333331</v>
          </cell>
          <cell r="Z711">
            <v>0.33333333333333331</v>
          </cell>
          <cell r="AA711"/>
        </row>
        <row r="712">
          <cell r="A712">
            <v>705</v>
          </cell>
          <cell r="B712" t="str">
            <v>4,4'-BIPHENOL</v>
          </cell>
          <cell r="C712" t="str">
            <v>92-88-6</v>
          </cell>
          <cell r="D712" t="str">
            <v>Acid</v>
          </cell>
          <cell r="E712">
            <v>9.42</v>
          </cell>
          <cell r="F712">
            <v>186.21</v>
          </cell>
          <cell r="G712"/>
          <cell r="H712">
            <v>1.53333333295E-6</v>
          </cell>
          <cell r="I712">
            <v>798.2</v>
          </cell>
          <cell r="J712"/>
          <cell r="K712">
            <v>630.95734448019323</v>
          </cell>
          <cell r="L712"/>
          <cell r="M712"/>
          <cell r="N712"/>
          <cell r="O712"/>
          <cell r="P712"/>
          <cell r="Q712">
            <v>3.5923402499999999E-5</v>
          </cell>
          <cell r="R712">
            <v>5.3483578746909358E-7</v>
          </cell>
          <cell r="S712">
            <v>5.9426198607677063E-8</v>
          </cell>
          <cell r="T712">
            <v>2.6741789373454679E-7</v>
          </cell>
          <cell r="U712"/>
          <cell r="V712"/>
          <cell r="W712">
            <v>30000</v>
          </cell>
          <cell r="X712">
            <v>0.33333333333333331</v>
          </cell>
          <cell r="Y712">
            <v>0.33333333333333331</v>
          </cell>
          <cell r="Z712">
            <v>0.33333333333333331</v>
          </cell>
          <cell r="AA712"/>
        </row>
        <row r="713">
          <cell r="A713">
            <v>706</v>
          </cell>
          <cell r="B713" t="str">
            <v>5-HYDROXY-1,4-NAPHTHOQUINONE</v>
          </cell>
          <cell r="C713" t="str">
            <v>481-39-0</v>
          </cell>
          <cell r="D713" t="str">
            <v>Acid</v>
          </cell>
          <cell r="E713">
            <v>9.42</v>
          </cell>
          <cell r="F713">
            <v>174.16</v>
          </cell>
          <cell r="G713"/>
          <cell r="H713">
            <v>3.7466666657299998E-4</v>
          </cell>
          <cell r="I713">
            <v>5121</v>
          </cell>
          <cell r="J713"/>
          <cell r="K713">
            <v>83.176377110267126</v>
          </cell>
          <cell r="L713"/>
          <cell r="M713"/>
          <cell r="N713"/>
          <cell r="O713"/>
          <cell r="P713"/>
          <cell r="Q713">
            <v>1.14012E-5</v>
          </cell>
          <cell r="R713">
            <v>5.3483578746909358E-7</v>
          </cell>
          <cell r="S713">
            <v>5.9426198607677063E-8</v>
          </cell>
          <cell r="T713">
            <v>2.6741789373454679E-7</v>
          </cell>
          <cell r="U713"/>
          <cell r="V713"/>
          <cell r="W713">
            <v>30000</v>
          </cell>
          <cell r="X713">
            <v>0.33333333333333331</v>
          </cell>
          <cell r="Y713">
            <v>0.33333333333333331</v>
          </cell>
          <cell r="Z713">
            <v>0.33333333333333331</v>
          </cell>
          <cell r="AA713"/>
        </row>
        <row r="714">
          <cell r="A714">
            <v>707</v>
          </cell>
          <cell r="B714" t="str">
            <v>catechol</v>
          </cell>
          <cell r="C714" t="str">
            <v>120-80-9</v>
          </cell>
          <cell r="D714" t="str">
            <v>Acid</v>
          </cell>
          <cell r="E714">
            <v>9.4499999999999993</v>
          </cell>
          <cell r="F714">
            <v>110.11</v>
          </cell>
          <cell r="G714"/>
          <cell r="H714">
            <v>0.48799999987799997</v>
          </cell>
          <cell r="I714">
            <v>461000</v>
          </cell>
          <cell r="J714"/>
          <cell r="K714">
            <v>7.5857757502918375</v>
          </cell>
          <cell r="L714"/>
          <cell r="M714"/>
          <cell r="N714"/>
          <cell r="O714"/>
          <cell r="P714"/>
          <cell r="Q714">
            <v>7.7999999999999999E-5</v>
          </cell>
          <cell r="R714">
            <v>5.3483578746909358E-7</v>
          </cell>
          <cell r="S714">
            <v>5.9426198607677063E-8</v>
          </cell>
          <cell r="T714">
            <v>2.6741789373454679E-7</v>
          </cell>
          <cell r="U714"/>
          <cell r="V714"/>
          <cell r="W714">
            <v>30000</v>
          </cell>
          <cell r="X714">
            <v>0.33333333333333331</v>
          </cell>
          <cell r="Y714">
            <v>0.33333333333333331</v>
          </cell>
          <cell r="Z714">
            <v>0.33333333333333331</v>
          </cell>
          <cell r="AA714"/>
        </row>
        <row r="715">
          <cell r="A715">
            <v>708</v>
          </cell>
          <cell r="B715" t="str">
            <v>1-HYDROXYANTHRAQUINONE</v>
          </cell>
          <cell r="C715" t="str">
            <v>129-43-1</v>
          </cell>
          <cell r="D715" t="str">
            <v>Acid</v>
          </cell>
          <cell r="E715">
            <v>9.4700000000000006</v>
          </cell>
          <cell r="F715">
            <v>224.22</v>
          </cell>
          <cell r="G715"/>
          <cell r="H715">
            <v>2.7866666659699999E-5</v>
          </cell>
          <cell r="I715">
            <v>8.5</v>
          </cell>
          <cell r="J715"/>
          <cell r="K715">
            <v>3311.3112148259115</v>
          </cell>
          <cell r="L715"/>
          <cell r="M715"/>
          <cell r="N715"/>
          <cell r="O715"/>
          <cell r="P715"/>
          <cell r="Q715">
            <v>1.0271107499999999E-5</v>
          </cell>
          <cell r="R715">
            <v>2.1393431498763744E-7</v>
          </cell>
          <cell r="S715">
            <v>2.3770479443070826E-8</v>
          </cell>
          <cell r="T715">
            <v>1.0696715749381872E-7</v>
          </cell>
          <cell r="U715"/>
          <cell r="V715"/>
          <cell r="W715">
            <v>30000</v>
          </cell>
          <cell r="X715">
            <v>0.33333333333333331</v>
          </cell>
          <cell r="Y715">
            <v>0.33333333333333331</v>
          </cell>
          <cell r="Z715">
            <v>0.33333333333333331</v>
          </cell>
          <cell r="AA715"/>
        </row>
        <row r="716">
          <cell r="A716">
            <v>709</v>
          </cell>
          <cell r="B716" t="str">
            <v>Diethylstilbestrol</v>
          </cell>
          <cell r="C716" t="str">
            <v>56-53-1</v>
          </cell>
          <cell r="D716" t="str">
            <v>Acid</v>
          </cell>
          <cell r="E716">
            <v>9.4700000000000006</v>
          </cell>
          <cell r="F716">
            <v>268.36</v>
          </cell>
          <cell r="G716"/>
          <cell r="H716">
            <v>1.1519999997119998E-6</v>
          </cell>
          <cell r="I716">
            <v>12</v>
          </cell>
          <cell r="J716"/>
          <cell r="K716">
            <v>117489.75549395311</v>
          </cell>
          <cell r="L716"/>
          <cell r="M716"/>
          <cell r="N716"/>
          <cell r="O716"/>
          <cell r="P716"/>
          <cell r="Q716">
            <v>1.3136121000000001E-4</v>
          </cell>
          <cell r="R716">
            <v>2.1393431498763744E-7</v>
          </cell>
          <cell r="S716">
            <v>2.3770479443070826E-8</v>
          </cell>
          <cell r="T716">
            <v>1.0696715749381872E-7</v>
          </cell>
          <cell r="U716"/>
          <cell r="V716"/>
          <cell r="W716">
            <v>30000</v>
          </cell>
          <cell r="X716">
            <v>0.33333333333333331</v>
          </cell>
          <cell r="Y716">
            <v>0.33333333333333331</v>
          </cell>
          <cell r="Z716">
            <v>0.33333333333333331</v>
          </cell>
          <cell r="AA716"/>
        </row>
        <row r="717">
          <cell r="A717">
            <v>710</v>
          </cell>
          <cell r="B717" t="str">
            <v>2-Naphthalenol, 1- (4-methyl-2-nitrophenyl)azo -</v>
          </cell>
          <cell r="C717" t="str">
            <v>2425-85-6</v>
          </cell>
          <cell r="D717" t="str">
            <v>Acid</v>
          </cell>
          <cell r="E717">
            <v>9.5399999999999991</v>
          </cell>
          <cell r="F717">
            <v>307.31</v>
          </cell>
          <cell r="G717"/>
          <cell r="H717">
            <v>3.51999999912E-8</v>
          </cell>
          <cell r="I717">
            <v>4.8570000000000002E-2</v>
          </cell>
          <cell r="J717"/>
          <cell r="K717">
            <v>2818382.9312644606</v>
          </cell>
          <cell r="L717"/>
          <cell r="M717"/>
          <cell r="N717"/>
          <cell r="O717"/>
          <cell r="P717"/>
          <cell r="Q717">
            <v>1.3372214999999998E-5</v>
          </cell>
          <cell r="R717">
            <v>1.3370894686727339E-7</v>
          </cell>
          <cell r="S717">
            <v>1.4856549651919266E-8</v>
          </cell>
          <cell r="T717">
            <v>6.6854473433636697E-8</v>
          </cell>
          <cell r="U717"/>
          <cell r="V717"/>
          <cell r="W717">
            <v>30000</v>
          </cell>
          <cell r="X717">
            <v>0.33333333333333331</v>
          </cell>
          <cell r="Y717">
            <v>0.33333333333333331</v>
          </cell>
          <cell r="Z717">
            <v>0.33333333333333331</v>
          </cell>
          <cell r="AA717"/>
        </row>
        <row r="718">
          <cell r="A718">
            <v>711</v>
          </cell>
          <cell r="B718" t="str">
            <v>P-PHENYLPHENOL</v>
          </cell>
          <cell r="C718" t="str">
            <v>92-69-3</v>
          </cell>
          <cell r="D718" t="str">
            <v>Acid</v>
          </cell>
          <cell r="E718">
            <v>9.5500000000000007</v>
          </cell>
          <cell r="F718">
            <v>170.21</v>
          </cell>
          <cell r="G718"/>
          <cell r="H718">
            <v>2.3066666660899997E-3</v>
          </cell>
          <cell r="I718">
            <v>56.2</v>
          </cell>
          <cell r="J718"/>
          <cell r="K718">
            <v>1584.8931924611156</v>
          </cell>
          <cell r="L718"/>
          <cell r="M718"/>
          <cell r="N718"/>
          <cell r="O718"/>
          <cell r="P718"/>
          <cell r="Q718">
            <v>2.0502209999999999E-5</v>
          </cell>
          <cell r="R718">
            <v>5.3483578746909358E-7</v>
          </cell>
          <cell r="S718">
            <v>5.9426198607677063E-8</v>
          </cell>
          <cell r="T718">
            <v>2.6741789373454679E-7</v>
          </cell>
          <cell r="U718"/>
          <cell r="V718"/>
          <cell r="W718">
            <v>30000</v>
          </cell>
          <cell r="X718">
            <v>0.33333333333333331</v>
          </cell>
          <cell r="Y718">
            <v>0.33333333333333331</v>
          </cell>
          <cell r="Z718">
            <v>0.33333333333333331</v>
          </cell>
          <cell r="AA718"/>
        </row>
        <row r="719">
          <cell r="A719">
            <v>712</v>
          </cell>
          <cell r="B719" t="str">
            <v>3-METHYL-4-CHLOROPHENOL</v>
          </cell>
          <cell r="C719" t="str">
            <v>59-50-7</v>
          </cell>
          <cell r="D719" t="str">
            <v>Acid</v>
          </cell>
          <cell r="E719">
            <v>9.5500000000000007</v>
          </cell>
          <cell r="F719">
            <v>142.59</v>
          </cell>
          <cell r="G719"/>
          <cell r="H719">
            <v>6.6666666650000002</v>
          </cell>
          <cell r="I719">
            <v>3830</v>
          </cell>
          <cell r="J719"/>
          <cell r="K719">
            <v>1258.925411794168</v>
          </cell>
          <cell r="L719"/>
          <cell r="M719"/>
          <cell r="N719"/>
          <cell r="O719"/>
          <cell r="P719"/>
          <cell r="Q719">
            <v>1.9259032500000002E-5</v>
          </cell>
          <cell r="R719">
            <v>2.1393431498763744E-7</v>
          </cell>
          <cell r="S719">
            <v>2.3770479443070826E-8</v>
          </cell>
          <cell r="T719">
            <v>1.0696715749381872E-7</v>
          </cell>
          <cell r="U719"/>
          <cell r="V719"/>
          <cell r="W719">
            <v>30000</v>
          </cell>
          <cell r="X719">
            <v>0.33333333333333331</v>
          </cell>
          <cell r="Y719">
            <v>0.33333333333333331</v>
          </cell>
          <cell r="Z719">
            <v>0.33333333333333331</v>
          </cell>
          <cell r="AA719"/>
        </row>
        <row r="720">
          <cell r="A720">
            <v>713</v>
          </cell>
          <cell r="B720" t="str">
            <v>M-METHOXYPHENOL</v>
          </cell>
          <cell r="C720" t="str">
            <v>150-19-6</v>
          </cell>
          <cell r="D720" t="str">
            <v>Acid</v>
          </cell>
          <cell r="E720">
            <v>9.65</v>
          </cell>
          <cell r="F720">
            <v>124.14</v>
          </cell>
          <cell r="G720"/>
          <cell r="H720">
            <v>2.6133333326799999</v>
          </cell>
          <cell r="I720">
            <v>497</v>
          </cell>
          <cell r="J720"/>
          <cell r="K720">
            <v>21.877616239495538</v>
          </cell>
          <cell r="L720"/>
          <cell r="M720"/>
          <cell r="N720"/>
          <cell r="O720"/>
          <cell r="P720"/>
          <cell r="Q720">
            <v>1.5072720000000001E-4</v>
          </cell>
          <cell r="R720">
            <v>5.3483578746909358E-7</v>
          </cell>
          <cell r="S720">
            <v>5.9426198607677063E-8</v>
          </cell>
          <cell r="T720">
            <v>2.6741789373454679E-7</v>
          </cell>
          <cell r="U720"/>
          <cell r="V720"/>
          <cell r="W720">
            <v>30000</v>
          </cell>
          <cell r="X720">
            <v>0.33333333333333331</v>
          </cell>
          <cell r="Y720">
            <v>0.33333333333333331</v>
          </cell>
          <cell r="Z720">
            <v>0.33333333333333331</v>
          </cell>
          <cell r="AA720"/>
        </row>
        <row r="721">
          <cell r="A721">
            <v>714</v>
          </cell>
          <cell r="B721" t="str">
            <v>TRICHLOROACETALDEHYDE</v>
          </cell>
          <cell r="C721" t="str">
            <v>75-87-6</v>
          </cell>
          <cell r="D721" t="str">
            <v>Acid</v>
          </cell>
          <cell r="E721">
            <v>9.66</v>
          </cell>
          <cell r="F721">
            <v>147.38999999999999</v>
          </cell>
          <cell r="G721"/>
          <cell r="H721">
            <v>6666.6666649999997</v>
          </cell>
          <cell r="I721">
            <v>30000</v>
          </cell>
          <cell r="J721"/>
          <cell r="K721">
            <v>9.7723722095581103</v>
          </cell>
          <cell r="L721"/>
          <cell r="M721"/>
          <cell r="N721"/>
          <cell r="O721"/>
          <cell r="P721"/>
          <cell r="Q721">
            <v>1.1999999999999999E-6</v>
          </cell>
          <cell r="R721">
            <v>1.3370894686727339E-7</v>
          </cell>
          <cell r="S721">
            <v>1.4856549651919266E-8</v>
          </cell>
          <cell r="T721">
            <v>6.6854473433636697E-8</v>
          </cell>
          <cell r="U721"/>
          <cell r="V721"/>
          <cell r="W721">
            <v>30000</v>
          </cell>
          <cell r="X721">
            <v>0.33333333333333331</v>
          </cell>
          <cell r="Y721">
            <v>0.33333333333333331</v>
          </cell>
          <cell r="Z721">
            <v>0.33333333333333331</v>
          </cell>
          <cell r="AA721"/>
        </row>
        <row r="722">
          <cell r="A722">
            <v>715</v>
          </cell>
          <cell r="B722" t="str">
            <v>4-CHLORO-3,5-DIMETHYL PHENOL</v>
          </cell>
          <cell r="C722" t="str">
            <v>88-04-0</v>
          </cell>
          <cell r="D722" t="str">
            <v>Acid</v>
          </cell>
          <cell r="E722">
            <v>9.6999999999999993</v>
          </cell>
          <cell r="F722">
            <v>156.61000000000001</v>
          </cell>
          <cell r="G722"/>
          <cell r="H722">
            <v>0.23999999993999999</v>
          </cell>
          <cell r="I722">
            <v>250</v>
          </cell>
          <cell r="J722"/>
          <cell r="K722">
            <v>1862.0871366628687</v>
          </cell>
          <cell r="L722"/>
          <cell r="M722"/>
          <cell r="N722"/>
          <cell r="O722"/>
          <cell r="P722"/>
          <cell r="Q722">
            <v>5.0046195000000002E-5</v>
          </cell>
          <cell r="R722">
            <v>2.1393431498763744E-7</v>
          </cell>
          <cell r="S722">
            <v>2.3770479443070826E-8</v>
          </cell>
          <cell r="T722">
            <v>1.0696715749381872E-7</v>
          </cell>
          <cell r="U722"/>
          <cell r="V722"/>
          <cell r="W722">
            <v>30000</v>
          </cell>
          <cell r="X722">
            <v>0.33333333333333331</v>
          </cell>
          <cell r="Y722">
            <v>0.33333333333333331</v>
          </cell>
          <cell r="Z722">
            <v>0.33333333333333331</v>
          </cell>
          <cell r="AA722"/>
        </row>
        <row r="723">
          <cell r="A723">
            <v>716</v>
          </cell>
          <cell r="B723" t="str">
            <v>2-METHYL-4-CHLOROPHENOL</v>
          </cell>
          <cell r="C723" t="str">
            <v>1570-64-5</v>
          </cell>
          <cell r="D723" t="str">
            <v>Acid</v>
          </cell>
          <cell r="E723">
            <v>9.7100000000000009</v>
          </cell>
          <cell r="F723">
            <v>142.59</v>
          </cell>
          <cell r="G723"/>
          <cell r="H723">
            <v>3.1999999991999997</v>
          </cell>
          <cell r="I723">
            <v>4000</v>
          </cell>
          <cell r="J723"/>
          <cell r="K723">
            <v>602.55958607435775</v>
          </cell>
          <cell r="L723"/>
          <cell r="M723"/>
          <cell r="N723"/>
          <cell r="O723"/>
          <cell r="P723"/>
          <cell r="Q723">
            <v>9.1532549999999995E-6</v>
          </cell>
          <cell r="R723">
            <v>2.1393431498763744E-7</v>
          </cell>
          <cell r="S723">
            <v>2.3770479443070826E-8</v>
          </cell>
          <cell r="T723">
            <v>1.0696715749381872E-7</v>
          </cell>
          <cell r="U723"/>
          <cell r="V723"/>
          <cell r="W723">
            <v>30000</v>
          </cell>
          <cell r="X723">
            <v>0.33333333333333331</v>
          </cell>
          <cell r="Y723">
            <v>0.33333333333333331</v>
          </cell>
          <cell r="Z723">
            <v>0.33333333333333331</v>
          </cell>
          <cell r="AA723"/>
        </row>
        <row r="724">
          <cell r="A724">
            <v>717</v>
          </cell>
          <cell r="B724" t="str">
            <v>Ethanol, 2-mercapto-</v>
          </cell>
          <cell r="C724" t="str">
            <v>60-24-2</v>
          </cell>
          <cell r="D724" t="str">
            <v>Acid</v>
          </cell>
          <cell r="E724">
            <v>9.7200000000000006</v>
          </cell>
          <cell r="F724">
            <v>78.13</v>
          </cell>
          <cell r="G724"/>
          <cell r="H724">
            <v>234.66666660799999</v>
          </cell>
          <cell r="I724">
            <v>1000000</v>
          </cell>
          <cell r="J724"/>
          <cell r="K724">
            <v>0.63095734448019325</v>
          </cell>
          <cell r="L724"/>
          <cell r="M724"/>
          <cell r="N724"/>
          <cell r="O724"/>
          <cell r="P724"/>
          <cell r="Q724">
            <v>3.42162525E-5</v>
          </cell>
          <cell r="R724">
            <v>5.3483578746909358E-7</v>
          </cell>
          <cell r="S724">
            <v>5.9426198607677063E-8</v>
          </cell>
          <cell r="T724">
            <v>2.6741789373454679E-7</v>
          </cell>
          <cell r="U724"/>
          <cell r="V724"/>
          <cell r="W724">
            <v>30000</v>
          </cell>
          <cell r="X724">
            <v>0.33333333333333331</v>
          </cell>
          <cell r="Y724">
            <v>0.33333333333333331</v>
          </cell>
          <cell r="Z724">
            <v>0.33333333333333331</v>
          </cell>
          <cell r="AA724"/>
        </row>
        <row r="725">
          <cell r="A725">
            <v>718</v>
          </cell>
          <cell r="B725" t="str">
            <v>P-HYDROXYBENZYL ALCOHOL</v>
          </cell>
          <cell r="C725" t="str">
            <v>623-05-2</v>
          </cell>
          <cell r="D725" t="str">
            <v>Acid</v>
          </cell>
          <cell r="E725">
            <v>9.82</v>
          </cell>
          <cell r="F725">
            <v>124.14</v>
          </cell>
          <cell r="G725"/>
          <cell r="H725">
            <v>3.7999999990499994E-2</v>
          </cell>
          <cell r="I725">
            <v>6700</v>
          </cell>
          <cell r="J725"/>
          <cell r="K725">
            <v>1.778279410038923</v>
          </cell>
          <cell r="L725"/>
          <cell r="M725"/>
          <cell r="N725"/>
          <cell r="O725"/>
          <cell r="P725"/>
          <cell r="Q725">
            <v>3.3114135000000004E-5</v>
          </cell>
          <cell r="R725">
            <v>5.3483578746909358E-7</v>
          </cell>
          <cell r="S725">
            <v>5.9426198607677063E-8</v>
          </cell>
          <cell r="T725">
            <v>2.6741789373454679E-7</v>
          </cell>
          <cell r="U725"/>
          <cell r="V725"/>
          <cell r="W725">
            <v>30000</v>
          </cell>
          <cell r="X725">
            <v>0.33333333333333331</v>
          </cell>
          <cell r="Y725">
            <v>0.33333333333333331</v>
          </cell>
          <cell r="Z725">
            <v>0.33333333333333331</v>
          </cell>
          <cell r="AA725"/>
        </row>
        <row r="726">
          <cell r="A726">
            <v>719</v>
          </cell>
          <cell r="B726" t="str">
            <v>Tannins</v>
          </cell>
          <cell r="C726" t="str">
            <v>1401-55-4</v>
          </cell>
          <cell r="D726" t="str">
            <v>Acid</v>
          </cell>
          <cell r="E726">
            <v>9.9</v>
          </cell>
          <cell r="F726">
            <v>636.48</v>
          </cell>
          <cell r="G726"/>
          <cell r="H726">
            <v>1.175999999706E-26</v>
          </cell>
          <cell r="I726">
            <v>512.4</v>
          </cell>
          <cell r="J726"/>
          <cell r="K726">
            <v>0.64565422903465541</v>
          </cell>
          <cell r="L726"/>
          <cell r="M726"/>
          <cell r="N726"/>
          <cell r="O726"/>
          <cell r="P726"/>
          <cell r="Q726">
            <v>2.0235924000000001E-4</v>
          </cell>
          <cell r="R726">
            <v>5.3483578746909358E-7</v>
          </cell>
          <cell r="S726">
            <v>5.9426198607677063E-8</v>
          </cell>
          <cell r="T726">
            <v>2.6741789373454679E-7</v>
          </cell>
          <cell r="U726"/>
          <cell r="V726"/>
          <cell r="W726">
            <v>30000</v>
          </cell>
          <cell r="X726">
            <v>0.33333333333333331</v>
          </cell>
          <cell r="Y726">
            <v>0.33333333333333331</v>
          </cell>
          <cell r="Z726">
            <v>0.33333333333333331</v>
          </cell>
          <cell r="AA726"/>
        </row>
        <row r="727">
          <cell r="A727">
            <v>720</v>
          </cell>
          <cell r="B727" t="str">
            <v>5-CHLORO-2-HYDROXYDIPHENYLMETHANE</v>
          </cell>
          <cell r="C727" t="str">
            <v>120-32-1</v>
          </cell>
          <cell r="D727" t="str">
            <v>Acid</v>
          </cell>
          <cell r="E727">
            <v>9.91</v>
          </cell>
          <cell r="F727">
            <v>218.68</v>
          </cell>
          <cell r="G727"/>
          <cell r="H727">
            <v>1.8666666661999997E-4</v>
          </cell>
          <cell r="I727">
            <v>149</v>
          </cell>
          <cell r="J727"/>
          <cell r="K727">
            <v>15135.612484362096</v>
          </cell>
          <cell r="L727"/>
          <cell r="M727"/>
          <cell r="N727"/>
          <cell r="O727"/>
          <cell r="P727"/>
          <cell r="Q727">
            <v>1.33305225E-5</v>
          </cell>
          <cell r="R727">
            <v>2.1393431498763744E-7</v>
          </cell>
          <cell r="S727">
            <v>2.3770479443070826E-8</v>
          </cell>
          <cell r="T727">
            <v>1.0696715749381872E-7</v>
          </cell>
          <cell r="U727"/>
          <cell r="V727"/>
          <cell r="W727">
            <v>30000</v>
          </cell>
          <cell r="X727">
            <v>0.33333333333333331</v>
          </cell>
          <cell r="Y727">
            <v>0.33333333333333331</v>
          </cell>
          <cell r="Z727">
            <v>0.33333333333333331</v>
          </cell>
          <cell r="AA727"/>
        </row>
        <row r="728">
          <cell r="A728">
            <v>721</v>
          </cell>
          <cell r="B728" t="str">
            <v>Phenol, 2-(2-propenyl)-</v>
          </cell>
          <cell r="C728" t="str">
            <v>1745-81-9</v>
          </cell>
          <cell r="D728" t="str">
            <v>Acid</v>
          </cell>
          <cell r="E728">
            <v>9.93</v>
          </cell>
          <cell r="F728">
            <v>134.18</v>
          </cell>
          <cell r="G728"/>
          <cell r="H728">
            <v>8.3733333312399996</v>
          </cell>
          <cell r="I728">
            <v>1110</v>
          </cell>
          <cell r="J728"/>
          <cell r="K728">
            <v>812.83051616409978</v>
          </cell>
          <cell r="L728"/>
          <cell r="M728"/>
          <cell r="N728"/>
          <cell r="O728"/>
          <cell r="P728"/>
          <cell r="Q728">
            <v>5.0982884999999995E-5</v>
          </cell>
          <cell r="R728">
            <v>5.3483578746909358E-7</v>
          </cell>
          <cell r="S728">
            <v>5.9426198607677063E-8</v>
          </cell>
          <cell r="T728">
            <v>2.6741789373454679E-7</v>
          </cell>
          <cell r="U728"/>
          <cell r="V728"/>
          <cell r="W728">
            <v>30000</v>
          </cell>
          <cell r="X728">
            <v>0.33333333333333331</v>
          </cell>
          <cell r="Y728">
            <v>0.33333333333333331</v>
          </cell>
          <cell r="Z728">
            <v>0.33333333333333331</v>
          </cell>
          <cell r="AA728"/>
        </row>
        <row r="729">
          <cell r="A729">
            <v>722</v>
          </cell>
          <cell r="B729" t="str">
            <v>guaiacol</v>
          </cell>
          <cell r="C729" t="str">
            <v>90-05-1</v>
          </cell>
          <cell r="D729" t="str">
            <v>Acid</v>
          </cell>
          <cell r="E729">
            <v>9.98</v>
          </cell>
          <cell r="F729">
            <v>124.14</v>
          </cell>
          <cell r="G729"/>
          <cell r="H729">
            <v>13.733333329899999</v>
          </cell>
          <cell r="I729">
            <v>18700</v>
          </cell>
          <cell r="J729"/>
          <cell r="K729">
            <v>20.8929613085404</v>
          </cell>
          <cell r="L729"/>
          <cell r="M729"/>
          <cell r="N729"/>
          <cell r="O729"/>
          <cell r="P729"/>
          <cell r="Q729">
            <v>2.23484775E-5</v>
          </cell>
          <cell r="R729">
            <v>5.3483578746909358E-7</v>
          </cell>
          <cell r="S729">
            <v>5.9426198607677063E-8</v>
          </cell>
          <cell r="T729">
            <v>2.6741789373454679E-7</v>
          </cell>
          <cell r="U729"/>
          <cell r="V729"/>
          <cell r="W729">
            <v>30000</v>
          </cell>
          <cell r="X729">
            <v>0.33333333333333331</v>
          </cell>
          <cell r="Y729">
            <v>0.33333333333333331</v>
          </cell>
          <cell r="Z729">
            <v>0.33333333333333331</v>
          </cell>
          <cell r="AA729"/>
        </row>
        <row r="730">
          <cell r="A730">
            <v>723</v>
          </cell>
          <cell r="B730" t="str">
            <v>P-ETHYLPHENOL</v>
          </cell>
          <cell r="C730" t="str">
            <v>123-07-9</v>
          </cell>
          <cell r="D730" t="str">
            <v>Acid</v>
          </cell>
          <cell r="E730">
            <v>10</v>
          </cell>
          <cell r="F730">
            <v>122.17</v>
          </cell>
          <cell r="G730"/>
          <cell r="H730">
            <v>4.959999998759999</v>
          </cell>
          <cell r="I730">
            <v>4900</v>
          </cell>
          <cell r="J730"/>
          <cell r="K730">
            <v>380.18939632056163</v>
          </cell>
          <cell r="L730"/>
          <cell r="M730"/>
          <cell r="N730"/>
          <cell r="O730"/>
          <cell r="P730"/>
          <cell r="Q730">
            <v>3.1383344999999998E-5</v>
          </cell>
          <cell r="R730">
            <v>5.3483578746909358E-7</v>
          </cell>
          <cell r="S730">
            <v>5.9426198607677063E-8</v>
          </cell>
          <cell r="T730">
            <v>2.6741789373454679E-7</v>
          </cell>
          <cell r="U730"/>
          <cell r="V730"/>
          <cell r="W730">
            <v>30000</v>
          </cell>
          <cell r="X730">
            <v>0.33333333333333331</v>
          </cell>
          <cell r="Y730">
            <v>0.33333333333333331</v>
          </cell>
          <cell r="Z730">
            <v>0.33333333333333331</v>
          </cell>
          <cell r="AA730"/>
        </row>
        <row r="731">
          <cell r="A731">
            <v>724</v>
          </cell>
          <cell r="B731" t="str">
            <v>ETHYL 2-HYDROXYBENZOATE</v>
          </cell>
          <cell r="C731" t="str">
            <v>118-61-6</v>
          </cell>
          <cell r="D731" t="str">
            <v>Acid</v>
          </cell>
          <cell r="E731">
            <v>10.14</v>
          </cell>
          <cell r="F731">
            <v>166.18</v>
          </cell>
          <cell r="G731"/>
          <cell r="H731">
            <v>11.279999997179999</v>
          </cell>
          <cell r="I731">
            <v>737.1</v>
          </cell>
          <cell r="J731"/>
          <cell r="K731">
            <v>891.25093813374656</v>
          </cell>
          <cell r="L731"/>
          <cell r="M731"/>
          <cell r="N731"/>
          <cell r="O731"/>
          <cell r="P731"/>
          <cell r="Q731">
            <v>9.4314450000000006E-6</v>
          </cell>
          <cell r="R731">
            <v>5.3483578746909358E-7</v>
          </cell>
          <cell r="S731">
            <v>5.9426198607677063E-8</v>
          </cell>
          <cell r="T731">
            <v>2.6741789373454679E-7</v>
          </cell>
          <cell r="U731"/>
          <cell r="V731"/>
          <cell r="W731">
            <v>30000</v>
          </cell>
          <cell r="X731">
            <v>0.33333333333333331</v>
          </cell>
          <cell r="Y731">
            <v>0.33333333333333331</v>
          </cell>
          <cell r="Z731">
            <v>0.33333333333333331</v>
          </cell>
          <cell r="AA731"/>
        </row>
        <row r="732">
          <cell r="A732">
            <v>725</v>
          </cell>
          <cell r="B732" t="str">
            <v>CHORAL HYDRATE</v>
          </cell>
          <cell r="C732" t="str">
            <v>302-17-0</v>
          </cell>
          <cell r="D732" t="str">
            <v>Acid</v>
          </cell>
          <cell r="E732">
            <v>10.14</v>
          </cell>
          <cell r="F732">
            <v>165.4</v>
          </cell>
          <cell r="G732"/>
          <cell r="H732">
            <v>1999.9999994999998</v>
          </cell>
          <cell r="I732">
            <v>793000</v>
          </cell>
          <cell r="J732"/>
          <cell r="K732">
            <v>9.7723722095581103</v>
          </cell>
          <cell r="L732"/>
          <cell r="M732"/>
          <cell r="N732"/>
          <cell r="O732"/>
          <cell r="P732"/>
          <cell r="Q732">
            <v>1.4398425E-6</v>
          </cell>
          <cell r="R732">
            <v>2.1393431498763744E-7</v>
          </cell>
          <cell r="S732">
            <v>2.3770479443070826E-8</v>
          </cell>
          <cell r="T732">
            <v>1.0696715749381872E-7</v>
          </cell>
          <cell r="U732"/>
          <cell r="V732"/>
          <cell r="W732">
            <v>30000</v>
          </cell>
          <cell r="X732">
            <v>0.33333333333333331</v>
          </cell>
          <cell r="Y732">
            <v>0.33333333333333331</v>
          </cell>
          <cell r="Z732">
            <v>0.33333333333333331</v>
          </cell>
          <cell r="AA732"/>
        </row>
        <row r="733">
          <cell r="A733">
            <v>726</v>
          </cell>
          <cell r="B733" t="str">
            <v>Methanone,  2-hydroxy-4-(octyloxy)phenyl phenyl-</v>
          </cell>
          <cell r="C733" t="str">
            <v>1843-05-6</v>
          </cell>
          <cell r="D733" t="str">
            <v>Acid</v>
          </cell>
          <cell r="E733">
            <v>10.16</v>
          </cell>
          <cell r="F733">
            <v>326.44</v>
          </cell>
          <cell r="G733"/>
          <cell r="H733">
            <v>9.2266666643599986E-6</v>
          </cell>
          <cell r="I733">
            <v>3.6929999999999998E-2</v>
          </cell>
          <cell r="J733"/>
          <cell r="K733">
            <v>9120108.3935591076</v>
          </cell>
          <cell r="L733"/>
          <cell r="M733"/>
          <cell r="N733"/>
          <cell r="O733"/>
          <cell r="P733"/>
          <cell r="Q733">
            <v>1.6360272000000002E-4</v>
          </cell>
          <cell r="R733">
            <v>5.3483578746909358E-7</v>
          </cell>
          <cell r="S733">
            <v>5.9426198607677063E-8</v>
          </cell>
          <cell r="T733">
            <v>2.6741789373454679E-7</v>
          </cell>
          <cell r="U733"/>
          <cell r="V733"/>
          <cell r="W733">
            <v>30000</v>
          </cell>
          <cell r="X733">
            <v>0.33333333333333331</v>
          </cell>
          <cell r="Y733">
            <v>0.33333333333333331</v>
          </cell>
          <cell r="Z733">
            <v>0.33333333333333331</v>
          </cell>
          <cell r="AA733"/>
        </row>
        <row r="734">
          <cell r="A734">
            <v>727</v>
          </cell>
          <cell r="B734" t="str">
            <v>CARBOFURAN PHENOL</v>
          </cell>
          <cell r="C734" t="str">
            <v>1563-38-8</v>
          </cell>
          <cell r="D734" t="str">
            <v>Acid</v>
          </cell>
          <cell r="E734">
            <v>10.17</v>
          </cell>
          <cell r="F734">
            <v>164.21</v>
          </cell>
          <cell r="G734"/>
          <cell r="H734">
            <v>0.28133333326299997</v>
          </cell>
          <cell r="I734">
            <v>1096</v>
          </cell>
          <cell r="J734"/>
          <cell r="K734">
            <v>120.22644346174135</v>
          </cell>
          <cell r="L734"/>
          <cell r="M734"/>
          <cell r="N734"/>
          <cell r="O734"/>
          <cell r="P734"/>
          <cell r="Q734">
            <v>5.6113709999999998E-5</v>
          </cell>
          <cell r="R734">
            <v>2.1393431498763744E-7</v>
          </cell>
          <cell r="S734">
            <v>2.3770479443070826E-8</v>
          </cell>
          <cell r="T734">
            <v>2.6741789373454684E-5</v>
          </cell>
          <cell r="U734"/>
          <cell r="V734"/>
          <cell r="W734">
            <v>30000</v>
          </cell>
          <cell r="X734">
            <v>0.33333333333333331</v>
          </cell>
          <cell r="Y734">
            <v>0.33333333333333331</v>
          </cell>
          <cell r="Z734">
            <v>0.33333333333333331</v>
          </cell>
          <cell r="AA734"/>
        </row>
        <row r="735">
          <cell r="A735">
            <v>728</v>
          </cell>
          <cell r="B735" t="str">
            <v>3,5-DIMETHYLPHENOL</v>
          </cell>
          <cell r="C735" t="str">
            <v>108-68-9</v>
          </cell>
          <cell r="D735" t="str">
            <v>Acid</v>
          </cell>
          <cell r="E735">
            <v>10.19</v>
          </cell>
          <cell r="F735">
            <v>122.17</v>
          </cell>
          <cell r="G735"/>
          <cell r="H735">
            <v>5.3999999986500002</v>
          </cell>
          <cell r="I735">
            <v>4880</v>
          </cell>
          <cell r="J735"/>
          <cell r="K735">
            <v>223.87211385683412</v>
          </cell>
          <cell r="L735"/>
          <cell r="M735"/>
          <cell r="N735"/>
          <cell r="O735"/>
          <cell r="P735"/>
          <cell r="Q735">
            <v>8.475E-5</v>
          </cell>
          <cell r="R735">
            <v>5.3483578746909358E-7</v>
          </cell>
          <cell r="S735">
            <v>5.9426198607677063E-8</v>
          </cell>
          <cell r="T735">
            <v>2.6741789373454679E-7</v>
          </cell>
          <cell r="U735"/>
          <cell r="V735"/>
          <cell r="W735">
            <v>30000</v>
          </cell>
          <cell r="X735">
            <v>0.33333333333333331</v>
          </cell>
          <cell r="Y735">
            <v>0.33333333333333331</v>
          </cell>
          <cell r="Z735">
            <v>0.33333333333333331</v>
          </cell>
          <cell r="AA735"/>
        </row>
        <row r="736">
          <cell r="A736">
            <v>729</v>
          </cell>
          <cell r="B736" t="str">
            <v>Phenol, 4,4'-thiobis 2-(1,1-dimethylethyl)-5-methyl-</v>
          </cell>
          <cell r="C736" t="str">
            <v>96-69-5</v>
          </cell>
          <cell r="D736" t="str">
            <v>Acid</v>
          </cell>
          <cell r="E736">
            <v>10.199999999999999</v>
          </cell>
          <cell r="F736">
            <v>358.54</v>
          </cell>
          <cell r="G736"/>
          <cell r="H736">
            <v>2.8933333326099997E-8</v>
          </cell>
          <cell r="I736">
            <v>1.9059999999999999E-3</v>
          </cell>
          <cell r="J736"/>
          <cell r="K736">
            <v>173780082.87493807</v>
          </cell>
          <cell r="L736"/>
          <cell r="M736"/>
          <cell r="N736"/>
          <cell r="O736"/>
          <cell r="P736"/>
          <cell r="Q736">
            <v>9.7321612500000004E-5</v>
          </cell>
          <cell r="R736">
            <v>1.3370894686727339E-7</v>
          </cell>
          <cell r="S736">
            <v>1.4856549651919266E-8</v>
          </cell>
          <cell r="T736">
            <v>6.6854473433636697E-8</v>
          </cell>
          <cell r="U736"/>
          <cell r="V736"/>
          <cell r="W736">
            <v>30000</v>
          </cell>
          <cell r="X736">
            <v>0.33333333333333331</v>
          </cell>
          <cell r="Y736">
            <v>0.33333333333333331</v>
          </cell>
          <cell r="Z736">
            <v>0.33333333333333331</v>
          </cell>
          <cell r="AA736"/>
        </row>
        <row r="737">
          <cell r="A737">
            <v>730</v>
          </cell>
          <cell r="B737" t="str">
            <v>1,4-BENZENEDIOL, 2-METHYL-</v>
          </cell>
          <cell r="C737" t="str">
            <v>95-71-6</v>
          </cell>
          <cell r="D737" t="str">
            <v>Acid</v>
          </cell>
          <cell r="E737">
            <v>10.199999999999999</v>
          </cell>
          <cell r="F737">
            <v>124.14</v>
          </cell>
          <cell r="G737"/>
          <cell r="H737">
            <v>1.7066666662399997E-2</v>
          </cell>
          <cell r="I737">
            <v>61520</v>
          </cell>
          <cell r="J737"/>
          <cell r="K737">
            <v>8.1283051616409931</v>
          </cell>
          <cell r="L737"/>
          <cell r="M737"/>
          <cell r="N737"/>
          <cell r="O737"/>
          <cell r="P737"/>
          <cell r="Q737">
            <v>4.5234209999999995E-5</v>
          </cell>
          <cell r="R737">
            <v>5.3483578746909358E-7</v>
          </cell>
          <cell r="S737">
            <v>5.9426198607677063E-8</v>
          </cell>
          <cell r="T737">
            <v>2.6741789373454679E-7</v>
          </cell>
          <cell r="U737"/>
          <cell r="V737"/>
          <cell r="W737">
            <v>30000</v>
          </cell>
          <cell r="X737">
            <v>0.33333333333333331</v>
          </cell>
          <cell r="Y737">
            <v>0.33333333333333331</v>
          </cell>
          <cell r="Z737">
            <v>0.33333333333333331</v>
          </cell>
          <cell r="AA737"/>
        </row>
        <row r="738">
          <cell r="A738">
            <v>731</v>
          </cell>
          <cell r="B738" t="str">
            <v>Cresol(s)</v>
          </cell>
          <cell r="C738" t="str">
            <v>1319-77-3</v>
          </cell>
          <cell r="D738" t="str">
            <v>Acid</v>
          </cell>
          <cell r="E738">
            <v>10.220000000000001</v>
          </cell>
          <cell r="F738">
            <v>108.14</v>
          </cell>
          <cell r="G738"/>
          <cell r="H738">
            <v>22.666666661000001</v>
          </cell>
          <cell r="I738">
            <v>25900</v>
          </cell>
          <cell r="J738"/>
          <cell r="K738">
            <v>89.125093813374562</v>
          </cell>
          <cell r="L738"/>
          <cell r="M738"/>
          <cell r="N738"/>
          <cell r="O738"/>
          <cell r="P738"/>
          <cell r="Q738">
            <v>3.15E-5</v>
          </cell>
          <cell r="R738">
            <v>5.3483578746909358E-7</v>
          </cell>
          <cell r="S738">
            <v>5.9426198607677063E-8</v>
          </cell>
          <cell r="T738">
            <v>2.6741789373454679E-7</v>
          </cell>
          <cell r="U738"/>
          <cell r="V738"/>
          <cell r="W738">
            <v>30000</v>
          </cell>
          <cell r="X738">
            <v>0.33333333333333331</v>
          </cell>
          <cell r="Y738">
            <v>0.33333333333333331</v>
          </cell>
          <cell r="Z738">
            <v>0.33333333333333331</v>
          </cell>
          <cell r="AA738"/>
        </row>
        <row r="739">
          <cell r="A739">
            <v>732</v>
          </cell>
          <cell r="B739" t="str">
            <v>P-ISOPROPYLPHENOL</v>
          </cell>
          <cell r="C739" t="str">
            <v>99-89-8</v>
          </cell>
          <cell r="D739" t="str">
            <v>Acid</v>
          </cell>
          <cell r="E739">
            <v>10.24</v>
          </cell>
          <cell r="F739">
            <v>136.19999999999999</v>
          </cell>
          <cell r="G739"/>
          <cell r="H739">
            <v>6.0266666651599996</v>
          </cell>
          <cell r="I739">
            <v>1102</v>
          </cell>
          <cell r="J739"/>
          <cell r="K739">
            <v>794.32823472428208</v>
          </cell>
          <cell r="L739"/>
          <cell r="M739"/>
          <cell r="N739"/>
          <cell r="O739"/>
          <cell r="P739"/>
          <cell r="Q739">
            <v>3.1889774999999999E-5</v>
          </cell>
          <cell r="R739">
            <v>5.3483578746909358E-7</v>
          </cell>
          <cell r="S739">
            <v>5.9426198607677063E-8</v>
          </cell>
          <cell r="T739">
            <v>2.6741789373454679E-7</v>
          </cell>
          <cell r="U739"/>
          <cell r="V739"/>
          <cell r="W739">
            <v>30000</v>
          </cell>
          <cell r="X739">
            <v>0.33333333333333331</v>
          </cell>
          <cell r="Y739">
            <v>0.33333333333333331</v>
          </cell>
          <cell r="Z739">
            <v>0.33333333333333331</v>
          </cell>
          <cell r="AA739"/>
        </row>
        <row r="740">
          <cell r="A740">
            <v>733</v>
          </cell>
          <cell r="B740" t="str">
            <v>NONYLPHENOL</v>
          </cell>
          <cell r="C740" t="str">
            <v>25154-52-3</v>
          </cell>
          <cell r="D740" t="str">
            <v>Acid</v>
          </cell>
          <cell r="E740">
            <v>10.25</v>
          </cell>
          <cell r="F740">
            <v>220.36</v>
          </cell>
          <cell r="G740"/>
          <cell r="H740">
            <v>3.1466666658799998E-3</v>
          </cell>
          <cell r="I740">
            <v>6.35</v>
          </cell>
          <cell r="J740"/>
          <cell r="K740">
            <v>575439.93733715697</v>
          </cell>
          <cell r="L740"/>
          <cell r="M740"/>
          <cell r="N740"/>
          <cell r="O740"/>
          <cell r="P740"/>
          <cell r="Q740">
            <v>3.8764792500000001E-5</v>
          </cell>
          <cell r="R740">
            <v>5.3483578746909358E-7</v>
          </cell>
          <cell r="S740">
            <v>5.9426198607677063E-8</v>
          </cell>
          <cell r="T740">
            <v>2.6741789373454679E-7</v>
          </cell>
          <cell r="U740"/>
          <cell r="V740"/>
          <cell r="W740">
            <v>30000</v>
          </cell>
          <cell r="X740">
            <v>0.33333333333333331</v>
          </cell>
          <cell r="Y740">
            <v>0.33333333333333331</v>
          </cell>
          <cell r="Z740">
            <v>0.33333333333333331</v>
          </cell>
          <cell r="AA740"/>
        </row>
        <row r="741">
          <cell r="A741">
            <v>734</v>
          </cell>
          <cell r="B741" t="str">
            <v>P-(1,1,3,3-TETRAMETHYLBUTYL)PHENOL</v>
          </cell>
          <cell r="C741" t="str">
            <v>140-66-9</v>
          </cell>
          <cell r="D741" t="str">
            <v>Acid</v>
          </cell>
          <cell r="E741">
            <v>10.25</v>
          </cell>
          <cell r="F741">
            <v>206.33</v>
          </cell>
          <cell r="G741"/>
          <cell r="H741">
            <v>6.3733333317399998E-2</v>
          </cell>
          <cell r="I741">
            <v>4.8209999999999997</v>
          </cell>
          <cell r="J741"/>
          <cell r="K741">
            <v>190546.07179632492</v>
          </cell>
          <cell r="L741"/>
          <cell r="M741"/>
          <cell r="N741"/>
          <cell r="O741"/>
          <cell r="P741"/>
          <cell r="Q741">
            <v>3.1778279999999999E-5</v>
          </cell>
          <cell r="R741">
            <v>2.1393431498763744E-7</v>
          </cell>
          <cell r="S741">
            <v>2.3770479443070826E-8</v>
          </cell>
          <cell r="T741">
            <v>1.0696715749381872E-7</v>
          </cell>
          <cell r="U741"/>
          <cell r="V741"/>
          <cell r="W741">
            <v>30000</v>
          </cell>
          <cell r="X741">
            <v>0.33333333333333331</v>
          </cell>
          <cell r="Y741">
            <v>0.33333333333333331</v>
          </cell>
          <cell r="Z741">
            <v>0.33333333333333331</v>
          </cell>
          <cell r="AA741"/>
        </row>
        <row r="742">
          <cell r="A742">
            <v>735</v>
          </cell>
          <cell r="B742" t="str">
            <v>P-NONYLPHENOL</v>
          </cell>
          <cell r="C742" t="str">
            <v>104-40-5</v>
          </cell>
          <cell r="D742" t="str">
            <v>Acid</v>
          </cell>
          <cell r="E742">
            <v>10.25</v>
          </cell>
          <cell r="F742">
            <v>220.36</v>
          </cell>
          <cell r="G742"/>
          <cell r="H742">
            <v>3.1466666658799998E-3</v>
          </cell>
          <cell r="I742">
            <v>7</v>
          </cell>
          <cell r="J742"/>
          <cell r="K742">
            <v>575439.93733715697</v>
          </cell>
          <cell r="L742"/>
          <cell r="M742"/>
          <cell r="N742"/>
          <cell r="O742"/>
          <cell r="P742"/>
          <cell r="Q742">
            <v>3.8764792500000001E-5</v>
          </cell>
          <cell r="R742">
            <v>5.3483578746909358E-7</v>
          </cell>
          <cell r="S742">
            <v>5.9426198607677063E-8</v>
          </cell>
          <cell r="T742">
            <v>2.6741789373454679E-7</v>
          </cell>
          <cell r="U742"/>
          <cell r="V742"/>
          <cell r="W742">
            <v>30000</v>
          </cell>
          <cell r="X742">
            <v>0.33333333333333331</v>
          </cell>
          <cell r="Y742">
            <v>0.33333333333333331</v>
          </cell>
          <cell r="Z742">
            <v>0.33333333333333331</v>
          </cell>
          <cell r="AA742"/>
        </row>
        <row r="743">
          <cell r="A743">
            <v>736</v>
          </cell>
          <cell r="B743" t="str">
            <v>P-METHOXYPHENOL</v>
          </cell>
          <cell r="C743" t="str">
            <v>150-76-5</v>
          </cell>
          <cell r="D743" t="str">
            <v>Acid</v>
          </cell>
          <cell r="E743">
            <v>10.26</v>
          </cell>
          <cell r="F743">
            <v>124.14</v>
          </cell>
          <cell r="G743"/>
          <cell r="H743">
            <v>1.10666666639</v>
          </cell>
          <cell r="I743">
            <v>40000</v>
          </cell>
          <cell r="J743"/>
          <cell r="K743">
            <v>38.018939632056139</v>
          </cell>
          <cell r="L743"/>
          <cell r="M743"/>
          <cell r="N743"/>
          <cell r="O743"/>
          <cell r="P743"/>
          <cell r="Q743">
            <v>2.23484775E-5</v>
          </cell>
          <cell r="R743">
            <v>5.3483578746909358E-7</v>
          </cell>
          <cell r="S743">
            <v>5.9426198607677063E-8</v>
          </cell>
          <cell r="T743">
            <v>2.6741789373454679E-7</v>
          </cell>
          <cell r="U743"/>
          <cell r="V743"/>
          <cell r="W743">
            <v>30000</v>
          </cell>
          <cell r="X743">
            <v>0.33333333333333331</v>
          </cell>
          <cell r="Y743">
            <v>0.33333333333333331</v>
          </cell>
          <cell r="Z743">
            <v>0.33333333333333331</v>
          </cell>
          <cell r="AA743"/>
        </row>
        <row r="744">
          <cell r="A744">
            <v>737</v>
          </cell>
          <cell r="B744" t="str">
            <v>p-cresol</v>
          </cell>
          <cell r="C744" t="str">
            <v>106-44-5</v>
          </cell>
          <cell r="D744" t="str">
            <v>Acid</v>
          </cell>
          <cell r="E744">
            <v>10.26</v>
          </cell>
          <cell r="F744">
            <v>108.14</v>
          </cell>
          <cell r="G744"/>
          <cell r="H744">
            <v>14.666666662999999</v>
          </cell>
          <cell r="I744">
            <v>21500</v>
          </cell>
          <cell r="J744"/>
          <cell r="K744">
            <v>87.096358995608071</v>
          </cell>
          <cell r="L744"/>
          <cell r="M744"/>
          <cell r="N744"/>
          <cell r="O744"/>
          <cell r="P744"/>
          <cell r="Q744">
            <v>3.5249999999999996E-5</v>
          </cell>
          <cell r="R744">
            <v>5.3483578746909358E-7</v>
          </cell>
          <cell r="S744">
            <v>5.9426198607677063E-8</v>
          </cell>
          <cell r="T744">
            <v>2.6741789373454679E-7</v>
          </cell>
          <cell r="U744"/>
          <cell r="V744"/>
          <cell r="W744">
            <v>30000</v>
          </cell>
          <cell r="X744">
            <v>0.33333333333333331</v>
          </cell>
          <cell r="Y744">
            <v>0.33333333333333331</v>
          </cell>
          <cell r="Z744">
            <v>0.33333333333333331</v>
          </cell>
          <cell r="AA744"/>
        </row>
        <row r="745">
          <cell r="A745">
            <v>738</v>
          </cell>
          <cell r="B745" t="str">
            <v>O-T-BUTYLPHENOL</v>
          </cell>
          <cell r="C745" t="str">
            <v>88-18-6</v>
          </cell>
          <cell r="D745" t="str">
            <v>Acid</v>
          </cell>
          <cell r="E745">
            <v>10.28</v>
          </cell>
          <cell r="F745">
            <v>150.22</v>
          </cell>
          <cell r="G745"/>
          <cell r="H745">
            <v>11.999999997</v>
          </cell>
          <cell r="I745">
            <v>700</v>
          </cell>
          <cell r="J745"/>
          <cell r="K745">
            <v>2041.7379446695318</v>
          </cell>
          <cell r="L745"/>
          <cell r="M745"/>
          <cell r="N745"/>
          <cell r="O745"/>
          <cell r="P745"/>
          <cell r="Q745">
            <v>3.0467572500000001E-5</v>
          </cell>
          <cell r="R745">
            <v>2.1393431498763744E-7</v>
          </cell>
          <cell r="S745">
            <v>2.3770479443070826E-8</v>
          </cell>
          <cell r="T745">
            <v>1.0696715749381872E-7</v>
          </cell>
          <cell r="U745"/>
          <cell r="V745"/>
          <cell r="W745">
            <v>30000</v>
          </cell>
          <cell r="X745">
            <v>0.33333333333333331</v>
          </cell>
          <cell r="Y745">
            <v>0.33333333333333331</v>
          </cell>
          <cell r="Z745">
            <v>0.33333333333333331</v>
          </cell>
          <cell r="AA745"/>
        </row>
        <row r="746">
          <cell r="A746">
            <v>739</v>
          </cell>
          <cell r="B746" t="str">
            <v>4-Methyl-2-methoxyphenol</v>
          </cell>
          <cell r="C746" t="str">
            <v>93-51-6</v>
          </cell>
          <cell r="D746" t="str">
            <v>Acid</v>
          </cell>
          <cell r="E746">
            <v>10.28</v>
          </cell>
          <cell r="F746">
            <v>138.16999999999999</v>
          </cell>
          <cell r="G746"/>
          <cell r="H746">
            <v>7.9199999980199998</v>
          </cell>
          <cell r="I746">
            <v>2093</v>
          </cell>
          <cell r="J746"/>
          <cell r="K746">
            <v>75.857757502918361</v>
          </cell>
          <cell r="L746"/>
          <cell r="M746"/>
          <cell r="N746"/>
          <cell r="O746"/>
          <cell r="P746"/>
          <cell r="Q746">
            <v>2.98147275E-5</v>
          </cell>
          <cell r="R746">
            <v>5.3483578746909358E-7</v>
          </cell>
          <cell r="S746">
            <v>5.9426198607677063E-8</v>
          </cell>
          <cell r="T746">
            <v>2.6741789373454679E-7</v>
          </cell>
          <cell r="U746"/>
          <cell r="V746"/>
          <cell r="W746">
            <v>30000</v>
          </cell>
          <cell r="X746">
            <v>0.33333333333333331</v>
          </cell>
          <cell r="Y746">
            <v>0.33333333333333331</v>
          </cell>
          <cell r="Z746">
            <v>0.33333333333333331</v>
          </cell>
          <cell r="AA746"/>
        </row>
        <row r="747">
          <cell r="A747">
            <v>740</v>
          </cell>
          <cell r="B747" t="str">
            <v>o-cresol</v>
          </cell>
          <cell r="C747" t="str">
            <v>95-48-7</v>
          </cell>
          <cell r="D747" t="str">
            <v>Acid</v>
          </cell>
          <cell r="E747">
            <v>10.28</v>
          </cell>
          <cell r="F747">
            <v>108.14</v>
          </cell>
          <cell r="G747"/>
          <cell r="H747">
            <v>22.666666661000001</v>
          </cell>
          <cell r="I747">
            <v>25900</v>
          </cell>
          <cell r="J747"/>
          <cell r="K747">
            <v>89.125093813374562</v>
          </cell>
          <cell r="L747"/>
          <cell r="M747"/>
          <cell r="N747"/>
          <cell r="O747"/>
          <cell r="P747"/>
          <cell r="Q747">
            <v>3.15E-5</v>
          </cell>
          <cell r="R747">
            <v>5.3483578746909358E-7</v>
          </cell>
          <cell r="S747">
            <v>5.9426198607677063E-8</v>
          </cell>
          <cell r="T747">
            <v>2.6741789373454679E-7</v>
          </cell>
          <cell r="U747"/>
          <cell r="V747"/>
          <cell r="W747">
            <v>30000</v>
          </cell>
          <cell r="X747">
            <v>0.33333333333333331</v>
          </cell>
          <cell r="Y747">
            <v>0.33333333333333331</v>
          </cell>
          <cell r="Z747">
            <v>0.33333333333333331</v>
          </cell>
          <cell r="AA747"/>
        </row>
        <row r="748">
          <cell r="A748">
            <v>741</v>
          </cell>
          <cell r="B748" t="str">
            <v>NITROMETHANE</v>
          </cell>
          <cell r="C748" t="str">
            <v>75-52-5</v>
          </cell>
          <cell r="D748" t="str">
            <v>Acid</v>
          </cell>
          <cell r="E748">
            <v>10.3</v>
          </cell>
          <cell r="F748">
            <v>61.04</v>
          </cell>
          <cell r="G748"/>
          <cell r="H748">
            <v>4773.3333321399996</v>
          </cell>
          <cell r="I748">
            <v>111000</v>
          </cell>
          <cell r="J748"/>
          <cell r="K748">
            <v>0.44668359215096315</v>
          </cell>
          <cell r="L748"/>
          <cell r="M748"/>
          <cell r="N748"/>
          <cell r="O748"/>
          <cell r="P748"/>
          <cell r="Q748">
            <v>9.7500000000000006E-8</v>
          </cell>
          <cell r="R748">
            <v>5.3483578746909358E-7</v>
          </cell>
          <cell r="S748">
            <v>5.9426198607677063E-8</v>
          </cell>
          <cell r="T748">
            <v>2.6741789373454679E-7</v>
          </cell>
          <cell r="U748"/>
          <cell r="V748"/>
          <cell r="W748">
            <v>30000</v>
          </cell>
          <cell r="X748">
            <v>0.33333333333333331</v>
          </cell>
          <cell r="Y748">
            <v>0.33333333333333331</v>
          </cell>
          <cell r="Z748">
            <v>0.33333333333333331</v>
          </cell>
          <cell r="AA748"/>
        </row>
        <row r="749">
          <cell r="A749">
            <v>742</v>
          </cell>
          <cell r="B749" t="str">
            <v>CYCLOHEXANONE OXIME</v>
          </cell>
          <cell r="C749" t="str">
            <v>100-64-1</v>
          </cell>
          <cell r="D749" t="str">
            <v>Acid</v>
          </cell>
          <cell r="E749">
            <v>10.39</v>
          </cell>
          <cell r="F749">
            <v>113.16</v>
          </cell>
          <cell r="G749"/>
          <cell r="H749">
            <v>3.7333333324</v>
          </cell>
          <cell r="I749">
            <v>18000</v>
          </cell>
          <cell r="J749"/>
          <cell r="K749">
            <v>6.9183097091893666</v>
          </cell>
          <cell r="L749"/>
          <cell r="M749"/>
          <cell r="N749"/>
          <cell r="O749"/>
          <cell r="P749"/>
          <cell r="Q749">
            <v>5.2989299999999998E-6</v>
          </cell>
          <cell r="R749">
            <v>5.3483578746909358E-7</v>
          </cell>
          <cell r="S749">
            <v>5.9426198607677063E-8</v>
          </cell>
          <cell r="T749">
            <v>2.6741789373454679E-7</v>
          </cell>
          <cell r="U749"/>
          <cell r="V749"/>
          <cell r="W749">
            <v>30000</v>
          </cell>
          <cell r="X749">
            <v>0.33333333333333331</v>
          </cell>
          <cell r="Y749">
            <v>0.33333333333333331</v>
          </cell>
          <cell r="Z749">
            <v>0.33333333333333331</v>
          </cell>
          <cell r="AA749"/>
        </row>
        <row r="750">
          <cell r="A750">
            <v>743</v>
          </cell>
          <cell r="B750" t="str">
            <v>2,5-DIMETHYLPHENOL</v>
          </cell>
          <cell r="C750" t="str">
            <v>95-87-4</v>
          </cell>
          <cell r="D750" t="str">
            <v>Acid</v>
          </cell>
          <cell r="E750">
            <v>10.41</v>
          </cell>
          <cell r="F750">
            <v>122.17</v>
          </cell>
          <cell r="G750"/>
          <cell r="H750">
            <v>20.7999999948</v>
          </cell>
          <cell r="I750">
            <v>3540</v>
          </cell>
          <cell r="J750"/>
          <cell r="K750">
            <v>213.79620895022339</v>
          </cell>
          <cell r="L750"/>
          <cell r="M750"/>
          <cell r="N750"/>
          <cell r="O750"/>
          <cell r="P750"/>
          <cell r="Q750">
            <v>5.9999999999999995E-5</v>
          </cell>
          <cell r="R750">
            <v>5.3483578746909358E-7</v>
          </cell>
          <cell r="S750">
            <v>5.9426198607677063E-8</v>
          </cell>
          <cell r="T750">
            <v>2.6741789373454679E-7</v>
          </cell>
          <cell r="U750"/>
          <cell r="V750"/>
          <cell r="W750">
            <v>30000</v>
          </cell>
          <cell r="X750">
            <v>0.33333333333333331</v>
          </cell>
          <cell r="Y750">
            <v>0.33333333333333331</v>
          </cell>
          <cell r="Z750">
            <v>0.33333333333333331</v>
          </cell>
          <cell r="AA750"/>
        </row>
        <row r="751">
          <cell r="A751">
            <v>744</v>
          </cell>
          <cell r="B751" t="str">
            <v>ETHINYL ESTRADIOL</v>
          </cell>
          <cell r="C751" t="str">
            <v>57-63-6</v>
          </cell>
          <cell r="D751" t="str">
            <v>Acid</v>
          </cell>
          <cell r="E751">
            <v>10.51</v>
          </cell>
          <cell r="F751">
            <v>296.41000000000003</v>
          </cell>
          <cell r="G751"/>
          <cell r="H751">
            <v>2.5999999993500001E-7</v>
          </cell>
          <cell r="I751">
            <v>11.3</v>
          </cell>
          <cell r="J751"/>
          <cell r="K751">
            <v>4677.3514128719844</v>
          </cell>
          <cell r="L751"/>
          <cell r="M751"/>
          <cell r="N751"/>
          <cell r="O751"/>
          <cell r="P751"/>
          <cell r="Q751">
            <v>9.3783217499999991E-5</v>
          </cell>
          <cell r="R751">
            <v>1.3370894686727339E-7</v>
          </cell>
          <cell r="S751">
            <v>1.4856549651919266E-8</v>
          </cell>
          <cell r="T751">
            <v>6.6854473433636697E-8</v>
          </cell>
          <cell r="U751"/>
          <cell r="V751"/>
          <cell r="W751">
            <v>30000</v>
          </cell>
          <cell r="X751">
            <v>0.33333333333333331</v>
          </cell>
          <cell r="Y751">
            <v>0.33333333333333331</v>
          </cell>
          <cell r="Z751">
            <v>0.33333333333333331</v>
          </cell>
          <cell r="AA751"/>
        </row>
        <row r="752">
          <cell r="A752">
            <v>745</v>
          </cell>
          <cell r="B752" t="str">
            <v>2,3-DIMETHYLPHENOL</v>
          </cell>
          <cell r="C752" t="str">
            <v>526-75-0</v>
          </cell>
          <cell r="D752" t="str">
            <v>Acid</v>
          </cell>
          <cell r="E752">
            <v>10.54</v>
          </cell>
          <cell r="F752">
            <v>122.17</v>
          </cell>
          <cell r="G752"/>
          <cell r="H752">
            <v>11.866666663699998</v>
          </cell>
          <cell r="I752">
            <v>4570</v>
          </cell>
          <cell r="J752"/>
          <cell r="K752">
            <v>301.99517204020168</v>
          </cell>
          <cell r="L752"/>
          <cell r="M752"/>
          <cell r="N752"/>
          <cell r="O752"/>
          <cell r="P752"/>
          <cell r="Q752">
            <v>6.0150000000000005E-5</v>
          </cell>
          <cell r="R752">
            <v>5.3483578746909358E-7</v>
          </cell>
          <cell r="S752">
            <v>5.9426198607677063E-8</v>
          </cell>
          <cell r="T752">
            <v>2.6741789373454679E-7</v>
          </cell>
          <cell r="U752"/>
          <cell r="V752"/>
          <cell r="W752">
            <v>30000</v>
          </cell>
          <cell r="X752">
            <v>0.33333333333333331</v>
          </cell>
          <cell r="Y752">
            <v>0.33333333333333331</v>
          </cell>
          <cell r="Z752">
            <v>0.33333333333333331</v>
          </cell>
          <cell r="AA752"/>
        </row>
        <row r="753">
          <cell r="A753">
            <v>746</v>
          </cell>
          <cell r="B753" t="str">
            <v>ESTRADIOL</v>
          </cell>
          <cell r="C753" t="str">
            <v>50-28-2</v>
          </cell>
          <cell r="D753" t="str">
            <v>Acid</v>
          </cell>
          <cell r="E753">
            <v>10.54</v>
          </cell>
          <cell r="F753">
            <v>272.39</v>
          </cell>
          <cell r="G753"/>
          <cell r="H753">
            <v>2.6533333326699995E-7</v>
          </cell>
          <cell r="I753">
            <v>3.6</v>
          </cell>
          <cell r="J753"/>
          <cell r="K753">
            <v>10232.929922807549</v>
          </cell>
          <cell r="L753"/>
          <cell r="M753"/>
          <cell r="N753"/>
          <cell r="O753"/>
          <cell r="P753"/>
          <cell r="Q753">
            <v>9.2046869999999999E-5</v>
          </cell>
          <cell r="R753">
            <v>2.1393431498763744E-7</v>
          </cell>
          <cell r="S753">
            <v>2.3770479443070826E-8</v>
          </cell>
          <cell r="T753">
            <v>1.0696715749381872E-7</v>
          </cell>
          <cell r="U753"/>
          <cell r="V753"/>
          <cell r="W753">
            <v>30000</v>
          </cell>
          <cell r="X753">
            <v>0.33333333333333331</v>
          </cell>
          <cell r="Y753">
            <v>0.33333333333333331</v>
          </cell>
          <cell r="Z753">
            <v>0.33333333333333331</v>
          </cell>
          <cell r="AA753"/>
        </row>
        <row r="754">
          <cell r="A754">
            <v>747</v>
          </cell>
          <cell r="B754" t="str">
            <v>1,4-Benzenediol, 2,3,5-trimethyl-</v>
          </cell>
          <cell r="C754" t="str">
            <v>700-13-0</v>
          </cell>
          <cell r="D754" t="str">
            <v>Acid</v>
          </cell>
          <cell r="E754">
            <v>10.57</v>
          </cell>
          <cell r="F754">
            <v>152.19</v>
          </cell>
          <cell r="G754"/>
          <cell r="H754">
            <v>2.7199999993199997E-2</v>
          </cell>
          <cell r="I754">
            <v>10170</v>
          </cell>
          <cell r="J754"/>
          <cell r="K754">
            <v>48.977881936844632</v>
          </cell>
          <cell r="L754"/>
          <cell r="M754"/>
          <cell r="N754"/>
          <cell r="O754"/>
          <cell r="P754"/>
          <cell r="Q754">
            <v>1.4427700500000001E-4</v>
          </cell>
          <cell r="R754">
            <v>5.3483578746909358E-7</v>
          </cell>
          <cell r="S754">
            <v>5.9426198607677063E-8</v>
          </cell>
          <cell r="T754">
            <v>2.6741789373454679E-7</v>
          </cell>
          <cell r="U754"/>
          <cell r="V754"/>
          <cell r="W754">
            <v>30000</v>
          </cell>
          <cell r="X754">
            <v>0.33333333333333331</v>
          </cell>
          <cell r="Y754">
            <v>0.33333333333333331</v>
          </cell>
          <cell r="Z754">
            <v>0.33333333333333331</v>
          </cell>
          <cell r="AA754"/>
        </row>
        <row r="755">
          <cell r="A755">
            <v>748</v>
          </cell>
          <cell r="B755" t="str">
            <v>2,4-dimethylphenol</v>
          </cell>
          <cell r="C755" t="str">
            <v>105-67-9</v>
          </cell>
          <cell r="D755" t="str">
            <v>Acid</v>
          </cell>
          <cell r="E755">
            <v>10.6</v>
          </cell>
          <cell r="F755">
            <v>122.17</v>
          </cell>
          <cell r="G755"/>
          <cell r="H755">
            <v>13.599999996599998</v>
          </cell>
          <cell r="I755">
            <v>7870</v>
          </cell>
          <cell r="J755"/>
          <cell r="K755">
            <v>199.52623149688802</v>
          </cell>
          <cell r="L755"/>
          <cell r="M755"/>
          <cell r="N755"/>
          <cell r="O755"/>
          <cell r="P755"/>
          <cell r="Q755">
            <v>5.3624999999999996E-5</v>
          </cell>
          <cell r="R755">
            <v>5.3483578746909358E-7</v>
          </cell>
          <cell r="S755">
            <v>5.9426198607677063E-8</v>
          </cell>
          <cell r="T755">
            <v>2.0056342030091009E-6</v>
          </cell>
          <cell r="U755"/>
          <cell r="V755"/>
          <cell r="W755">
            <v>30000</v>
          </cell>
          <cell r="X755">
            <v>0.33333333333333331</v>
          </cell>
          <cell r="Y755">
            <v>0.33333333333333331</v>
          </cell>
          <cell r="Z755">
            <v>0.33333333333333331</v>
          </cell>
          <cell r="AA755"/>
        </row>
        <row r="756">
          <cell r="A756">
            <v>749</v>
          </cell>
          <cell r="B756" t="str">
            <v>ETHYL MERCAPTAN</v>
          </cell>
          <cell r="C756" t="str">
            <v>75-08-1</v>
          </cell>
          <cell r="D756" t="str">
            <v>Acid</v>
          </cell>
          <cell r="E756">
            <v>10.61</v>
          </cell>
          <cell r="F756">
            <v>62.13</v>
          </cell>
          <cell r="G756"/>
          <cell r="H756">
            <v>70533.333315700002</v>
          </cell>
          <cell r="I756">
            <v>15600</v>
          </cell>
          <cell r="J756"/>
          <cell r="K756">
            <v>18.62087136662868</v>
          </cell>
          <cell r="L756"/>
          <cell r="M756"/>
          <cell r="N756"/>
          <cell r="O756"/>
          <cell r="P756"/>
          <cell r="Q756">
            <v>3.5099999999999999E-5</v>
          </cell>
          <cell r="R756">
            <v>5.3483578746909358E-7</v>
          </cell>
          <cell r="S756">
            <v>5.9426198607677063E-8</v>
          </cell>
          <cell r="T756">
            <v>2.6741789373454679E-7</v>
          </cell>
          <cell r="U756"/>
          <cell r="V756"/>
          <cell r="W756">
            <v>30000</v>
          </cell>
          <cell r="X756">
            <v>0.33333333333333331</v>
          </cell>
          <cell r="Y756">
            <v>0.33333333333333331</v>
          </cell>
          <cell r="Z756">
            <v>0.33333333333333331</v>
          </cell>
          <cell r="AA756"/>
        </row>
        <row r="757">
          <cell r="A757">
            <v>750</v>
          </cell>
          <cell r="B757" t="str">
            <v>2,6-DIMETHYLPHENOL</v>
          </cell>
          <cell r="C757" t="str">
            <v>576-26-1</v>
          </cell>
          <cell r="D757" t="str">
            <v>Acid</v>
          </cell>
          <cell r="E757">
            <v>10.62</v>
          </cell>
          <cell r="F757">
            <v>122.17</v>
          </cell>
          <cell r="G757"/>
          <cell r="H757">
            <v>22.799999994300002</v>
          </cell>
          <cell r="I757">
            <v>6050</v>
          </cell>
          <cell r="J757"/>
          <cell r="K757">
            <v>229.08676527677744</v>
          </cell>
          <cell r="L757"/>
          <cell r="M757"/>
          <cell r="N757"/>
          <cell r="O757"/>
          <cell r="P757"/>
          <cell r="Q757">
            <v>4.9425000000000002E-5</v>
          </cell>
          <cell r="R757">
            <v>5.3483578746909358E-7</v>
          </cell>
          <cell r="S757">
            <v>5.9426198607677063E-8</v>
          </cell>
          <cell r="T757">
            <v>2.6741789373454679E-7</v>
          </cell>
          <cell r="U757"/>
          <cell r="V757"/>
          <cell r="W757">
            <v>30000</v>
          </cell>
          <cell r="X757">
            <v>0.33333333333333331</v>
          </cell>
          <cell r="Y757">
            <v>0.33333333333333331</v>
          </cell>
          <cell r="Z757">
            <v>0.33333333333333331</v>
          </cell>
          <cell r="AA757"/>
        </row>
        <row r="758">
          <cell r="A758">
            <v>751</v>
          </cell>
          <cell r="B758" t="str">
            <v>THYMOL</v>
          </cell>
          <cell r="C758" t="str">
            <v>89-83-8</v>
          </cell>
          <cell r="D758" t="str">
            <v>Acid</v>
          </cell>
          <cell r="E758">
            <v>10.62</v>
          </cell>
          <cell r="F758">
            <v>150.22</v>
          </cell>
          <cell r="G758"/>
          <cell r="H758">
            <v>0.29333333326</v>
          </cell>
          <cell r="I758">
            <v>900</v>
          </cell>
          <cell r="J758"/>
          <cell r="K758">
            <v>1995.2623149688804</v>
          </cell>
          <cell r="L758"/>
          <cell r="M758"/>
          <cell r="N758"/>
          <cell r="O758"/>
          <cell r="P758"/>
          <cell r="Q758">
            <v>8.0436712499999999E-5</v>
          </cell>
          <cell r="R758">
            <v>5.3483578746909358E-7</v>
          </cell>
          <cell r="S758">
            <v>5.9426198607677063E-8</v>
          </cell>
          <cell r="T758">
            <v>1.6045073624072808E-6</v>
          </cell>
          <cell r="U758"/>
          <cell r="V758"/>
          <cell r="W758">
            <v>30000</v>
          </cell>
          <cell r="X758">
            <v>0.33333333333333331</v>
          </cell>
          <cell r="Y758">
            <v>0.33333333333333331</v>
          </cell>
          <cell r="Z758">
            <v>0.33333333333333331</v>
          </cell>
          <cell r="AA758"/>
        </row>
        <row r="759">
          <cell r="A759">
            <v>752</v>
          </cell>
          <cell r="B759" t="str">
            <v>ETHANONE, 1-[2-HYDROXY-3-PROPYL-4-[4-(1H-TETRAZO</v>
          </cell>
          <cell r="C759" t="str">
            <v>88107-10-2</v>
          </cell>
          <cell r="D759" t="str">
            <v>Acid</v>
          </cell>
          <cell r="E759">
            <v>10.63</v>
          </cell>
          <cell r="F759">
            <v>318.38</v>
          </cell>
          <cell r="G759"/>
          <cell r="H759">
            <v>6.5999999983499992E-9</v>
          </cell>
          <cell r="I759">
            <v>19.899999999999999</v>
          </cell>
          <cell r="J759"/>
          <cell r="K759">
            <v>6606.9344800759654</v>
          </cell>
          <cell r="L759"/>
          <cell r="M759"/>
          <cell r="N759"/>
          <cell r="O759"/>
          <cell r="P759"/>
          <cell r="Q759">
            <v>1.622230875E-4</v>
          </cell>
          <cell r="R759">
            <v>2.1393431498763744E-7</v>
          </cell>
          <cell r="S759">
            <v>2.3770479443070826E-8</v>
          </cell>
          <cell r="T759">
            <v>1.0696715749381872E-7</v>
          </cell>
          <cell r="U759"/>
          <cell r="V759"/>
          <cell r="W759">
            <v>30000</v>
          </cell>
          <cell r="X759">
            <v>0.33333333333333331</v>
          </cell>
          <cell r="Y759">
            <v>0.33333333333333331</v>
          </cell>
          <cell r="Z759">
            <v>0.33333333333333331</v>
          </cell>
          <cell r="AA759"/>
        </row>
        <row r="760">
          <cell r="A760">
            <v>753</v>
          </cell>
          <cell r="B760" t="str">
            <v>2,3,5-TRIMETHYLPHENOL</v>
          </cell>
          <cell r="C760" t="str">
            <v>697-82-5</v>
          </cell>
          <cell r="D760" t="str">
            <v>Acid</v>
          </cell>
          <cell r="E760">
            <v>10.67</v>
          </cell>
          <cell r="F760">
            <v>136.19999999999999</v>
          </cell>
          <cell r="G760"/>
          <cell r="H760">
            <v>0.50666666653999992</v>
          </cell>
          <cell r="I760">
            <v>762</v>
          </cell>
          <cell r="J760"/>
          <cell r="K760">
            <v>1412.5375446227545</v>
          </cell>
          <cell r="L760"/>
          <cell r="M760"/>
          <cell r="N760"/>
          <cell r="O760"/>
          <cell r="P760"/>
          <cell r="Q760">
            <v>1.5041100000000001E-4</v>
          </cell>
          <cell r="R760">
            <v>2.1393431498763744E-7</v>
          </cell>
          <cell r="S760">
            <v>2.3770479443070826E-8</v>
          </cell>
          <cell r="T760">
            <v>1.0696715749381872E-7</v>
          </cell>
          <cell r="U760"/>
          <cell r="V760"/>
          <cell r="W760">
            <v>30000</v>
          </cell>
          <cell r="X760">
            <v>0.33333333333333331</v>
          </cell>
          <cell r="Y760">
            <v>0.33333333333333331</v>
          </cell>
          <cell r="Z760">
            <v>0.33333333333333331</v>
          </cell>
          <cell r="AA760"/>
        </row>
        <row r="761">
          <cell r="A761">
            <v>754</v>
          </cell>
          <cell r="B761" t="str">
            <v>BUTANETHIOL</v>
          </cell>
          <cell r="C761" t="str">
            <v>109-79-5</v>
          </cell>
          <cell r="D761" t="str">
            <v>Acid</v>
          </cell>
          <cell r="E761">
            <v>10.78</v>
          </cell>
          <cell r="F761">
            <v>90.18</v>
          </cell>
          <cell r="G761"/>
          <cell r="H761">
            <v>6066.66666515</v>
          </cell>
          <cell r="I761">
            <v>597</v>
          </cell>
          <cell r="J761"/>
          <cell r="K761">
            <v>190.54607179632481</v>
          </cell>
          <cell r="L761"/>
          <cell r="M761"/>
          <cell r="N761"/>
          <cell r="O761"/>
          <cell r="P761"/>
          <cell r="Q761">
            <v>3.8250000000000001E-5</v>
          </cell>
          <cell r="R761">
            <v>9.2532143160742838E-7</v>
          </cell>
          <cell r="S761">
            <v>1.0281349240082538E-7</v>
          </cell>
          <cell r="T761">
            <v>4.6266071580371419E-7</v>
          </cell>
          <cell r="U761"/>
          <cell r="V761"/>
          <cell r="W761">
            <v>30000</v>
          </cell>
          <cell r="X761">
            <v>0.33333333333333331</v>
          </cell>
          <cell r="Y761">
            <v>0.33333333333333331</v>
          </cell>
          <cell r="Z761">
            <v>0.33333333333333331</v>
          </cell>
          <cell r="AA761"/>
        </row>
        <row r="762">
          <cell r="A762">
            <v>755</v>
          </cell>
          <cell r="B762" t="str">
            <v>Hydroquinone</v>
          </cell>
          <cell r="C762" t="str">
            <v>123-31-9</v>
          </cell>
          <cell r="D762" t="str">
            <v>Acid</v>
          </cell>
          <cell r="E762">
            <v>10.85</v>
          </cell>
          <cell r="F762">
            <v>110.11</v>
          </cell>
          <cell r="G762"/>
          <cell r="H762">
            <v>3.1999999991999999E-3</v>
          </cell>
          <cell r="I762">
            <v>72000</v>
          </cell>
          <cell r="J762"/>
          <cell r="K762">
            <v>3.8904514499428067</v>
          </cell>
          <cell r="L762"/>
          <cell r="M762"/>
          <cell r="N762"/>
          <cell r="O762"/>
          <cell r="P762"/>
          <cell r="Q762">
            <v>1.741764E-5</v>
          </cell>
          <cell r="R762">
            <v>5.3483578746909358E-7</v>
          </cell>
          <cell r="S762">
            <v>5.9426198607677063E-8</v>
          </cell>
          <cell r="T762">
            <v>2.6741789373454679E-7</v>
          </cell>
          <cell r="U762"/>
          <cell r="V762"/>
          <cell r="W762">
            <v>30000</v>
          </cell>
          <cell r="X762">
            <v>0.33333333333333331</v>
          </cell>
          <cell r="Y762">
            <v>0.33333333333333331</v>
          </cell>
          <cell r="Z762">
            <v>0.33333333333333331</v>
          </cell>
          <cell r="AA762"/>
        </row>
        <row r="763">
          <cell r="A763">
            <v>756</v>
          </cell>
          <cell r="B763" t="str">
            <v>2,4,6-TRIMETHYLPHENOL</v>
          </cell>
          <cell r="C763" t="str">
            <v>527-60-6</v>
          </cell>
          <cell r="D763" t="str">
            <v>Acid</v>
          </cell>
          <cell r="E763">
            <v>10.86</v>
          </cell>
          <cell r="F763">
            <v>136.19999999999999</v>
          </cell>
          <cell r="G763"/>
          <cell r="H763">
            <v>2.3199999994199998</v>
          </cell>
          <cell r="I763">
            <v>1200</v>
          </cell>
          <cell r="J763"/>
          <cell r="K763">
            <v>537.03179637025301</v>
          </cell>
          <cell r="L763"/>
          <cell r="M763"/>
          <cell r="N763"/>
          <cell r="O763"/>
          <cell r="P763"/>
          <cell r="Q763">
            <v>1.8322882499999999E-5</v>
          </cell>
          <cell r="R763">
            <v>2.1393431498763744E-7</v>
          </cell>
          <cell r="S763">
            <v>2.3770479443070826E-8</v>
          </cell>
          <cell r="T763">
            <v>1.0696715749381872E-7</v>
          </cell>
          <cell r="U763"/>
          <cell r="V763"/>
          <cell r="W763">
            <v>30000</v>
          </cell>
          <cell r="X763">
            <v>0.33333333333333331</v>
          </cell>
          <cell r="Y763">
            <v>0.33333333333333331</v>
          </cell>
          <cell r="Z763">
            <v>0.33333333333333331</v>
          </cell>
          <cell r="AA763"/>
        </row>
        <row r="764">
          <cell r="A764">
            <v>757</v>
          </cell>
          <cell r="B764" t="str">
            <v>3-NITRO-4-TOLUIDINE</v>
          </cell>
          <cell r="C764" t="str">
            <v>119-32-4</v>
          </cell>
          <cell r="D764" t="str">
            <v>Base</v>
          </cell>
          <cell r="E764">
            <v>3.03</v>
          </cell>
          <cell r="F764">
            <v>152.15</v>
          </cell>
          <cell r="G764"/>
          <cell r="H764">
            <v>0.31333333325500001</v>
          </cell>
          <cell r="I764">
            <v>1402</v>
          </cell>
          <cell r="J764"/>
          <cell r="K764">
            <v>104.71285480508998</v>
          </cell>
          <cell r="L764"/>
          <cell r="M764"/>
          <cell r="N764"/>
          <cell r="O764"/>
          <cell r="P764"/>
          <cell r="Q764">
            <v>8.7497099999999993E-6</v>
          </cell>
          <cell r="R764">
            <v>2.1393431498763744E-7</v>
          </cell>
          <cell r="S764">
            <v>2.3770479443070826E-8</v>
          </cell>
          <cell r="T764">
            <v>1.0696715749381872E-7</v>
          </cell>
          <cell r="U764"/>
          <cell r="V764"/>
          <cell r="W764">
            <v>30000</v>
          </cell>
          <cell r="X764">
            <v>0.33333333333333331</v>
          </cell>
          <cell r="Y764">
            <v>0.33333333333333331</v>
          </cell>
          <cell r="Z764">
            <v>0.33333333333333331</v>
          </cell>
          <cell r="AA764"/>
        </row>
        <row r="765">
          <cell r="A765">
            <v>758</v>
          </cell>
          <cell r="B765" t="str">
            <v>Benzenamine, 2-chloro-4-methyl-</v>
          </cell>
          <cell r="C765" t="str">
            <v>615-65-6</v>
          </cell>
          <cell r="D765" t="str">
            <v>Base</v>
          </cell>
          <cell r="E765">
            <v>3.05</v>
          </cell>
          <cell r="F765">
            <v>141.6</v>
          </cell>
          <cell r="G765"/>
          <cell r="H765">
            <v>17.4666666623</v>
          </cell>
          <cell r="I765">
            <v>953.9</v>
          </cell>
          <cell r="J765"/>
          <cell r="K765">
            <v>186.20871366628685</v>
          </cell>
          <cell r="L765"/>
          <cell r="M765"/>
          <cell r="N765"/>
          <cell r="O765"/>
          <cell r="P765"/>
          <cell r="Q765">
            <v>2.8998232499999998E-5</v>
          </cell>
          <cell r="R765">
            <v>2.1393431498763744E-7</v>
          </cell>
          <cell r="S765">
            <v>2.3770479443070826E-8</v>
          </cell>
          <cell r="T765">
            <v>1.0696715749381872E-7</v>
          </cell>
          <cell r="U765"/>
          <cell r="V765"/>
          <cell r="W765">
            <v>30000</v>
          </cell>
          <cell r="X765">
            <v>0.33333333333333331</v>
          </cell>
          <cell r="Y765">
            <v>0.33333333333333331</v>
          </cell>
          <cell r="Z765">
            <v>0.33333333333333331</v>
          </cell>
          <cell r="AA765"/>
        </row>
        <row r="766">
          <cell r="A766">
            <v>759</v>
          </cell>
          <cell r="B766" t="str">
            <v>TRIPROPYNYL-AMINE</v>
          </cell>
          <cell r="C766" t="str">
            <v>6921-29-5</v>
          </cell>
          <cell r="D766" t="str">
            <v>Base</v>
          </cell>
          <cell r="E766">
            <v>3.09</v>
          </cell>
          <cell r="F766">
            <v>131.18</v>
          </cell>
          <cell r="G766"/>
          <cell r="H766">
            <v>95.599999976099994</v>
          </cell>
          <cell r="I766">
            <v>76260</v>
          </cell>
          <cell r="J766"/>
          <cell r="K766">
            <v>18.62087136662868</v>
          </cell>
          <cell r="L766"/>
          <cell r="M766"/>
          <cell r="N766"/>
          <cell r="O766"/>
          <cell r="P766"/>
          <cell r="Q766">
            <v>8.4793949999999998E-5</v>
          </cell>
          <cell r="R766">
            <v>2.1393431498763744E-7</v>
          </cell>
          <cell r="S766">
            <v>2.3770479443070826E-8</v>
          </cell>
          <cell r="T766">
            <v>1.0696715749381872E-7</v>
          </cell>
          <cell r="U766"/>
          <cell r="V766"/>
          <cell r="W766">
            <v>30000</v>
          </cell>
          <cell r="X766">
            <v>0.33333333333333331</v>
          </cell>
          <cell r="Y766">
            <v>0.33333333333333331</v>
          </cell>
          <cell r="Z766">
            <v>0.33333333333333331</v>
          </cell>
          <cell r="AA766"/>
        </row>
        <row r="767">
          <cell r="A767">
            <v>760</v>
          </cell>
          <cell r="B767" t="str">
            <v>METHOPROPTRYNE</v>
          </cell>
          <cell r="C767" t="str">
            <v>841-06-5</v>
          </cell>
          <cell r="D767" t="str">
            <v>Base</v>
          </cell>
          <cell r="E767">
            <v>3.09</v>
          </cell>
          <cell r="F767">
            <v>271.38</v>
          </cell>
          <cell r="G767"/>
          <cell r="H767">
            <v>3.7999999990499999E-5</v>
          </cell>
          <cell r="I767">
            <v>320</v>
          </cell>
          <cell r="J767"/>
          <cell r="K767">
            <v>660.69344800759643</v>
          </cell>
          <cell r="L767"/>
          <cell r="M767"/>
          <cell r="N767"/>
          <cell r="O767"/>
          <cell r="P767"/>
          <cell r="Q767">
            <v>3.167019E-5</v>
          </cell>
          <cell r="R767">
            <v>1.3370894686727339E-7</v>
          </cell>
          <cell r="S767">
            <v>1.4856549651919266E-8</v>
          </cell>
          <cell r="T767">
            <v>6.6854473433636697E-8</v>
          </cell>
          <cell r="U767"/>
          <cell r="V767"/>
          <cell r="W767">
            <v>30000</v>
          </cell>
          <cell r="X767">
            <v>0.33333333333333331</v>
          </cell>
          <cell r="Y767">
            <v>0.33333333333333331</v>
          </cell>
          <cell r="Z767">
            <v>0.33333333333333331</v>
          </cell>
          <cell r="AA767"/>
        </row>
        <row r="768">
          <cell r="A768">
            <v>761</v>
          </cell>
          <cell r="B768" t="str">
            <v>NICOTINE</v>
          </cell>
          <cell r="C768" t="str">
            <v>54-11-5</v>
          </cell>
          <cell r="D768" t="str">
            <v>Base</v>
          </cell>
          <cell r="E768">
            <v>3.1</v>
          </cell>
          <cell r="F768">
            <v>162.24</v>
          </cell>
          <cell r="G768"/>
          <cell r="H768">
            <v>5.0666666653999997</v>
          </cell>
          <cell r="I768">
            <v>1000000</v>
          </cell>
          <cell r="J768"/>
          <cell r="K768">
            <v>14.791083881682074</v>
          </cell>
          <cell r="L768"/>
          <cell r="M768"/>
          <cell r="N768"/>
          <cell r="O768"/>
          <cell r="P768"/>
          <cell r="Q768">
            <v>6.8243812499999996E-5</v>
          </cell>
          <cell r="R768">
            <v>2.1393431498763744E-7</v>
          </cell>
          <cell r="S768">
            <v>2.3770479443070826E-8</v>
          </cell>
          <cell r="T768">
            <v>4.0112684060182019E-6</v>
          </cell>
          <cell r="U768"/>
          <cell r="V768"/>
          <cell r="W768">
            <v>30000</v>
          </cell>
          <cell r="X768">
            <v>0.33333333333333331</v>
          </cell>
          <cell r="Y768">
            <v>0.33333333333333331</v>
          </cell>
          <cell r="Z768">
            <v>0.33333333333333331</v>
          </cell>
          <cell r="AA768"/>
        </row>
        <row r="769">
          <cell r="A769">
            <v>762</v>
          </cell>
          <cell r="B769" t="str">
            <v>2-AMINO-4-NITROPHENOL</v>
          </cell>
          <cell r="C769" t="str">
            <v>99-57-0</v>
          </cell>
          <cell r="D769" t="str">
            <v>Base</v>
          </cell>
          <cell r="E769">
            <v>3.1</v>
          </cell>
          <cell r="F769">
            <v>154.13</v>
          </cell>
          <cell r="G769"/>
          <cell r="H769">
            <v>1.98666666617E-3</v>
          </cell>
          <cell r="I769">
            <v>925</v>
          </cell>
          <cell r="J769"/>
          <cell r="K769">
            <v>18.197008586099841</v>
          </cell>
          <cell r="L769"/>
          <cell r="M769"/>
          <cell r="N769"/>
          <cell r="O769"/>
          <cell r="P769"/>
          <cell r="Q769">
            <v>5.223015E-6</v>
          </cell>
          <cell r="R769">
            <v>2.1393431498763744E-7</v>
          </cell>
          <cell r="S769">
            <v>2.3770479443070826E-8</v>
          </cell>
          <cell r="T769">
            <v>1.0696715749381872E-7</v>
          </cell>
          <cell r="U769"/>
          <cell r="V769"/>
          <cell r="W769">
            <v>30000</v>
          </cell>
          <cell r="X769">
            <v>0.33333333333333331</v>
          </cell>
          <cell r="Y769">
            <v>0.33333333333333331</v>
          </cell>
          <cell r="Z769">
            <v>0.33333333333333331</v>
          </cell>
          <cell r="AA769"/>
        </row>
        <row r="770">
          <cell r="A770">
            <v>763</v>
          </cell>
          <cell r="B770" t="str">
            <v>Estazolam</v>
          </cell>
          <cell r="C770" t="str">
            <v>29975-16-4</v>
          </cell>
          <cell r="D770" t="str">
            <v>Base</v>
          </cell>
          <cell r="E770">
            <v>3.11</v>
          </cell>
          <cell r="F770">
            <v>294.75</v>
          </cell>
          <cell r="G770"/>
          <cell r="H770">
            <v>1.3186666663369999E-6</v>
          </cell>
          <cell r="I770">
            <v>1.486</v>
          </cell>
          <cell r="J770"/>
          <cell r="K770">
            <v>2089.2961308540398</v>
          </cell>
          <cell r="L770"/>
          <cell r="M770"/>
          <cell r="N770"/>
          <cell r="O770"/>
          <cell r="P770"/>
          <cell r="Q770">
            <v>5.7278100000000003E-6</v>
          </cell>
          <cell r="R770">
            <v>2.1393431498763744E-7</v>
          </cell>
          <cell r="S770">
            <v>2.3770479443070826E-8</v>
          </cell>
          <cell r="T770">
            <v>1.0696715749381872E-7</v>
          </cell>
          <cell r="U770"/>
          <cell r="V770"/>
          <cell r="W770">
            <v>30000</v>
          </cell>
          <cell r="X770">
            <v>0.33333333333333331</v>
          </cell>
          <cell r="Y770">
            <v>0.33333333333333331</v>
          </cell>
          <cell r="Z770">
            <v>0.33333333333333331</v>
          </cell>
          <cell r="AA770"/>
        </row>
        <row r="771">
          <cell r="A771">
            <v>764</v>
          </cell>
          <cell r="B771" t="str">
            <v>IRGAROL 1051</v>
          </cell>
          <cell r="C771" t="str">
            <v>28159-98-0</v>
          </cell>
          <cell r="D771" t="str">
            <v>Base</v>
          </cell>
          <cell r="E771">
            <v>3.11</v>
          </cell>
          <cell r="F771">
            <v>253.37</v>
          </cell>
          <cell r="G771"/>
          <cell r="H771">
            <v>4.8933333321100002E-4</v>
          </cell>
          <cell r="I771">
            <v>7.5170000000000003</v>
          </cell>
          <cell r="J771"/>
          <cell r="K771">
            <v>11748.975549395318</v>
          </cell>
          <cell r="L771"/>
          <cell r="M771"/>
          <cell r="N771"/>
          <cell r="O771"/>
          <cell r="P771"/>
          <cell r="Q771">
            <v>1.8092624999999999E-6</v>
          </cell>
          <cell r="R771">
            <v>1.3370894686727339E-7</v>
          </cell>
          <cell r="S771">
            <v>1.4856549651919266E-8</v>
          </cell>
          <cell r="T771">
            <v>6.6854473433636697E-8</v>
          </cell>
          <cell r="U771"/>
          <cell r="V771"/>
          <cell r="W771">
            <v>30000</v>
          </cell>
          <cell r="X771">
            <v>0.33333333333333331</v>
          </cell>
          <cell r="Y771">
            <v>0.33333333333333331</v>
          </cell>
          <cell r="Z771">
            <v>0.33333333333333331</v>
          </cell>
          <cell r="AA771"/>
        </row>
        <row r="772">
          <cell r="A772">
            <v>765</v>
          </cell>
          <cell r="B772" t="str">
            <v>C,I, Basic Green 4</v>
          </cell>
          <cell r="C772" t="str">
            <v>569-64-2</v>
          </cell>
          <cell r="D772" t="str">
            <v>Base</v>
          </cell>
          <cell r="E772">
            <v>3.12</v>
          </cell>
          <cell r="F772">
            <v>364.92</v>
          </cell>
          <cell r="G772"/>
          <cell r="H772">
            <v>3.26666666585E-11</v>
          </cell>
          <cell r="I772">
            <v>40000</v>
          </cell>
          <cell r="J772"/>
          <cell r="K772">
            <v>4.1686938347033546</v>
          </cell>
          <cell r="L772"/>
          <cell r="M772"/>
          <cell r="N772"/>
          <cell r="O772"/>
          <cell r="P772"/>
          <cell r="Q772">
            <v>3.3063690749999999E-4</v>
          </cell>
          <cell r="R772">
            <v>1.3370894686727339E-7</v>
          </cell>
          <cell r="S772">
            <v>1.4856549651919266E-8</v>
          </cell>
          <cell r="T772">
            <v>6.6854473433636697E-8</v>
          </cell>
          <cell r="U772"/>
          <cell r="V772"/>
          <cell r="W772">
            <v>30000</v>
          </cell>
          <cell r="X772">
            <v>0.33333333333333331</v>
          </cell>
          <cell r="Y772">
            <v>0.33333333333333331</v>
          </cell>
          <cell r="Z772">
            <v>0.33333333333333331</v>
          </cell>
          <cell r="AA772"/>
        </row>
        <row r="773">
          <cell r="A773">
            <v>766</v>
          </cell>
          <cell r="B773" t="str">
            <v>1,4-Benzenediamine, 2,6-dichloro-</v>
          </cell>
          <cell r="C773" t="str">
            <v>609-20-1</v>
          </cell>
          <cell r="D773" t="str">
            <v>Base</v>
          </cell>
          <cell r="E773">
            <v>3.18</v>
          </cell>
          <cell r="F773">
            <v>177.03</v>
          </cell>
          <cell r="G773"/>
          <cell r="H773">
            <v>4.5999999988499997E-2</v>
          </cell>
          <cell r="I773">
            <v>9735</v>
          </cell>
          <cell r="J773"/>
          <cell r="K773">
            <v>7.9432823472428176</v>
          </cell>
          <cell r="L773"/>
          <cell r="M773"/>
          <cell r="N773"/>
          <cell r="O773"/>
          <cell r="P773"/>
          <cell r="Q773">
            <v>6.5454764999999993E-5</v>
          </cell>
          <cell r="R773">
            <v>1.3370894686727339E-7</v>
          </cell>
          <cell r="S773">
            <v>1.4856549651919266E-8</v>
          </cell>
          <cell r="T773">
            <v>6.6854473433636697E-8</v>
          </cell>
          <cell r="U773"/>
          <cell r="V773"/>
          <cell r="W773">
            <v>30000</v>
          </cell>
          <cell r="X773">
            <v>0.33333333333333331</v>
          </cell>
          <cell r="Y773">
            <v>0.33333333333333331</v>
          </cell>
          <cell r="Z773">
            <v>0.33333333333333331</v>
          </cell>
          <cell r="AA773"/>
        </row>
        <row r="774">
          <cell r="A774">
            <v>767</v>
          </cell>
          <cell r="B774" t="str">
            <v>3,3'-dichlorobenzidine</v>
          </cell>
          <cell r="C774" t="str">
            <v>91-94-1</v>
          </cell>
          <cell r="D774" t="str">
            <v>Base</v>
          </cell>
          <cell r="E774">
            <v>3.2</v>
          </cell>
          <cell r="F774">
            <v>253.13</v>
          </cell>
          <cell r="G774"/>
          <cell r="H774">
            <v>5.5466666652799999E-4</v>
          </cell>
          <cell r="I774">
            <v>3.1</v>
          </cell>
          <cell r="J774"/>
          <cell r="K774">
            <v>3235.9365692962833</v>
          </cell>
          <cell r="L774"/>
          <cell r="M774"/>
          <cell r="N774"/>
          <cell r="O774"/>
          <cell r="P774"/>
          <cell r="Q774">
            <v>2.96777625E-5</v>
          </cell>
          <cell r="R774">
            <v>1.3370894686727339E-7</v>
          </cell>
          <cell r="S774">
            <v>1.4856549651919266E-8</v>
          </cell>
          <cell r="T774">
            <v>6.6854473433636697E-8</v>
          </cell>
          <cell r="U774"/>
          <cell r="V774"/>
          <cell r="W774">
            <v>30000</v>
          </cell>
          <cell r="X774">
            <v>0.33333333333333331</v>
          </cell>
          <cell r="Y774">
            <v>0.33333333333333331</v>
          </cell>
          <cell r="Z774">
            <v>0.33333333333333331</v>
          </cell>
          <cell r="AA774"/>
        </row>
        <row r="775">
          <cell r="A775">
            <v>768</v>
          </cell>
          <cell r="B775" t="str">
            <v>N-FORMYLHYDRAZINE</v>
          </cell>
          <cell r="C775" t="str">
            <v>624-84-0</v>
          </cell>
          <cell r="D775" t="str">
            <v>Base</v>
          </cell>
          <cell r="E775">
            <v>3.23</v>
          </cell>
          <cell r="F775">
            <v>60.06</v>
          </cell>
          <cell r="G775"/>
          <cell r="H775">
            <v>16.933333329099998</v>
          </cell>
          <cell r="I775">
            <v>1000000</v>
          </cell>
          <cell r="J775"/>
          <cell r="K775">
            <v>8.9125093813374554E-3</v>
          </cell>
          <cell r="L775"/>
          <cell r="M775"/>
          <cell r="N775"/>
          <cell r="O775"/>
          <cell r="P775"/>
          <cell r="Q775">
            <v>4.1250000000000003E-6</v>
          </cell>
          <cell r="R775">
            <v>5.3483578746909358E-7</v>
          </cell>
          <cell r="S775">
            <v>5.9426198607677063E-8</v>
          </cell>
          <cell r="T775">
            <v>2.6741789373454679E-7</v>
          </cell>
          <cell r="U775"/>
          <cell r="V775"/>
          <cell r="W775">
            <v>30000</v>
          </cell>
          <cell r="X775">
            <v>0.33333333333333331</v>
          </cell>
          <cell r="Y775">
            <v>0.33333333333333331</v>
          </cell>
          <cell r="Z775">
            <v>0.33333333333333331</v>
          </cell>
          <cell r="AA775"/>
        </row>
        <row r="776">
          <cell r="A776">
            <v>769</v>
          </cell>
          <cell r="B776" t="str">
            <v>ACETIC ACID HYDRAZIDE</v>
          </cell>
          <cell r="C776" t="str">
            <v>1068-57-1</v>
          </cell>
          <cell r="D776" t="str">
            <v>Base</v>
          </cell>
          <cell r="E776">
            <v>3.24</v>
          </cell>
          <cell r="F776">
            <v>74.08</v>
          </cell>
          <cell r="G776"/>
          <cell r="H776">
            <v>5.3999999986500002</v>
          </cell>
          <cell r="I776">
            <v>146500</v>
          </cell>
          <cell r="J776"/>
          <cell r="K776">
            <v>2.6302679918953804E-2</v>
          </cell>
          <cell r="L776"/>
          <cell r="M776"/>
          <cell r="N776"/>
          <cell r="O776"/>
          <cell r="P776"/>
          <cell r="Q776">
            <v>4.2014999999999995E-6</v>
          </cell>
          <cell r="R776">
            <v>5.3483578746909358E-7</v>
          </cell>
          <cell r="S776">
            <v>5.9426198607677063E-8</v>
          </cell>
          <cell r="T776">
            <v>2.6741789373454679E-7</v>
          </cell>
          <cell r="U776"/>
          <cell r="V776"/>
          <cell r="W776">
            <v>30000</v>
          </cell>
          <cell r="X776">
            <v>0.33333333333333331</v>
          </cell>
          <cell r="Y776">
            <v>0.33333333333333331</v>
          </cell>
          <cell r="Z776">
            <v>0.33333333333333331</v>
          </cell>
          <cell r="AA776"/>
        </row>
        <row r="777">
          <cell r="A777">
            <v>770</v>
          </cell>
          <cell r="B777" t="str">
            <v>Benzenamine, 2,6-bis(1-methylethyl)-</v>
          </cell>
          <cell r="C777" t="str">
            <v>24544-04-5</v>
          </cell>
          <cell r="D777" t="str">
            <v>Base</v>
          </cell>
          <cell r="E777">
            <v>3.31</v>
          </cell>
          <cell r="F777">
            <v>177.29</v>
          </cell>
          <cell r="G777"/>
          <cell r="H777">
            <v>2.4933333327100002</v>
          </cell>
          <cell r="I777">
            <v>109.2</v>
          </cell>
          <cell r="J777"/>
          <cell r="K777">
            <v>1513.5612484362093</v>
          </cell>
          <cell r="L777"/>
          <cell r="M777"/>
          <cell r="N777"/>
          <cell r="O777"/>
          <cell r="P777"/>
          <cell r="Q777">
            <v>1.2032435999999999E-4</v>
          </cell>
          <cell r="R777">
            <v>2.1393431498763744E-7</v>
          </cell>
          <cell r="S777">
            <v>2.3770479443070826E-8</v>
          </cell>
          <cell r="T777">
            <v>1.0696715749381872E-7</v>
          </cell>
          <cell r="U777"/>
          <cell r="V777"/>
          <cell r="W777">
            <v>30000</v>
          </cell>
          <cell r="X777">
            <v>0.33333333333333331</v>
          </cell>
          <cell r="Y777">
            <v>0.33333333333333331</v>
          </cell>
          <cell r="Z777">
            <v>0.33333333333333331</v>
          </cell>
          <cell r="AA777"/>
        </row>
        <row r="778">
          <cell r="A778">
            <v>771</v>
          </cell>
          <cell r="B778" t="str">
            <v>N-Formyl-N-methyl hydrazine</v>
          </cell>
          <cell r="C778" t="str">
            <v>758-17-8</v>
          </cell>
          <cell r="D778" t="str">
            <v>Base</v>
          </cell>
          <cell r="E778">
            <v>3.35</v>
          </cell>
          <cell r="F778">
            <v>74.08</v>
          </cell>
          <cell r="G778"/>
          <cell r="H778">
            <v>427.99999989299999</v>
          </cell>
          <cell r="I778">
            <v>1000000</v>
          </cell>
          <cell r="J778"/>
          <cell r="K778">
            <v>6.7608297539198132E-3</v>
          </cell>
          <cell r="L778"/>
          <cell r="M778"/>
          <cell r="N778"/>
          <cell r="O778"/>
          <cell r="P778"/>
          <cell r="Q778">
            <v>1.2198599999999999E-5</v>
          </cell>
          <cell r="R778">
            <v>5.3483578746909358E-7</v>
          </cell>
          <cell r="S778">
            <v>5.9426198607677063E-8</v>
          </cell>
          <cell r="T778">
            <v>2.6741789373454679E-7</v>
          </cell>
          <cell r="U778"/>
          <cell r="V778"/>
          <cell r="W778">
            <v>30000</v>
          </cell>
          <cell r="X778">
            <v>0.33333333333333331</v>
          </cell>
          <cell r="Y778">
            <v>0.33333333333333331</v>
          </cell>
          <cell r="Z778">
            <v>0.33333333333333331</v>
          </cell>
          <cell r="AA778"/>
        </row>
        <row r="779">
          <cell r="A779">
            <v>772</v>
          </cell>
          <cell r="B779" t="str">
            <v>1H-BENZIMIDAZOLE, 5-NITRO-</v>
          </cell>
          <cell r="C779" t="str">
            <v>94-52-0</v>
          </cell>
          <cell r="D779" t="str">
            <v>Base</v>
          </cell>
          <cell r="E779">
            <v>3.37</v>
          </cell>
          <cell r="F779">
            <v>163.13999999999999</v>
          </cell>
          <cell r="G779"/>
          <cell r="H779">
            <v>2.3066666660899999E-5</v>
          </cell>
          <cell r="I779">
            <v>1412</v>
          </cell>
          <cell r="J779"/>
          <cell r="K779">
            <v>31.622776601683803</v>
          </cell>
          <cell r="L779"/>
          <cell r="M779"/>
          <cell r="N779"/>
          <cell r="O779"/>
          <cell r="P779"/>
          <cell r="Q779">
            <v>3.3744525000000001E-6</v>
          </cell>
          <cell r="R779">
            <v>2.1393431498763744E-7</v>
          </cell>
          <cell r="S779">
            <v>2.3770479443070826E-8</v>
          </cell>
          <cell r="T779">
            <v>1.0696715749381872E-7</v>
          </cell>
          <cell r="U779"/>
          <cell r="V779"/>
          <cell r="W779">
            <v>30000</v>
          </cell>
          <cell r="X779">
            <v>0.33333333333333331</v>
          </cell>
          <cell r="Y779">
            <v>0.33333333333333331</v>
          </cell>
          <cell r="Z779">
            <v>0.33333333333333331</v>
          </cell>
          <cell r="AA779"/>
        </row>
        <row r="780">
          <cell r="A780">
            <v>773</v>
          </cell>
          <cell r="B780" t="str">
            <v>CHLORIDAZON</v>
          </cell>
          <cell r="C780" t="str">
            <v>1698-60-8</v>
          </cell>
          <cell r="D780" t="str">
            <v>Base</v>
          </cell>
          <cell r="E780">
            <v>3.38</v>
          </cell>
          <cell r="F780">
            <v>221.65</v>
          </cell>
          <cell r="G780"/>
          <cell r="H780">
            <v>5.9999999984999997E-5</v>
          </cell>
          <cell r="I780">
            <v>400</v>
          </cell>
          <cell r="J780"/>
          <cell r="K780">
            <v>13.803842646028851</v>
          </cell>
          <cell r="L780"/>
          <cell r="M780"/>
          <cell r="N780"/>
          <cell r="O780"/>
          <cell r="P780"/>
          <cell r="Q780">
            <v>3.0155639999999999E-5</v>
          </cell>
          <cell r="R780">
            <v>2.1393431498763744E-7</v>
          </cell>
          <cell r="S780">
            <v>2.3770479443070826E-8</v>
          </cell>
          <cell r="T780">
            <v>2.3119702628346981E-7</v>
          </cell>
          <cell r="U780"/>
          <cell r="V780"/>
          <cell r="W780">
            <v>30000</v>
          </cell>
          <cell r="X780">
            <v>0.33333333333333331</v>
          </cell>
          <cell r="Y780">
            <v>0.33333333333333331</v>
          </cell>
          <cell r="Z780">
            <v>0.33333333333333331</v>
          </cell>
          <cell r="AA780"/>
        </row>
        <row r="781">
          <cell r="A781">
            <v>774</v>
          </cell>
          <cell r="B781" t="str">
            <v>DIAZEPAM</v>
          </cell>
          <cell r="C781" t="str">
            <v>439-14-5</v>
          </cell>
          <cell r="D781" t="str">
            <v>Base</v>
          </cell>
          <cell r="E781">
            <v>3.4</v>
          </cell>
          <cell r="F781">
            <v>284.75</v>
          </cell>
          <cell r="G781"/>
          <cell r="H781">
            <v>1.35999999966E-5</v>
          </cell>
          <cell r="I781">
            <v>50</v>
          </cell>
          <cell r="J781"/>
          <cell r="K781">
            <v>660.69344800759643</v>
          </cell>
          <cell r="L781"/>
          <cell r="M781"/>
          <cell r="N781"/>
          <cell r="O781"/>
          <cell r="P781"/>
          <cell r="Q781">
            <v>7.4272275E-6</v>
          </cell>
          <cell r="R781">
            <v>2.1393431498763744E-7</v>
          </cell>
          <cell r="S781">
            <v>2.3770479443070826E-8</v>
          </cell>
          <cell r="T781">
            <v>1.0696715749381872E-7</v>
          </cell>
          <cell r="U781"/>
          <cell r="V781"/>
          <cell r="W781">
            <v>30000</v>
          </cell>
          <cell r="X781">
            <v>0.33333333333333331</v>
          </cell>
          <cell r="Y781">
            <v>0.33333333333333331</v>
          </cell>
          <cell r="Z781">
            <v>0.33333333333333331</v>
          </cell>
          <cell r="AA781"/>
        </row>
        <row r="782">
          <cell r="A782">
            <v>775</v>
          </cell>
          <cell r="B782" t="str">
            <v>2-HYDRAZINO-4-(p-AMINOPHENYL)THIAZOLE</v>
          </cell>
          <cell r="C782" t="str">
            <v>26049-71-8</v>
          </cell>
          <cell r="D782" t="str">
            <v>Base</v>
          </cell>
          <cell r="E782">
            <v>3.41</v>
          </cell>
          <cell r="F782">
            <v>206.27</v>
          </cell>
          <cell r="G782"/>
          <cell r="H782">
            <v>7.2799999981800007E-5</v>
          </cell>
          <cell r="I782">
            <v>2635</v>
          </cell>
          <cell r="J782"/>
          <cell r="K782">
            <v>24.547089156850305</v>
          </cell>
          <cell r="L782"/>
          <cell r="M782"/>
          <cell r="N782"/>
          <cell r="O782"/>
          <cell r="P782"/>
          <cell r="Q782">
            <v>6.0665280000000002E-5</v>
          </cell>
          <cell r="R782">
            <v>2.1393431498763744E-7</v>
          </cell>
          <cell r="S782">
            <v>2.3770479443070826E-8</v>
          </cell>
          <cell r="T782">
            <v>1.0696715749381872E-7</v>
          </cell>
          <cell r="U782"/>
          <cell r="V782"/>
          <cell r="W782">
            <v>30000</v>
          </cell>
          <cell r="X782">
            <v>0.33333333333333331</v>
          </cell>
          <cell r="Y782">
            <v>0.33333333333333331</v>
          </cell>
          <cell r="Z782">
            <v>0.33333333333333331</v>
          </cell>
          <cell r="AA782"/>
        </row>
        <row r="783">
          <cell r="A783">
            <v>776</v>
          </cell>
          <cell r="B783" t="str">
            <v>4-DIMETHYLAMINO-3'-METHYLAZOBENZENE</v>
          </cell>
          <cell r="C783" t="str">
            <v>55-80-1</v>
          </cell>
          <cell r="D783" t="str">
            <v>Base</v>
          </cell>
          <cell r="E783">
            <v>3.43</v>
          </cell>
          <cell r="F783">
            <v>239.32</v>
          </cell>
          <cell r="G783"/>
          <cell r="H783">
            <v>1.5333333329499998E-3</v>
          </cell>
          <cell r="I783">
            <v>0.4</v>
          </cell>
          <cell r="J783"/>
          <cell r="K783">
            <v>69183.097091893651</v>
          </cell>
          <cell r="L783"/>
          <cell r="M783"/>
          <cell r="N783"/>
          <cell r="O783"/>
          <cell r="P783"/>
          <cell r="Q783">
            <v>1.12625715E-4</v>
          </cell>
          <cell r="R783">
            <v>1.3370894686727339E-7</v>
          </cell>
          <cell r="S783">
            <v>1.4856549651919266E-8</v>
          </cell>
          <cell r="T783">
            <v>6.6854473433636697E-8</v>
          </cell>
          <cell r="U783"/>
          <cell r="V783"/>
          <cell r="W783">
            <v>30000</v>
          </cell>
          <cell r="X783">
            <v>0.33333333333333331</v>
          </cell>
          <cell r="Y783">
            <v>0.33333333333333331</v>
          </cell>
          <cell r="Z783">
            <v>0.33333333333333331</v>
          </cell>
          <cell r="AA783"/>
        </row>
        <row r="784">
          <cell r="A784">
            <v>777</v>
          </cell>
          <cell r="B784" t="str">
            <v>HALOSULFURON-METHYL</v>
          </cell>
          <cell r="C784" t="str">
            <v>100784-20-1</v>
          </cell>
          <cell r="D784" t="str">
            <v>Base</v>
          </cell>
          <cell r="E784">
            <v>3.44</v>
          </cell>
          <cell r="F784">
            <v>434.81</v>
          </cell>
          <cell r="G784"/>
          <cell r="H784">
            <v>3.6666666657499999E-10</v>
          </cell>
          <cell r="I784">
            <v>15</v>
          </cell>
          <cell r="J784"/>
          <cell r="K784">
            <v>2.5118864315095806</v>
          </cell>
          <cell r="L784"/>
          <cell r="M784"/>
          <cell r="N784"/>
          <cell r="O784"/>
          <cell r="P784"/>
          <cell r="Q784">
            <v>1.5225959999999998E-4</v>
          </cell>
          <cell r="R784">
            <v>1.3370894686727339E-7</v>
          </cell>
          <cell r="S784">
            <v>1.4856549651919266E-8</v>
          </cell>
          <cell r="T784">
            <v>5.7303834371688594E-7</v>
          </cell>
          <cell r="U784"/>
          <cell r="V784"/>
          <cell r="W784">
            <v>30000</v>
          </cell>
          <cell r="X784">
            <v>0.33333333333333331</v>
          </cell>
          <cell r="Y784">
            <v>0.33333333333333331</v>
          </cell>
          <cell r="Z784">
            <v>0.33333333333333331</v>
          </cell>
          <cell r="AA784"/>
        </row>
        <row r="785">
          <cell r="A785">
            <v>778</v>
          </cell>
          <cell r="B785" t="str">
            <v>N,N-DIMETHYLTRIAZENOBENZENE</v>
          </cell>
          <cell r="C785" t="str">
            <v>7227-91-0</v>
          </cell>
          <cell r="D785" t="str">
            <v>Base</v>
          </cell>
          <cell r="E785">
            <v>3.44</v>
          </cell>
          <cell r="F785">
            <v>149.19999999999999</v>
          </cell>
          <cell r="G785"/>
          <cell r="H785">
            <v>16.266666662599999</v>
          </cell>
          <cell r="I785">
            <v>469.6</v>
          </cell>
          <cell r="J785"/>
          <cell r="K785">
            <v>389.04514499428063</v>
          </cell>
          <cell r="L785"/>
          <cell r="M785"/>
          <cell r="N785"/>
          <cell r="O785"/>
          <cell r="P785"/>
          <cell r="Q785">
            <v>2.4767099999999998E-6</v>
          </cell>
          <cell r="R785">
            <v>5.3483578746909358E-7</v>
          </cell>
          <cell r="S785">
            <v>5.9426198607677063E-8</v>
          </cell>
          <cell r="T785">
            <v>2.6741789373454679E-7</v>
          </cell>
          <cell r="U785"/>
          <cell r="V785"/>
          <cell r="W785">
            <v>30000</v>
          </cell>
          <cell r="X785">
            <v>0.33333333333333331</v>
          </cell>
          <cell r="Y785">
            <v>0.33333333333333331</v>
          </cell>
          <cell r="Z785">
            <v>0.33333333333333331</v>
          </cell>
          <cell r="AA785"/>
        </row>
        <row r="786">
          <cell r="A786">
            <v>779</v>
          </cell>
          <cell r="B786" t="str">
            <v>2-METHOXY-3-AMINODIBENZOFURAN</v>
          </cell>
          <cell r="C786" t="str">
            <v>5834-17-3</v>
          </cell>
          <cell r="D786" t="str">
            <v>Base</v>
          </cell>
          <cell r="E786">
            <v>3.48</v>
          </cell>
          <cell r="F786">
            <v>213.24</v>
          </cell>
          <cell r="G786"/>
          <cell r="H786">
            <v>5.1333333320499998E-4</v>
          </cell>
          <cell r="I786">
            <v>5.2290000000000001</v>
          </cell>
          <cell r="J786"/>
          <cell r="K786">
            <v>1621.8100973589308</v>
          </cell>
          <cell r="L786"/>
          <cell r="M786"/>
          <cell r="N786"/>
          <cell r="O786"/>
          <cell r="P786"/>
          <cell r="Q786">
            <v>1.2915725249999999E-4</v>
          </cell>
          <cell r="R786">
            <v>2.1393431498763744E-7</v>
          </cell>
          <cell r="S786">
            <v>2.3770479443070826E-8</v>
          </cell>
          <cell r="T786">
            <v>1.0696715749381872E-7</v>
          </cell>
          <cell r="U786"/>
          <cell r="V786"/>
          <cell r="W786">
            <v>30000</v>
          </cell>
          <cell r="X786">
            <v>0.33333333333333331</v>
          </cell>
          <cell r="Y786">
            <v>0.33333333333333331</v>
          </cell>
          <cell r="Z786">
            <v>0.33333333333333331</v>
          </cell>
          <cell r="AA786"/>
        </row>
        <row r="787">
          <cell r="A787">
            <v>780</v>
          </cell>
          <cell r="B787" t="str">
            <v>SULFOSULFURON</v>
          </cell>
          <cell r="C787" t="str">
            <v>141776-32-1</v>
          </cell>
          <cell r="D787" t="str">
            <v>Base</v>
          </cell>
          <cell r="E787">
            <v>3.51</v>
          </cell>
          <cell r="F787">
            <v>470.48</v>
          </cell>
          <cell r="G787"/>
          <cell r="H787">
            <v>8.813333331129999E-8</v>
          </cell>
          <cell r="I787">
            <v>18</v>
          </cell>
          <cell r="J787"/>
          <cell r="K787">
            <v>9.7723722095581103</v>
          </cell>
          <cell r="L787"/>
          <cell r="M787"/>
          <cell r="N787"/>
          <cell r="O787"/>
          <cell r="P787"/>
          <cell r="Q787">
            <v>1.5881789999999999E-4</v>
          </cell>
          <cell r="R787">
            <v>1.3370894686727339E-7</v>
          </cell>
          <cell r="S787">
            <v>1.4856549651919266E-8</v>
          </cell>
          <cell r="T787">
            <v>3.3427236716818347E-7</v>
          </cell>
          <cell r="U787"/>
          <cell r="V787"/>
          <cell r="W787">
            <v>30000</v>
          </cell>
          <cell r="X787">
            <v>0.33333333333333331</v>
          </cell>
          <cell r="Y787">
            <v>0.33333333333333331</v>
          </cell>
          <cell r="Z787">
            <v>0.33333333333333331</v>
          </cell>
          <cell r="AA787"/>
        </row>
        <row r="788">
          <cell r="A788">
            <v>781</v>
          </cell>
          <cell r="B788" t="str">
            <v>Pyrimethanil</v>
          </cell>
          <cell r="C788" t="str">
            <v>53112-28-0</v>
          </cell>
          <cell r="D788" t="str">
            <v>Base</v>
          </cell>
          <cell r="E788">
            <v>3.52</v>
          </cell>
          <cell r="F788">
            <v>199.26</v>
          </cell>
          <cell r="G788"/>
          <cell r="H788">
            <v>2.19999999945E-3</v>
          </cell>
          <cell r="I788">
            <v>121</v>
          </cell>
          <cell r="J788"/>
          <cell r="K788">
            <v>691.83097091893671</v>
          </cell>
          <cell r="L788"/>
          <cell r="M788"/>
          <cell r="N788"/>
          <cell r="O788"/>
          <cell r="P788"/>
          <cell r="Q788">
            <v>1.50204E-4</v>
          </cell>
          <cell r="R788">
            <v>2.1393431498763744E-7</v>
          </cell>
          <cell r="S788">
            <v>2.3770479443070826E-8</v>
          </cell>
          <cell r="T788">
            <v>2.7195040040801367E-7</v>
          </cell>
          <cell r="U788"/>
          <cell r="V788"/>
          <cell r="W788">
            <v>30000</v>
          </cell>
          <cell r="X788">
            <v>0.33333333333333331</v>
          </cell>
          <cell r="Y788">
            <v>0.33333333333333331</v>
          </cell>
          <cell r="Z788">
            <v>0.33333333333333331</v>
          </cell>
          <cell r="AA788"/>
        </row>
        <row r="789">
          <cell r="A789">
            <v>782</v>
          </cell>
          <cell r="B789" t="str">
            <v>3-CHLOROANILINE</v>
          </cell>
          <cell r="C789" t="str">
            <v>108-42-9</v>
          </cell>
          <cell r="D789" t="str">
            <v>Base</v>
          </cell>
          <cell r="E789">
            <v>3.52</v>
          </cell>
          <cell r="F789">
            <v>127.57</v>
          </cell>
          <cell r="G789"/>
          <cell r="H789">
            <v>8.7999999978000005</v>
          </cell>
          <cell r="I789">
            <v>5400</v>
          </cell>
          <cell r="J789"/>
          <cell r="K789">
            <v>75.857757502918361</v>
          </cell>
          <cell r="L789"/>
          <cell r="M789"/>
          <cell r="N789"/>
          <cell r="O789"/>
          <cell r="P789"/>
          <cell r="Q789">
            <v>5.6793839999999994E-5</v>
          </cell>
          <cell r="R789">
            <v>2.1393431498763744E-7</v>
          </cell>
          <cell r="S789">
            <v>2.3770479443070826E-8</v>
          </cell>
          <cell r="T789">
            <v>1.0696715749381872E-7</v>
          </cell>
          <cell r="U789"/>
          <cell r="V789"/>
          <cell r="W789">
            <v>30000</v>
          </cell>
          <cell r="X789">
            <v>0.33333333333333331</v>
          </cell>
          <cell r="Y789">
            <v>0.33333333333333331</v>
          </cell>
          <cell r="Z789">
            <v>0.33333333333333331</v>
          </cell>
          <cell r="AA789"/>
        </row>
        <row r="790">
          <cell r="A790">
            <v>783</v>
          </cell>
          <cell r="B790" t="str">
            <v>Tricaine</v>
          </cell>
          <cell r="C790" t="str">
            <v>886-86-2</v>
          </cell>
          <cell r="D790" t="str">
            <v>Base</v>
          </cell>
          <cell r="E790">
            <v>3.52</v>
          </cell>
          <cell r="F790">
            <v>165.19</v>
          </cell>
          <cell r="G790"/>
          <cell r="H790">
            <v>1.9333333328499999E-2</v>
          </cell>
          <cell r="I790">
            <v>100000</v>
          </cell>
          <cell r="J790"/>
          <cell r="K790">
            <v>63.095734448019364</v>
          </cell>
          <cell r="L790"/>
          <cell r="M790"/>
          <cell r="N790"/>
          <cell r="O790"/>
          <cell r="P790"/>
          <cell r="Q790">
            <v>1.949283E-5</v>
          </cell>
          <cell r="R790">
            <v>5.3483578746909358E-7</v>
          </cell>
          <cell r="S790">
            <v>5.9426198607677063E-8</v>
          </cell>
          <cell r="T790">
            <v>2.6741789373454679E-7</v>
          </cell>
          <cell r="U790"/>
          <cell r="V790"/>
          <cell r="W790">
            <v>30000</v>
          </cell>
          <cell r="X790">
            <v>0.33333333333333331</v>
          </cell>
          <cell r="Y790">
            <v>0.33333333333333331</v>
          </cell>
          <cell r="Z790">
            <v>0.33333333333333331</v>
          </cell>
          <cell r="AA790"/>
        </row>
        <row r="791">
          <cell r="A791">
            <v>784</v>
          </cell>
          <cell r="B791" t="str">
            <v>Acetamide, N-(3-amino-4-ethoxyphenyl)-</v>
          </cell>
          <cell r="C791" t="str">
            <v>17026-81-2</v>
          </cell>
          <cell r="D791" t="str">
            <v>Base</v>
          </cell>
          <cell r="E791">
            <v>3.53</v>
          </cell>
          <cell r="F791">
            <v>194.24</v>
          </cell>
          <cell r="G791"/>
          <cell r="H791">
            <v>1.5333333329499999E-4</v>
          </cell>
          <cell r="I791">
            <v>10610</v>
          </cell>
          <cell r="J791"/>
          <cell r="K791">
            <v>5.6234132519034921</v>
          </cell>
          <cell r="L791"/>
          <cell r="M791"/>
          <cell r="N791"/>
          <cell r="O791"/>
          <cell r="P791"/>
          <cell r="Q791">
            <v>1.547065575E-4</v>
          </cell>
          <cell r="R791">
            <v>2.1393431498763744E-7</v>
          </cell>
          <cell r="S791">
            <v>2.3770479443070826E-8</v>
          </cell>
          <cell r="T791">
            <v>1.0696715749381872E-7</v>
          </cell>
          <cell r="U791"/>
          <cell r="V791"/>
          <cell r="W791">
            <v>30000</v>
          </cell>
          <cell r="X791">
            <v>0.33333333333333331</v>
          </cell>
          <cell r="Y791">
            <v>0.33333333333333331</v>
          </cell>
          <cell r="Z791">
            <v>0.33333333333333331</v>
          </cell>
          <cell r="AA791"/>
        </row>
        <row r="792">
          <cell r="A792">
            <v>785</v>
          </cell>
          <cell r="B792" t="str">
            <v>PRAZEPAM</v>
          </cell>
          <cell r="C792" t="str">
            <v>2955-38-6</v>
          </cell>
          <cell r="D792" t="str">
            <v>Base</v>
          </cell>
          <cell r="E792">
            <v>3.58</v>
          </cell>
          <cell r="F792">
            <v>324.81</v>
          </cell>
          <cell r="G792"/>
          <cell r="H792">
            <v>1.1866666663699999E-6</v>
          </cell>
          <cell r="I792">
            <v>5.7220000000000004</v>
          </cell>
          <cell r="J792"/>
          <cell r="K792">
            <v>5370.3179637025269</v>
          </cell>
          <cell r="L792"/>
          <cell r="M792"/>
          <cell r="N792"/>
          <cell r="O792"/>
          <cell r="P792"/>
          <cell r="Q792">
            <v>1.06381875E-5</v>
          </cell>
          <cell r="R792">
            <v>1.3370894686727339E-7</v>
          </cell>
          <cell r="S792">
            <v>1.4856549651919266E-8</v>
          </cell>
          <cell r="T792">
            <v>6.6854473433636697E-8</v>
          </cell>
          <cell r="U792"/>
          <cell r="V792"/>
          <cell r="W792">
            <v>30000</v>
          </cell>
          <cell r="X792">
            <v>0.33333333333333331</v>
          </cell>
          <cell r="Y792">
            <v>0.33333333333333331</v>
          </cell>
          <cell r="Z792">
            <v>0.33333333333333331</v>
          </cell>
          <cell r="AA792"/>
        </row>
        <row r="793">
          <cell r="A793">
            <v>786</v>
          </cell>
          <cell r="B793" t="str">
            <v>METHYLNITROAMINE</v>
          </cell>
          <cell r="C793" t="str">
            <v>598-57-2</v>
          </cell>
          <cell r="D793" t="str">
            <v>Base</v>
          </cell>
          <cell r="E793">
            <v>3.6</v>
          </cell>
          <cell r="F793">
            <v>76.06</v>
          </cell>
          <cell r="G793"/>
          <cell r="H793">
            <v>931.99999976699996</v>
          </cell>
          <cell r="I793">
            <v>1000000</v>
          </cell>
          <cell r="J793"/>
          <cell r="K793">
            <v>3.0902954325135901E-2</v>
          </cell>
          <cell r="L793"/>
          <cell r="M793"/>
          <cell r="N793"/>
          <cell r="O793"/>
          <cell r="P793"/>
          <cell r="Q793">
            <v>9.7500000000000006E-8</v>
          </cell>
          <cell r="R793">
            <v>5.3483578746909358E-7</v>
          </cell>
          <cell r="S793">
            <v>5.9426198607677063E-8</v>
          </cell>
          <cell r="T793">
            <v>2.6741789373454679E-7</v>
          </cell>
          <cell r="U793"/>
          <cell r="V793"/>
          <cell r="W793">
            <v>30000</v>
          </cell>
          <cell r="X793">
            <v>0.33333333333333331</v>
          </cell>
          <cell r="Y793">
            <v>0.33333333333333331</v>
          </cell>
          <cell r="Z793">
            <v>0.33333333333333331</v>
          </cell>
          <cell r="AA793"/>
        </row>
        <row r="794">
          <cell r="A794">
            <v>787</v>
          </cell>
          <cell r="B794" t="str">
            <v>I-NICOTINAMIDE</v>
          </cell>
          <cell r="C794" t="str">
            <v>1453-82-3</v>
          </cell>
          <cell r="D794" t="str">
            <v>Base</v>
          </cell>
          <cell r="E794">
            <v>3.61</v>
          </cell>
          <cell r="F794">
            <v>122.13</v>
          </cell>
          <cell r="G794"/>
          <cell r="H794">
            <v>1.3866666663199998E-2</v>
          </cell>
          <cell r="I794">
            <v>170900</v>
          </cell>
          <cell r="J794"/>
          <cell r="K794">
            <v>0.52480746024977254</v>
          </cell>
          <cell r="L794"/>
          <cell r="M794"/>
          <cell r="N794"/>
          <cell r="O794"/>
          <cell r="P794"/>
          <cell r="Q794">
            <v>1.7529675E-6</v>
          </cell>
          <cell r="R794">
            <v>2.1393431498763744E-7</v>
          </cell>
          <cell r="S794">
            <v>2.3770479443070826E-8</v>
          </cell>
          <cell r="T794">
            <v>1.0696715749381872E-7</v>
          </cell>
          <cell r="U794"/>
          <cell r="V794"/>
          <cell r="W794">
            <v>30000</v>
          </cell>
          <cell r="X794">
            <v>0.33333333333333331</v>
          </cell>
          <cell r="Y794">
            <v>0.33333333333333331</v>
          </cell>
          <cell r="Z794">
            <v>0.33333333333333331</v>
          </cell>
          <cell r="AA794"/>
        </row>
        <row r="795">
          <cell r="A795">
            <v>788</v>
          </cell>
          <cell r="B795" t="str">
            <v>[1,1'-Biphenyl]-4,4'-diamine, 3,3'-dimethoxy-, dihydrochloride</v>
          </cell>
          <cell r="C795" t="str">
            <v>20325-40-0</v>
          </cell>
          <cell r="D795" t="str">
            <v>Base</v>
          </cell>
          <cell r="E795">
            <v>3.7</v>
          </cell>
          <cell r="F795">
            <v>317.22000000000003</v>
          </cell>
          <cell r="G795"/>
          <cell r="H795">
            <v>2.7733333326399998E-14</v>
          </cell>
          <cell r="I795">
            <v>3178</v>
          </cell>
          <cell r="J795"/>
          <cell r="K795">
            <v>3.7153522909717256</v>
          </cell>
          <cell r="L795"/>
          <cell r="M795"/>
          <cell r="N795"/>
          <cell r="O795"/>
          <cell r="P795"/>
          <cell r="Q795">
            <v>1.3224802499999999E-5</v>
          </cell>
          <cell r="R795">
            <v>2.1393431498763744E-7</v>
          </cell>
          <cell r="S795">
            <v>2.3770479443070826E-8</v>
          </cell>
          <cell r="T795">
            <v>1.0696715749381872E-7</v>
          </cell>
          <cell r="U795"/>
          <cell r="V795"/>
          <cell r="W795">
            <v>30000</v>
          </cell>
          <cell r="X795">
            <v>0.33333333333333331</v>
          </cell>
          <cell r="Y795">
            <v>0.33333333333333331</v>
          </cell>
          <cell r="Z795">
            <v>0.33333333333333331</v>
          </cell>
          <cell r="AA795"/>
        </row>
        <row r="796">
          <cell r="A796">
            <v>789</v>
          </cell>
          <cell r="B796" t="str">
            <v>Diazinon</v>
          </cell>
          <cell r="C796" t="str">
            <v>333-41-5</v>
          </cell>
          <cell r="D796" t="str">
            <v>Base</v>
          </cell>
          <cell r="E796">
            <v>3.71</v>
          </cell>
          <cell r="F796">
            <v>304.35000000000002</v>
          </cell>
          <cell r="G796"/>
          <cell r="H796">
            <v>1.2013333330329999E-2</v>
          </cell>
          <cell r="I796">
            <v>40</v>
          </cell>
          <cell r="J796"/>
          <cell r="K796">
            <v>6456.5422903465615</v>
          </cell>
          <cell r="L796"/>
          <cell r="M796"/>
          <cell r="N796"/>
          <cell r="O796"/>
          <cell r="P796"/>
          <cell r="Q796">
            <v>7.25096325E-5</v>
          </cell>
          <cell r="R796">
            <v>2.1393431498763744E-7</v>
          </cell>
          <cell r="S796">
            <v>2.3770479443070826E-8</v>
          </cell>
          <cell r="T796">
            <v>4.3600743543676112E-7</v>
          </cell>
          <cell r="U796"/>
          <cell r="V796"/>
          <cell r="W796">
            <v>30000</v>
          </cell>
          <cell r="X796">
            <v>0.33333333333333331</v>
          </cell>
          <cell r="Y796">
            <v>0.33333333333333331</v>
          </cell>
          <cell r="Z796">
            <v>0.33333333333333331</v>
          </cell>
          <cell r="AA796"/>
        </row>
        <row r="797">
          <cell r="A797">
            <v>790</v>
          </cell>
          <cell r="B797" t="str">
            <v>Gyromitrin</v>
          </cell>
          <cell r="C797" t="str">
            <v>16568-02-8</v>
          </cell>
          <cell r="D797" t="str">
            <v>Base</v>
          </cell>
          <cell r="E797">
            <v>3.75</v>
          </cell>
          <cell r="F797">
            <v>100.12</v>
          </cell>
          <cell r="G797"/>
          <cell r="H797">
            <v>190.66666661899998</v>
          </cell>
          <cell r="I797">
            <v>360800</v>
          </cell>
          <cell r="J797"/>
          <cell r="K797">
            <v>0.26915348039269155</v>
          </cell>
          <cell r="L797"/>
          <cell r="M797"/>
          <cell r="N797"/>
          <cell r="O797"/>
          <cell r="P797"/>
          <cell r="Q797">
            <v>1.3779059999999999E-5</v>
          </cell>
          <cell r="R797">
            <v>5.3483578746909358E-7</v>
          </cell>
          <cell r="S797">
            <v>5.9426198607677063E-8</v>
          </cell>
          <cell r="T797">
            <v>2.6741789373454679E-7</v>
          </cell>
          <cell r="U797"/>
          <cell r="V797"/>
          <cell r="W797">
            <v>30000</v>
          </cell>
          <cell r="X797">
            <v>0.33333333333333331</v>
          </cell>
          <cell r="Y797">
            <v>0.33333333333333331</v>
          </cell>
          <cell r="Z797">
            <v>0.33333333333333331</v>
          </cell>
          <cell r="AA797"/>
        </row>
        <row r="798">
          <cell r="A798">
            <v>791</v>
          </cell>
          <cell r="B798" t="str">
            <v>Cloquintocet-mexyl</v>
          </cell>
          <cell r="C798" t="str">
            <v>99607-70-2</v>
          </cell>
          <cell r="D798" t="str">
            <v>Base</v>
          </cell>
          <cell r="E798">
            <v>3.75</v>
          </cell>
          <cell r="F798">
            <v>335.83</v>
          </cell>
          <cell r="G798"/>
          <cell r="H798">
            <v>5.3333333319999996E-6</v>
          </cell>
          <cell r="I798">
            <v>0.59</v>
          </cell>
          <cell r="J798"/>
          <cell r="K798">
            <v>107151.93052376082</v>
          </cell>
          <cell r="L798"/>
          <cell r="M798"/>
          <cell r="N798"/>
          <cell r="O798"/>
          <cell r="P798"/>
          <cell r="Q798">
            <v>2.0658075E-5</v>
          </cell>
          <cell r="R798">
            <v>2.1393431498763744E-7</v>
          </cell>
          <cell r="S798">
            <v>2.3770479443070826E-8</v>
          </cell>
          <cell r="T798">
            <v>1.6045073624072808E-6</v>
          </cell>
          <cell r="U798"/>
          <cell r="V798"/>
          <cell r="W798">
            <v>30000</v>
          </cell>
          <cell r="X798">
            <v>0.33333333333333331</v>
          </cell>
          <cell r="Y798">
            <v>0.33333333333333331</v>
          </cell>
          <cell r="Z798">
            <v>0.33333333333333331</v>
          </cell>
          <cell r="AA798"/>
        </row>
        <row r="799">
          <cell r="A799">
            <v>792</v>
          </cell>
          <cell r="B799" t="str">
            <v>Benzenamine, 4-(4-chlorophenoxy)-</v>
          </cell>
          <cell r="C799" t="str">
            <v>101-79-1</v>
          </cell>
          <cell r="D799" t="str">
            <v>Base</v>
          </cell>
          <cell r="E799">
            <v>3.75</v>
          </cell>
          <cell r="F799">
            <v>219.67</v>
          </cell>
          <cell r="G799"/>
          <cell r="H799">
            <v>3.3199999991699995E-3</v>
          </cell>
          <cell r="I799">
            <v>20.57</v>
          </cell>
          <cell r="J799"/>
          <cell r="K799">
            <v>6025.595860743585</v>
          </cell>
          <cell r="L799"/>
          <cell r="M799"/>
          <cell r="N799"/>
          <cell r="O799"/>
          <cell r="P799"/>
          <cell r="Q799">
            <v>6.4153027500000006E-5</v>
          </cell>
          <cell r="R799">
            <v>2.1393431498763744E-7</v>
          </cell>
          <cell r="S799">
            <v>2.3770479443070826E-8</v>
          </cell>
          <cell r="T799">
            <v>1.0696715749381872E-7</v>
          </cell>
          <cell r="U799"/>
          <cell r="V799"/>
          <cell r="W799">
            <v>30000</v>
          </cell>
          <cell r="X799">
            <v>0.33333333333333331</v>
          </cell>
          <cell r="Y799">
            <v>0.33333333333333331</v>
          </cell>
          <cell r="Z799">
            <v>0.33333333333333331</v>
          </cell>
          <cell r="AA799"/>
        </row>
        <row r="800">
          <cell r="A800">
            <v>793</v>
          </cell>
          <cell r="B800" t="str">
            <v>METSULFURON-METHYL</v>
          </cell>
          <cell r="C800" t="str">
            <v>74223-64-6</v>
          </cell>
          <cell r="D800" t="str">
            <v>Base</v>
          </cell>
          <cell r="E800">
            <v>3.8</v>
          </cell>
          <cell r="F800">
            <v>381.37</v>
          </cell>
          <cell r="G800"/>
          <cell r="H800">
            <v>3.8133333323799995E-9</v>
          </cell>
          <cell r="I800">
            <v>9500</v>
          </cell>
          <cell r="J800"/>
          <cell r="K800">
            <v>158.48931924611153</v>
          </cell>
          <cell r="L800"/>
          <cell r="M800"/>
          <cell r="N800"/>
          <cell r="O800"/>
          <cell r="P800"/>
          <cell r="Q800">
            <v>1.9332899999999999E-6</v>
          </cell>
          <cell r="R800">
            <v>1.3370894686727339E-7</v>
          </cell>
          <cell r="S800">
            <v>1.4856549651919266E-8</v>
          </cell>
          <cell r="T800">
            <v>8.0225368120364042E-7</v>
          </cell>
          <cell r="U800"/>
          <cell r="V800"/>
          <cell r="W800">
            <v>30000</v>
          </cell>
          <cell r="X800">
            <v>0.33333333333333331</v>
          </cell>
          <cell r="Y800">
            <v>0.33333333333333331</v>
          </cell>
          <cell r="Z800">
            <v>0.33333333333333331</v>
          </cell>
          <cell r="AA800"/>
        </row>
        <row r="801">
          <cell r="A801">
            <v>794</v>
          </cell>
          <cell r="B801" t="str">
            <v>3-FORMYLPYRIDINE</v>
          </cell>
          <cell r="C801" t="str">
            <v>500-22-1</v>
          </cell>
          <cell r="D801" t="str">
            <v>Base</v>
          </cell>
          <cell r="E801">
            <v>3.8</v>
          </cell>
          <cell r="F801">
            <v>107.11</v>
          </cell>
          <cell r="G801"/>
          <cell r="H801">
            <v>75.733333314399985</v>
          </cell>
          <cell r="I801">
            <v>62860</v>
          </cell>
          <cell r="J801"/>
          <cell r="K801">
            <v>1.9498445997580454</v>
          </cell>
          <cell r="L801"/>
          <cell r="M801"/>
          <cell r="N801"/>
          <cell r="O801"/>
          <cell r="P801"/>
          <cell r="Q801">
            <v>1.27992525E-5</v>
          </cell>
          <cell r="R801">
            <v>5.3483578746909358E-7</v>
          </cell>
          <cell r="S801">
            <v>5.9426198607677063E-8</v>
          </cell>
          <cell r="T801">
            <v>2.6741789373454679E-7</v>
          </cell>
          <cell r="U801"/>
          <cell r="V801"/>
          <cell r="W801">
            <v>30000</v>
          </cell>
          <cell r="X801">
            <v>0.33333333333333331</v>
          </cell>
          <cell r="Y801">
            <v>0.33333333333333331</v>
          </cell>
          <cell r="Z801">
            <v>0.33333333333333331</v>
          </cell>
          <cell r="AA801"/>
        </row>
        <row r="802">
          <cell r="A802">
            <v>795</v>
          </cell>
          <cell r="B802" t="str">
            <v>PROCHLORAZ</v>
          </cell>
          <cell r="C802" t="str">
            <v>67747-09-5</v>
          </cell>
          <cell r="D802" t="str">
            <v>Base</v>
          </cell>
          <cell r="E802">
            <v>3.8</v>
          </cell>
          <cell r="F802">
            <v>376.67</v>
          </cell>
          <cell r="G802"/>
          <cell r="H802">
            <v>1.5066666662899998E-4</v>
          </cell>
          <cell r="I802">
            <v>34</v>
          </cell>
          <cell r="J802"/>
          <cell r="K802">
            <v>12589.254117941671</v>
          </cell>
          <cell r="L802"/>
          <cell r="M802"/>
          <cell r="N802"/>
          <cell r="O802"/>
          <cell r="P802"/>
          <cell r="Q802">
            <v>5.85180825E-5</v>
          </cell>
          <cell r="R802">
            <v>4.45696489557578E-8</v>
          </cell>
          <cell r="S802">
            <v>4.9521832173064224E-9</v>
          </cell>
          <cell r="T802">
            <v>4.8039142587044347E-7</v>
          </cell>
          <cell r="U802"/>
          <cell r="V802"/>
          <cell r="W802">
            <v>30000</v>
          </cell>
          <cell r="X802">
            <v>0.33333333333333331</v>
          </cell>
          <cell r="Y802">
            <v>0.33333333333333331</v>
          </cell>
          <cell r="Z802">
            <v>0.33333333333333331</v>
          </cell>
          <cell r="AA802"/>
        </row>
        <row r="803">
          <cell r="A803">
            <v>796</v>
          </cell>
          <cell r="B803" t="str">
            <v>M-CHLOROBENZOIC ACID</v>
          </cell>
          <cell r="C803" t="str">
            <v>535-80-8</v>
          </cell>
          <cell r="D803" t="str">
            <v>Base</v>
          </cell>
          <cell r="E803">
            <v>3.81</v>
          </cell>
          <cell r="F803">
            <v>156.57</v>
          </cell>
          <cell r="G803"/>
          <cell r="H803">
            <v>3.8933333323599995E-2</v>
          </cell>
          <cell r="I803">
            <v>450</v>
          </cell>
          <cell r="J803"/>
          <cell r="K803">
            <v>478.63009232263886</v>
          </cell>
          <cell r="L803"/>
          <cell r="M803"/>
          <cell r="N803"/>
          <cell r="O803"/>
          <cell r="P803"/>
          <cell r="Q803">
            <v>6.7064999999999999E-7</v>
          </cell>
          <cell r="R803">
            <v>2.1393431498763744E-7</v>
          </cell>
          <cell r="S803">
            <v>2.3770479443070826E-8</v>
          </cell>
          <cell r="T803">
            <v>1.0696715749381872E-7</v>
          </cell>
          <cell r="U803"/>
          <cell r="V803"/>
          <cell r="W803">
            <v>30000</v>
          </cell>
          <cell r="X803">
            <v>0.33333333333333331</v>
          </cell>
          <cell r="Y803">
            <v>0.33333333333333331</v>
          </cell>
          <cell r="Z803">
            <v>0.33333333333333331</v>
          </cell>
          <cell r="AA803"/>
        </row>
        <row r="804">
          <cell r="A804">
            <v>797</v>
          </cell>
          <cell r="B804" t="str">
            <v>4-CHLORO-1,2-BENZENEDIAMINE</v>
          </cell>
          <cell r="C804" t="str">
            <v>95-83-0</v>
          </cell>
          <cell r="D804" t="str">
            <v>Base</v>
          </cell>
          <cell r="E804">
            <v>3.83</v>
          </cell>
          <cell r="F804">
            <v>142.59</v>
          </cell>
          <cell r="G804"/>
          <cell r="H804">
            <v>3.3466666658299999</v>
          </cell>
          <cell r="I804">
            <v>6590</v>
          </cell>
          <cell r="J804"/>
          <cell r="K804">
            <v>19.054607179632477</v>
          </cell>
          <cell r="L804"/>
          <cell r="M804"/>
          <cell r="N804"/>
          <cell r="O804"/>
          <cell r="P804"/>
          <cell r="Q804">
            <v>9.3046747499999998E-5</v>
          </cell>
          <cell r="R804">
            <v>2.1393431498763744E-7</v>
          </cell>
          <cell r="S804">
            <v>2.3770479443070826E-8</v>
          </cell>
          <cell r="T804">
            <v>1.0696715749381872E-7</v>
          </cell>
          <cell r="U804"/>
          <cell r="V804"/>
          <cell r="W804">
            <v>30000</v>
          </cell>
          <cell r="X804">
            <v>0.33333333333333331</v>
          </cell>
          <cell r="Y804">
            <v>0.33333333333333331</v>
          </cell>
          <cell r="Z804">
            <v>0.33333333333333331</v>
          </cell>
          <cell r="AA804"/>
        </row>
        <row r="805">
          <cell r="A805">
            <v>798</v>
          </cell>
          <cell r="B805" t="str">
            <v>PHTHALAZINE</v>
          </cell>
          <cell r="C805" t="str">
            <v>253-52-1</v>
          </cell>
          <cell r="D805" t="str">
            <v>Base</v>
          </cell>
          <cell r="E805">
            <v>3.84</v>
          </cell>
          <cell r="F805">
            <v>130.15</v>
          </cell>
          <cell r="G805"/>
          <cell r="H805">
            <v>2.5866666660199999E-2</v>
          </cell>
          <cell r="I805">
            <v>50000</v>
          </cell>
          <cell r="J805"/>
          <cell r="K805">
            <v>3.7153522909717256</v>
          </cell>
          <cell r="L805"/>
          <cell r="M805"/>
          <cell r="N805"/>
          <cell r="O805"/>
          <cell r="P805"/>
          <cell r="Q805">
            <v>1.5E-6</v>
          </cell>
          <cell r="R805">
            <v>5.3483578746909358E-7</v>
          </cell>
          <cell r="S805">
            <v>5.9426198607677063E-8</v>
          </cell>
          <cell r="T805">
            <v>2.6741789373454679E-7</v>
          </cell>
          <cell r="U805"/>
          <cell r="V805"/>
          <cell r="W805">
            <v>30000</v>
          </cell>
          <cell r="X805">
            <v>0.33333333333333331</v>
          </cell>
          <cell r="Y805">
            <v>0.33333333333333331</v>
          </cell>
          <cell r="Z805">
            <v>0.33333333333333331</v>
          </cell>
          <cell r="AA805"/>
        </row>
        <row r="806">
          <cell r="A806">
            <v>799</v>
          </cell>
          <cell r="B806" t="str">
            <v>Bentonite</v>
          </cell>
          <cell r="C806" t="str">
            <v>1302-78-9</v>
          </cell>
          <cell r="D806" t="str">
            <v>Base</v>
          </cell>
          <cell r="E806">
            <v>3.84</v>
          </cell>
          <cell r="F806">
            <v>284.18</v>
          </cell>
          <cell r="G806"/>
          <cell r="H806">
            <v>3.6399999990899996E-3</v>
          </cell>
          <cell r="I806">
            <v>12380</v>
          </cell>
          <cell r="J806"/>
          <cell r="K806">
            <v>19.054607179632477</v>
          </cell>
          <cell r="L806"/>
          <cell r="M806"/>
          <cell r="N806"/>
          <cell r="O806"/>
          <cell r="P806"/>
          <cell r="Q806">
            <v>4.822185E-6</v>
          </cell>
          <cell r="R806">
            <v>2.1393431498763744E-7</v>
          </cell>
          <cell r="S806">
            <v>2.3770479443070826E-8</v>
          </cell>
          <cell r="T806">
            <v>1.0696715749381872E-7</v>
          </cell>
          <cell r="U806"/>
          <cell r="V806"/>
          <cell r="W806">
            <v>30000</v>
          </cell>
          <cell r="X806">
            <v>0.33333333333333331</v>
          </cell>
          <cell r="Y806">
            <v>0.33333333333333331</v>
          </cell>
          <cell r="Z806">
            <v>0.33333333333333331</v>
          </cell>
          <cell r="AA806"/>
        </row>
        <row r="807">
          <cell r="A807">
            <v>800</v>
          </cell>
          <cell r="B807" t="str">
            <v>P-BROMOANILINE</v>
          </cell>
          <cell r="C807" t="str">
            <v>106-40-1</v>
          </cell>
          <cell r="D807" t="str">
            <v>Base</v>
          </cell>
          <cell r="E807">
            <v>3.86</v>
          </cell>
          <cell r="F807">
            <v>172.03</v>
          </cell>
          <cell r="G807"/>
          <cell r="H807">
            <v>3.0533333325699998</v>
          </cell>
          <cell r="I807">
            <v>706.7</v>
          </cell>
          <cell r="J807"/>
          <cell r="K807">
            <v>181.9700858609983</v>
          </cell>
          <cell r="L807"/>
          <cell r="M807"/>
          <cell r="N807"/>
          <cell r="O807"/>
          <cell r="P807"/>
          <cell r="Q807">
            <v>2.3139885000000001E-5</v>
          </cell>
          <cell r="R807">
            <v>2.1393431498763744E-7</v>
          </cell>
          <cell r="S807">
            <v>2.3770479443070826E-8</v>
          </cell>
          <cell r="T807">
            <v>1.0696715749381872E-7</v>
          </cell>
          <cell r="U807"/>
          <cell r="V807"/>
          <cell r="W807">
            <v>30000</v>
          </cell>
          <cell r="X807">
            <v>0.33333333333333331</v>
          </cell>
          <cell r="Y807">
            <v>0.33333333333333331</v>
          </cell>
          <cell r="Z807">
            <v>0.33333333333333331</v>
          </cell>
          <cell r="AA807"/>
        </row>
        <row r="808">
          <cell r="A808">
            <v>801</v>
          </cell>
          <cell r="B808" t="str">
            <v>alpha-Naphthylamine</v>
          </cell>
          <cell r="C808" t="str">
            <v>134-32-7</v>
          </cell>
          <cell r="D808" t="str">
            <v>Base</v>
          </cell>
          <cell r="E808">
            <v>3.92</v>
          </cell>
          <cell r="F808">
            <v>143.19</v>
          </cell>
          <cell r="G808"/>
          <cell r="H808">
            <v>0.55733333319399991</v>
          </cell>
          <cell r="I808">
            <v>1700</v>
          </cell>
          <cell r="J808"/>
          <cell r="K808">
            <v>177.82794100389242</v>
          </cell>
          <cell r="L808"/>
          <cell r="M808"/>
          <cell r="N808"/>
          <cell r="O808"/>
          <cell r="P808"/>
          <cell r="Q808">
            <v>1.5000000000000001E-4</v>
          </cell>
          <cell r="R808">
            <v>2.1393431498763744E-7</v>
          </cell>
          <cell r="S808">
            <v>2.3770479443070826E-8</v>
          </cell>
          <cell r="T808">
            <v>1.0696715749381872E-7</v>
          </cell>
          <cell r="U808"/>
          <cell r="V808"/>
          <cell r="W808">
            <v>30000</v>
          </cell>
          <cell r="X808">
            <v>0.33333333333333331</v>
          </cell>
          <cell r="Y808">
            <v>0.33333333333333331</v>
          </cell>
          <cell r="Z808">
            <v>0.33333333333333331</v>
          </cell>
          <cell r="AA808"/>
        </row>
        <row r="809">
          <cell r="A809">
            <v>802</v>
          </cell>
          <cell r="B809" t="str">
            <v>Benzenamine, 2-ethyl-6-methyl-</v>
          </cell>
          <cell r="C809" t="str">
            <v>24549-06-2</v>
          </cell>
          <cell r="D809" t="str">
            <v>Base</v>
          </cell>
          <cell r="E809">
            <v>3.93</v>
          </cell>
          <cell r="F809">
            <v>135.21</v>
          </cell>
          <cell r="G809"/>
          <cell r="H809">
            <v>9.8933333308599991</v>
          </cell>
          <cell r="I809">
            <v>467.3</v>
          </cell>
          <cell r="J809"/>
          <cell r="K809">
            <v>457.0881896148756</v>
          </cell>
          <cell r="L809"/>
          <cell r="M809"/>
          <cell r="N809"/>
          <cell r="O809"/>
          <cell r="P809"/>
          <cell r="Q809">
            <v>1.215040425E-4</v>
          </cell>
          <cell r="R809">
            <v>2.1393431498763744E-7</v>
          </cell>
          <cell r="S809">
            <v>2.3770479443070826E-8</v>
          </cell>
          <cell r="T809">
            <v>1.0696715749381872E-7</v>
          </cell>
          <cell r="U809"/>
          <cell r="V809"/>
          <cell r="W809">
            <v>30000</v>
          </cell>
          <cell r="X809">
            <v>0.33333333333333331</v>
          </cell>
          <cell r="Y809">
            <v>0.33333333333333331</v>
          </cell>
          <cell r="Z809">
            <v>0.33333333333333331</v>
          </cell>
          <cell r="AA809"/>
        </row>
        <row r="810">
          <cell r="A810">
            <v>803</v>
          </cell>
          <cell r="B810" t="str">
            <v>2,6-xylidine</v>
          </cell>
          <cell r="C810" t="str">
            <v>87-62-7</v>
          </cell>
          <cell r="D810" t="str">
            <v>Base</v>
          </cell>
          <cell r="E810">
            <v>3.95</v>
          </cell>
          <cell r="F810">
            <v>121.18</v>
          </cell>
          <cell r="G810"/>
          <cell r="H810">
            <v>17.333333328999998</v>
          </cell>
          <cell r="I810">
            <v>8240</v>
          </cell>
          <cell r="J810"/>
          <cell r="K810">
            <v>69.183097091893657</v>
          </cell>
          <cell r="L810"/>
          <cell r="M810"/>
          <cell r="N810"/>
          <cell r="O810"/>
          <cell r="P810"/>
          <cell r="Q810">
            <v>1.21526445E-4</v>
          </cell>
          <cell r="R810">
            <v>2.1393431498763744E-7</v>
          </cell>
          <cell r="S810">
            <v>2.3770479443070826E-8</v>
          </cell>
          <cell r="T810">
            <v>1.0696715749381872E-7</v>
          </cell>
          <cell r="U810"/>
          <cell r="V810"/>
          <cell r="W810">
            <v>30000</v>
          </cell>
          <cell r="X810">
            <v>0.33333333333333331</v>
          </cell>
          <cell r="Y810">
            <v>0.33333333333333331</v>
          </cell>
          <cell r="Z810">
            <v>0.33333333333333331</v>
          </cell>
          <cell r="AA810"/>
        </row>
        <row r="811">
          <cell r="A811">
            <v>804</v>
          </cell>
          <cell r="B811" t="str">
            <v>5-AMINOQUINOLINE</v>
          </cell>
          <cell r="C811" t="str">
            <v>611-34-7</v>
          </cell>
          <cell r="D811" t="str">
            <v>Base</v>
          </cell>
          <cell r="E811">
            <v>3.95</v>
          </cell>
          <cell r="F811">
            <v>144.18</v>
          </cell>
          <cell r="G811"/>
          <cell r="H811">
            <v>2.2799999994299997E-3</v>
          </cell>
          <cell r="I811">
            <v>8216</v>
          </cell>
          <cell r="J811"/>
          <cell r="K811">
            <v>14.454397707459275</v>
          </cell>
          <cell r="L811"/>
          <cell r="M811"/>
          <cell r="N811"/>
          <cell r="O811"/>
          <cell r="P811"/>
          <cell r="Q811">
            <v>1.5000000000000001E-4</v>
          </cell>
          <cell r="R811">
            <v>2.1393431498763744E-7</v>
          </cell>
          <cell r="S811">
            <v>2.3770479443070826E-8</v>
          </cell>
          <cell r="T811">
            <v>1.0696715749381872E-7</v>
          </cell>
          <cell r="U811"/>
          <cell r="V811"/>
          <cell r="W811">
            <v>30000</v>
          </cell>
          <cell r="X811">
            <v>0.33333333333333331</v>
          </cell>
          <cell r="Y811">
            <v>0.33333333333333331</v>
          </cell>
          <cell r="Z811">
            <v>0.33333333333333331</v>
          </cell>
          <cell r="AA811"/>
        </row>
        <row r="812">
          <cell r="A812">
            <v>805</v>
          </cell>
          <cell r="B812" t="str">
            <v>1-PIPERIDINYLOXY, 2,2,6,6-TETRAMETHYL-4-OXO-</v>
          </cell>
          <cell r="C812" t="str">
            <v>2896-70-0</v>
          </cell>
          <cell r="D812" t="str">
            <v>Base</v>
          </cell>
          <cell r="E812">
            <v>3.96</v>
          </cell>
          <cell r="F812">
            <v>171.24</v>
          </cell>
          <cell r="G812"/>
          <cell r="H812">
            <v>4.9466666654299999E-4</v>
          </cell>
          <cell r="I812">
            <v>47920</v>
          </cell>
          <cell r="J812"/>
          <cell r="K812">
            <v>1.3182567385564072</v>
          </cell>
          <cell r="L812"/>
          <cell r="M812"/>
          <cell r="N812"/>
          <cell r="O812"/>
          <cell r="P812"/>
          <cell r="Q812">
            <v>5.1294262499999995E-5</v>
          </cell>
          <cell r="R812">
            <v>2.1393431498763744E-7</v>
          </cell>
          <cell r="S812">
            <v>2.3770479443070826E-8</v>
          </cell>
          <cell r="T812">
            <v>1.0696715749381872E-7</v>
          </cell>
          <cell r="U812"/>
          <cell r="V812"/>
          <cell r="W812">
            <v>30000</v>
          </cell>
          <cell r="X812">
            <v>0.33333333333333331</v>
          </cell>
          <cell r="Y812">
            <v>0.33333333333333331</v>
          </cell>
          <cell r="Z812">
            <v>0.33333333333333331</v>
          </cell>
          <cell r="AA812"/>
        </row>
        <row r="813">
          <cell r="A813">
            <v>806</v>
          </cell>
          <cell r="B813" t="str">
            <v>BENZIDINE DIHYDROCHLORIDE</v>
          </cell>
          <cell r="C813" t="str">
            <v>531-85-1</v>
          </cell>
          <cell r="D813" t="str">
            <v>Base</v>
          </cell>
          <cell r="E813">
            <v>3.98</v>
          </cell>
          <cell r="F813">
            <v>184.24</v>
          </cell>
          <cell r="G813"/>
          <cell r="H813">
            <v>1.1973333330339999E-4</v>
          </cell>
          <cell r="I813">
            <v>322</v>
          </cell>
          <cell r="J813"/>
          <cell r="K813">
            <v>21.877616239495538</v>
          </cell>
          <cell r="L813"/>
          <cell r="M813"/>
          <cell r="N813"/>
          <cell r="O813"/>
          <cell r="P813"/>
          <cell r="Q813">
            <v>1.15353615E-4</v>
          </cell>
          <cell r="R813">
            <v>2.1393431498763744E-7</v>
          </cell>
          <cell r="S813">
            <v>2.3770479443070826E-8</v>
          </cell>
          <cell r="T813">
            <v>1.0696715749381872E-7</v>
          </cell>
          <cell r="U813"/>
          <cell r="V813"/>
          <cell r="W813">
            <v>30000</v>
          </cell>
          <cell r="X813">
            <v>0.33333333333333331</v>
          </cell>
          <cell r="Y813">
            <v>0.33333333333333331</v>
          </cell>
          <cell r="Z813">
            <v>0.33333333333333331</v>
          </cell>
          <cell r="AA813"/>
        </row>
        <row r="814">
          <cell r="A814">
            <v>807</v>
          </cell>
          <cell r="B814" t="str">
            <v>FUBERIDAZOLE</v>
          </cell>
          <cell r="C814" t="str">
            <v>3878-19-1</v>
          </cell>
          <cell r="D814" t="str">
            <v>Base</v>
          </cell>
          <cell r="E814">
            <v>4</v>
          </cell>
          <cell r="F814">
            <v>184.2</v>
          </cell>
          <cell r="G814"/>
          <cell r="H814">
            <v>8.9999999977499995E-7</v>
          </cell>
          <cell r="I814">
            <v>71</v>
          </cell>
          <cell r="J814"/>
          <cell r="K814">
            <v>467.7351412871983</v>
          </cell>
          <cell r="L814"/>
          <cell r="M814"/>
          <cell r="N814"/>
          <cell r="O814"/>
          <cell r="P814"/>
          <cell r="Q814">
            <v>9.9674182499999997E-5</v>
          </cell>
          <cell r="R814">
            <v>5.3483578746909358E-7</v>
          </cell>
          <cell r="S814">
            <v>5.9426198607677063E-8</v>
          </cell>
          <cell r="T814">
            <v>1.3370894686727339E-6</v>
          </cell>
          <cell r="U814"/>
          <cell r="V814"/>
          <cell r="W814">
            <v>30000</v>
          </cell>
          <cell r="X814">
            <v>0.33333333333333331</v>
          </cell>
          <cell r="Y814">
            <v>0.33333333333333331</v>
          </cell>
          <cell r="Z814">
            <v>0.33333333333333331</v>
          </cell>
          <cell r="AA814"/>
        </row>
        <row r="815">
          <cell r="A815">
            <v>808</v>
          </cell>
          <cell r="B815" t="str">
            <v>HARMONY</v>
          </cell>
          <cell r="C815" t="str">
            <v>79277-27-3</v>
          </cell>
          <cell r="D815" t="str">
            <v>Base</v>
          </cell>
          <cell r="E815">
            <v>4</v>
          </cell>
          <cell r="F815">
            <v>387.39</v>
          </cell>
          <cell r="G815"/>
          <cell r="H815">
            <v>1.70666666624E-8</v>
          </cell>
          <cell r="I815">
            <v>2240</v>
          </cell>
          <cell r="J815"/>
          <cell r="K815">
            <v>36.307805477010156</v>
          </cell>
          <cell r="L815"/>
          <cell r="M815"/>
          <cell r="N815"/>
          <cell r="O815"/>
          <cell r="P815"/>
          <cell r="Q815">
            <v>2.3237849999999999E-6</v>
          </cell>
          <cell r="R815">
            <v>1.3370894686727339E-7</v>
          </cell>
          <cell r="S815">
            <v>1.4856549651919266E-8</v>
          </cell>
          <cell r="T815">
            <v>8.0225368120364042E-7</v>
          </cell>
          <cell r="U815"/>
          <cell r="V815"/>
          <cell r="W815">
            <v>30000</v>
          </cell>
          <cell r="X815">
            <v>0.33333333333333331</v>
          </cell>
          <cell r="Y815">
            <v>0.33333333333333331</v>
          </cell>
          <cell r="Z815">
            <v>0.33333333333333331</v>
          </cell>
          <cell r="AA815"/>
        </row>
        <row r="816">
          <cell r="A816">
            <v>809</v>
          </cell>
          <cell r="B816" t="str">
            <v>DESMETRYNE</v>
          </cell>
          <cell r="C816" t="str">
            <v>1014-69-3</v>
          </cell>
          <cell r="D816" t="str">
            <v>Base</v>
          </cell>
          <cell r="E816">
            <v>4</v>
          </cell>
          <cell r="F816">
            <v>213.3</v>
          </cell>
          <cell r="G816"/>
          <cell r="H816">
            <v>1.330666666334E-4</v>
          </cell>
          <cell r="I816">
            <v>580</v>
          </cell>
          <cell r="J816"/>
          <cell r="K816">
            <v>239.88329190194912</v>
          </cell>
          <cell r="L816"/>
          <cell r="M816"/>
          <cell r="N816"/>
          <cell r="O816"/>
          <cell r="P816"/>
          <cell r="Q816">
            <v>1.57120725E-5</v>
          </cell>
          <cell r="R816">
            <v>1.3370894686727339E-7</v>
          </cell>
          <cell r="S816">
            <v>1.4856549651919266E-8</v>
          </cell>
          <cell r="T816">
            <v>8.9139297911515593E-7</v>
          </cell>
          <cell r="U816"/>
          <cell r="V816"/>
          <cell r="W816">
            <v>30000</v>
          </cell>
          <cell r="X816">
            <v>0.33333333333333331</v>
          </cell>
          <cell r="Y816">
            <v>0.33333333333333331</v>
          </cell>
          <cell r="Z816">
            <v>0.33333333333333331</v>
          </cell>
          <cell r="AA816"/>
        </row>
        <row r="817">
          <cell r="A817">
            <v>810</v>
          </cell>
          <cell r="B817" t="str">
            <v>SIMETRYN</v>
          </cell>
          <cell r="C817" t="str">
            <v>1014-70-6</v>
          </cell>
          <cell r="D817" t="str">
            <v>Base</v>
          </cell>
          <cell r="E817">
            <v>4</v>
          </cell>
          <cell r="F817">
            <v>213.3</v>
          </cell>
          <cell r="G817"/>
          <cell r="H817">
            <v>9.466666664299999E-5</v>
          </cell>
          <cell r="I817">
            <v>450</v>
          </cell>
          <cell r="J817"/>
          <cell r="K817">
            <v>630.95734448019323</v>
          </cell>
          <cell r="L817"/>
          <cell r="M817"/>
          <cell r="N817"/>
          <cell r="O817"/>
          <cell r="P817"/>
          <cell r="Q817">
            <v>1.42612725E-5</v>
          </cell>
          <cell r="R817">
            <v>1.3370894686727339E-7</v>
          </cell>
          <cell r="S817">
            <v>1.4856549651919266E-8</v>
          </cell>
          <cell r="T817">
            <v>1.3370894686727339E-7</v>
          </cell>
          <cell r="U817"/>
          <cell r="V817"/>
          <cell r="W817">
            <v>30000</v>
          </cell>
          <cell r="X817">
            <v>0.33333333333333331</v>
          </cell>
          <cell r="Y817">
            <v>0.33333333333333331</v>
          </cell>
          <cell r="Z817">
            <v>0.33333333333333331</v>
          </cell>
          <cell r="AA817"/>
        </row>
        <row r="818">
          <cell r="A818">
            <v>811</v>
          </cell>
          <cell r="B818" t="str">
            <v>Methapyrilene hydrochloride</v>
          </cell>
          <cell r="C818" t="str">
            <v>135-23-9</v>
          </cell>
          <cell r="D818" t="str">
            <v>Base</v>
          </cell>
          <cell r="E818">
            <v>4.03</v>
          </cell>
          <cell r="F818">
            <v>297.85000000000002</v>
          </cell>
          <cell r="G818"/>
          <cell r="H818">
            <v>2.4533333327199998E-4</v>
          </cell>
          <cell r="I818">
            <v>120900</v>
          </cell>
          <cell r="J818"/>
          <cell r="K818">
            <v>1.0715193052376064</v>
          </cell>
          <cell r="L818"/>
          <cell r="M818"/>
          <cell r="N818"/>
          <cell r="O818"/>
          <cell r="P818"/>
          <cell r="Q818">
            <v>1.200558E-4</v>
          </cell>
          <cell r="R818">
            <v>1.3370894686727339E-7</v>
          </cell>
          <cell r="S818">
            <v>1.4856549651919266E-8</v>
          </cell>
          <cell r="T818">
            <v>6.6854473433636697E-8</v>
          </cell>
          <cell r="U818"/>
          <cell r="V818"/>
          <cell r="W818">
            <v>30000</v>
          </cell>
          <cell r="X818">
            <v>0.33333333333333331</v>
          </cell>
          <cell r="Y818">
            <v>0.33333333333333331</v>
          </cell>
          <cell r="Z818">
            <v>0.33333333333333331</v>
          </cell>
          <cell r="AA818"/>
        </row>
        <row r="819">
          <cell r="A819">
            <v>812</v>
          </cell>
          <cell r="B819" t="str">
            <v>2-DIBENZOFURANAMINE</v>
          </cell>
          <cell r="C819" t="str">
            <v>3693-22-9</v>
          </cell>
          <cell r="D819" t="str">
            <v>Base</v>
          </cell>
          <cell r="E819">
            <v>4.07</v>
          </cell>
          <cell r="F819">
            <v>183.21</v>
          </cell>
          <cell r="G819"/>
          <cell r="H819">
            <v>3.2266666658599995E-3</v>
          </cell>
          <cell r="I819">
            <v>8.7129999999999992</v>
          </cell>
          <cell r="J819"/>
          <cell r="K819">
            <v>1348.9628825916541</v>
          </cell>
          <cell r="L819"/>
          <cell r="M819"/>
          <cell r="N819"/>
          <cell r="O819"/>
          <cell r="P819"/>
          <cell r="Q819">
            <v>1.4289227250000001E-4</v>
          </cell>
          <cell r="R819">
            <v>2.1393431498763744E-7</v>
          </cell>
          <cell r="S819">
            <v>2.3770479443070826E-8</v>
          </cell>
          <cell r="T819">
            <v>1.0696715749381872E-7</v>
          </cell>
          <cell r="U819"/>
          <cell r="V819"/>
          <cell r="W819">
            <v>30000</v>
          </cell>
          <cell r="X819">
            <v>0.33333333333333331</v>
          </cell>
          <cell r="Y819">
            <v>0.33333333333333331</v>
          </cell>
          <cell r="Z819">
            <v>0.33333333333333331</v>
          </cell>
          <cell r="AA819"/>
        </row>
        <row r="820">
          <cell r="A820">
            <v>813</v>
          </cell>
          <cell r="B820" t="str">
            <v>4'-FLUORO-4-AMINODIPHENYL</v>
          </cell>
          <cell r="C820" t="str">
            <v>324-93-6</v>
          </cell>
          <cell r="D820" t="str">
            <v>Base</v>
          </cell>
          <cell r="E820">
            <v>4.17</v>
          </cell>
          <cell r="F820">
            <v>187.22</v>
          </cell>
          <cell r="G820"/>
          <cell r="H820">
            <v>1.61333333293E-2</v>
          </cell>
          <cell r="I820">
            <v>128.5</v>
          </cell>
          <cell r="J820"/>
          <cell r="K820">
            <v>1096.4781961431863</v>
          </cell>
          <cell r="L820"/>
          <cell r="M820"/>
          <cell r="N820"/>
          <cell r="O820"/>
          <cell r="P820"/>
          <cell r="Q820">
            <v>5.2131750000000004E-5</v>
          </cell>
          <cell r="R820">
            <v>1.3370894686727339E-7</v>
          </cell>
          <cell r="S820">
            <v>1.4856549651919266E-8</v>
          </cell>
          <cell r="T820">
            <v>6.6854473433636697E-8</v>
          </cell>
          <cell r="U820"/>
          <cell r="V820"/>
          <cell r="W820">
            <v>30000</v>
          </cell>
          <cell r="X820">
            <v>0.33333333333333331</v>
          </cell>
          <cell r="Y820">
            <v>0.33333333333333331</v>
          </cell>
          <cell r="Z820">
            <v>0.33333333333333331</v>
          </cell>
          <cell r="AA820"/>
        </row>
        <row r="821">
          <cell r="A821">
            <v>814</v>
          </cell>
          <cell r="B821" t="str">
            <v>1-NAPHTHALENAMINE, N-ETHYL-</v>
          </cell>
          <cell r="C821" t="str">
            <v>118-44-5</v>
          </cell>
          <cell r="D821" t="str">
            <v>Base</v>
          </cell>
          <cell r="E821">
            <v>4.1900000000000004</v>
          </cell>
          <cell r="F821">
            <v>171.24</v>
          </cell>
          <cell r="G821"/>
          <cell r="H821">
            <v>7.9199999980199998E-2</v>
          </cell>
          <cell r="I821">
            <v>110</v>
          </cell>
          <cell r="J821"/>
          <cell r="K821">
            <v>2818.3829312644561</v>
          </cell>
          <cell r="L821"/>
          <cell r="M821"/>
          <cell r="N821"/>
          <cell r="O821"/>
          <cell r="P821"/>
          <cell r="Q821">
            <v>1.5664011749999998E-4</v>
          </cell>
          <cell r="R821">
            <v>2.1393431498763744E-7</v>
          </cell>
          <cell r="S821">
            <v>2.3770479443070826E-8</v>
          </cell>
          <cell r="T821">
            <v>1.0696715749381872E-7</v>
          </cell>
          <cell r="U821"/>
          <cell r="V821"/>
          <cell r="W821">
            <v>30000</v>
          </cell>
          <cell r="X821">
            <v>0.33333333333333331</v>
          </cell>
          <cell r="Y821">
            <v>0.33333333333333331</v>
          </cell>
          <cell r="Z821">
            <v>0.33333333333333331</v>
          </cell>
          <cell r="AA821"/>
        </row>
        <row r="822">
          <cell r="A822">
            <v>815</v>
          </cell>
          <cell r="B822" t="str">
            <v>CARBENDAZIM</v>
          </cell>
          <cell r="C822" t="str">
            <v>10605-21-7</v>
          </cell>
          <cell r="D822" t="str">
            <v>Base</v>
          </cell>
          <cell r="E822">
            <v>4.2</v>
          </cell>
          <cell r="F822">
            <v>191.19</v>
          </cell>
          <cell r="G822"/>
          <cell r="H822">
            <v>9.999999997499999E-8</v>
          </cell>
          <cell r="I822">
            <v>29</v>
          </cell>
          <cell r="J822"/>
          <cell r="K822">
            <v>33.113112148259127</v>
          </cell>
          <cell r="L822"/>
          <cell r="M822"/>
          <cell r="N822"/>
          <cell r="O822"/>
          <cell r="P822"/>
          <cell r="Q822">
            <v>1.504896E-4</v>
          </cell>
          <cell r="R822">
            <v>2.1393431498763744E-7</v>
          </cell>
          <cell r="S822">
            <v>2.3770479443070826E-8</v>
          </cell>
          <cell r="T822">
            <v>3.646607641834729E-7</v>
          </cell>
          <cell r="U822"/>
          <cell r="V822"/>
          <cell r="W822">
            <v>30000</v>
          </cell>
          <cell r="X822">
            <v>0.33333333333333331</v>
          </cell>
          <cell r="Y822">
            <v>0.33333333333333331</v>
          </cell>
          <cell r="Z822">
            <v>0.33333333333333331</v>
          </cell>
          <cell r="AA822"/>
        </row>
        <row r="823">
          <cell r="A823">
            <v>816</v>
          </cell>
          <cell r="B823" t="str">
            <v>AMITRAZ</v>
          </cell>
          <cell r="C823" t="str">
            <v>33089-61-1</v>
          </cell>
          <cell r="D823" t="str">
            <v>Base</v>
          </cell>
          <cell r="E823">
            <v>4.2</v>
          </cell>
          <cell r="F823">
            <v>293.42</v>
          </cell>
          <cell r="G823"/>
          <cell r="H823">
            <v>2.6666666659999996E-4</v>
          </cell>
          <cell r="I823">
            <v>1</v>
          </cell>
          <cell r="J823"/>
          <cell r="K823">
            <v>316227.7660168382</v>
          </cell>
          <cell r="L823"/>
          <cell r="M823"/>
          <cell r="N823"/>
          <cell r="O823"/>
          <cell r="P823"/>
          <cell r="Q823">
            <v>9.9785692499999992E-5</v>
          </cell>
          <cell r="R823">
            <v>2.1393431498763744E-7</v>
          </cell>
          <cell r="S823">
            <v>2.3770479443070826E-8</v>
          </cell>
          <cell r="T823">
            <v>8.0225368120364038E-6</v>
          </cell>
          <cell r="U823"/>
          <cell r="V823"/>
          <cell r="W823">
            <v>30000</v>
          </cell>
          <cell r="X823">
            <v>0.33333333333333331</v>
          </cell>
          <cell r="Y823">
            <v>0.33333333333333331</v>
          </cell>
          <cell r="Z823">
            <v>0.33333333333333331</v>
          </cell>
          <cell r="AA823"/>
        </row>
        <row r="824">
          <cell r="A824">
            <v>817</v>
          </cell>
          <cell r="B824" t="str">
            <v>BENZO(H)QUINOLINE</v>
          </cell>
          <cell r="C824" t="str">
            <v>230-27-3</v>
          </cell>
          <cell r="D824" t="str">
            <v>Base</v>
          </cell>
          <cell r="E824">
            <v>4.21</v>
          </cell>
          <cell r="F824">
            <v>179.22</v>
          </cell>
          <cell r="G824"/>
          <cell r="H824">
            <v>2.9066666659400001E-2</v>
          </cell>
          <cell r="I824">
            <v>78.7</v>
          </cell>
          <cell r="J824"/>
          <cell r="K824">
            <v>2691.5348039269184</v>
          </cell>
          <cell r="L824"/>
          <cell r="M824"/>
          <cell r="N824"/>
          <cell r="O824"/>
          <cell r="P824"/>
          <cell r="Q824">
            <v>6.7500075000000003E-6</v>
          </cell>
          <cell r="R824">
            <v>5.3483578746909358E-7</v>
          </cell>
          <cell r="S824">
            <v>5.9426198607677063E-8</v>
          </cell>
          <cell r="T824">
            <v>2.6741789373454679E-7</v>
          </cell>
          <cell r="U824"/>
          <cell r="V824"/>
          <cell r="W824">
            <v>30000</v>
          </cell>
          <cell r="X824">
            <v>0.33333333333333331</v>
          </cell>
          <cell r="Y824">
            <v>0.33333333333333331</v>
          </cell>
          <cell r="Z824">
            <v>0.33333333333333331</v>
          </cell>
          <cell r="AA824"/>
        </row>
        <row r="825">
          <cell r="A825">
            <v>818</v>
          </cell>
          <cell r="B825" t="str">
            <v>MEBENDAZOLE</v>
          </cell>
          <cell r="C825" t="str">
            <v>31431-39-7</v>
          </cell>
          <cell r="D825" t="str">
            <v>Base</v>
          </cell>
          <cell r="E825">
            <v>4.2300000000000004</v>
          </cell>
          <cell r="F825">
            <v>295.3</v>
          </cell>
          <cell r="G825"/>
          <cell r="H825">
            <v>1.1253333330519999E-9</v>
          </cell>
          <cell r="I825">
            <v>71.3</v>
          </cell>
          <cell r="J825"/>
          <cell r="K825">
            <v>676.08297539198213</v>
          </cell>
          <cell r="L825"/>
          <cell r="M825"/>
          <cell r="N825"/>
          <cell r="O825"/>
          <cell r="P825"/>
          <cell r="Q825">
            <v>1.0202178E-4</v>
          </cell>
          <cell r="R825">
            <v>2.1393431498763744E-7</v>
          </cell>
          <cell r="S825">
            <v>2.3770479443070826E-8</v>
          </cell>
          <cell r="T825">
            <v>1.0696715749381872E-7</v>
          </cell>
          <cell r="U825"/>
          <cell r="V825"/>
          <cell r="W825">
            <v>30000</v>
          </cell>
          <cell r="X825">
            <v>0.33333333333333331</v>
          </cell>
          <cell r="Y825">
            <v>0.33333333333333331</v>
          </cell>
          <cell r="Z825">
            <v>0.33333333333333331</v>
          </cell>
          <cell r="AA825"/>
        </row>
        <row r="826">
          <cell r="A826">
            <v>819</v>
          </cell>
          <cell r="B826" t="str">
            <v>M-METHOXYANILINE</v>
          </cell>
          <cell r="C826" t="str">
            <v>536-90-3</v>
          </cell>
          <cell r="D826" t="str">
            <v>Base</v>
          </cell>
          <cell r="E826">
            <v>4.24</v>
          </cell>
          <cell r="F826">
            <v>123.16</v>
          </cell>
          <cell r="G826"/>
          <cell r="H826">
            <v>9.9999999974999998</v>
          </cell>
          <cell r="I826">
            <v>15690</v>
          </cell>
          <cell r="J826"/>
          <cell r="K826">
            <v>8.5113803820237681</v>
          </cell>
          <cell r="L826"/>
          <cell r="M826"/>
          <cell r="N826"/>
          <cell r="O826"/>
          <cell r="P826"/>
          <cell r="Q826">
            <v>1.5062220749999998E-4</v>
          </cell>
          <cell r="R826">
            <v>2.1393431498763744E-7</v>
          </cell>
          <cell r="S826">
            <v>2.3770479443070826E-8</v>
          </cell>
          <cell r="T826">
            <v>1.0696715749381872E-7</v>
          </cell>
          <cell r="U826"/>
          <cell r="V826"/>
          <cell r="W826">
            <v>30000</v>
          </cell>
          <cell r="X826">
            <v>0.33333333333333331</v>
          </cell>
          <cell r="Y826">
            <v>0.33333333333333331</v>
          </cell>
          <cell r="Z826">
            <v>0.33333333333333331</v>
          </cell>
          <cell r="AA826"/>
        </row>
        <row r="827">
          <cell r="A827">
            <v>820</v>
          </cell>
          <cell r="B827" t="str">
            <v>TERBUTRYN</v>
          </cell>
          <cell r="C827" t="str">
            <v>886-50-0</v>
          </cell>
          <cell r="D827" t="str">
            <v>Base</v>
          </cell>
          <cell r="E827">
            <v>4.3</v>
          </cell>
          <cell r="F827">
            <v>241.36</v>
          </cell>
          <cell r="G827"/>
          <cell r="H827">
            <v>2.2533333327699997E-4</v>
          </cell>
          <cell r="I827">
            <v>25</v>
          </cell>
          <cell r="J827"/>
          <cell r="K827">
            <v>5495.4087385762541</v>
          </cell>
          <cell r="L827"/>
          <cell r="M827"/>
          <cell r="N827"/>
          <cell r="O827"/>
          <cell r="P827"/>
          <cell r="Q827">
            <v>7.9975425000000005E-6</v>
          </cell>
          <cell r="R827">
            <v>1.3370894686727339E-7</v>
          </cell>
          <cell r="S827">
            <v>1.4856549651919266E-8</v>
          </cell>
          <cell r="T827">
            <v>1.5427955407762316E-7</v>
          </cell>
          <cell r="U827"/>
          <cell r="V827"/>
          <cell r="W827">
            <v>30000</v>
          </cell>
          <cell r="X827">
            <v>0.33333333333333331</v>
          </cell>
          <cell r="Y827">
            <v>0.33333333333333331</v>
          </cell>
          <cell r="Z827">
            <v>0.33333333333333331</v>
          </cell>
          <cell r="AA827"/>
        </row>
        <row r="828">
          <cell r="A828">
            <v>821</v>
          </cell>
          <cell r="B828" t="str">
            <v>O-ETHYLANILINE</v>
          </cell>
          <cell r="C828" t="str">
            <v>578-54-1</v>
          </cell>
          <cell r="D828" t="str">
            <v>Base</v>
          </cell>
          <cell r="E828">
            <v>4.3</v>
          </cell>
          <cell r="F828">
            <v>121.18</v>
          </cell>
          <cell r="G828"/>
          <cell r="H828">
            <v>22.666666661000001</v>
          </cell>
          <cell r="I828">
            <v>3245</v>
          </cell>
          <cell r="J828"/>
          <cell r="K828">
            <v>54.95408738576247</v>
          </cell>
          <cell r="L828"/>
          <cell r="M828"/>
          <cell r="N828"/>
          <cell r="O828"/>
          <cell r="P828"/>
          <cell r="Q828">
            <v>9.9186562499999997E-5</v>
          </cell>
          <cell r="R828">
            <v>2.1393431498763744E-7</v>
          </cell>
          <cell r="S828">
            <v>2.3770479443070826E-8</v>
          </cell>
          <cell r="T828">
            <v>1.0696715749381872E-7</v>
          </cell>
          <cell r="U828"/>
          <cell r="V828"/>
          <cell r="W828">
            <v>30000</v>
          </cell>
          <cell r="X828">
            <v>0.33333333333333331</v>
          </cell>
          <cell r="Y828">
            <v>0.33333333333333331</v>
          </cell>
          <cell r="Z828">
            <v>0.33333333333333331</v>
          </cell>
          <cell r="AA828"/>
        </row>
        <row r="829">
          <cell r="A829">
            <v>822</v>
          </cell>
          <cell r="B829" t="str">
            <v>4-Aminobiphenyl</v>
          </cell>
          <cell r="C829" t="str">
            <v>92-67-1</v>
          </cell>
          <cell r="D829" t="str">
            <v>Base</v>
          </cell>
          <cell r="E829">
            <v>4.3499999999999996</v>
          </cell>
          <cell r="F829">
            <v>169.23</v>
          </cell>
          <cell r="G829"/>
          <cell r="H829">
            <v>0.12773333330139999</v>
          </cell>
          <cell r="I829">
            <v>223.9</v>
          </cell>
          <cell r="J829"/>
          <cell r="K829">
            <v>724.43596007499025</v>
          </cell>
          <cell r="L829"/>
          <cell r="M829"/>
          <cell r="N829"/>
          <cell r="O829"/>
          <cell r="P829"/>
          <cell r="Q829">
            <v>6.0217320000000005E-5</v>
          </cell>
          <cell r="R829">
            <v>2.1393431498763744E-7</v>
          </cell>
          <cell r="S829">
            <v>2.3770479443070826E-8</v>
          </cell>
          <cell r="T829">
            <v>1.0696715749381872E-7</v>
          </cell>
          <cell r="U829"/>
          <cell r="V829"/>
          <cell r="W829">
            <v>30000</v>
          </cell>
          <cell r="X829">
            <v>0.33333333333333331</v>
          </cell>
          <cell r="Y829">
            <v>0.33333333333333331</v>
          </cell>
          <cell r="Z829">
            <v>0.33333333333333331</v>
          </cell>
          <cell r="AA829"/>
        </row>
        <row r="830">
          <cell r="A830">
            <v>823</v>
          </cell>
          <cell r="B830" t="str">
            <v>3-AMINO-9-ETHYLCARBAZOLE, HYDROCHLORIDE</v>
          </cell>
          <cell r="C830" t="str">
            <v>6109-97-3</v>
          </cell>
          <cell r="D830" t="str">
            <v>Base</v>
          </cell>
          <cell r="E830">
            <v>4.3600000000000003</v>
          </cell>
          <cell r="F830">
            <v>210.28</v>
          </cell>
          <cell r="G830"/>
          <cell r="H830">
            <v>1.3333333330000001E-3</v>
          </cell>
          <cell r="I830">
            <v>3.66</v>
          </cell>
          <cell r="J830"/>
          <cell r="K830">
            <v>2570.3957827688669</v>
          </cell>
          <cell r="L830"/>
          <cell r="M830"/>
          <cell r="N830"/>
          <cell r="O830"/>
          <cell r="P830"/>
          <cell r="Q830">
            <v>1.5664011749999998E-4</v>
          </cell>
          <cell r="R830">
            <v>2.1393431498763744E-7</v>
          </cell>
          <cell r="S830">
            <v>2.3770479443070826E-8</v>
          </cell>
          <cell r="T830">
            <v>1.0696715749381872E-7</v>
          </cell>
          <cell r="U830"/>
          <cell r="V830"/>
          <cell r="W830">
            <v>30000</v>
          </cell>
          <cell r="X830">
            <v>0.33333333333333331</v>
          </cell>
          <cell r="Y830">
            <v>0.33333333333333331</v>
          </cell>
          <cell r="Z830">
            <v>0.33333333333333331</v>
          </cell>
          <cell r="AA830"/>
        </row>
        <row r="831">
          <cell r="A831">
            <v>824</v>
          </cell>
          <cell r="B831" t="str">
            <v>PHENOL, 3-AMINO-</v>
          </cell>
          <cell r="C831" t="str">
            <v>591-27-5</v>
          </cell>
          <cell r="D831" t="str">
            <v>Base</v>
          </cell>
          <cell r="E831">
            <v>4.37</v>
          </cell>
          <cell r="F831">
            <v>109.13</v>
          </cell>
          <cell r="G831"/>
          <cell r="H831">
            <v>0.24799999993800001</v>
          </cell>
          <cell r="I831">
            <v>27000</v>
          </cell>
          <cell r="J831"/>
          <cell r="K831">
            <v>1.62181009735893</v>
          </cell>
          <cell r="L831"/>
          <cell r="M831"/>
          <cell r="N831"/>
          <cell r="O831"/>
          <cell r="P831"/>
          <cell r="Q831">
            <v>1.5010499999999999E-4</v>
          </cell>
          <cell r="R831">
            <v>5.3483578746909358E-7</v>
          </cell>
          <cell r="S831">
            <v>5.9426198607677063E-8</v>
          </cell>
          <cell r="T831">
            <v>1.4325958592922148E-7</v>
          </cell>
          <cell r="U831"/>
          <cell r="V831"/>
          <cell r="W831">
            <v>30000</v>
          </cell>
          <cell r="X831">
            <v>0.33333333333333331</v>
          </cell>
          <cell r="Y831">
            <v>0.33333333333333331</v>
          </cell>
          <cell r="Z831">
            <v>0.33333333333333331</v>
          </cell>
          <cell r="AA831"/>
        </row>
        <row r="832">
          <cell r="A832">
            <v>825</v>
          </cell>
          <cell r="B832" t="str">
            <v>4,4'-Methylene di-o-toluidine</v>
          </cell>
          <cell r="C832" t="str">
            <v>838-88-0</v>
          </cell>
          <cell r="D832" t="str">
            <v>Base</v>
          </cell>
          <cell r="E832">
            <v>4.3899999999999997</v>
          </cell>
          <cell r="F832">
            <v>226.32</v>
          </cell>
          <cell r="G832"/>
          <cell r="H832">
            <v>1.2133333330299999E-4</v>
          </cell>
          <cell r="I832">
            <v>50.73</v>
          </cell>
          <cell r="J832"/>
          <cell r="K832">
            <v>1905.4607179632485</v>
          </cell>
          <cell r="L832"/>
          <cell r="M832"/>
          <cell r="N832"/>
          <cell r="O832"/>
          <cell r="P832"/>
          <cell r="Q832">
            <v>1.509044925E-4</v>
          </cell>
          <cell r="R832">
            <v>1.3370894686727339E-7</v>
          </cell>
          <cell r="S832">
            <v>1.4856549651919266E-8</v>
          </cell>
          <cell r="T832">
            <v>6.6854473433636697E-8</v>
          </cell>
          <cell r="U832"/>
          <cell r="V832"/>
          <cell r="W832">
            <v>30000</v>
          </cell>
          <cell r="X832">
            <v>0.33333333333333331</v>
          </cell>
          <cell r="Y832">
            <v>0.33333333333333331</v>
          </cell>
          <cell r="Z832">
            <v>0.33333333333333331</v>
          </cell>
          <cell r="AA832"/>
        </row>
        <row r="833">
          <cell r="A833">
            <v>826</v>
          </cell>
          <cell r="B833" t="str">
            <v>2-Amino-3-methyl-3H-imidazo(4,5-f)quinoline</v>
          </cell>
          <cell r="C833" t="str">
            <v>76180-96-6</v>
          </cell>
          <cell r="D833" t="str">
            <v>Base</v>
          </cell>
          <cell r="E833">
            <v>4.41</v>
          </cell>
          <cell r="F833">
            <v>198.23</v>
          </cell>
          <cell r="G833"/>
          <cell r="H833">
            <v>4.6399999988399998E-7</v>
          </cell>
          <cell r="I833">
            <v>133.5</v>
          </cell>
          <cell r="J833"/>
          <cell r="K833">
            <v>45.708818961487509</v>
          </cell>
          <cell r="L833"/>
          <cell r="M833"/>
          <cell r="N833"/>
          <cell r="O833"/>
          <cell r="P833"/>
          <cell r="Q833">
            <v>2.5622032500000002E-5</v>
          </cell>
          <cell r="R833">
            <v>2.1393431498763744E-7</v>
          </cell>
          <cell r="S833">
            <v>2.3770479443070826E-8</v>
          </cell>
          <cell r="T833">
            <v>1.0696715749381872E-7</v>
          </cell>
          <cell r="U833"/>
          <cell r="V833"/>
          <cell r="W833">
            <v>30000</v>
          </cell>
          <cell r="X833">
            <v>0.33333333333333331</v>
          </cell>
          <cell r="Y833">
            <v>0.33333333333333331</v>
          </cell>
          <cell r="Z833">
            <v>0.33333333333333331</v>
          </cell>
          <cell r="AA833"/>
        </row>
        <row r="834">
          <cell r="A834">
            <v>827</v>
          </cell>
          <cell r="B834" t="str">
            <v>1,5-DIAMINONAPHTHALENE</v>
          </cell>
          <cell r="C834" t="str">
            <v>2243-62-1</v>
          </cell>
          <cell r="D834" t="str">
            <v>Base</v>
          </cell>
          <cell r="E834">
            <v>4.4400000000000004</v>
          </cell>
          <cell r="F834">
            <v>158.19999999999999</v>
          </cell>
          <cell r="G834"/>
          <cell r="H834">
            <v>4.9599999987599993E-4</v>
          </cell>
          <cell r="I834">
            <v>380</v>
          </cell>
          <cell r="J834"/>
          <cell r="K834">
            <v>7.7624711662869199</v>
          </cell>
          <cell r="L834"/>
          <cell r="M834"/>
          <cell r="N834"/>
          <cell r="O834"/>
          <cell r="P834"/>
          <cell r="Q834">
            <v>1.5000000000000001E-4</v>
          </cell>
          <cell r="R834">
            <v>2.1393431498763744E-7</v>
          </cell>
          <cell r="S834">
            <v>2.3770479443070826E-8</v>
          </cell>
          <cell r="T834">
            <v>1.0696715749381872E-7</v>
          </cell>
          <cell r="U834"/>
          <cell r="V834"/>
          <cell r="W834">
            <v>30000</v>
          </cell>
          <cell r="X834">
            <v>0.33333333333333331</v>
          </cell>
          <cell r="Y834">
            <v>0.33333333333333331</v>
          </cell>
          <cell r="Z834">
            <v>0.33333333333333331</v>
          </cell>
          <cell r="AA834"/>
        </row>
        <row r="835">
          <cell r="A835">
            <v>828</v>
          </cell>
          <cell r="B835" t="str">
            <v>CGA 219417 (CYPRODINIL)</v>
          </cell>
          <cell r="C835" t="str">
            <v>121552-61-2</v>
          </cell>
          <cell r="D835" t="str">
            <v>Base</v>
          </cell>
          <cell r="E835">
            <v>4.4400000000000004</v>
          </cell>
          <cell r="F835">
            <v>225.3</v>
          </cell>
          <cell r="G835"/>
          <cell r="H835">
            <v>4.9066666654399996E-4</v>
          </cell>
          <cell r="I835">
            <v>13</v>
          </cell>
          <cell r="J835"/>
          <cell r="K835">
            <v>10000</v>
          </cell>
          <cell r="L835"/>
          <cell r="M835"/>
          <cell r="N835"/>
          <cell r="O835"/>
          <cell r="P835"/>
          <cell r="Q835">
            <v>1.5018841500000001E-4</v>
          </cell>
          <cell r="R835">
            <v>2.1393431498763744E-7</v>
          </cell>
          <cell r="S835">
            <v>2.3770479443070826E-8</v>
          </cell>
          <cell r="T835">
            <v>1.782785958230312E-7</v>
          </cell>
          <cell r="U835"/>
          <cell r="V835"/>
          <cell r="W835">
            <v>30000</v>
          </cell>
          <cell r="X835">
            <v>0.33333333333333331</v>
          </cell>
          <cell r="Y835">
            <v>0.33333333333333331</v>
          </cell>
          <cell r="Z835">
            <v>0.33333333333333331</v>
          </cell>
          <cell r="AA835"/>
        </row>
        <row r="836">
          <cell r="A836">
            <v>829</v>
          </cell>
          <cell r="B836" t="str">
            <v>o-Toluidine</v>
          </cell>
          <cell r="C836" t="str">
            <v>95-53-4</v>
          </cell>
          <cell r="D836" t="str">
            <v>Base</v>
          </cell>
          <cell r="E836">
            <v>4.4400000000000004</v>
          </cell>
          <cell r="F836">
            <v>107.16</v>
          </cell>
          <cell r="G836"/>
          <cell r="H836">
            <v>34.666666657999997</v>
          </cell>
          <cell r="I836">
            <v>16600</v>
          </cell>
          <cell r="J836"/>
          <cell r="K836">
            <v>20.8929613085404</v>
          </cell>
          <cell r="L836"/>
          <cell r="M836"/>
          <cell r="N836"/>
          <cell r="O836"/>
          <cell r="P836"/>
          <cell r="Q836">
            <v>9.9071460000000006E-5</v>
          </cell>
          <cell r="R836">
            <v>5.3483578746909358E-7</v>
          </cell>
          <cell r="S836">
            <v>5.9426198607677063E-8</v>
          </cell>
          <cell r="T836">
            <v>2.6741789373454679E-7</v>
          </cell>
          <cell r="U836"/>
          <cell r="V836"/>
          <cell r="W836">
            <v>30000</v>
          </cell>
          <cell r="X836">
            <v>0.33333333333333331</v>
          </cell>
          <cell r="Y836">
            <v>0.33333333333333331</v>
          </cell>
          <cell r="Z836">
            <v>0.33333333333333331</v>
          </cell>
          <cell r="AA836"/>
        </row>
        <row r="837">
          <cell r="A837">
            <v>830</v>
          </cell>
          <cell r="B837" t="str">
            <v>3-(Chloromethyl)pyridine hydrochloride</v>
          </cell>
          <cell r="C837" t="str">
            <v>6959-48-4</v>
          </cell>
          <cell r="D837" t="str">
            <v>Base</v>
          </cell>
          <cell r="E837">
            <v>4.46</v>
          </cell>
          <cell r="F837">
            <v>127.57</v>
          </cell>
          <cell r="G837"/>
          <cell r="H837">
            <v>65.5999999836</v>
          </cell>
          <cell r="I837">
            <v>79740</v>
          </cell>
          <cell r="J837"/>
          <cell r="K837">
            <v>40.738027780411301</v>
          </cell>
          <cell r="L837"/>
          <cell r="M837"/>
          <cell r="N837"/>
          <cell r="O837"/>
          <cell r="P837"/>
          <cell r="Q837">
            <v>5.5238249999999994E-7</v>
          </cell>
          <cell r="R837">
            <v>2.1393431498763744E-7</v>
          </cell>
          <cell r="S837">
            <v>2.3770479443070826E-8</v>
          </cell>
          <cell r="T837">
            <v>1.0696715749381872E-7</v>
          </cell>
          <cell r="U837"/>
          <cell r="V837"/>
          <cell r="W837">
            <v>30000</v>
          </cell>
          <cell r="X837">
            <v>0.33333333333333331</v>
          </cell>
          <cell r="Y837">
            <v>0.33333333333333331</v>
          </cell>
          <cell r="Z837">
            <v>0.33333333333333331</v>
          </cell>
          <cell r="AA837"/>
        </row>
        <row r="838">
          <cell r="A838">
            <v>831</v>
          </cell>
          <cell r="B838" t="str">
            <v>PARATHION-AMINO</v>
          </cell>
          <cell r="C838" t="str">
            <v>670-22-2</v>
          </cell>
          <cell r="D838" t="str">
            <v>Base</v>
          </cell>
          <cell r="E838">
            <v>4.4800000000000004</v>
          </cell>
          <cell r="F838">
            <v>261.27999999999997</v>
          </cell>
          <cell r="G838"/>
          <cell r="H838">
            <v>7.6799999980799996E-3</v>
          </cell>
          <cell r="I838">
            <v>390</v>
          </cell>
          <cell r="J838"/>
          <cell r="K838">
            <v>398.10717055349761</v>
          </cell>
          <cell r="L838"/>
          <cell r="M838"/>
          <cell r="N838"/>
          <cell r="O838"/>
          <cell r="P838"/>
          <cell r="Q838">
            <v>1.2802230750000001E-4</v>
          </cell>
          <cell r="R838">
            <v>2.1393431498763744E-7</v>
          </cell>
          <cell r="S838">
            <v>2.3770479443070826E-8</v>
          </cell>
          <cell r="T838">
            <v>1.0696715749381872E-7</v>
          </cell>
          <cell r="U838"/>
          <cell r="V838"/>
          <cell r="W838">
            <v>30000</v>
          </cell>
          <cell r="X838">
            <v>0.33333333333333331</v>
          </cell>
          <cell r="Y838">
            <v>0.33333333333333331</v>
          </cell>
          <cell r="Z838">
            <v>0.33333333333333331</v>
          </cell>
          <cell r="AA838"/>
        </row>
        <row r="839">
          <cell r="A839">
            <v>832</v>
          </cell>
          <cell r="B839" t="str">
            <v>2-PHENYLPYRIDINE</v>
          </cell>
          <cell r="C839" t="str">
            <v>1008-89-5</v>
          </cell>
          <cell r="D839" t="str">
            <v>Base</v>
          </cell>
          <cell r="E839">
            <v>4.4800000000000004</v>
          </cell>
          <cell r="F839">
            <v>155.19999999999999</v>
          </cell>
          <cell r="G839"/>
          <cell r="H839">
            <v>0.59866666651699996</v>
          </cell>
          <cell r="I839">
            <v>408.3</v>
          </cell>
          <cell r="J839"/>
          <cell r="K839">
            <v>426.57951880159294</v>
          </cell>
          <cell r="L839"/>
          <cell r="M839"/>
          <cell r="N839"/>
          <cell r="O839"/>
          <cell r="P839"/>
          <cell r="Q839">
            <v>3.0225975000000003E-6</v>
          </cell>
          <cell r="R839">
            <v>2.1393431498763744E-7</v>
          </cell>
          <cell r="S839">
            <v>2.3770479443070826E-8</v>
          </cell>
          <cell r="T839">
            <v>1.0696715749381872E-7</v>
          </cell>
          <cell r="U839"/>
          <cell r="V839"/>
          <cell r="W839">
            <v>30000</v>
          </cell>
          <cell r="X839">
            <v>0.33333333333333331</v>
          </cell>
          <cell r="Y839">
            <v>0.33333333333333331</v>
          </cell>
          <cell r="Z839">
            <v>0.33333333333333331</v>
          </cell>
          <cell r="AA839"/>
        </row>
        <row r="840">
          <cell r="A840">
            <v>833</v>
          </cell>
          <cell r="B840" t="str">
            <v>[1,1'-Biphenyl]-4,4'-diamine, 3,3'-dimethyl-, dihydrochloride</v>
          </cell>
          <cell r="C840" t="str">
            <v>612-82-8</v>
          </cell>
          <cell r="D840" t="str">
            <v>Base</v>
          </cell>
          <cell r="E840">
            <v>4.5</v>
          </cell>
          <cell r="F840">
            <v>212.3</v>
          </cell>
          <cell r="G840"/>
          <cell r="H840">
            <v>2.7466666659799999E-3</v>
          </cell>
          <cell r="I840">
            <v>1300</v>
          </cell>
          <cell r="J840"/>
          <cell r="K840">
            <v>218.77616239495524</v>
          </cell>
          <cell r="L840"/>
          <cell r="M840"/>
          <cell r="N840"/>
          <cell r="O840"/>
          <cell r="P840"/>
          <cell r="Q840">
            <v>1.4161109999999999E-4</v>
          </cell>
          <cell r="R840">
            <v>2.1393431498763744E-7</v>
          </cell>
          <cell r="S840">
            <v>2.3770479443070826E-8</v>
          </cell>
          <cell r="T840">
            <v>1.0696715749381872E-7</v>
          </cell>
          <cell r="U840"/>
          <cell r="V840"/>
          <cell r="W840">
            <v>30000</v>
          </cell>
          <cell r="X840">
            <v>0.33333333333333331</v>
          </cell>
          <cell r="Y840">
            <v>0.33333333333333331</v>
          </cell>
          <cell r="Z840">
            <v>0.33333333333333331</v>
          </cell>
          <cell r="AA840"/>
        </row>
        <row r="841">
          <cell r="A841">
            <v>834</v>
          </cell>
          <cell r="B841" t="str">
            <v>3,3'-Dimethylbenzidine</v>
          </cell>
          <cell r="C841" t="str">
            <v>119-93-7</v>
          </cell>
          <cell r="D841" t="str">
            <v>Base</v>
          </cell>
          <cell r="E841">
            <v>4.5</v>
          </cell>
          <cell r="F841">
            <v>212.3</v>
          </cell>
          <cell r="G841"/>
          <cell r="H841">
            <v>2.7466666659799999E-3</v>
          </cell>
          <cell r="I841">
            <v>1300</v>
          </cell>
          <cell r="J841"/>
          <cell r="K841">
            <v>218.77616239495524</v>
          </cell>
          <cell r="L841"/>
          <cell r="M841"/>
          <cell r="N841"/>
          <cell r="O841"/>
          <cell r="P841"/>
          <cell r="Q841">
            <v>1.4161109999999999E-4</v>
          </cell>
          <cell r="R841">
            <v>2.1393431498763744E-7</v>
          </cell>
          <cell r="S841">
            <v>2.3770479443070826E-8</v>
          </cell>
          <cell r="T841">
            <v>1.0696715749381872E-7</v>
          </cell>
          <cell r="U841"/>
          <cell r="V841"/>
          <cell r="W841">
            <v>30000</v>
          </cell>
          <cell r="X841">
            <v>0.33333333333333331</v>
          </cell>
          <cell r="Y841">
            <v>0.33333333333333331</v>
          </cell>
          <cell r="Z841">
            <v>0.33333333333333331</v>
          </cell>
          <cell r="AA841"/>
        </row>
        <row r="842">
          <cell r="A842">
            <v>835</v>
          </cell>
          <cell r="B842" t="str">
            <v>PHENYLBUTAZONE</v>
          </cell>
          <cell r="C842" t="str">
            <v>50-33-9</v>
          </cell>
          <cell r="D842" t="str">
            <v>Base</v>
          </cell>
          <cell r="E842">
            <v>4.5</v>
          </cell>
          <cell r="F842">
            <v>308.38</v>
          </cell>
          <cell r="G842"/>
          <cell r="H842">
            <v>6.3866666650699995E-7</v>
          </cell>
          <cell r="I842">
            <v>47.5</v>
          </cell>
          <cell r="J842"/>
          <cell r="K842">
            <v>1445.4397707459289</v>
          </cell>
          <cell r="L842"/>
          <cell r="M842"/>
          <cell r="N842"/>
          <cell r="O842"/>
          <cell r="P842"/>
          <cell r="Q842">
            <v>2.4676222500000001E-5</v>
          </cell>
          <cell r="R842">
            <v>5.3483578746909358E-7</v>
          </cell>
          <cell r="S842">
            <v>5.9426198607677063E-8</v>
          </cell>
          <cell r="T842">
            <v>2.6741789373454679E-7</v>
          </cell>
          <cell r="U842"/>
          <cell r="V842"/>
          <cell r="W842">
            <v>30000</v>
          </cell>
          <cell r="X842">
            <v>0.33333333333333331</v>
          </cell>
          <cell r="Y842">
            <v>0.33333333333333331</v>
          </cell>
          <cell r="Z842">
            <v>0.33333333333333331</v>
          </cell>
          <cell r="AA842"/>
        </row>
        <row r="843">
          <cell r="A843">
            <v>836</v>
          </cell>
          <cell r="B843" t="str">
            <v>o-Anisidine</v>
          </cell>
          <cell r="C843" t="str">
            <v>90-04-0</v>
          </cell>
          <cell r="D843" t="str">
            <v>Base</v>
          </cell>
          <cell r="E843">
            <v>4.53</v>
          </cell>
          <cell r="F843">
            <v>123.16</v>
          </cell>
          <cell r="G843"/>
          <cell r="H843">
            <v>10.666666663999999</v>
          </cell>
          <cell r="I843">
            <v>12600</v>
          </cell>
          <cell r="J843"/>
          <cell r="K843">
            <v>15.135612484362087</v>
          </cell>
          <cell r="L843"/>
          <cell r="M843"/>
          <cell r="N843"/>
          <cell r="O843"/>
          <cell r="P843"/>
          <cell r="Q843">
            <v>7.0458480000000002E-5</v>
          </cell>
          <cell r="R843">
            <v>2.1393431498763744E-7</v>
          </cell>
          <cell r="S843">
            <v>2.3770479443070826E-8</v>
          </cell>
          <cell r="T843">
            <v>1.0696715749381872E-7</v>
          </cell>
          <cell r="U843"/>
          <cell r="V843"/>
          <cell r="W843">
            <v>30000</v>
          </cell>
          <cell r="X843">
            <v>0.33333333333333331</v>
          </cell>
          <cell r="Y843">
            <v>0.33333333333333331</v>
          </cell>
          <cell r="Z843">
            <v>0.33333333333333331</v>
          </cell>
          <cell r="AA843"/>
        </row>
        <row r="844">
          <cell r="A844">
            <v>837</v>
          </cell>
          <cell r="B844" t="str">
            <v>PIRIMICARB</v>
          </cell>
          <cell r="C844" t="str">
            <v>23103-98-2</v>
          </cell>
          <cell r="D844" t="str">
            <v>Base</v>
          </cell>
          <cell r="E844">
            <v>4.53</v>
          </cell>
          <cell r="F844">
            <v>238.29</v>
          </cell>
          <cell r="G844"/>
          <cell r="H844">
            <v>9.7066666642399988E-4</v>
          </cell>
          <cell r="I844">
            <v>2700</v>
          </cell>
          <cell r="J844"/>
          <cell r="K844">
            <v>50.118723362727238</v>
          </cell>
          <cell r="L844"/>
          <cell r="M844"/>
          <cell r="N844"/>
          <cell r="O844"/>
          <cell r="P844"/>
          <cell r="Q844">
            <v>1.1364261E-4</v>
          </cell>
          <cell r="R844">
            <v>1.3370894686727339E-7</v>
          </cell>
          <cell r="S844">
            <v>1.4856549651919266E-8</v>
          </cell>
          <cell r="T844">
            <v>8.9139297911515593E-7</v>
          </cell>
          <cell r="U844"/>
          <cell r="V844"/>
          <cell r="W844">
            <v>30000</v>
          </cell>
          <cell r="X844">
            <v>0.33333333333333331</v>
          </cell>
          <cell r="Y844">
            <v>0.33333333333333331</v>
          </cell>
          <cell r="Z844">
            <v>0.33333333333333331</v>
          </cell>
          <cell r="AA844"/>
        </row>
        <row r="845">
          <cell r="A845">
            <v>838</v>
          </cell>
          <cell r="B845" t="str">
            <v>Sethoxydim</v>
          </cell>
          <cell r="C845" t="str">
            <v>74051-80-2</v>
          </cell>
          <cell r="D845" t="str">
            <v>Base</v>
          </cell>
          <cell r="E845">
            <v>4.58</v>
          </cell>
          <cell r="F845">
            <v>327.49</v>
          </cell>
          <cell r="G845"/>
          <cell r="H845">
            <v>2.1333333327999998E-5</v>
          </cell>
          <cell r="I845">
            <v>25</v>
          </cell>
          <cell r="J845"/>
          <cell r="K845">
            <v>23988.329190194923</v>
          </cell>
          <cell r="L845"/>
          <cell r="M845"/>
          <cell r="N845"/>
          <cell r="O845"/>
          <cell r="P845"/>
          <cell r="Q845">
            <v>1.0875505500000001E-4</v>
          </cell>
          <cell r="R845">
            <v>2.1393431498763744E-7</v>
          </cell>
          <cell r="S845">
            <v>2.3770479443070826E-8</v>
          </cell>
          <cell r="T845">
            <v>1.6045073624072808E-6</v>
          </cell>
          <cell r="U845"/>
          <cell r="V845"/>
          <cell r="W845">
            <v>30000</v>
          </cell>
          <cell r="X845">
            <v>0.33333333333333331</v>
          </cell>
          <cell r="Y845">
            <v>0.33333333333333331</v>
          </cell>
          <cell r="Z845">
            <v>0.33333333333333331</v>
          </cell>
          <cell r="AA845"/>
        </row>
        <row r="846">
          <cell r="A846">
            <v>839</v>
          </cell>
          <cell r="B846" t="str">
            <v>FLUMETSULAM</v>
          </cell>
          <cell r="C846" t="str">
            <v>98967-40-9</v>
          </cell>
          <cell r="D846" t="str">
            <v>Base</v>
          </cell>
          <cell r="E846">
            <v>4.5999999999999996</v>
          </cell>
          <cell r="F846">
            <v>325.29000000000002</v>
          </cell>
          <cell r="G846"/>
          <cell r="H846">
            <v>3.7066666657399996E-10</v>
          </cell>
          <cell r="I846">
            <v>49</v>
          </cell>
          <cell r="J846"/>
          <cell r="K846">
            <v>31.622776601683803</v>
          </cell>
          <cell r="L846"/>
          <cell r="M846"/>
          <cell r="N846"/>
          <cell r="O846"/>
          <cell r="P846"/>
          <cell r="Q846">
            <v>4.1481000000000001E-6</v>
          </cell>
          <cell r="R846">
            <v>4.45696489557578E-8</v>
          </cell>
          <cell r="S846">
            <v>4.9521832173064224E-9</v>
          </cell>
          <cell r="T846">
            <v>1.782785958230312E-7</v>
          </cell>
          <cell r="U846"/>
          <cell r="V846"/>
          <cell r="W846">
            <v>30000</v>
          </cell>
          <cell r="X846">
            <v>0.33333333333333331</v>
          </cell>
          <cell r="Y846">
            <v>0.33333333333333331</v>
          </cell>
          <cell r="Z846">
            <v>0.33333333333333331</v>
          </cell>
          <cell r="AA846"/>
        </row>
        <row r="847">
          <cell r="A847">
            <v>840</v>
          </cell>
          <cell r="B847" t="str">
            <v>aniline</v>
          </cell>
          <cell r="C847" t="str">
            <v>62-53-3</v>
          </cell>
          <cell r="D847" t="str">
            <v>Base</v>
          </cell>
          <cell r="E847">
            <v>4.5999999999999996</v>
          </cell>
          <cell r="F847">
            <v>93.13</v>
          </cell>
          <cell r="G847"/>
          <cell r="H847">
            <v>65.333333316999997</v>
          </cell>
          <cell r="I847">
            <v>36000</v>
          </cell>
          <cell r="J847"/>
          <cell r="K847">
            <v>7.9432823472428176</v>
          </cell>
          <cell r="L847"/>
          <cell r="M847"/>
          <cell r="N847"/>
          <cell r="O847"/>
          <cell r="P847"/>
          <cell r="Q847">
            <v>8.3250000000000004E-5</v>
          </cell>
          <cell r="R847">
            <v>5.3483578746909358E-7</v>
          </cell>
          <cell r="S847">
            <v>5.9426198607677063E-8</v>
          </cell>
          <cell r="T847">
            <v>4.0112684060182019E-6</v>
          </cell>
          <cell r="U847"/>
          <cell r="V847"/>
          <cell r="W847">
            <v>30000</v>
          </cell>
          <cell r="X847">
            <v>0.33333333333333331</v>
          </cell>
          <cell r="Y847">
            <v>0.33333333333333331</v>
          </cell>
          <cell r="Z847">
            <v>0.33333333333333331</v>
          </cell>
          <cell r="AA847"/>
        </row>
        <row r="848">
          <cell r="A848">
            <v>841</v>
          </cell>
          <cell r="B848" t="str">
            <v>THIABENDAZOLE</v>
          </cell>
          <cell r="C848" t="str">
            <v>148-79-8</v>
          </cell>
          <cell r="D848" t="str">
            <v>Base</v>
          </cell>
          <cell r="E848">
            <v>4.6399999999999997</v>
          </cell>
          <cell r="F848">
            <v>201.25</v>
          </cell>
          <cell r="G848"/>
          <cell r="H848">
            <v>5.3333333319999998E-7</v>
          </cell>
          <cell r="I848">
            <v>50</v>
          </cell>
          <cell r="J848"/>
          <cell r="K848">
            <v>295.12092266663893</v>
          </cell>
          <cell r="L848"/>
          <cell r="M848"/>
          <cell r="N848"/>
          <cell r="O848"/>
          <cell r="P848"/>
          <cell r="Q848">
            <v>4.8729607499999999E-5</v>
          </cell>
          <cell r="R848">
            <v>5.3483578746909358E-7</v>
          </cell>
          <cell r="S848">
            <v>5.9426198607677063E-8</v>
          </cell>
          <cell r="T848">
            <v>1.1080851950326525E-8</v>
          </cell>
          <cell r="U848"/>
          <cell r="V848"/>
          <cell r="W848">
            <v>30000</v>
          </cell>
          <cell r="X848">
            <v>0.33333333333333331</v>
          </cell>
          <cell r="Y848">
            <v>0.33333333333333331</v>
          </cell>
          <cell r="Z848">
            <v>0.33333333333333331</v>
          </cell>
          <cell r="AA848"/>
        </row>
        <row r="849">
          <cell r="A849">
            <v>842</v>
          </cell>
          <cell r="B849" t="str">
            <v>Triasulfuron</v>
          </cell>
          <cell r="C849" t="str">
            <v>82097-50-5</v>
          </cell>
          <cell r="D849" t="str">
            <v>Base</v>
          </cell>
          <cell r="E849">
            <v>4.6399999999999997</v>
          </cell>
          <cell r="F849">
            <v>401.83</v>
          </cell>
          <cell r="G849"/>
          <cell r="H849">
            <v>7.37333333149E-10</v>
          </cell>
          <cell r="I849">
            <v>32</v>
          </cell>
          <cell r="J849"/>
          <cell r="K849">
            <v>275.42287033381683</v>
          </cell>
          <cell r="L849"/>
          <cell r="M849"/>
          <cell r="N849"/>
          <cell r="O849"/>
          <cell r="P849"/>
          <cell r="Q849">
            <v>7.5877125000000002E-6</v>
          </cell>
          <cell r="R849">
            <v>4.45696489557578E-8</v>
          </cell>
          <cell r="S849">
            <v>4.9521832173064224E-9</v>
          </cell>
          <cell r="T849">
            <v>4.2223877958086334E-7</v>
          </cell>
          <cell r="U849"/>
          <cell r="V849"/>
          <cell r="W849">
            <v>30000</v>
          </cell>
          <cell r="X849">
            <v>0.33333333333333331</v>
          </cell>
          <cell r="Y849">
            <v>0.33333333333333331</v>
          </cell>
          <cell r="Z849">
            <v>0.33333333333333331</v>
          </cell>
          <cell r="AA849"/>
        </row>
        <row r="850">
          <cell r="A850">
            <v>843</v>
          </cell>
          <cell r="B850" t="str">
            <v>Pyrilamine maleate</v>
          </cell>
          <cell r="C850" t="str">
            <v>59-33-6</v>
          </cell>
          <cell r="D850" t="str">
            <v>Base</v>
          </cell>
          <cell r="E850">
            <v>4.6399999999999997</v>
          </cell>
          <cell r="F850">
            <v>399.45</v>
          </cell>
          <cell r="G850"/>
          <cell r="H850">
            <v>9.9999999974999999E-13</v>
          </cell>
          <cell r="I850">
            <v>119.7</v>
          </cell>
          <cell r="J850"/>
          <cell r="K850">
            <v>44.668359215096324</v>
          </cell>
          <cell r="L850"/>
          <cell r="M850"/>
          <cell r="N850"/>
          <cell r="O850"/>
          <cell r="P850"/>
          <cell r="Q850">
            <v>6.7258582500000002E-5</v>
          </cell>
          <cell r="R850">
            <v>1.3370894686727339E-7</v>
          </cell>
          <cell r="S850">
            <v>1.4856549651919266E-8</v>
          </cell>
          <cell r="T850">
            <v>6.6854473433636697E-8</v>
          </cell>
          <cell r="U850"/>
          <cell r="V850"/>
          <cell r="W850">
            <v>30000</v>
          </cell>
          <cell r="X850">
            <v>0.33333333333333331</v>
          </cell>
          <cell r="Y850">
            <v>0.33333333333333331</v>
          </cell>
          <cell r="Z850">
            <v>0.33333333333333331</v>
          </cell>
          <cell r="AA850"/>
        </row>
        <row r="851">
          <cell r="A851">
            <v>844</v>
          </cell>
          <cell r="B851" t="str">
            <v>Ethionamide</v>
          </cell>
          <cell r="C851" t="str">
            <v>536-33-4</v>
          </cell>
          <cell r="D851" t="str">
            <v>Base</v>
          </cell>
          <cell r="E851">
            <v>4.6500000000000004</v>
          </cell>
          <cell r="F851">
            <v>166.24</v>
          </cell>
          <cell r="G851"/>
          <cell r="H851">
            <v>1.7866666662199999E-2</v>
          </cell>
          <cell r="I851">
            <v>32580</v>
          </cell>
          <cell r="J851"/>
          <cell r="K851">
            <v>33.113112148259127</v>
          </cell>
          <cell r="L851"/>
          <cell r="M851"/>
          <cell r="N851"/>
          <cell r="O851"/>
          <cell r="P851"/>
          <cell r="Q851">
            <v>1.8095115E-5</v>
          </cell>
          <cell r="R851">
            <v>2.1393431498763744E-7</v>
          </cell>
          <cell r="S851">
            <v>2.3770479443070826E-8</v>
          </cell>
          <cell r="T851">
            <v>1.0696715749381872E-7</v>
          </cell>
          <cell r="U851"/>
          <cell r="V851"/>
          <cell r="W851">
            <v>30000</v>
          </cell>
          <cell r="X851">
            <v>0.33333333333333331</v>
          </cell>
          <cell r="Y851">
            <v>0.33333333333333331</v>
          </cell>
          <cell r="Z851">
            <v>0.33333333333333331</v>
          </cell>
          <cell r="AA851"/>
        </row>
        <row r="852">
          <cell r="A852">
            <v>845</v>
          </cell>
          <cell r="B852" t="str">
            <v>ANILINE HYDROCHLORIDE</v>
          </cell>
          <cell r="C852" t="str">
            <v>142-04-1</v>
          </cell>
          <cell r="D852" t="str">
            <v>Base</v>
          </cell>
          <cell r="E852">
            <v>4.67</v>
          </cell>
          <cell r="F852">
            <v>129.59</v>
          </cell>
          <cell r="G852"/>
          <cell r="H852">
            <v>1.0546666664029999E-4</v>
          </cell>
          <cell r="I852">
            <v>178000</v>
          </cell>
          <cell r="J852"/>
          <cell r="K852">
            <v>2.4547089156850303E-3</v>
          </cell>
          <cell r="L852"/>
          <cell r="M852"/>
          <cell r="N852"/>
          <cell r="O852"/>
          <cell r="P852"/>
          <cell r="Q852">
            <v>3.126525E-7</v>
          </cell>
          <cell r="R852">
            <v>5.3483578746909358E-7</v>
          </cell>
          <cell r="S852">
            <v>5.9426198607677063E-8</v>
          </cell>
          <cell r="T852">
            <v>2.6741789373454679E-7</v>
          </cell>
          <cell r="U852"/>
          <cell r="V852"/>
          <cell r="W852">
            <v>30000</v>
          </cell>
          <cell r="X852">
            <v>0.33333333333333331</v>
          </cell>
          <cell r="Y852">
            <v>0.33333333333333331</v>
          </cell>
          <cell r="Z852">
            <v>0.33333333333333331</v>
          </cell>
          <cell r="AA852"/>
        </row>
        <row r="853">
          <cell r="A853">
            <v>846</v>
          </cell>
          <cell r="B853" t="str">
            <v>m-Toluidine, hydrochloride</v>
          </cell>
          <cell r="C853" t="str">
            <v>638-03-9</v>
          </cell>
          <cell r="D853" t="str">
            <v>Base</v>
          </cell>
          <cell r="E853">
            <v>4.6900000000000004</v>
          </cell>
          <cell r="F853">
            <v>107.16</v>
          </cell>
          <cell r="G853"/>
          <cell r="H853">
            <v>40.399999989899996</v>
          </cell>
          <cell r="I853">
            <v>15000</v>
          </cell>
          <cell r="J853"/>
          <cell r="K853">
            <v>25.118864315095799</v>
          </cell>
          <cell r="L853"/>
          <cell r="M853"/>
          <cell r="N853"/>
          <cell r="O853"/>
          <cell r="P853"/>
          <cell r="Q853">
            <v>1.5010200000000002E-4</v>
          </cell>
          <cell r="R853">
            <v>5.3483578746909358E-7</v>
          </cell>
          <cell r="S853">
            <v>5.9426198607677063E-8</v>
          </cell>
          <cell r="T853">
            <v>2.6741789373454679E-7</v>
          </cell>
          <cell r="U853"/>
          <cell r="V853"/>
          <cell r="W853">
            <v>30000</v>
          </cell>
          <cell r="X853">
            <v>0.33333333333333331</v>
          </cell>
          <cell r="Y853">
            <v>0.33333333333333331</v>
          </cell>
          <cell r="Z853">
            <v>0.33333333333333331</v>
          </cell>
          <cell r="AA853"/>
        </row>
        <row r="854">
          <cell r="A854">
            <v>847</v>
          </cell>
          <cell r="B854" t="str">
            <v>Benz(c)acridine</v>
          </cell>
          <cell r="C854" t="str">
            <v>225-51-4</v>
          </cell>
          <cell r="D854" t="str">
            <v>Base</v>
          </cell>
          <cell r="E854">
            <v>4.7</v>
          </cell>
          <cell r="F854">
            <v>229.28</v>
          </cell>
          <cell r="G854"/>
          <cell r="H854">
            <v>7.2399999981900002E-5</v>
          </cell>
          <cell r="I854">
            <v>0.35589999999999999</v>
          </cell>
          <cell r="J854"/>
          <cell r="K854">
            <v>30199.517204020212</v>
          </cell>
          <cell r="L854"/>
          <cell r="M854"/>
          <cell r="N854"/>
          <cell r="O854"/>
          <cell r="P854"/>
          <cell r="Q854">
            <v>2.1000097500000002E-5</v>
          </cell>
          <cell r="R854">
            <v>1.3370894686727339E-7</v>
          </cell>
          <cell r="S854">
            <v>1.4856549651919266E-8</v>
          </cell>
          <cell r="T854">
            <v>6.6854473433636697E-8</v>
          </cell>
          <cell r="U854"/>
          <cell r="V854"/>
          <cell r="W854">
            <v>30000</v>
          </cell>
          <cell r="X854">
            <v>0.33333333333333331</v>
          </cell>
          <cell r="Y854">
            <v>0.33333333333333331</v>
          </cell>
          <cell r="Z854">
            <v>0.33333333333333331</v>
          </cell>
          <cell r="AA854"/>
        </row>
        <row r="855">
          <cell r="A855">
            <v>848</v>
          </cell>
          <cell r="B855" t="str">
            <v>2,3-DIMETHYLANILINE</v>
          </cell>
          <cell r="C855" t="str">
            <v>87-59-2</v>
          </cell>
          <cell r="D855" t="str">
            <v>Base</v>
          </cell>
          <cell r="E855">
            <v>4.7</v>
          </cell>
          <cell r="F855">
            <v>121.18</v>
          </cell>
          <cell r="G855"/>
          <cell r="H855">
            <v>9.9999999974999998</v>
          </cell>
          <cell r="I855">
            <v>1392</v>
          </cell>
          <cell r="J855"/>
          <cell r="K855">
            <v>147.91083881682084</v>
          </cell>
          <cell r="L855"/>
          <cell r="M855"/>
          <cell r="N855"/>
          <cell r="O855"/>
          <cell r="P855"/>
          <cell r="Q855">
            <v>1.50204E-4</v>
          </cell>
          <cell r="R855">
            <v>2.1393431498763744E-7</v>
          </cell>
          <cell r="S855">
            <v>2.3770479443070826E-8</v>
          </cell>
          <cell r="T855">
            <v>1.0696715749381872E-7</v>
          </cell>
          <cell r="U855"/>
          <cell r="V855"/>
          <cell r="W855">
            <v>30000</v>
          </cell>
          <cell r="X855">
            <v>0.33333333333333331</v>
          </cell>
          <cell r="Y855">
            <v>0.33333333333333331</v>
          </cell>
          <cell r="Z855">
            <v>0.33333333333333331</v>
          </cell>
          <cell r="AA855"/>
        </row>
        <row r="856">
          <cell r="A856">
            <v>849</v>
          </cell>
          <cell r="B856" t="str">
            <v>BENZ(A)ACRIDINE</v>
          </cell>
          <cell r="C856" t="str">
            <v>225-11-6</v>
          </cell>
          <cell r="D856" t="str">
            <v>Base</v>
          </cell>
          <cell r="E856">
            <v>4.7</v>
          </cell>
          <cell r="F856">
            <v>229.28</v>
          </cell>
          <cell r="G856"/>
          <cell r="H856">
            <v>7.2399999981900002E-5</v>
          </cell>
          <cell r="I856">
            <v>0.35589999999999999</v>
          </cell>
          <cell r="J856"/>
          <cell r="K856">
            <v>30199.517204020212</v>
          </cell>
          <cell r="L856"/>
          <cell r="M856"/>
          <cell r="N856"/>
          <cell r="O856"/>
          <cell r="P856"/>
          <cell r="Q856">
            <v>2.1000097500000002E-5</v>
          </cell>
          <cell r="R856">
            <v>1.3370894686727339E-7</v>
          </cell>
          <cell r="S856">
            <v>1.4856549651919266E-8</v>
          </cell>
          <cell r="T856">
            <v>6.6854473433636697E-8</v>
          </cell>
          <cell r="U856"/>
          <cell r="V856"/>
          <cell r="W856">
            <v>30000</v>
          </cell>
          <cell r="X856">
            <v>0.33333333333333331</v>
          </cell>
          <cell r="Y856">
            <v>0.33333333333333331</v>
          </cell>
          <cell r="Z856">
            <v>0.33333333333333331</v>
          </cell>
          <cell r="AA856"/>
        </row>
        <row r="857">
          <cell r="A857">
            <v>850</v>
          </cell>
          <cell r="B857" t="str">
            <v>4-PYRIDINEALDOXIME</v>
          </cell>
          <cell r="C857" t="str">
            <v>696-54-8</v>
          </cell>
          <cell r="D857" t="str">
            <v>Base</v>
          </cell>
          <cell r="E857">
            <v>4.7300000000000004</v>
          </cell>
          <cell r="F857">
            <v>122.13</v>
          </cell>
          <cell r="G857"/>
          <cell r="H857">
            <v>2.8266666659599999E-2</v>
          </cell>
          <cell r="I857">
            <v>432700</v>
          </cell>
          <cell r="J857"/>
          <cell r="K857">
            <v>5.8884365535558905</v>
          </cell>
          <cell r="L857"/>
          <cell r="M857"/>
          <cell r="N857"/>
          <cell r="O857"/>
          <cell r="P857"/>
          <cell r="Q857">
            <v>2.1133575E-6</v>
          </cell>
          <cell r="R857">
            <v>2.1393431498763744E-7</v>
          </cell>
          <cell r="S857">
            <v>2.3770479443070826E-8</v>
          </cell>
          <cell r="T857">
            <v>1.0696715749381872E-7</v>
          </cell>
          <cell r="U857"/>
          <cell r="V857"/>
          <cell r="W857">
            <v>30000</v>
          </cell>
          <cell r="X857">
            <v>0.33333333333333331</v>
          </cell>
          <cell r="Y857">
            <v>0.33333333333333331</v>
          </cell>
          <cell r="Z857">
            <v>0.33333333333333331</v>
          </cell>
          <cell r="AA857"/>
        </row>
        <row r="858">
          <cell r="A858">
            <v>851</v>
          </cell>
          <cell r="B858" t="str">
            <v>4-FORMYLPYRIDINE</v>
          </cell>
          <cell r="C858" t="str">
            <v>872-85-5</v>
          </cell>
          <cell r="D858" t="str">
            <v>Base</v>
          </cell>
          <cell r="E858">
            <v>4.7699999999999996</v>
          </cell>
          <cell r="F858">
            <v>107.11</v>
          </cell>
          <cell r="G858"/>
          <cell r="H858">
            <v>75.733333314399985</v>
          </cell>
          <cell r="I858">
            <v>47740</v>
          </cell>
          <cell r="J858"/>
          <cell r="K858">
            <v>2.691534803926916</v>
          </cell>
          <cell r="L858"/>
          <cell r="M858"/>
          <cell r="N858"/>
          <cell r="O858"/>
          <cell r="P858"/>
          <cell r="Q858">
            <v>1.27992525E-5</v>
          </cell>
          <cell r="R858">
            <v>5.3483578746909358E-7</v>
          </cell>
          <cell r="S858">
            <v>5.9426198607677063E-8</v>
          </cell>
          <cell r="T858">
            <v>2.6741789373454679E-7</v>
          </cell>
          <cell r="U858"/>
          <cell r="V858"/>
          <cell r="W858">
            <v>30000</v>
          </cell>
          <cell r="X858">
            <v>0.33333333333333331</v>
          </cell>
          <cell r="Y858">
            <v>0.33333333333333331</v>
          </cell>
          <cell r="Z858">
            <v>0.33333333333333331</v>
          </cell>
          <cell r="AA858"/>
        </row>
        <row r="859">
          <cell r="A859">
            <v>852</v>
          </cell>
          <cell r="B859" t="str">
            <v>2-AMINO-4-(5-NITRO-2-FURYL)THIAZOLE</v>
          </cell>
          <cell r="C859" t="str">
            <v>38514-71-5</v>
          </cell>
          <cell r="D859" t="str">
            <v>Base</v>
          </cell>
          <cell r="E859">
            <v>4.78</v>
          </cell>
          <cell r="F859">
            <v>211.2</v>
          </cell>
          <cell r="G859"/>
          <cell r="H859">
            <v>2.2799999994299998E-4</v>
          </cell>
          <cell r="I859">
            <v>473.5</v>
          </cell>
          <cell r="J859"/>
          <cell r="K859">
            <v>60.255958607435822</v>
          </cell>
          <cell r="L859"/>
          <cell r="M859"/>
          <cell r="N859"/>
          <cell r="O859"/>
          <cell r="P859"/>
          <cell r="Q859">
            <v>8.7968775000000005E-6</v>
          </cell>
          <cell r="R859">
            <v>2.1393431498763744E-7</v>
          </cell>
          <cell r="S859">
            <v>2.3770479443070826E-8</v>
          </cell>
          <cell r="T859">
            <v>1.0696715749381872E-7</v>
          </cell>
          <cell r="U859"/>
          <cell r="V859"/>
          <cell r="W859">
            <v>30000</v>
          </cell>
          <cell r="X859">
            <v>0.33333333333333331</v>
          </cell>
          <cell r="Y859">
            <v>0.33333333333333331</v>
          </cell>
          <cell r="Z859">
            <v>0.33333333333333331</v>
          </cell>
          <cell r="AA859"/>
        </row>
        <row r="860">
          <cell r="A860">
            <v>853</v>
          </cell>
          <cell r="B860" t="str">
            <v>9H-PYRIDO[3,4-B]INDOLE</v>
          </cell>
          <cell r="C860" t="str">
            <v>244-63-3</v>
          </cell>
          <cell r="D860" t="str">
            <v>Base</v>
          </cell>
          <cell r="E860">
            <v>4.8099999999999996</v>
          </cell>
          <cell r="F860">
            <v>168.2</v>
          </cell>
          <cell r="G860"/>
          <cell r="H860">
            <v>3.2666666658499996E-4</v>
          </cell>
          <cell r="I860">
            <v>9.5530000000000008</v>
          </cell>
          <cell r="J860"/>
          <cell r="K860">
            <v>1479.1083881682086</v>
          </cell>
          <cell r="L860"/>
          <cell r="M860"/>
          <cell r="N860"/>
          <cell r="O860"/>
          <cell r="P860"/>
          <cell r="Q860">
            <v>2.9999999999999997E-5</v>
          </cell>
          <cell r="R860">
            <v>5.3483578746909358E-7</v>
          </cell>
          <cell r="S860">
            <v>5.9426198607677063E-8</v>
          </cell>
          <cell r="T860">
            <v>2.6741789373454679E-7</v>
          </cell>
          <cell r="U860"/>
          <cell r="V860"/>
          <cell r="W860">
            <v>30000</v>
          </cell>
          <cell r="X860">
            <v>0.33333333333333331</v>
          </cell>
          <cell r="Y860">
            <v>0.33333333333333331</v>
          </cell>
          <cell r="Z860">
            <v>0.33333333333333331</v>
          </cell>
          <cell r="AA860"/>
        </row>
        <row r="861">
          <cell r="A861">
            <v>854</v>
          </cell>
          <cell r="B861" t="str">
            <v>2,4-DIMETHYLANILINE</v>
          </cell>
          <cell r="C861" t="str">
            <v>95-68-1</v>
          </cell>
          <cell r="D861" t="str">
            <v>Base</v>
          </cell>
          <cell r="E861">
            <v>4.8899999999999997</v>
          </cell>
          <cell r="F861">
            <v>121.18</v>
          </cell>
          <cell r="G861"/>
          <cell r="H861">
            <v>17.733333328899999</v>
          </cell>
          <cell r="I861">
            <v>3652</v>
          </cell>
          <cell r="J861"/>
          <cell r="K861">
            <v>47.863009232263856</v>
          </cell>
          <cell r="L861"/>
          <cell r="M861"/>
          <cell r="N861"/>
          <cell r="O861"/>
          <cell r="P861"/>
          <cell r="Q861">
            <v>1.21526445E-4</v>
          </cell>
          <cell r="R861">
            <v>2.1393431498763744E-7</v>
          </cell>
          <cell r="S861">
            <v>2.3770479443070826E-8</v>
          </cell>
          <cell r="T861">
            <v>1.0696715749381872E-7</v>
          </cell>
          <cell r="U861"/>
          <cell r="V861"/>
          <cell r="W861">
            <v>30000</v>
          </cell>
          <cell r="X861">
            <v>0.33333333333333331</v>
          </cell>
          <cell r="Y861">
            <v>0.33333333333333331</v>
          </cell>
          <cell r="Z861">
            <v>0.33333333333333331</v>
          </cell>
          <cell r="AA861"/>
        </row>
        <row r="862">
          <cell r="A862">
            <v>855</v>
          </cell>
          <cell r="B862" t="str">
            <v>quinoline</v>
          </cell>
          <cell r="C862" t="str">
            <v>91-22-5</v>
          </cell>
          <cell r="D862" t="str">
            <v>Base</v>
          </cell>
          <cell r="E862">
            <v>4.9000000000000004</v>
          </cell>
          <cell r="F862">
            <v>129.16</v>
          </cell>
          <cell r="G862"/>
          <cell r="H862">
            <v>7.9999999979999989</v>
          </cell>
          <cell r="I862">
            <v>6110</v>
          </cell>
          <cell r="J862"/>
          <cell r="K862">
            <v>107.15193052376065</v>
          </cell>
          <cell r="L862"/>
          <cell r="M862"/>
          <cell r="N862"/>
          <cell r="O862"/>
          <cell r="P862"/>
          <cell r="Q862">
            <v>8.6999999999999997E-6</v>
          </cell>
          <cell r="R862">
            <v>5.3483578746909358E-7</v>
          </cell>
          <cell r="S862">
            <v>5.9426198607677063E-8</v>
          </cell>
          <cell r="T862">
            <v>2.6741789373454679E-7</v>
          </cell>
          <cell r="U862"/>
          <cell r="V862"/>
          <cell r="W862">
            <v>30000</v>
          </cell>
          <cell r="X862">
            <v>0.33333333333333331</v>
          </cell>
          <cell r="Y862">
            <v>0.33333333333333331</v>
          </cell>
          <cell r="Z862">
            <v>0.33333333333333331</v>
          </cell>
          <cell r="AA862"/>
        </row>
        <row r="863">
          <cell r="A863">
            <v>856</v>
          </cell>
          <cell r="B863" t="str">
            <v>1,2,4-Triazin-3-amine, 5,6-dimethyl-</v>
          </cell>
          <cell r="C863" t="str">
            <v>17584-12-2</v>
          </cell>
          <cell r="D863" t="str">
            <v>Base</v>
          </cell>
          <cell r="E863">
            <v>4.9000000000000004</v>
          </cell>
          <cell r="F863">
            <v>124.15</v>
          </cell>
          <cell r="G863"/>
          <cell r="H863">
            <v>0.10946666663929999</v>
          </cell>
          <cell r="I863">
            <v>10000</v>
          </cell>
          <cell r="J863"/>
          <cell r="K863">
            <v>0.89125093813374545</v>
          </cell>
          <cell r="L863"/>
          <cell r="M863"/>
          <cell r="N863"/>
          <cell r="O863"/>
          <cell r="P863"/>
          <cell r="Q863">
            <v>2.0080102500000001E-5</v>
          </cell>
          <cell r="R863">
            <v>2.1393431498763744E-7</v>
          </cell>
          <cell r="S863">
            <v>2.3770479443070826E-8</v>
          </cell>
          <cell r="T863">
            <v>1.0696715749381872E-7</v>
          </cell>
          <cell r="U863"/>
          <cell r="V863"/>
          <cell r="W863">
            <v>30000</v>
          </cell>
          <cell r="X863">
            <v>0.33333333333333331</v>
          </cell>
          <cell r="Y863">
            <v>0.33333333333333331</v>
          </cell>
          <cell r="Z863">
            <v>0.33333333333333331</v>
          </cell>
          <cell r="AA863"/>
        </row>
        <row r="864">
          <cell r="A864">
            <v>857</v>
          </cell>
          <cell r="B864" t="str">
            <v>Piperazine, 1-methyl-</v>
          </cell>
          <cell r="C864" t="str">
            <v>109-01-3</v>
          </cell>
          <cell r="D864" t="str">
            <v>Base</v>
          </cell>
          <cell r="E864">
            <v>4.92</v>
          </cell>
          <cell r="F864">
            <v>100.16</v>
          </cell>
          <cell r="G864"/>
          <cell r="H864">
            <v>927.99999976799995</v>
          </cell>
          <cell r="I864">
            <v>1000000</v>
          </cell>
          <cell r="J864"/>
          <cell r="K864">
            <v>0.25703957827688634</v>
          </cell>
          <cell r="L864"/>
          <cell r="M864"/>
          <cell r="N864"/>
          <cell r="O864"/>
          <cell r="P864"/>
          <cell r="Q864">
            <v>1.2975069000000002E-4</v>
          </cell>
          <cell r="R864">
            <v>2.1393431498763744E-7</v>
          </cell>
          <cell r="S864">
            <v>2.3770479443070826E-8</v>
          </cell>
          <cell r="T864">
            <v>1.0696715749381872E-7</v>
          </cell>
          <cell r="U864"/>
          <cell r="V864"/>
          <cell r="W864">
            <v>30000</v>
          </cell>
          <cell r="X864">
            <v>0.33333333333333331</v>
          </cell>
          <cell r="Y864">
            <v>0.33333333333333331</v>
          </cell>
          <cell r="Z864">
            <v>0.33333333333333331</v>
          </cell>
          <cell r="AA864"/>
        </row>
        <row r="865">
          <cell r="A865">
            <v>858</v>
          </cell>
          <cell r="B865" t="str">
            <v>PYRAZOPHOS</v>
          </cell>
          <cell r="C865" t="str">
            <v>13457-18-6</v>
          </cell>
          <cell r="D865" t="str">
            <v>Base</v>
          </cell>
          <cell r="E865">
            <v>4.97</v>
          </cell>
          <cell r="F865">
            <v>373.37</v>
          </cell>
          <cell r="G865"/>
          <cell r="H865">
            <v>3.0266666659099999E-5</v>
          </cell>
          <cell r="I865">
            <v>4.2</v>
          </cell>
          <cell r="J865"/>
          <cell r="K865">
            <v>6309.5734448019384</v>
          </cell>
          <cell r="L865"/>
          <cell r="M865"/>
          <cell r="N865"/>
          <cell r="O865"/>
          <cell r="P865"/>
          <cell r="Q865">
            <v>8.5302967500000001E-5</v>
          </cell>
          <cell r="R865">
            <v>2.1393431498763744E-7</v>
          </cell>
          <cell r="S865">
            <v>2.3770479443070826E-8</v>
          </cell>
          <cell r="T865">
            <v>2.0570607210349753E-7</v>
          </cell>
          <cell r="U865"/>
          <cell r="V865"/>
          <cell r="W865">
            <v>30000</v>
          </cell>
          <cell r="X865">
            <v>0.33333333333333331</v>
          </cell>
          <cell r="Y865">
            <v>0.33333333333333331</v>
          </cell>
          <cell r="Z865">
            <v>0.33333333333333331</v>
          </cell>
          <cell r="AA865"/>
        </row>
        <row r="866">
          <cell r="A866">
            <v>859</v>
          </cell>
          <cell r="B866" t="str">
            <v>m-Phenylenediamine dihydrochloride</v>
          </cell>
          <cell r="C866" t="str">
            <v>541-69-5</v>
          </cell>
          <cell r="D866" t="str">
            <v>Base</v>
          </cell>
          <cell r="E866">
            <v>4.9800000000000004</v>
          </cell>
          <cell r="F866">
            <v>108.14</v>
          </cell>
          <cell r="G866"/>
          <cell r="H866">
            <v>0.27866666659699996</v>
          </cell>
          <cell r="I866">
            <v>238000</v>
          </cell>
          <cell r="J866"/>
          <cell r="K866">
            <v>0.46773514128719818</v>
          </cell>
          <cell r="L866"/>
          <cell r="M866"/>
          <cell r="N866"/>
          <cell r="O866"/>
          <cell r="P866"/>
          <cell r="Q866">
            <v>1.5000000000000001E-4</v>
          </cell>
          <cell r="R866">
            <v>2.1393431498763744E-7</v>
          </cell>
          <cell r="S866">
            <v>2.3770479443070826E-8</v>
          </cell>
          <cell r="T866">
            <v>1.0696715749381872E-7</v>
          </cell>
          <cell r="U866"/>
          <cell r="V866"/>
          <cell r="W866">
            <v>30000</v>
          </cell>
          <cell r="X866">
            <v>0.33333333333333331</v>
          </cell>
          <cell r="Y866">
            <v>0.33333333333333331</v>
          </cell>
          <cell r="Z866">
            <v>0.33333333333333331</v>
          </cell>
          <cell r="AA866"/>
        </row>
        <row r="867">
          <cell r="A867">
            <v>860</v>
          </cell>
          <cell r="B867" t="str">
            <v>Tridemorph</v>
          </cell>
          <cell r="C867" t="str">
            <v>24602-86-6</v>
          </cell>
          <cell r="D867" t="str">
            <v>Base</v>
          </cell>
          <cell r="E867">
            <v>4.99</v>
          </cell>
          <cell r="F867">
            <v>297.52999999999997</v>
          </cell>
          <cell r="G867"/>
          <cell r="H867">
            <v>1.5066666662899998E-2</v>
          </cell>
          <cell r="I867">
            <v>0.46010000000000001</v>
          </cell>
          <cell r="J867"/>
          <cell r="K867">
            <v>2398832.9190194933</v>
          </cell>
          <cell r="L867"/>
          <cell r="M867"/>
          <cell r="N867"/>
          <cell r="O867"/>
          <cell r="P867"/>
          <cell r="Q867">
            <v>1.072086675E-4</v>
          </cell>
          <cell r="R867">
            <v>2.1393431498763744E-7</v>
          </cell>
          <cell r="S867">
            <v>2.3770479443070826E-8</v>
          </cell>
          <cell r="T867">
            <v>3.3427236716818347E-7</v>
          </cell>
          <cell r="U867"/>
          <cell r="V867"/>
          <cell r="W867">
            <v>30000</v>
          </cell>
          <cell r="X867">
            <v>0.33333333333333331</v>
          </cell>
          <cell r="Y867">
            <v>0.33333333333333331</v>
          </cell>
          <cell r="Z867">
            <v>0.33333333333333331</v>
          </cell>
          <cell r="AA867"/>
        </row>
        <row r="868">
          <cell r="A868">
            <v>861</v>
          </cell>
          <cell r="B868" t="str">
            <v>P-ETHYLANILINE</v>
          </cell>
          <cell r="C868" t="str">
            <v>589-16-2</v>
          </cell>
          <cell r="D868" t="str">
            <v>Base</v>
          </cell>
          <cell r="E868">
            <v>5</v>
          </cell>
          <cell r="F868">
            <v>121.18</v>
          </cell>
          <cell r="G868"/>
          <cell r="H868">
            <v>19.066666661899998</v>
          </cell>
          <cell r="I868">
            <v>2106</v>
          </cell>
          <cell r="J868"/>
          <cell r="K868">
            <v>91.201083935590972</v>
          </cell>
          <cell r="L868"/>
          <cell r="M868"/>
          <cell r="N868"/>
          <cell r="O868"/>
          <cell r="P868"/>
          <cell r="Q868">
            <v>9.9186562499999997E-5</v>
          </cell>
          <cell r="R868">
            <v>2.1393431498763744E-7</v>
          </cell>
          <cell r="S868">
            <v>2.3770479443070826E-8</v>
          </cell>
          <cell r="T868">
            <v>1.0696715749381872E-7</v>
          </cell>
          <cell r="U868"/>
          <cell r="V868"/>
          <cell r="W868">
            <v>30000</v>
          </cell>
          <cell r="X868">
            <v>0.33333333333333331</v>
          </cell>
          <cell r="Y868">
            <v>0.33333333333333331</v>
          </cell>
          <cell r="Z868">
            <v>0.33333333333333331</v>
          </cell>
          <cell r="AA868"/>
        </row>
        <row r="869">
          <cell r="A869">
            <v>862</v>
          </cell>
          <cell r="B869" t="str">
            <v>N-Nitrosoanabasine</v>
          </cell>
          <cell r="C869" t="str">
            <v>1133-64-8</v>
          </cell>
          <cell r="D869" t="str">
            <v>Base</v>
          </cell>
          <cell r="E869">
            <v>5.01</v>
          </cell>
          <cell r="F869">
            <v>191.23</v>
          </cell>
          <cell r="G869"/>
          <cell r="H869">
            <v>8.9066666644399984E-3</v>
          </cell>
          <cell r="I869">
            <v>195900</v>
          </cell>
          <cell r="J869"/>
          <cell r="K869">
            <v>6.4565422903465572</v>
          </cell>
          <cell r="L869"/>
          <cell r="M869"/>
          <cell r="N869"/>
          <cell r="O869"/>
          <cell r="P869"/>
          <cell r="Q869">
            <v>2.8494480000000002E-5</v>
          </cell>
          <cell r="R869">
            <v>1.3370894686727339E-7</v>
          </cell>
          <cell r="S869">
            <v>1.4856549651919266E-8</v>
          </cell>
          <cell r="T869">
            <v>6.6854473433636697E-8</v>
          </cell>
          <cell r="U869"/>
          <cell r="V869"/>
          <cell r="W869">
            <v>30000</v>
          </cell>
          <cell r="X869">
            <v>0.33333333333333331</v>
          </cell>
          <cell r="Y869">
            <v>0.33333333333333331</v>
          </cell>
          <cell r="Z869">
            <v>0.33333333333333331</v>
          </cell>
          <cell r="AA869"/>
        </row>
        <row r="870">
          <cell r="A870">
            <v>863</v>
          </cell>
          <cell r="B870" t="str">
            <v>Ethyrimol</v>
          </cell>
          <cell r="C870" t="str">
            <v>23947-60-6</v>
          </cell>
          <cell r="D870" t="str">
            <v>Base</v>
          </cell>
          <cell r="E870">
            <v>5.04</v>
          </cell>
          <cell r="F870">
            <v>209.29</v>
          </cell>
          <cell r="G870"/>
          <cell r="H870">
            <v>2.6666666659999996E-4</v>
          </cell>
          <cell r="I870">
            <v>150</v>
          </cell>
          <cell r="J870"/>
          <cell r="K870">
            <v>165.95869074375622</v>
          </cell>
          <cell r="L870"/>
          <cell r="M870"/>
          <cell r="N870"/>
          <cell r="O870"/>
          <cell r="P870"/>
          <cell r="Q870">
            <v>1.5975558750000002E-4</v>
          </cell>
          <cell r="R870">
            <v>5.3483578746909358E-7</v>
          </cell>
          <cell r="S870">
            <v>5.9426198607677063E-8</v>
          </cell>
          <cell r="T870">
            <v>4.0112684060182021E-7</v>
          </cell>
          <cell r="U870"/>
          <cell r="V870"/>
          <cell r="W870">
            <v>30000</v>
          </cell>
          <cell r="X870">
            <v>0.33333333333333331</v>
          </cell>
          <cell r="Y870">
            <v>0.33333333333333331</v>
          </cell>
          <cell r="Z870">
            <v>0.33333333333333331</v>
          </cell>
          <cell r="AA870"/>
        </row>
        <row r="871">
          <cell r="A871">
            <v>864</v>
          </cell>
          <cell r="B871" t="str">
            <v>8-METHYLQUINOLINE</v>
          </cell>
          <cell r="C871" t="str">
            <v>611-32-5</v>
          </cell>
          <cell r="D871" t="str">
            <v>Base</v>
          </cell>
          <cell r="E871">
            <v>5.05</v>
          </cell>
          <cell r="F871">
            <v>143.19</v>
          </cell>
          <cell r="G871"/>
          <cell r="H871">
            <v>3.3333333325000001</v>
          </cell>
          <cell r="I871">
            <v>488.8</v>
          </cell>
          <cell r="J871"/>
          <cell r="K871">
            <v>398.10717055349761</v>
          </cell>
          <cell r="L871"/>
          <cell r="M871"/>
          <cell r="N871"/>
          <cell r="O871"/>
          <cell r="P871"/>
          <cell r="Q871">
            <v>2.2814205E-5</v>
          </cell>
          <cell r="R871">
            <v>5.3483578746909358E-7</v>
          </cell>
          <cell r="S871">
            <v>5.9426198607677063E-8</v>
          </cell>
          <cell r="T871">
            <v>2.6741789373454679E-7</v>
          </cell>
          <cell r="U871"/>
          <cell r="V871"/>
          <cell r="W871">
            <v>30000</v>
          </cell>
          <cell r="X871">
            <v>0.33333333333333331</v>
          </cell>
          <cell r="Y871">
            <v>0.33333333333333331</v>
          </cell>
          <cell r="Z871">
            <v>0.33333333333333331</v>
          </cell>
          <cell r="AA871"/>
        </row>
        <row r="872">
          <cell r="A872">
            <v>865</v>
          </cell>
          <cell r="B872" t="str">
            <v>Benzenamine, N-ethyl-2-methyl-</v>
          </cell>
          <cell r="C872" t="str">
            <v>94-68-8</v>
          </cell>
          <cell r="D872" t="str">
            <v>Base</v>
          </cell>
          <cell r="E872">
            <v>5.07</v>
          </cell>
          <cell r="F872">
            <v>135.21</v>
          </cell>
          <cell r="G872"/>
          <cell r="H872">
            <v>21.4666666613</v>
          </cell>
          <cell r="I872">
            <v>467.3</v>
          </cell>
          <cell r="J872"/>
          <cell r="K872">
            <v>457.0881896148756</v>
          </cell>
          <cell r="L872"/>
          <cell r="M872"/>
          <cell r="N872"/>
          <cell r="O872"/>
          <cell r="P872"/>
          <cell r="Q872">
            <v>4.5961537500000003E-5</v>
          </cell>
          <cell r="R872">
            <v>2.1393431498763744E-7</v>
          </cell>
          <cell r="S872">
            <v>2.3770479443070826E-8</v>
          </cell>
          <cell r="T872">
            <v>1.0696715749381872E-7</v>
          </cell>
          <cell r="U872"/>
          <cell r="V872"/>
          <cell r="W872">
            <v>30000</v>
          </cell>
          <cell r="X872">
            <v>0.33333333333333331</v>
          </cell>
          <cell r="Y872">
            <v>0.33333333333333331</v>
          </cell>
          <cell r="Z872">
            <v>0.33333333333333331</v>
          </cell>
          <cell r="AA872"/>
        </row>
        <row r="873">
          <cell r="A873">
            <v>866</v>
          </cell>
          <cell r="B873" t="str">
            <v>HEXAZINONE</v>
          </cell>
          <cell r="C873" t="str">
            <v>51235-04-2</v>
          </cell>
          <cell r="D873" t="str">
            <v>Base</v>
          </cell>
          <cell r="E873">
            <v>5.08</v>
          </cell>
          <cell r="F873">
            <v>252.32</v>
          </cell>
          <cell r="G873"/>
          <cell r="H873">
            <v>2.9999999992499998E-5</v>
          </cell>
          <cell r="I873">
            <v>33000</v>
          </cell>
          <cell r="J873"/>
          <cell r="K873">
            <v>70.794578438413865</v>
          </cell>
          <cell r="L873"/>
          <cell r="M873"/>
          <cell r="N873"/>
          <cell r="O873"/>
          <cell r="P873"/>
          <cell r="Q873">
            <v>6.7639537500000001E-5</v>
          </cell>
          <cell r="R873">
            <v>2.1393431498763744E-7</v>
          </cell>
          <cell r="S873">
            <v>2.3770479443070826E-8</v>
          </cell>
          <cell r="T873">
            <v>7.64051124955848E-8</v>
          </cell>
          <cell r="U873"/>
          <cell r="V873"/>
          <cell r="W873">
            <v>30000</v>
          </cell>
          <cell r="X873">
            <v>0.33333333333333331</v>
          </cell>
          <cell r="Y873">
            <v>0.33333333333333331</v>
          </cell>
          <cell r="Z873">
            <v>0.33333333333333331</v>
          </cell>
          <cell r="AA873"/>
        </row>
        <row r="874">
          <cell r="A874">
            <v>867</v>
          </cell>
          <cell r="B874" t="str">
            <v>2,4,5-Trimethylaniline hydrochloride</v>
          </cell>
          <cell r="C874" t="str">
            <v>21436-97-5</v>
          </cell>
          <cell r="D874" t="str">
            <v>Base</v>
          </cell>
          <cell r="E874">
            <v>5.09</v>
          </cell>
          <cell r="F874">
            <v>135.21</v>
          </cell>
          <cell r="G874"/>
          <cell r="H874">
            <v>1.1999999996999999</v>
          </cell>
          <cell r="I874">
            <v>1500</v>
          </cell>
          <cell r="J874"/>
          <cell r="K874">
            <v>186.20871366628685</v>
          </cell>
          <cell r="L874"/>
          <cell r="M874"/>
          <cell r="N874"/>
          <cell r="O874"/>
          <cell r="P874"/>
          <cell r="Q874">
            <v>1.5030600000000001E-4</v>
          </cell>
          <cell r="R874">
            <v>2.1393431498763744E-7</v>
          </cell>
          <cell r="S874">
            <v>2.3770479443070826E-8</v>
          </cell>
          <cell r="T874">
            <v>1.0696715749381872E-7</v>
          </cell>
          <cell r="U874"/>
          <cell r="V874"/>
          <cell r="W874">
            <v>30000</v>
          </cell>
          <cell r="X874">
            <v>0.33333333333333331</v>
          </cell>
          <cell r="Y874">
            <v>0.33333333333333331</v>
          </cell>
          <cell r="Z874">
            <v>0.33333333333333331</v>
          </cell>
          <cell r="AA874"/>
        </row>
        <row r="875">
          <cell r="A875">
            <v>868</v>
          </cell>
          <cell r="B875" t="str">
            <v>P-TOLUIDINE</v>
          </cell>
          <cell r="C875" t="str">
            <v>106-49-0</v>
          </cell>
          <cell r="D875" t="str">
            <v>Base</v>
          </cell>
          <cell r="E875">
            <v>5.0999999999999996</v>
          </cell>
          <cell r="F875">
            <v>107.16</v>
          </cell>
          <cell r="G875"/>
          <cell r="H875">
            <v>38.133333323799995</v>
          </cell>
          <cell r="I875">
            <v>6500</v>
          </cell>
          <cell r="J875"/>
          <cell r="K875">
            <v>24.547089156850305</v>
          </cell>
          <cell r="L875"/>
          <cell r="M875"/>
          <cell r="N875"/>
          <cell r="O875"/>
          <cell r="P875"/>
          <cell r="Q875">
            <v>9.9071460000000006E-5</v>
          </cell>
          <cell r="R875">
            <v>5.3483578746909358E-7</v>
          </cell>
          <cell r="S875">
            <v>5.9426198607677063E-8</v>
          </cell>
          <cell r="T875">
            <v>2.6741789373454679E-7</v>
          </cell>
          <cell r="U875"/>
          <cell r="V875"/>
          <cell r="W875">
            <v>30000</v>
          </cell>
          <cell r="X875">
            <v>0.33333333333333331</v>
          </cell>
          <cell r="Y875">
            <v>0.33333333333333331</v>
          </cell>
          <cell r="Z875">
            <v>0.33333333333333331</v>
          </cell>
          <cell r="AA875"/>
        </row>
        <row r="876">
          <cell r="A876">
            <v>869</v>
          </cell>
          <cell r="B876" t="str">
            <v>p-Toluidine hydrochloride</v>
          </cell>
          <cell r="C876" t="str">
            <v>540-23-8</v>
          </cell>
          <cell r="D876" t="str">
            <v>Base</v>
          </cell>
          <cell r="E876">
            <v>5.0999999999999996</v>
          </cell>
          <cell r="F876">
            <v>107.16</v>
          </cell>
          <cell r="G876"/>
          <cell r="H876">
            <v>38.133333323799995</v>
          </cell>
          <cell r="I876">
            <v>6500</v>
          </cell>
          <cell r="J876"/>
          <cell r="K876">
            <v>24.547089156850305</v>
          </cell>
          <cell r="L876"/>
          <cell r="M876"/>
          <cell r="N876"/>
          <cell r="O876"/>
          <cell r="P876"/>
          <cell r="Q876">
            <v>9.9071460000000006E-5</v>
          </cell>
          <cell r="R876">
            <v>5.3483578746909358E-7</v>
          </cell>
          <cell r="S876">
            <v>5.9426198607677063E-8</v>
          </cell>
          <cell r="T876">
            <v>2.6741789373454679E-7</v>
          </cell>
          <cell r="U876"/>
          <cell r="V876"/>
          <cell r="W876">
            <v>30000</v>
          </cell>
          <cell r="X876">
            <v>0.33333333333333331</v>
          </cell>
          <cell r="Y876">
            <v>0.33333333333333331</v>
          </cell>
          <cell r="Z876">
            <v>0.33333333333333331</v>
          </cell>
          <cell r="AA876"/>
        </row>
        <row r="877">
          <cell r="A877">
            <v>870</v>
          </cell>
          <cell r="B877" t="str">
            <v>4-Octylaniline</v>
          </cell>
          <cell r="C877" t="str">
            <v>16245-79-7</v>
          </cell>
          <cell r="D877" t="str">
            <v>Base</v>
          </cell>
          <cell r="E877">
            <v>5.1100000000000003</v>
          </cell>
          <cell r="F877">
            <v>205.35</v>
          </cell>
          <cell r="G877"/>
          <cell r="H877">
            <v>0.15333333329499998</v>
          </cell>
          <cell r="I877">
            <v>1.956</v>
          </cell>
          <cell r="J877"/>
          <cell r="K877">
            <v>114815.36214968823</v>
          </cell>
          <cell r="L877"/>
          <cell r="M877"/>
          <cell r="N877"/>
          <cell r="O877"/>
          <cell r="P877"/>
          <cell r="Q877">
            <v>1.0550823000000001E-4</v>
          </cell>
          <cell r="R877">
            <v>5.3483578746909358E-7</v>
          </cell>
          <cell r="S877">
            <v>5.9426198607677063E-8</v>
          </cell>
          <cell r="T877">
            <v>2.6741789373454679E-7</v>
          </cell>
          <cell r="U877"/>
          <cell r="V877"/>
          <cell r="W877">
            <v>30000</v>
          </cell>
          <cell r="X877">
            <v>0.33333333333333331</v>
          </cell>
          <cell r="Y877">
            <v>0.33333333333333331</v>
          </cell>
          <cell r="Z877">
            <v>0.33333333333333331</v>
          </cell>
          <cell r="AA877"/>
        </row>
        <row r="878">
          <cell r="A878">
            <v>871</v>
          </cell>
          <cell r="B878" t="str">
            <v>BENZENAMINE, 4-BUTYL-</v>
          </cell>
          <cell r="C878" t="str">
            <v>104-13-2</v>
          </cell>
          <cell r="D878" t="str">
            <v>Base</v>
          </cell>
          <cell r="E878">
            <v>5.1100000000000003</v>
          </cell>
          <cell r="F878">
            <v>149.24</v>
          </cell>
          <cell r="G878"/>
          <cell r="H878">
            <v>1.3333333329999999</v>
          </cell>
          <cell r="I878">
            <v>190</v>
          </cell>
          <cell r="J878"/>
          <cell r="K878">
            <v>1122.0184543019636</v>
          </cell>
          <cell r="L878"/>
          <cell r="M878"/>
          <cell r="N878"/>
          <cell r="O878"/>
          <cell r="P878"/>
          <cell r="Q878">
            <v>1.012690875E-4</v>
          </cell>
          <cell r="R878">
            <v>5.3483578746909358E-7</v>
          </cell>
          <cell r="S878">
            <v>5.9426198607677063E-8</v>
          </cell>
          <cell r="T878">
            <v>2.6741789373454679E-7</v>
          </cell>
          <cell r="U878"/>
          <cell r="V878"/>
          <cell r="W878">
            <v>30000</v>
          </cell>
          <cell r="X878">
            <v>0.33333333333333331</v>
          </cell>
          <cell r="Y878">
            <v>0.33333333333333331</v>
          </cell>
          <cell r="Z878">
            <v>0.33333333333333331</v>
          </cell>
          <cell r="AA878"/>
        </row>
        <row r="879">
          <cell r="A879">
            <v>872</v>
          </cell>
          <cell r="B879" t="str">
            <v>P-DODECYLANILINE</v>
          </cell>
          <cell r="C879" t="str">
            <v>104-42-7</v>
          </cell>
          <cell r="D879" t="str">
            <v>Base</v>
          </cell>
          <cell r="E879">
            <v>5.1100000000000003</v>
          </cell>
          <cell r="F879">
            <v>261.45</v>
          </cell>
          <cell r="G879"/>
          <cell r="H879">
            <v>4.6666666654999996E-3</v>
          </cell>
          <cell r="I879">
            <v>600</v>
          </cell>
          <cell r="J879"/>
          <cell r="K879">
            <v>10715193.052376067</v>
          </cell>
          <cell r="L879"/>
          <cell r="M879"/>
          <cell r="N879"/>
          <cell r="O879"/>
          <cell r="P879"/>
          <cell r="Q879">
            <v>1.0974737249999999E-4</v>
          </cell>
          <cell r="R879">
            <v>2.1393431498763744E-7</v>
          </cell>
          <cell r="S879">
            <v>2.3770479443070826E-8</v>
          </cell>
          <cell r="T879">
            <v>1.0696715749381872E-7</v>
          </cell>
          <cell r="U879"/>
          <cell r="V879"/>
          <cell r="W879">
            <v>30000</v>
          </cell>
          <cell r="X879">
            <v>0.33333333333333331</v>
          </cell>
          <cell r="Y879">
            <v>0.33333333333333331</v>
          </cell>
          <cell r="Z879">
            <v>0.33333333333333331</v>
          </cell>
          <cell r="AA879"/>
        </row>
        <row r="880">
          <cell r="A880">
            <v>873</v>
          </cell>
          <cell r="B880" t="str">
            <v>4-Decylaniline</v>
          </cell>
          <cell r="C880" t="str">
            <v>37529-30-9</v>
          </cell>
          <cell r="D880" t="str">
            <v>Base</v>
          </cell>
          <cell r="E880">
            <v>5.1100000000000003</v>
          </cell>
          <cell r="F880">
            <v>233.4</v>
          </cell>
          <cell r="G880"/>
          <cell r="H880">
            <v>2.2933333327599999E-2</v>
          </cell>
          <cell r="I880">
            <v>0.2014</v>
          </cell>
          <cell r="J880"/>
          <cell r="K880">
            <v>1096478.196143186</v>
          </cell>
          <cell r="L880"/>
          <cell r="M880"/>
          <cell r="N880"/>
          <cell r="O880"/>
          <cell r="P880"/>
          <cell r="Q880">
            <v>1.07627805E-4</v>
          </cell>
          <cell r="R880">
            <v>5.3483578746909358E-7</v>
          </cell>
          <cell r="S880">
            <v>5.9426198607677063E-8</v>
          </cell>
          <cell r="T880">
            <v>2.6741789373454679E-7</v>
          </cell>
          <cell r="U880"/>
          <cell r="V880"/>
          <cell r="W880">
            <v>30000</v>
          </cell>
          <cell r="X880">
            <v>0.33333333333333331</v>
          </cell>
          <cell r="Y880">
            <v>0.33333333333333331</v>
          </cell>
          <cell r="Z880">
            <v>0.33333333333333331</v>
          </cell>
          <cell r="AA880"/>
        </row>
        <row r="881">
          <cell r="A881">
            <v>874</v>
          </cell>
          <cell r="B881" t="str">
            <v>2-BENZYLPYRIDINE</v>
          </cell>
          <cell r="C881" t="str">
            <v>101-82-6</v>
          </cell>
          <cell r="D881" t="str">
            <v>Base</v>
          </cell>
          <cell r="E881">
            <v>5.13</v>
          </cell>
          <cell r="F881">
            <v>169.23</v>
          </cell>
          <cell r="G881"/>
          <cell r="H881">
            <v>0.83733333312399993</v>
          </cell>
          <cell r="I881">
            <v>3017</v>
          </cell>
          <cell r="J881"/>
          <cell r="K881">
            <v>1148.1536214968839</v>
          </cell>
          <cell r="L881"/>
          <cell r="M881"/>
          <cell r="N881"/>
          <cell r="O881"/>
          <cell r="P881"/>
          <cell r="Q881">
            <v>5.0238449999999998E-6</v>
          </cell>
          <cell r="R881">
            <v>2.1393431498763744E-7</v>
          </cell>
          <cell r="S881">
            <v>2.3770479443070826E-8</v>
          </cell>
          <cell r="T881">
            <v>1.0696715749381872E-7</v>
          </cell>
          <cell r="U881"/>
          <cell r="V881"/>
          <cell r="W881">
            <v>30000</v>
          </cell>
          <cell r="X881">
            <v>0.33333333333333331</v>
          </cell>
          <cell r="Y881">
            <v>0.33333333333333331</v>
          </cell>
          <cell r="Z881">
            <v>0.33333333333333331</v>
          </cell>
          <cell r="AA881"/>
        </row>
        <row r="882">
          <cell r="A882">
            <v>875</v>
          </cell>
          <cell r="B882" t="str">
            <v>N,N-Dimethylaniline</v>
          </cell>
          <cell r="C882" t="str">
            <v>121-69-7</v>
          </cell>
          <cell r="D882" t="str">
            <v>Base</v>
          </cell>
          <cell r="E882">
            <v>5.15</v>
          </cell>
          <cell r="F882">
            <v>121.18</v>
          </cell>
          <cell r="G882"/>
          <cell r="H882">
            <v>93.333333309999986</v>
          </cell>
          <cell r="I882">
            <v>1450</v>
          </cell>
          <cell r="J882"/>
          <cell r="K882">
            <v>204.17379446695315</v>
          </cell>
          <cell r="L882"/>
          <cell r="M882"/>
          <cell r="N882"/>
          <cell r="O882"/>
          <cell r="P882"/>
          <cell r="Q882">
            <v>1.11E-4</v>
          </cell>
          <cell r="R882">
            <v>2.1393431498763744E-7</v>
          </cell>
          <cell r="S882">
            <v>2.3770479443070826E-8</v>
          </cell>
          <cell r="T882">
            <v>1.0696715749381872E-7</v>
          </cell>
          <cell r="U882"/>
          <cell r="V882"/>
          <cell r="W882">
            <v>30000</v>
          </cell>
          <cell r="X882">
            <v>0.33333333333333331</v>
          </cell>
          <cell r="Y882">
            <v>0.33333333333333331</v>
          </cell>
          <cell r="Z882">
            <v>0.33333333333333331</v>
          </cell>
          <cell r="AA882"/>
        </row>
        <row r="883">
          <cell r="A883">
            <v>876</v>
          </cell>
          <cell r="B883" t="str">
            <v>2,4,5-Trimethylaniline</v>
          </cell>
          <cell r="C883" t="str">
            <v>137-17-7</v>
          </cell>
          <cell r="D883" t="str">
            <v>Base</v>
          </cell>
          <cell r="E883">
            <v>5.19</v>
          </cell>
          <cell r="F883">
            <v>135.21</v>
          </cell>
          <cell r="G883"/>
          <cell r="H883">
            <v>1.1999999996999999</v>
          </cell>
          <cell r="I883">
            <v>1500</v>
          </cell>
          <cell r="J883"/>
          <cell r="K883">
            <v>186.20871366628685</v>
          </cell>
          <cell r="L883"/>
          <cell r="M883"/>
          <cell r="N883"/>
          <cell r="O883"/>
          <cell r="P883"/>
          <cell r="Q883">
            <v>1.5030600000000001E-4</v>
          </cell>
          <cell r="R883">
            <v>2.1393431498763744E-7</v>
          </cell>
          <cell r="S883">
            <v>2.3770479443070826E-8</v>
          </cell>
          <cell r="T883">
            <v>1.0696715749381872E-7</v>
          </cell>
          <cell r="U883"/>
          <cell r="V883"/>
          <cell r="W883">
            <v>30000</v>
          </cell>
          <cell r="X883">
            <v>0.33333333333333331</v>
          </cell>
          <cell r="Y883">
            <v>0.33333333333333331</v>
          </cell>
          <cell r="Z883">
            <v>0.33333333333333331</v>
          </cell>
          <cell r="AA883"/>
        </row>
        <row r="884">
          <cell r="A884">
            <v>877</v>
          </cell>
          <cell r="B884" t="str">
            <v>SULFOMETURON (pH 5-7)</v>
          </cell>
          <cell r="C884" t="str">
            <v>74222-97-2</v>
          </cell>
          <cell r="D884" t="str">
            <v>Base</v>
          </cell>
          <cell r="E884">
            <v>5.2</v>
          </cell>
          <cell r="F884">
            <v>364.38</v>
          </cell>
          <cell r="G884"/>
          <cell r="H884">
            <v>3.5066666657899999E-9</v>
          </cell>
          <cell r="I884">
            <v>244</v>
          </cell>
          <cell r="J884"/>
          <cell r="K884">
            <v>15.848931924611136</v>
          </cell>
          <cell r="L884"/>
          <cell r="M884"/>
          <cell r="N884"/>
          <cell r="O884"/>
          <cell r="P884"/>
          <cell r="Q884">
            <v>2.6937547500000001E-5</v>
          </cell>
          <cell r="R884">
            <v>2.1393431498763744E-7</v>
          </cell>
          <cell r="S884">
            <v>2.3770479443070826E-8</v>
          </cell>
          <cell r="T884">
            <v>1.0219792117243827E-7</v>
          </cell>
          <cell r="U884"/>
          <cell r="V884"/>
          <cell r="W884">
            <v>30000</v>
          </cell>
          <cell r="X884">
            <v>0.33333333333333331</v>
          </cell>
          <cell r="Y884">
            <v>0.33333333333333331</v>
          </cell>
          <cell r="Z884">
            <v>0.33333333333333331</v>
          </cell>
          <cell r="AA884"/>
        </row>
        <row r="885">
          <cell r="A885">
            <v>878</v>
          </cell>
          <cell r="B885" t="str">
            <v>Cyromazine</v>
          </cell>
          <cell r="C885" t="str">
            <v>66215-27-8</v>
          </cell>
          <cell r="D885" t="str">
            <v>Base</v>
          </cell>
          <cell r="E885">
            <v>5.22</v>
          </cell>
          <cell r="F885">
            <v>166.19</v>
          </cell>
          <cell r="G885"/>
          <cell r="H885">
            <v>4.47999999888E-7</v>
          </cell>
          <cell r="I885">
            <v>13000</v>
          </cell>
          <cell r="J885"/>
          <cell r="K885">
            <v>9.1201083935590983</v>
          </cell>
          <cell r="L885"/>
          <cell r="M885"/>
          <cell r="N885"/>
          <cell r="O885"/>
          <cell r="P885"/>
          <cell r="Q885">
            <v>9.4653750000000004E-7</v>
          </cell>
          <cell r="R885">
            <v>1.3370894686727339E-7</v>
          </cell>
          <cell r="S885">
            <v>1.4856549651919266E-8</v>
          </cell>
          <cell r="T885">
            <v>8.2706565072540251E-7</v>
          </cell>
          <cell r="U885"/>
          <cell r="V885"/>
          <cell r="W885">
            <v>30000</v>
          </cell>
          <cell r="X885">
            <v>0.33333333333333331</v>
          </cell>
          <cell r="Y885">
            <v>0.33333333333333331</v>
          </cell>
          <cell r="Z885">
            <v>0.33333333333333331</v>
          </cell>
          <cell r="AA885"/>
        </row>
        <row r="886">
          <cell r="A886">
            <v>879</v>
          </cell>
          <cell r="B886" t="str">
            <v>3,4-XYLIDINE</v>
          </cell>
          <cell r="C886" t="str">
            <v>95-64-7</v>
          </cell>
          <cell r="D886" t="str">
            <v>Base</v>
          </cell>
          <cell r="E886">
            <v>5.28</v>
          </cell>
          <cell r="F886">
            <v>121.18</v>
          </cell>
          <cell r="G886"/>
          <cell r="H886">
            <v>3.7199999990700001</v>
          </cell>
          <cell r="I886">
            <v>3800</v>
          </cell>
          <cell r="J886"/>
          <cell r="K886">
            <v>69.183097091893657</v>
          </cell>
          <cell r="L886"/>
          <cell r="M886"/>
          <cell r="N886"/>
          <cell r="O886"/>
          <cell r="P886"/>
          <cell r="Q886">
            <v>1.50204E-4</v>
          </cell>
          <cell r="R886">
            <v>2.1393431498763744E-7</v>
          </cell>
          <cell r="S886">
            <v>2.3770479443070826E-8</v>
          </cell>
          <cell r="T886">
            <v>1.0696715749381872E-7</v>
          </cell>
          <cell r="U886"/>
          <cell r="V886"/>
          <cell r="W886">
            <v>30000</v>
          </cell>
          <cell r="X886">
            <v>0.33333333333333331</v>
          </cell>
          <cell r="Y886">
            <v>0.33333333333333331</v>
          </cell>
          <cell r="Z886">
            <v>0.33333333333333331</v>
          </cell>
          <cell r="AA886"/>
        </row>
        <row r="887">
          <cell r="A887">
            <v>880</v>
          </cell>
          <cell r="B887" t="str">
            <v>4-(4-N-METHYL-N-NITROSAMINOSTYRYL)QUINOLINE</v>
          </cell>
          <cell r="C887" t="str">
            <v>16699-10-8</v>
          </cell>
          <cell r="D887" t="str">
            <v>Base</v>
          </cell>
          <cell r="E887">
            <v>5.33</v>
          </cell>
          <cell r="F887">
            <v>289.33999999999997</v>
          </cell>
          <cell r="G887"/>
          <cell r="H887">
            <v>8.8266666644599994E-7</v>
          </cell>
          <cell r="I887">
            <v>3.8570000000000002</v>
          </cell>
          <cell r="J887"/>
          <cell r="K887">
            <v>14791.083881682089</v>
          </cell>
          <cell r="L887"/>
          <cell r="M887"/>
          <cell r="N887"/>
          <cell r="O887"/>
          <cell r="P887"/>
          <cell r="Q887">
            <v>6.0183067499999998E-5</v>
          </cell>
          <cell r="R887">
            <v>1.3370894686727339E-7</v>
          </cell>
          <cell r="S887">
            <v>1.4856549651919266E-8</v>
          </cell>
          <cell r="T887">
            <v>6.6854473433636697E-8</v>
          </cell>
          <cell r="U887"/>
          <cell r="V887"/>
          <cell r="W887">
            <v>30000</v>
          </cell>
          <cell r="X887">
            <v>0.33333333333333331</v>
          </cell>
          <cell r="Y887">
            <v>0.33333333333333331</v>
          </cell>
          <cell r="Z887">
            <v>0.33333333333333331</v>
          </cell>
          <cell r="AA887"/>
        </row>
        <row r="888">
          <cell r="A888">
            <v>881</v>
          </cell>
          <cell r="B888" t="str">
            <v>p-Anisidine</v>
          </cell>
          <cell r="C888" t="str">
            <v>104-94-9</v>
          </cell>
          <cell r="D888" t="str">
            <v>Base</v>
          </cell>
          <cell r="E888">
            <v>5.34</v>
          </cell>
          <cell r="F888">
            <v>123.16</v>
          </cell>
          <cell r="G888"/>
          <cell r="H888">
            <v>3.9999999989999995</v>
          </cell>
          <cell r="I888">
            <v>21000</v>
          </cell>
          <cell r="J888"/>
          <cell r="K888">
            <v>8.9125093813374576</v>
          </cell>
          <cell r="L888"/>
          <cell r="M888"/>
          <cell r="N888"/>
          <cell r="O888"/>
          <cell r="P888"/>
          <cell r="Q888">
            <v>7.0458480000000002E-5</v>
          </cell>
          <cell r="R888">
            <v>2.1393431498763744E-7</v>
          </cell>
          <cell r="S888">
            <v>2.3770479443070826E-8</v>
          </cell>
          <cell r="T888">
            <v>1.0696715749381872E-7</v>
          </cell>
          <cell r="U888"/>
          <cell r="V888"/>
          <cell r="W888">
            <v>30000</v>
          </cell>
          <cell r="X888">
            <v>0.33333333333333331</v>
          </cell>
          <cell r="Y888">
            <v>0.33333333333333331</v>
          </cell>
          <cell r="Z888">
            <v>0.33333333333333331</v>
          </cell>
          <cell r="AA888"/>
        </row>
        <row r="889">
          <cell r="A889">
            <v>882</v>
          </cell>
          <cell r="B889" t="str">
            <v>6-METHYLQUINOLINE</v>
          </cell>
          <cell r="C889" t="str">
            <v>91-62-3</v>
          </cell>
          <cell r="D889" t="str">
            <v>Base</v>
          </cell>
          <cell r="E889">
            <v>5.34</v>
          </cell>
          <cell r="F889">
            <v>143.19</v>
          </cell>
          <cell r="G889"/>
          <cell r="H889">
            <v>1.178666666372</v>
          </cell>
          <cell r="I889">
            <v>631.1</v>
          </cell>
          <cell r="J889"/>
          <cell r="K889">
            <v>371.53522909717265</v>
          </cell>
          <cell r="L889"/>
          <cell r="M889"/>
          <cell r="N889"/>
          <cell r="O889"/>
          <cell r="P889"/>
          <cell r="Q889">
            <v>2.2814205E-5</v>
          </cell>
          <cell r="R889">
            <v>5.3483578746909358E-7</v>
          </cell>
          <cell r="S889">
            <v>5.9426198607677063E-8</v>
          </cell>
          <cell r="T889">
            <v>2.6741789373454679E-7</v>
          </cell>
          <cell r="U889"/>
          <cell r="V889"/>
          <cell r="W889">
            <v>30000</v>
          </cell>
          <cell r="X889">
            <v>0.33333333333333331</v>
          </cell>
          <cell r="Y889">
            <v>0.33333333333333331</v>
          </cell>
          <cell r="Z889">
            <v>0.33333333333333331</v>
          </cell>
          <cell r="AA889"/>
        </row>
        <row r="890">
          <cell r="A890">
            <v>883</v>
          </cell>
          <cell r="B890" t="str">
            <v>Ethanol, 2- ethyl(3-methylphenyl)amino -</v>
          </cell>
          <cell r="C890" t="str">
            <v>91-88-3</v>
          </cell>
          <cell r="D890" t="str">
            <v>Base</v>
          </cell>
          <cell r="E890">
            <v>5.35</v>
          </cell>
          <cell r="F890">
            <v>179.26</v>
          </cell>
          <cell r="G890"/>
          <cell r="H890">
            <v>1.255999999686E-2</v>
          </cell>
          <cell r="I890">
            <v>684.7</v>
          </cell>
          <cell r="J890"/>
          <cell r="K890">
            <v>173.78008287493768</v>
          </cell>
          <cell r="L890"/>
          <cell r="M890"/>
          <cell r="N890"/>
          <cell r="O890"/>
          <cell r="P890"/>
          <cell r="Q890">
            <v>1.6787578500000001E-4</v>
          </cell>
          <cell r="R890">
            <v>2.1393431498763744E-7</v>
          </cell>
          <cell r="S890">
            <v>2.3770479443070826E-8</v>
          </cell>
          <cell r="T890">
            <v>1.0696715749381872E-7</v>
          </cell>
          <cell r="U890"/>
          <cell r="V890"/>
          <cell r="W890">
            <v>30000</v>
          </cell>
          <cell r="X890">
            <v>0.33333333333333331</v>
          </cell>
          <cell r="Y890">
            <v>0.33333333333333331</v>
          </cell>
          <cell r="Z890">
            <v>0.33333333333333331</v>
          </cell>
          <cell r="AA890"/>
        </row>
        <row r="891">
          <cell r="A891">
            <v>884</v>
          </cell>
          <cell r="B891" t="str">
            <v>MEXACARBATE</v>
          </cell>
          <cell r="C891" t="str">
            <v>315-18-4</v>
          </cell>
          <cell r="D891" t="str">
            <v>Base</v>
          </cell>
          <cell r="E891">
            <v>5.37</v>
          </cell>
          <cell r="F891">
            <v>222.29</v>
          </cell>
          <cell r="G891"/>
          <cell r="H891">
            <v>3.6133333324299993E-2</v>
          </cell>
          <cell r="I891">
            <v>100</v>
          </cell>
          <cell r="J891"/>
          <cell r="K891">
            <v>363.07805477010152</v>
          </cell>
          <cell r="L891"/>
          <cell r="M891"/>
          <cell r="N891"/>
          <cell r="O891"/>
          <cell r="P891"/>
          <cell r="Q891">
            <v>2.1731167500000001E-5</v>
          </cell>
          <cell r="R891">
            <v>2.1393431498763744E-7</v>
          </cell>
          <cell r="S891">
            <v>2.3770479443070826E-8</v>
          </cell>
          <cell r="T891">
            <v>1.0028171015045505E-6</v>
          </cell>
          <cell r="U891"/>
          <cell r="V891"/>
          <cell r="W891">
            <v>30000</v>
          </cell>
          <cell r="X891">
            <v>0.33333333333333331</v>
          </cell>
          <cell r="Y891">
            <v>0.33333333333333331</v>
          </cell>
          <cell r="Z891">
            <v>0.33333333333333331</v>
          </cell>
          <cell r="AA891"/>
        </row>
        <row r="892">
          <cell r="A892">
            <v>885</v>
          </cell>
          <cell r="B892" t="str">
            <v>ISOQUINOLINE</v>
          </cell>
          <cell r="C892" t="str">
            <v>119-65-3</v>
          </cell>
          <cell r="D892" t="str">
            <v>Base</v>
          </cell>
          <cell r="E892">
            <v>5.42</v>
          </cell>
          <cell r="F892">
            <v>129.16</v>
          </cell>
          <cell r="G892"/>
          <cell r="H892">
            <v>9.3333333310000004</v>
          </cell>
          <cell r="I892">
            <v>4520</v>
          </cell>
          <cell r="J892"/>
          <cell r="K892">
            <v>120.22644346174135</v>
          </cell>
          <cell r="L892"/>
          <cell r="M892"/>
          <cell r="N892"/>
          <cell r="O892"/>
          <cell r="P892"/>
          <cell r="Q892">
            <v>6.3749999999999999E-6</v>
          </cell>
          <cell r="R892">
            <v>5.3483578746909358E-7</v>
          </cell>
          <cell r="S892">
            <v>5.9426198607677063E-8</v>
          </cell>
          <cell r="T892">
            <v>2.6741789373454679E-7</v>
          </cell>
          <cell r="U892"/>
          <cell r="V892"/>
          <cell r="W892">
            <v>30000</v>
          </cell>
          <cell r="X892">
            <v>0.33333333333333331</v>
          </cell>
          <cell r="Y892">
            <v>0.33333333333333331</v>
          </cell>
          <cell r="Z892">
            <v>0.33333333333333331</v>
          </cell>
          <cell r="AA892"/>
        </row>
        <row r="893">
          <cell r="A893">
            <v>886</v>
          </cell>
          <cell r="B893" t="str">
            <v>ACRIDINE</v>
          </cell>
          <cell r="C893" t="str">
            <v>260-94-6</v>
          </cell>
          <cell r="D893" t="str">
            <v>Base</v>
          </cell>
          <cell r="E893">
            <v>5.45</v>
          </cell>
          <cell r="F893">
            <v>179.22</v>
          </cell>
          <cell r="G893"/>
          <cell r="H893">
            <v>1.7999999995499998E-2</v>
          </cell>
          <cell r="I893">
            <v>38.4</v>
          </cell>
          <cell r="J893"/>
          <cell r="K893">
            <v>2511.8864315095811</v>
          </cell>
          <cell r="L893"/>
          <cell r="M893"/>
          <cell r="N893"/>
          <cell r="O893"/>
          <cell r="P893"/>
          <cell r="Q893">
            <v>2.0624872500000001E-5</v>
          </cell>
          <cell r="R893">
            <v>5.3483578746909358E-7</v>
          </cell>
          <cell r="S893">
            <v>5.9426198607677063E-8</v>
          </cell>
          <cell r="T893">
            <v>2.6741789373454679E-7</v>
          </cell>
          <cell r="U893"/>
          <cell r="V893"/>
          <cell r="W893">
            <v>30000</v>
          </cell>
          <cell r="X893">
            <v>0.33333333333333331</v>
          </cell>
          <cell r="Y893">
            <v>0.33333333333333331</v>
          </cell>
          <cell r="Z893">
            <v>0.33333333333333331</v>
          </cell>
          <cell r="AA893"/>
        </row>
        <row r="894">
          <cell r="A894">
            <v>887</v>
          </cell>
          <cell r="B894" t="str">
            <v>PHENOL, 4-AMINO-</v>
          </cell>
          <cell r="C894" t="str">
            <v>123-30-8</v>
          </cell>
          <cell r="D894" t="str">
            <v>Base</v>
          </cell>
          <cell r="E894">
            <v>5.48</v>
          </cell>
          <cell r="F894">
            <v>109.13</v>
          </cell>
          <cell r="G894"/>
          <cell r="H894">
            <v>5.3333333320000004E-3</v>
          </cell>
          <cell r="I894">
            <v>16000</v>
          </cell>
          <cell r="J894"/>
          <cell r="K894">
            <v>1.0964781961431851</v>
          </cell>
          <cell r="L894"/>
          <cell r="M894"/>
          <cell r="N894"/>
          <cell r="O894"/>
          <cell r="P894"/>
          <cell r="Q894">
            <v>5.5685332499999999E-5</v>
          </cell>
          <cell r="R894">
            <v>5.3483578746909358E-7</v>
          </cell>
          <cell r="S894">
            <v>5.9426198607677063E-8</v>
          </cell>
          <cell r="T894">
            <v>2.6741789373454679E-7</v>
          </cell>
          <cell r="U894"/>
          <cell r="V894"/>
          <cell r="W894">
            <v>30000</v>
          </cell>
          <cell r="X894">
            <v>0.33333333333333331</v>
          </cell>
          <cell r="Y894">
            <v>0.33333333333333331</v>
          </cell>
          <cell r="Z894">
            <v>0.33333333333333331</v>
          </cell>
          <cell r="AA894"/>
        </row>
        <row r="895">
          <cell r="A895">
            <v>888</v>
          </cell>
          <cell r="B895" t="str">
            <v>Piperazine, 2-methyl-</v>
          </cell>
          <cell r="C895" t="str">
            <v>109-07-9</v>
          </cell>
          <cell r="D895" t="str">
            <v>Base</v>
          </cell>
          <cell r="E895">
            <v>5.53</v>
          </cell>
          <cell r="F895">
            <v>100.16</v>
          </cell>
          <cell r="G895"/>
          <cell r="H895">
            <v>191.999999952</v>
          </cell>
          <cell r="I895">
            <v>435000</v>
          </cell>
          <cell r="J895"/>
          <cell r="K895">
            <v>0.41686938347033536</v>
          </cell>
          <cell r="L895"/>
          <cell r="M895"/>
          <cell r="N895"/>
          <cell r="O895"/>
          <cell r="P895"/>
          <cell r="Q895">
            <v>1.353082575E-4</v>
          </cell>
          <cell r="R895">
            <v>5.3483578746909358E-7</v>
          </cell>
          <cell r="S895">
            <v>5.9426198607677063E-8</v>
          </cell>
          <cell r="T895">
            <v>2.6741789373454679E-7</v>
          </cell>
          <cell r="U895"/>
          <cell r="V895"/>
          <cell r="W895">
            <v>30000</v>
          </cell>
          <cell r="X895">
            <v>0.33333333333333331</v>
          </cell>
          <cell r="Y895">
            <v>0.33333333333333331</v>
          </cell>
          <cell r="Z895">
            <v>0.33333333333333331</v>
          </cell>
          <cell r="AA895"/>
        </row>
        <row r="896">
          <cell r="A896">
            <v>889</v>
          </cell>
          <cell r="B896" t="str">
            <v>4-PHENYLPYRIDINE</v>
          </cell>
          <cell r="C896" t="str">
            <v>939-23-1</v>
          </cell>
          <cell r="D896" t="str">
            <v>Base</v>
          </cell>
          <cell r="E896">
            <v>5.55</v>
          </cell>
          <cell r="F896">
            <v>155.19999999999999</v>
          </cell>
          <cell r="G896"/>
          <cell r="H896">
            <v>0.225333333277</v>
          </cell>
          <cell r="I896">
            <v>441.7</v>
          </cell>
          <cell r="J896"/>
          <cell r="K896">
            <v>389.04514499428063</v>
          </cell>
          <cell r="L896"/>
          <cell r="M896"/>
          <cell r="N896"/>
          <cell r="O896"/>
          <cell r="P896"/>
          <cell r="Q896">
            <v>3.0225975000000003E-6</v>
          </cell>
          <cell r="R896">
            <v>2.1393431498763744E-7</v>
          </cell>
          <cell r="S896">
            <v>2.3770479443070826E-8</v>
          </cell>
          <cell r="T896">
            <v>1.0696715749381872E-7</v>
          </cell>
          <cell r="U896"/>
          <cell r="V896"/>
          <cell r="W896">
            <v>30000</v>
          </cell>
          <cell r="X896">
            <v>0.33333333333333331</v>
          </cell>
          <cell r="Y896">
            <v>0.33333333333333331</v>
          </cell>
          <cell r="Z896">
            <v>0.33333333333333331</v>
          </cell>
          <cell r="AA896"/>
        </row>
        <row r="897">
          <cell r="A897">
            <v>890</v>
          </cell>
          <cell r="B897" t="str">
            <v>IMAZALIL BASE</v>
          </cell>
          <cell r="C897" t="str">
            <v>35554-44-0</v>
          </cell>
          <cell r="D897" t="str">
            <v>Base</v>
          </cell>
          <cell r="E897">
            <v>5.61</v>
          </cell>
          <cell r="F897">
            <v>297.19</v>
          </cell>
          <cell r="G897"/>
          <cell r="H897">
            <v>1.5866666662700001E-4</v>
          </cell>
          <cell r="I897">
            <v>180</v>
          </cell>
          <cell r="J897"/>
          <cell r="K897">
            <v>6606.9344800759654</v>
          </cell>
          <cell r="L897"/>
          <cell r="M897"/>
          <cell r="N897"/>
          <cell r="O897"/>
          <cell r="P897"/>
          <cell r="Q897">
            <v>6.3647377500000005E-5</v>
          </cell>
          <cell r="R897">
            <v>1.3370894686727339E-7</v>
          </cell>
          <cell r="S897">
            <v>1.4856549651919266E-8</v>
          </cell>
          <cell r="T897">
            <v>1.2535213768806879E-6</v>
          </cell>
          <cell r="U897"/>
          <cell r="V897"/>
          <cell r="W897">
            <v>30000</v>
          </cell>
          <cell r="X897">
            <v>0.33333333333333331</v>
          </cell>
          <cell r="Y897">
            <v>0.33333333333333331</v>
          </cell>
          <cell r="Z897">
            <v>0.33333333333333331</v>
          </cell>
          <cell r="AA897"/>
        </row>
        <row r="898">
          <cell r="A898">
            <v>891</v>
          </cell>
          <cell r="B898" t="str">
            <v>4-VINYLPYRIDINE</v>
          </cell>
          <cell r="C898" t="str">
            <v>100-43-6</v>
          </cell>
          <cell r="D898" t="str">
            <v>Base</v>
          </cell>
          <cell r="E898">
            <v>5.62</v>
          </cell>
          <cell r="F898">
            <v>105.14</v>
          </cell>
          <cell r="G898"/>
          <cell r="H898">
            <v>226.66666660999999</v>
          </cell>
          <cell r="I898">
            <v>29100</v>
          </cell>
          <cell r="J898"/>
          <cell r="K898">
            <v>51.28613839913649</v>
          </cell>
          <cell r="L898"/>
          <cell r="M898"/>
          <cell r="N898"/>
          <cell r="O898"/>
          <cell r="P898"/>
          <cell r="Q898">
            <v>1.9985894999999997E-5</v>
          </cell>
          <cell r="R898">
            <v>5.3483578746909358E-7</v>
          </cell>
          <cell r="S898">
            <v>5.9426198607677063E-8</v>
          </cell>
          <cell r="T898">
            <v>2.6741789373454679E-7</v>
          </cell>
          <cell r="U898"/>
          <cell r="V898"/>
          <cell r="W898">
            <v>30000</v>
          </cell>
          <cell r="X898">
            <v>0.33333333333333331</v>
          </cell>
          <cell r="Y898">
            <v>0.33333333333333331</v>
          </cell>
          <cell r="Z898">
            <v>0.33333333333333331</v>
          </cell>
          <cell r="AA898"/>
        </row>
        <row r="899">
          <cell r="A899">
            <v>892</v>
          </cell>
          <cell r="B899" t="str">
            <v>N,N,4-TRIMETHYLANILINE</v>
          </cell>
          <cell r="C899" t="str">
            <v>99-97-8</v>
          </cell>
          <cell r="D899" t="str">
            <v>Base</v>
          </cell>
          <cell r="E899">
            <v>5.63</v>
          </cell>
          <cell r="F899">
            <v>135.21</v>
          </cell>
          <cell r="G899"/>
          <cell r="H899">
            <v>23.733333327399997</v>
          </cell>
          <cell r="I899">
            <v>650</v>
          </cell>
          <cell r="J899"/>
          <cell r="K899">
            <v>645.65422903465594</v>
          </cell>
          <cell r="L899"/>
          <cell r="M899"/>
          <cell r="N899"/>
          <cell r="O899"/>
          <cell r="P899"/>
          <cell r="Q899">
            <v>1.5199920000000001E-4</v>
          </cell>
          <cell r="R899">
            <v>2.1393431498763744E-7</v>
          </cell>
          <cell r="S899">
            <v>2.3770479443070826E-8</v>
          </cell>
          <cell r="T899">
            <v>1.0696715749381872E-7</v>
          </cell>
          <cell r="U899"/>
          <cell r="V899"/>
          <cell r="W899">
            <v>30000</v>
          </cell>
          <cell r="X899">
            <v>0.33333333333333331</v>
          </cell>
          <cell r="Y899">
            <v>0.33333333333333331</v>
          </cell>
          <cell r="Z899">
            <v>0.33333333333333331</v>
          </cell>
          <cell r="AA899"/>
        </row>
        <row r="900">
          <cell r="A900">
            <v>893</v>
          </cell>
          <cell r="B900" t="str">
            <v>MALEIC HYDRAZIDE</v>
          </cell>
          <cell r="C900" t="str">
            <v>123-33-1</v>
          </cell>
          <cell r="D900" t="str">
            <v>Base</v>
          </cell>
          <cell r="E900">
            <v>5.67</v>
          </cell>
          <cell r="F900">
            <v>112.09</v>
          </cell>
          <cell r="G900"/>
          <cell r="H900">
            <v>4.9066666654399994E-6</v>
          </cell>
          <cell r="I900">
            <v>4510</v>
          </cell>
          <cell r="J900"/>
          <cell r="K900">
            <v>0.14454397707459271</v>
          </cell>
          <cell r="L900"/>
          <cell r="M900"/>
          <cell r="N900"/>
          <cell r="O900"/>
          <cell r="P900"/>
          <cell r="Q900">
            <v>9.941999999999999E-6</v>
          </cell>
          <cell r="R900">
            <v>5.3483578746909358E-7</v>
          </cell>
          <cell r="S900">
            <v>5.9426198607677063E-8</v>
          </cell>
          <cell r="T900">
            <v>2.6741789373454678E-6</v>
          </cell>
          <cell r="U900"/>
          <cell r="V900"/>
          <cell r="W900">
            <v>30000</v>
          </cell>
          <cell r="X900">
            <v>0.33333333333333331</v>
          </cell>
          <cell r="Y900">
            <v>0.33333333333333331</v>
          </cell>
          <cell r="Z900">
            <v>0.33333333333333331</v>
          </cell>
          <cell r="AA900"/>
        </row>
        <row r="901">
          <cell r="A901">
            <v>894</v>
          </cell>
          <cell r="B901" t="str">
            <v>TRIFENMORPH</v>
          </cell>
          <cell r="C901" t="str">
            <v>1420-06-0</v>
          </cell>
          <cell r="D901" t="str">
            <v>Base</v>
          </cell>
          <cell r="E901">
            <v>5.76</v>
          </cell>
          <cell r="F901">
            <v>329.45</v>
          </cell>
          <cell r="G901"/>
          <cell r="H901">
            <v>3.7066666657399999E-6</v>
          </cell>
          <cell r="I901">
            <v>0.02</v>
          </cell>
          <cell r="J901"/>
          <cell r="K901">
            <v>16218.100973589309</v>
          </cell>
          <cell r="L901"/>
          <cell r="M901"/>
          <cell r="N901"/>
          <cell r="O901"/>
          <cell r="P901"/>
          <cell r="Q901">
            <v>1.1527971E-4</v>
          </cell>
          <cell r="R901">
            <v>1.3370894686727339E-7</v>
          </cell>
          <cell r="S901">
            <v>1.4856549651919266E-8</v>
          </cell>
          <cell r="T901">
            <v>6.6854473433636697E-8</v>
          </cell>
          <cell r="U901"/>
          <cell r="V901"/>
          <cell r="W901">
            <v>30000</v>
          </cell>
          <cell r="X901">
            <v>0.33333333333333331</v>
          </cell>
          <cell r="Y901">
            <v>0.33333333333333331</v>
          </cell>
          <cell r="Z901">
            <v>0.33333333333333331</v>
          </cell>
          <cell r="AA901"/>
        </row>
        <row r="902">
          <cell r="A902">
            <v>895</v>
          </cell>
          <cell r="B902" t="str">
            <v>2-ETHYLPYRIDINE</v>
          </cell>
          <cell r="C902" t="str">
            <v>100-71-0</v>
          </cell>
          <cell r="D902" t="str">
            <v>Base</v>
          </cell>
          <cell r="E902">
            <v>5.89</v>
          </cell>
          <cell r="F902">
            <v>107.16</v>
          </cell>
          <cell r="G902"/>
          <cell r="H902">
            <v>651.9999998369999</v>
          </cell>
          <cell r="I902">
            <v>340000</v>
          </cell>
          <cell r="J902"/>
          <cell r="K902">
            <v>48.977881936844632</v>
          </cell>
          <cell r="L902"/>
          <cell r="M902"/>
          <cell r="N902"/>
          <cell r="O902"/>
          <cell r="P902"/>
          <cell r="Q902">
            <v>1.5155025000000001E-6</v>
          </cell>
          <cell r="R902">
            <v>2.1393431498763744E-7</v>
          </cell>
          <cell r="S902">
            <v>2.3770479443070826E-8</v>
          </cell>
          <cell r="T902">
            <v>1.0696715749381872E-7</v>
          </cell>
          <cell r="U902"/>
          <cell r="V902"/>
          <cell r="W902">
            <v>30000</v>
          </cell>
          <cell r="X902">
            <v>0.33333333333333331</v>
          </cell>
          <cell r="Y902">
            <v>0.33333333333333331</v>
          </cell>
          <cell r="Z902">
            <v>0.33333333333333331</v>
          </cell>
          <cell r="AA902"/>
        </row>
        <row r="903">
          <cell r="A903">
            <v>896</v>
          </cell>
          <cell r="B903" t="str">
            <v>3-AMINOPYRIDINE</v>
          </cell>
          <cell r="C903" t="str">
            <v>462-08-8</v>
          </cell>
          <cell r="D903" t="str">
            <v>Base</v>
          </cell>
          <cell r="E903">
            <v>6.03</v>
          </cell>
          <cell r="F903">
            <v>94.12</v>
          </cell>
          <cell r="G903"/>
          <cell r="H903">
            <v>1.3599999996600001</v>
          </cell>
          <cell r="I903">
            <v>1000000</v>
          </cell>
          <cell r="J903"/>
          <cell r="K903">
            <v>1.288249551693134</v>
          </cell>
          <cell r="L903"/>
          <cell r="M903"/>
          <cell r="N903"/>
          <cell r="O903"/>
          <cell r="P903"/>
          <cell r="Q903">
            <v>1.5320085000000002E-5</v>
          </cell>
          <cell r="R903">
            <v>2.1393431498763744E-7</v>
          </cell>
          <cell r="S903">
            <v>2.3770479443070826E-8</v>
          </cell>
          <cell r="T903">
            <v>1.0696715749381872E-7</v>
          </cell>
          <cell r="U903"/>
          <cell r="V903"/>
          <cell r="W903">
            <v>30000</v>
          </cell>
          <cell r="X903">
            <v>0.33333333333333331</v>
          </cell>
          <cell r="Y903">
            <v>0.33333333333333331</v>
          </cell>
          <cell r="Z903">
            <v>0.33333333333333331</v>
          </cell>
          <cell r="AA903"/>
        </row>
        <row r="904">
          <cell r="A904">
            <v>897</v>
          </cell>
          <cell r="B904" t="str">
            <v>2-THIOURACIL</v>
          </cell>
          <cell r="C904" t="str">
            <v>141-90-2</v>
          </cell>
          <cell r="D904" t="str">
            <v>Base</v>
          </cell>
          <cell r="E904">
            <v>6.11</v>
          </cell>
          <cell r="F904">
            <v>128.15</v>
          </cell>
          <cell r="G904"/>
          <cell r="H904">
            <v>0.51066666653899995</v>
          </cell>
          <cell r="I904">
            <v>709</v>
          </cell>
          <cell r="J904"/>
          <cell r="K904">
            <v>7.9432823472428176</v>
          </cell>
          <cell r="L904"/>
          <cell r="M904"/>
          <cell r="N904"/>
          <cell r="O904"/>
          <cell r="P904"/>
          <cell r="Q904">
            <v>1.7220487500000001E-5</v>
          </cell>
          <cell r="R904">
            <v>5.3483578746909358E-7</v>
          </cell>
          <cell r="S904">
            <v>5.9426198607677063E-8</v>
          </cell>
          <cell r="T904">
            <v>2.6741789373454679E-7</v>
          </cell>
          <cell r="U904"/>
          <cell r="V904"/>
          <cell r="W904">
            <v>30000</v>
          </cell>
          <cell r="X904">
            <v>0.33333333333333331</v>
          </cell>
          <cell r="Y904">
            <v>0.33333333333333331</v>
          </cell>
          <cell r="Z904">
            <v>0.33333333333333331</v>
          </cell>
          <cell r="AA904"/>
        </row>
        <row r="905">
          <cell r="A905">
            <v>898</v>
          </cell>
          <cell r="B905" t="str">
            <v>1H,3H,5H-Oxazolo 3,4-c oxazole, 7a-ethyldihydro-</v>
          </cell>
          <cell r="C905" t="str">
            <v>7747-35-5</v>
          </cell>
          <cell r="D905" t="str">
            <v>Base</v>
          </cell>
          <cell r="E905">
            <v>6.18</v>
          </cell>
          <cell r="F905">
            <v>143.19</v>
          </cell>
          <cell r="G905"/>
          <cell r="H905">
            <v>98.533333308699994</v>
          </cell>
          <cell r="I905">
            <v>374600</v>
          </cell>
          <cell r="J905"/>
          <cell r="K905">
            <v>2.5118864315095806</v>
          </cell>
          <cell r="L905"/>
          <cell r="M905"/>
          <cell r="N905"/>
          <cell r="O905"/>
          <cell r="P905"/>
          <cell r="Q905">
            <v>6.3080947500000008E-5</v>
          </cell>
          <cell r="R905">
            <v>2.1393431498763744E-7</v>
          </cell>
          <cell r="S905">
            <v>2.3770479443070826E-8</v>
          </cell>
          <cell r="T905">
            <v>1.0696715749381872E-7</v>
          </cell>
          <cell r="U905"/>
          <cell r="V905"/>
          <cell r="W905">
            <v>30000</v>
          </cell>
          <cell r="X905">
            <v>0.33333333333333331</v>
          </cell>
          <cell r="Y905">
            <v>0.33333333333333331</v>
          </cell>
          <cell r="Z905">
            <v>0.33333333333333331</v>
          </cell>
          <cell r="AA905"/>
        </row>
        <row r="906">
          <cell r="A906">
            <v>899</v>
          </cell>
          <cell r="B906" t="str">
            <v>2,6-DIMETHYLQUINOLINE</v>
          </cell>
          <cell r="C906" t="str">
            <v>877-43-0</v>
          </cell>
          <cell r="D906" t="str">
            <v>Base</v>
          </cell>
          <cell r="E906">
            <v>6.18</v>
          </cell>
          <cell r="F906">
            <v>157.22</v>
          </cell>
          <cell r="G906"/>
          <cell r="H906">
            <v>0.57866666652199994</v>
          </cell>
          <cell r="I906">
            <v>1800</v>
          </cell>
          <cell r="J906"/>
          <cell r="K906">
            <v>1737.8008287493772</v>
          </cell>
          <cell r="L906"/>
          <cell r="M906"/>
          <cell r="N906"/>
          <cell r="O906"/>
          <cell r="P906"/>
          <cell r="Q906">
            <v>2.804592E-5</v>
          </cell>
          <cell r="R906">
            <v>2.1393431498763744E-7</v>
          </cell>
          <cell r="S906">
            <v>2.3770479443070826E-8</v>
          </cell>
          <cell r="T906">
            <v>1.0696715749381872E-7</v>
          </cell>
          <cell r="U906"/>
          <cell r="V906"/>
          <cell r="W906">
            <v>30000</v>
          </cell>
          <cell r="X906">
            <v>0.33333333333333331</v>
          </cell>
          <cell r="Y906">
            <v>0.33333333333333331</v>
          </cell>
          <cell r="Z906">
            <v>0.33333333333333331</v>
          </cell>
          <cell r="AA906"/>
        </row>
        <row r="907">
          <cell r="A907">
            <v>900</v>
          </cell>
          <cell r="B907" t="str">
            <v>PIROXICAM</v>
          </cell>
          <cell r="C907" t="str">
            <v>36322-90-4</v>
          </cell>
          <cell r="D907" t="str">
            <v>Base</v>
          </cell>
          <cell r="E907">
            <v>6.3</v>
          </cell>
          <cell r="F907">
            <v>331.35</v>
          </cell>
          <cell r="G907"/>
          <cell r="H907">
            <v>2.3333333327500002E-12</v>
          </cell>
          <cell r="I907">
            <v>23</v>
          </cell>
          <cell r="J907"/>
          <cell r="K907">
            <v>1148.1536214968839</v>
          </cell>
          <cell r="L907"/>
          <cell r="M907"/>
          <cell r="N907"/>
          <cell r="O907"/>
          <cell r="P907"/>
          <cell r="Q907">
            <v>2.4743557500000002E-5</v>
          </cell>
          <cell r="R907">
            <v>2.1393431498763744E-7</v>
          </cell>
          <cell r="S907">
            <v>2.3770479443070826E-8</v>
          </cell>
          <cell r="T907">
            <v>1.0696715749381872E-7</v>
          </cell>
          <cell r="U907"/>
          <cell r="V907"/>
          <cell r="W907">
            <v>30000</v>
          </cell>
          <cell r="X907">
            <v>0.33333333333333331</v>
          </cell>
          <cell r="Y907">
            <v>0.33333333333333331</v>
          </cell>
          <cell r="Z907">
            <v>0.33333333333333331</v>
          </cell>
          <cell r="AA907"/>
        </row>
        <row r="908">
          <cell r="A908">
            <v>901</v>
          </cell>
          <cell r="B908" t="str">
            <v>SULFADIAZINE</v>
          </cell>
          <cell r="C908" t="str">
            <v>68-35-9</v>
          </cell>
          <cell r="D908" t="str">
            <v>Base</v>
          </cell>
          <cell r="E908">
            <v>6.36</v>
          </cell>
          <cell r="F908">
            <v>250.28</v>
          </cell>
          <cell r="G908"/>
          <cell r="H908">
            <v>7.0133333315799988E-7</v>
          </cell>
          <cell r="I908">
            <v>77</v>
          </cell>
          <cell r="J908"/>
          <cell r="K908">
            <v>0.81283051616409918</v>
          </cell>
          <cell r="L908"/>
          <cell r="M908"/>
          <cell r="N908"/>
          <cell r="O908"/>
          <cell r="P908"/>
          <cell r="Q908">
            <v>2.1034702500000001E-5</v>
          </cell>
          <cell r="R908">
            <v>2.1393431498763744E-7</v>
          </cell>
          <cell r="S908">
            <v>2.3770479443070826E-8</v>
          </cell>
          <cell r="T908">
            <v>1.0696715749381872E-7</v>
          </cell>
          <cell r="U908"/>
          <cell r="V908"/>
          <cell r="W908">
            <v>30000</v>
          </cell>
          <cell r="X908">
            <v>0.33333333333333331</v>
          </cell>
          <cell r="Y908">
            <v>0.33333333333333331</v>
          </cell>
          <cell r="Z908">
            <v>0.33333333333333331</v>
          </cell>
          <cell r="AA908"/>
        </row>
        <row r="909">
          <cell r="A909">
            <v>902</v>
          </cell>
          <cell r="B909" t="str">
            <v>N-Nitroso-N-methyl-N'-nitroguanidine</v>
          </cell>
          <cell r="C909" t="str">
            <v>70-25-7</v>
          </cell>
          <cell r="D909" t="str">
            <v>Base</v>
          </cell>
          <cell r="E909">
            <v>6.53</v>
          </cell>
          <cell r="F909">
            <v>147.09</v>
          </cell>
          <cell r="G909"/>
          <cell r="H909">
            <v>1.5999999995999999E-2</v>
          </cell>
          <cell r="I909">
            <v>477700</v>
          </cell>
          <cell r="J909"/>
          <cell r="K909">
            <v>0.12022644346174129</v>
          </cell>
          <cell r="L909"/>
          <cell r="M909"/>
          <cell r="N909"/>
          <cell r="O909"/>
          <cell r="P909"/>
          <cell r="Q909">
            <v>9.4860000000000001E-7</v>
          </cell>
          <cell r="R909">
            <v>2.1393431498763744E-7</v>
          </cell>
          <cell r="S909">
            <v>2.3770479443070826E-8</v>
          </cell>
          <cell r="T909">
            <v>1.0696715749381872E-7</v>
          </cell>
          <cell r="U909"/>
          <cell r="V909"/>
          <cell r="W909">
            <v>30000</v>
          </cell>
          <cell r="X909">
            <v>0.33333333333333331</v>
          </cell>
          <cell r="Y909">
            <v>0.33333333333333331</v>
          </cell>
          <cell r="Z909">
            <v>0.33333333333333331</v>
          </cell>
          <cell r="AA909"/>
        </row>
        <row r="910">
          <cell r="A910">
            <v>903</v>
          </cell>
          <cell r="B910" t="str">
            <v>N-ETHYL-N'-NITRO-N-NITROSOGUANIDINE</v>
          </cell>
          <cell r="C910" t="str">
            <v>63885-23-4</v>
          </cell>
          <cell r="D910" t="str">
            <v>Base</v>
          </cell>
          <cell r="E910">
            <v>6.53</v>
          </cell>
          <cell r="F910">
            <v>161.12</v>
          </cell>
          <cell r="G910"/>
          <cell r="H910">
            <v>8.4133333312300003E-3</v>
          </cell>
          <cell r="I910">
            <v>157500</v>
          </cell>
          <cell r="J910"/>
          <cell r="K910">
            <v>0.37153522909717251</v>
          </cell>
          <cell r="L910"/>
          <cell r="M910"/>
          <cell r="N910"/>
          <cell r="O910"/>
          <cell r="P910"/>
          <cell r="Q910">
            <v>6.64011E-6</v>
          </cell>
          <cell r="R910">
            <v>2.1393431498763744E-7</v>
          </cell>
          <cell r="S910">
            <v>2.3770479443070826E-8</v>
          </cell>
          <cell r="T910">
            <v>1.0696715749381872E-7</v>
          </cell>
          <cell r="U910"/>
          <cell r="V910"/>
          <cell r="W910">
            <v>30000</v>
          </cell>
          <cell r="X910">
            <v>0.33333333333333331</v>
          </cell>
          <cell r="Y910">
            <v>0.33333333333333331</v>
          </cell>
          <cell r="Z910">
            <v>0.33333333333333331</v>
          </cell>
          <cell r="AA910"/>
        </row>
        <row r="911">
          <cell r="A911">
            <v>904</v>
          </cell>
          <cell r="B911" t="str">
            <v>N-PROPYL-N'-NITRO-N-NITROSOGUANIDINE</v>
          </cell>
          <cell r="C911" t="str">
            <v>13010-07-6</v>
          </cell>
          <cell r="D911" t="str">
            <v>Base</v>
          </cell>
          <cell r="E911">
            <v>6.53</v>
          </cell>
          <cell r="F911">
            <v>175.15</v>
          </cell>
          <cell r="G911"/>
          <cell r="H911">
            <v>3.7333333323999996E-3</v>
          </cell>
          <cell r="I911">
            <v>51510</v>
          </cell>
          <cell r="J911"/>
          <cell r="K911">
            <v>1.1481536214968828</v>
          </cell>
          <cell r="L911"/>
          <cell r="M911"/>
          <cell r="N911"/>
          <cell r="O911"/>
          <cell r="P911"/>
          <cell r="Q911">
            <v>9.0000975000000003E-6</v>
          </cell>
          <cell r="R911">
            <v>2.1393431498763744E-7</v>
          </cell>
          <cell r="S911">
            <v>2.3770479443070826E-8</v>
          </cell>
          <cell r="T911">
            <v>1.0696715749381872E-7</v>
          </cell>
          <cell r="U911"/>
          <cell r="V911"/>
          <cell r="W911">
            <v>30000</v>
          </cell>
          <cell r="X911">
            <v>0.33333333333333331</v>
          </cell>
          <cell r="Y911">
            <v>0.33333333333333331</v>
          </cell>
          <cell r="Z911">
            <v>0.33333333333333331</v>
          </cell>
          <cell r="AA911"/>
        </row>
        <row r="912">
          <cell r="A912">
            <v>905</v>
          </cell>
          <cell r="B912" t="str">
            <v>Sulfentrazone</v>
          </cell>
          <cell r="C912" t="str">
            <v>122836-35-5</v>
          </cell>
          <cell r="D912" t="str">
            <v>Base</v>
          </cell>
          <cell r="E912">
            <v>6.56</v>
          </cell>
          <cell r="F912">
            <v>387.19</v>
          </cell>
          <cell r="G912"/>
          <cell r="H912">
            <v>1.2999999996750001E-7</v>
          </cell>
          <cell r="I912">
            <v>780</v>
          </cell>
          <cell r="J912"/>
          <cell r="K912">
            <v>446.68359215096331</v>
          </cell>
          <cell r="L912"/>
          <cell r="M912"/>
          <cell r="N912"/>
          <cell r="O912"/>
          <cell r="P912"/>
          <cell r="Q912">
            <v>1.8341429999999999E-5</v>
          </cell>
          <cell r="R912">
            <v>1.3370894686727339E-7</v>
          </cell>
          <cell r="S912">
            <v>1.4856549651919266E-8</v>
          </cell>
          <cell r="T912">
            <v>1.4829088377146772E-8</v>
          </cell>
          <cell r="U912"/>
          <cell r="V912"/>
          <cell r="W912">
            <v>30000</v>
          </cell>
          <cell r="X912">
            <v>0.33333333333333331</v>
          </cell>
          <cell r="Y912">
            <v>0.33333333333333331</v>
          </cell>
          <cell r="Z912">
            <v>0.33333333333333331</v>
          </cell>
          <cell r="AA912"/>
        </row>
        <row r="913">
          <cell r="A913">
            <v>906</v>
          </cell>
          <cell r="B913" t="str">
            <v>RESERPINE</v>
          </cell>
          <cell r="C913" t="str">
            <v>50-55-5</v>
          </cell>
          <cell r="D913" t="str">
            <v>Base</v>
          </cell>
          <cell r="E913">
            <v>6.6</v>
          </cell>
          <cell r="F913">
            <v>608.69000000000005</v>
          </cell>
          <cell r="G913"/>
          <cell r="H913">
            <v>1.57333333294E-13</v>
          </cell>
          <cell r="I913">
            <v>73</v>
          </cell>
          <cell r="J913"/>
          <cell r="K913">
            <v>2089.2961308540398</v>
          </cell>
          <cell r="L913"/>
          <cell r="M913"/>
          <cell r="N913"/>
          <cell r="O913"/>
          <cell r="P913"/>
          <cell r="Q913">
            <v>2.8132416000000002E-4</v>
          </cell>
          <cell r="R913">
            <v>4.45696489557578E-8</v>
          </cell>
          <cell r="S913">
            <v>4.9521832173064224E-9</v>
          </cell>
          <cell r="T913">
            <v>2.22848244778789E-8</v>
          </cell>
          <cell r="U913"/>
          <cell r="V913"/>
          <cell r="W913">
            <v>30000</v>
          </cell>
          <cell r="X913">
            <v>0.33333333333333331</v>
          </cell>
          <cell r="Y913">
            <v>0.33333333333333331</v>
          </cell>
          <cell r="Z913">
            <v>0.33333333333333331</v>
          </cell>
          <cell r="AA913"/>
        </row>
        <row r="914">
          <cell r="A914">
            <v>907</v>
          </cell>
          <cell r="B914" t="str">
            <v>Buprofezin</v>
          </cell>
          <cell r="C914" t="str">
            <v>69327-76-0</v>
          </cell>
          <cell r="D914" t="str">
            <v>Base</v>
          </cell>
          <cell r="E914">
            <v>6.62</v>
          </cell>
          <cell r="F914">
            <v>305.44</v>
          </cell>
          <cell r="G914"/>
          <cell r="H914">
            <v>1.25333333302E-3</v>
          </cell>
          <cell r="I914">
            <v>0.9</v>
          </cell>
          <cell r="J914"/>
          <cell r="K914">
            <v>19952.623149688792</v>
          </cell>
          <cell r="L914"/>
          <cell r="M914"/>
          <cell r="N914"/>
          <cell r="O914"/>
          <cell r="P914"/>
          <cell r="Q914">
            <v>4.0332179999999998E-5</v>
          </cell>
          <cell r="R914">
            <v>2.1393431498763744E-7</v>
          </cell>
          <cell r="S914">
            <v>2.3770479443070826E-8</v>
          </cell>
          <cell r="T914">
            <v>1.7593282482535974E-7</v>
          </cell>
          <cell r="U914"/>
          <cell r="V914"/>
          <cell r="W914">
            <v>30000</v>
          </cell>
          <cell r="X914">
            <v>0.33333333333333331</v>
          </cell>
          <cell r="Y914">
            <v>0.33333333333333331</v>
          </cell>
          <cell r="Z914">
            <v>0.33333333333333331</v>
          </cell>
          <cell r="AA914"/>
        </row>
        <row r="915">
          <cell r="A915">
            <v>908</v>
          </cell>
          <cell r="B915" t="str">
            <v>Astemizole</v>
          </cell>
          <cell r="C915" t="str">
            <v>68844-77-9</v>
          </cell>
          <cell r="D915" t="str">
            <v>Base</v>
          </cell>
          <cell r="E915">
            <v>6.68</v>
          </cell>
          <cell r="F915">
            <v>458.58</v>
          </cell>
          <cell r="G915"/>
          <cell r="H915">
            <v>1.9599999995099999E-10</v>
          </cell>
          <cell r="I915">
            <v>4.3159999999999997E-2</v>
          </cell>
          <cell r="J915"/>
          <cell r="K915">
            <v>2691534.8039269177</v>
          </cell>
          <cell r="L915"/>
          <cell r="M915"/>
          <cell r="N915"/>
          <cell r="O915"/>
          <cell r="P915"/>
          <cell r="Q915">
            <v>2.7019551000000001E-4</v>
          </cell>
          <cell r="R915">
            <v>4.45696489557578E-8</v>
          </cell>
          <cell r="S915">
            <v>4.9521832173064224E-9</v>
          </cell>
          <cell r="T915">
            <v>2.22848244778789E-8</v>
          </cell>
          <cell r="U915"/>
          <cell r="V915"/>
          <cell r="W915">
            <v>30000</v>
          </cell>
          <cell r="X915">
            <v>0.33333333333333331</v>
          </cell>
          <cell r="Y915">
            <v>0.33333333333333331</v>
          </cell>
          <cell r="Z915">
            <v>0.33333333333333331</v>
          </cell>
          <cell r="AA915"/>
        </row>
        <row r="916">
          <cell r="A916">
            <v>909</v>
          </cell>
          <cell r="B916" t="str">
            <v>1H-IMIDAZOLE, 1-(PHENYLMETHYL)-</v>
          </cell>
          <cell r="C916" t="str">
            <v>4238-71-5</v>
          </cell>
          <cell r="D916" t="str">
            <v>Base</v>
          </cell>
          <cell r="E916">
            <v>6.7</v>
          </cell>
          <cell r="F916">
            <v>158.19999999999999</v>
          </cell>
          <cell r="G916"/>
          <cell r="H916">
            <v>6.0266666651599993E-2</v>
          </cell>
          <cell r="I916">
            <v>3000</v>
          </cell>
          <cell r="J916"/>
          <cell r="K916">
            <v>39.810717055349755</v>
          </cell>
          <cell r="L916"/>
          <cell r="M916"/>
          <cell r="N916"/>
          <cell r="O916"/>
          <cell r="P916"/>
          <cell r="Q916">
            <v>3.1334302499999999E-5</v>
          </cell>
          <cell r="R916">
            <v>5.3483578746909358E-7</v>
          </cell>
          <cell r="S916">
            <v>5.9426198607677063E-8</v>
          </cell>
          <cell r="T916">
            <v>2.6741789373454679E-7</v>
          </cell>
          <cell r="U916"/>
          <cell r="V916"/>
          <cell r="W916">
            <v>30000</v>
          </cell>
          <cell r="X916">
            <v>0.33333333333333331</v>
          </cell>
          <cell r="Y916">
            <v>0.33333333333333331</v>
          </cell>
          <cell r="Z916">
            <v>0.33333333333333331</v>
          </cell>
          <cell r="AA916"/>
        </row>
        <row r="917">
          <cell r="A917">
            <v>910</v>
          </cell>
          <cell r="B917" t="str">
            <v>2-DIMETHYLAMINOPYRIDINE</v>
          </cell>
          <cell r="C917" t="str">
            <v>5683-33-0</v>
          </cell>
          <cell r="D917" t="str">
            <v>Base</v>
          </cell>
          <cell r="E917">
            <v>6.75</v>
          </cell>
          <cell r="F917">
            <v>122.17</v>
          </cell>
          <cell r="G917"/>
          <cell r="H917">
            <v>1.2386666663569998</v>
          </cell>
          <cell r="I917">
            <v>3841</v>
          </cell>
          <cell r="J917"/>
          <cell r="K917">
            <v>44.668359215096324</v>
          </cell>
          <cell r="L917"/>
          <cell r="M917"/>
          <cell r="N917"/>
          <cell r="O917"/>
          <cell r="P917"/>
          <cell r="Q917">
            <v>5.4530587499999998E-5</v>
          </cell>
          <cell r="R917">
            <v>2.1393431498763744E-7</v>
          </cell>
          <cell r="S917">
            <v>2.3770479443070826E-8</v>
          </cell>
          <cell r="T917">
            <v>1.0696715749381872E-7</v>
          </cell>
          <cell r="U917"/>
          <cell r="V917"/>
          <cell r="W917">
            <v>30000</v>
          </cell>
          <cell r="X917">
            <v>0.33333333333333331</v>
          </cell>
          <cell r="Y917">
            <v>0.33333333333333331</v>
          </cell>
          <cell r="Z917">
            <v>0.33333333333333331</v>
          </cell>
          <cell r="AA917"/>
        </row>
        <row r="918">
          <cell r="A918">
            <v>911</v>
          </cell>
          <cell r="B918" t="str">
            <v>3-Amino-1-methyl-5H-pyrido(4,3-b)indole acetate</v>
          </cell>
          <cell r="C918" t="str">
            <v>72254-58-1</v>
          </cell>
          <cell r="D918" t="str">
            <v>Base</v>
          </cell>
          <cell r="E918">
            <v>6.79</v>
          </cell>
          <cell r="F918">
            <v>255.28</v>
          </cell>
          <cell r="G918"/>
          <cell r="H918">
            <v>5.7733333318899997E-6</v>
          </cell>
          <cell r="I918">
            <v>18.32</v>
          </cell>
          <cell r="J918"/>
          <cell r="K918">
            <v>204.17379446695315</v>
          </cell>
          <cell r="L918"/>
          <cell r="M918"/>
          <cell r="N918"/>
          <cell r="O918"/>
          <cell r="P918"/>
          <cell r="Q918">
            <v>1.5013362000000001E-4</v>
          </cell>
          <cell r="R918">
            <v>2.1393431498763744E-7</v>
          </cell>
          <cell r="S918">
            <v>2.3770479443070826E-8</v>
          </cell>
          <cell r="T918">
            <v>1.0696715749381872E-7</v>
          </cell>
          <cell r="U918"/>
          <cell r="V918"/>
          <cell r="W918">
            <v>30000</v>
          </cell>
          <cell r="X918">
            <v>0.33333333333333331</v>
          </cell>
          <cell r="Y918">
            <v>0.33333333333333331</v>
          </cell>
          <cell r="Z918">
            <v>0.33333333333333331</v>
          </cell>
          <cell r="AA918"/>
        </row>
        <row r="919">
          <cell r="A919">
            <v>912</v>
          </cell>
          <cell r="B919" t="str">
            <v>CIMETIDINE</v>
          </cell>
          <cell r="C919" t="str">
            <v>51481-61-9</v>
          </cell>
          <cell r="D919" t="str">
            <v>Base</v>
          </cell>
          <cell r="E919">
            <v>6.8</v>
          </cell>
          <cell r="F919">
            <v>252.34</v>
          </cell>
          <cell r="G919"/>
          <cell r="H919">
            <v>7.3199999981699995E-7</v>
          </cell>
          <cell r="I919">
            <v>9380</v>
          </cell>
          <cell r="J919"/>
          <cell r="K919">
            <v>2.5118864315095806</v>
          </cell>
          <cell r="L919"/>
          <cell r="M919"/>
          <cell r="N919"/>
          <cell r="O919"/>
          <cell r="P919"/>
          <cell r="Q919">
            <v>1.5734712749999999E-4</v>
          </cell>
          <cell r="R919">
            <v>2.1393431498763744E-7</v>
          </cell>
          <cell r="S919">
            <v>2.3770479443070826E-8</v>
          </cell>
          <cell r="T919">
            <v>1.0696715749381872E-7</v>
          </cell>
          <cell r="U919"/>
          <cell r="V919"/>
          <cell r="W919">
            <v>30000</v>
          </cell>
          <cell r="X919">
            <v>0.33333333333333331</v>
          </cell>
          <cell r="Y919">
            <v>0.33333333333333331</v>
          </cell>
          <cell r="Z919">
            <v>0.33333333333333331</v>
          </cell>
          <cell r="AA919"/>
        </row>
        <row r="920">
          <cell r="A920">
            <v>913</v>
          </cell>
          <cell r="B920" t="str">
            <v>1H-IMIDAZOLE, 4-METHYL-</v>
          </cell>
          <cell r="C920" t="str">
            <v>822-36-6</v>
          </cell>
          <cell r="D920" t="str">
            <v>Base</v>
          </cell>
          <cell r="E920">
            <v>6.81</v>
          </cell>
          <cell r="F920">
            <v>82.11</v>
          </cell>
          <cell r="G920"/>
          <cell r="H920">
            <v>0.93733333309899991</v>
          </cell>
          <cell r="I920">
            <v>82460</v>
          </cell>
          <cell r="J920"/>
          <cell r="K920">
            <v>1.6982436524617444</v>
          </cell>
          <cell r="L920"/>
          <cell r="M920"/>
          <cell r="N920"/>
          <cell r="O920"/>
          <cell r="P920"/>
          <cell r="Q920">
            <v>7.0588139999999992E-5</v>
          </cell>
          <cell r="R920">
            <v>5.3483578746909358E-7</v>
          </cell>
          <cell r="S920">
            <v>5.9426198607677063E-8</v>
          </cell>
          <cell r="T920">
            <v>2.6741789373454679E-7</v>
          </cell>
          <cell r="U920"/>
          <cell r="V920"/>
          <cell r="W920">
            <v>30000</v>
          </cell>
          <cell r="X920">
            <v>0.33333333333333331</v>
          </cell>
          <cell r="Y920">
            <v>0.33333333333333331</v>
          </cell>
          <cell r="Z920">
            <v>0.33333333333333331</v>
          </cell>
          <cell r="AA920"/>
        </row>
        <row r="921">
          <cell r="A921">
            <v>914</v>
          </cell>
          <cell r="B921" t="str">
            <v>2-AMINOPYRIDINE</v>
          </cell>
          <cell r="C921" t="str">
            <v>504-29-0</v>
          </cell>
          <cell r="D921" t="str">
            <v>Base</v>
          </cell>
          <cell r="E921">
            <v>6.86</v>
          </cell>
          <cell r="F921">
            <v>94.12</v>
          </cell>
          <cell r="G921"/>
          <cell r="H921">
            <v>12.999999996749999</v>
          </cell>
          <cell r="I921">
            <v>890000</v>
          </cell>
          <cell r="J921"/>
          <cell r="K921">
            <v>3.0199517204020165</v>
          </cell>
          <cell r="L921"/>
          <cell r="M921"/>
          <cell r="N921"/>
          <cell r="O921"/>
          <cell r="P921"/>
          <cell r="Q921">
            <v>1.5320085000000002E-5</v>
          </cell>
          <cell r="R921">
            <v>2.1393431498763744E-7</v>
          </cell>
          <cell r="S921">
            <v>2.3770479443070826E-8</v>
          </cell>
          <cell r="T921">
            <v>1.0696715749381872E-7</v>
          </cell>
          <cell r="U921"/>
          <cell r="V921"/>
          <cell r="W921">
            <v>30000</v>
          </cell>
          <cell r="X921">
            <v>0.33333333333333331</v>
          </cell>
          <cell r="Y921">
            <v>0.33333333333333331</v>
          </cell>
          <cell r="Z921">
            <v>0.33333333333333331</v>
          </cell>
          <cell r="AA921"/>
        </row>
        <row r="922">
          <cell r="A922">
            <v>915</v>
          </cell>
          <cell r="B922" t="str">
            <v>Methylthiouracil</v>
          </cell>
          <cell r="C922" t="str">
            <v>56-04-2</v>
          </cell>
          <cell r="D922" t="str">
            <v>Base</v>
          </cell>
          <cell r="E922">
            <v>6.94</v>
          </cell>
          <cell r="F922">
            <v>142.18</v>
          </cell>
          <cell r="G922"/>
          <cell r="H922">
            <v>1.8399999995399999E-4</v>
          </cell>
          <cell r="I922">
            <v>533</v>
          </cell>
          <cell r="J922"/>
          <cell r="K922">
            <v>28.183829312644548</v>
          </cell>
          <cell r="L922"/>
          <cell r="M922"/>
          <cell r="N922"/>
          <cell r="O922"/>
          <cell r="P922"/>
          <cell r="Q922">
            <v>4.4888640000000005E-5</v>
          </cell>
          <cell r="R922">
            <v>5.3483578746909358E-7</v>
          </cell>
          <cell r="S922">
            <v>5.9426198607677063E-8</v>
          </cell>
          <cell r="T922">
            <v>2.6741789373454679E-7</v>
          </cell>
          <cell r="U922"/>
          <cell r="V922"/>
          <cell r="W922">
            <v>30000</v>
          </cell>
          <cell r="X922">
            <v>0.33333333333333331</v>
          </cell>
          <cell r="Y922">
            <v>0.33333333333333331</v>
          </cell>
          <cell r="Z922">
            <v>0.33333333333333331</v>
          </cell>
          <cell r="AA922"/>
        </row>
        <row r="923">
          <cell r="A923">
            <v>916</v>
          </cell>
          <cell r="B923" t="str">
            <v>IMIDAZOLE</v>
          </cell>
          <cell r="C923" t="str">
            <v>288-32-4</v>
          </cell>
          <cell r="D923" t="str">
            <v>Base</v>
          </cell>
          <cell r="E923">
            <v>6.95</v>
          </cell>
          <cell r="F923">
            <v>68.08</v>
          </cell>
          <cell r="G923"/>
          <cell r="H923">
            <v>0.57866666652199994</v>
          </cell>
          <cell r="I923">
            <v>159100</v>
          </cell>
          <cell r="J923"/>
          <cell r="K923">
            <v>0.83176377110267097</v>
          </cell>
          <cell r="L923"/>
          <cell r="M923"/>
          <cell r="N923"/>
          <cell r="O923"/>
          <cell r="P923"/>
          <cell r="Q923">
            <v>2.6925000000000001E-5</v>
          </cell>
          <cell r="R923">
            <v>5.3483578746909358E-7</v>
          </cell>
          <cell r="S923">
            <v>5.9426198607677063E-8</v>
          </cell>
          <cell r="T923">
            <v>2.6741789373454679E-7</v>
          </cell>
          <cell r="U923"/>
          <cell r="V923"/>
          <cell r="W923">
            <v>30000</v>
          </cell>
          <cell r="X923">
            <v>0.33333333333333331</v>
          </cell>
          <cell r="Y923">
            <v>0.33333333333333331</v>
          </cell>
          <cell r="Z923">
            <v>0.33333333333333331</v>
          </cell>
          <cell r="AA923"/>
        </row>
        <row r="924">
          <cell r="A924">
            <v>917</v>
          </cell>
          <cell r="B924" t="str">
            <v>Retrorsine</v>
          </cell>
          <cell r="C924" t="str">
            <v>480-54-6</v>
          </cell>
          <cell r="D924" t="str">
            <v>Base</v>
          </cell>
          <cell r="E924">
            <v>7.1</v>
          </cell>
          <cell r="F924">
            <v>351.4</v>
          </cell>
          <cell r="G924"/>
          <cell r="H924">
            <v>2.5199999993699999E-12</v>
          </cell>
          <cell r="I924">
            <v>100200</v>
          </cell>
          <cell r="J924"/>
          <cell r="K924">
            <v>0.56234132519034907</v>
          </cell>
          <cell r="L924"/>
          <cell r="M924"/>
          <cell r="N924"/>
          <cell r="O924"/>
          <cell r="P924"/>
          <cell r="Q924">
            <v>1.3007079750000002E-4</v>
          </cell>
          <cell r="R924">
            <v>2.1393431498763744E-7</v>
          </cell>
          <cell r="S924">
            <v>2.3770479443070826E-8</v>
          </cell>
          <cell r="T924">
            <v>1.0696715749381872E-7</v>
          </cell>
          <cell r="U924"/>
          <cell r="V924"/>
          <cell r="W924">
            <v>30000</v>
          </cell>
          <cell r="X924">
            <v>0.33333333333333331</v>
          </cell>
          <cell r="Y924">
            <v>0.33333333333333331</v>
          </cell>
          <cell r="Z924">
            <v>0.33333333333333331</v>
          </cell>
          <cell r="AA924"/>
        </row>
        <row r="925">
          <cell r="A925">
            <v>918</v>
          </cell>
          <cell r="B925" t="str">
            <v>1-Hexadecanamine, N,N-dimethyl-</v>
          </cell>
          <cell r="C925" t="str">
            <v>112-69-6</v>
          </cell>
          <cell r="D925" t="str">
            <v>Base</v>
          </cell>
          <cell r="E925">
            <v>7.12</v>
          </cell>
          <cell r="F925">
            <v>269.52</v>
          </cell>
          <cell r="G925"/>
          <cell r="H925">
            <v>3.8133333323799999E-2</v>
          </cell>
          <cell r="I925">
            <v>8.8830000000000006E-2</v>
          </cell>
          <cell r="J925"/>
          <cell r="K925">
            <v>25703957.827688646</v>
          </cell>
          <cell r="L925"/>
          <cell r="M925"/>
          <cell r="N925"/>
          <cell r="O925"/>
          <cell r="P925"/>
          <cell r="Q925">
            <v>7.4174512499999997E-5</v>
          </cell>
          <cell r="R925">
            <v>2.1393431498763744E-7</v>
          </cell>
          <cell r="S925">
            <v>2.3770479443070826E-8</v>
          </cell>
          <cell r="T925">
            <v>1.0696715749381872E-7</v>
          </cell>
          <cell r="U925"/>
          <cell r="V925"/>
          <cell r="W925">
            <v>30000</v>
          </cell>
          <cell r="X925">
            <v>0.33333333333333331</v>
          </cell>
          <cell r="Y925">
            <v>0.33333333333333331</v>
          </cell>
          <cell r="Z925">
            <v>0.33333333333333331</v>
          </cell>
          <cell r="AA925"/>
        </row>
        <row r="926">
          <cell r="A926">
            <v>919</v>
          </cell>
          <cell r="B926" t="str">
            <v>1,1-Dimethyl hydrazine</v>
          </cell>
          <cell r="C926" t="str">
            <v>57-14-7</v>
          </cell>
          <cell r="D926" t="str">
            <v>Base</v>
          </cell>
          <cell r="E926">
            <v>7.21</v>
          </cell>
          <cell r="F926">
            <v>60.1</v>
          </cell>
          <cell r="G926"/>
          <cell r="H926">
            <v>21733.3333279</v>
          </cell>
          <cell r="I926">
            <v>1000000</v>
          </cell>
          <cell r="J926"/>
          <cell r="K926">
            <v>6.4565422903465536E-2</v>
          </cell>
          <cell r="L926"/>
          <cell r="M926"/>
          <cell r="N926"/>
          <cell r="O926"/>
          <cell r="P926"/>
          <cell r="Q926">
            <v>1.8972E-6</v>
          </cell>
          <cell r="R926">
            <v>5.3483578746909358E-7</v>
          </cell>
          <cell r="S926">
            <v>5.9426198607677063E-8</v>
          </cell>
          <cell r="T926">
            <v>2.6741789373454679E-7</v>
          </cell>
          <cell r="U926"/>
          <cell r="V926"/>
          <cell r="W926">
            <v>30000</v>
          </cell>
          <cell r="X926">
            <v>0.33333333333333331</v>
          </cell>
          <cell r="Y926">
            <v>0.33333333333333331</v>
          </cell>
          <cell r="Z926">
            <v>0.33333333333333331</v>
          </cell>
          <cell r="AA926"/>
        </row>
        <row r="927">
          <cell r="A927">
            <v>920</v>
          </cell>
          <cell r="B927" t="str">
            <v>S,S'-(2-(DIMETHYLAMINO)-1,3-PROPANEDIYL) CARBAM*</v>
          </cell>
          <cell r="C927" t="str">
            <v>15263-52-2</v>
          </cell>
          <cell r="D927" t="str">
            <v>Base</v>
          </cell>
          <cell r="E927">
            <v>7.21</v>
          </cell>
          <cell r="F927">
            <v>237.34</v>
          </cell>
          <cell r="G927"/>
          <cell r="H927">
            <v>1.26666666635E-6</v>
          </cell>
          <cell r="I927">
            <v>200000</v>
          </cell>
          <cell r="J927"/>
          <cell r="K927">
            <v>0.11220184543019632</v>
          </cell>
          <cell r="L927"/>
          <cell r="M927"/>
          <cell r="N927"/>
          <cell r="O927"/>
          <cell r="P927"/>
          <cell r="Q927">
            <v>9.6784252500000008E-5</v>
          </cell>
          <cell r="R927">
            <v>2.1393431498763744E-7</v>
          </cell>
          <cell r="S927">
            <v>2.3770479443070826E-8</v>
          </cell>
          <cell r="T927">
            <v>1.0696715749381872E-7</v>
          </cell>
          <cell r="U927"/>
          <cell r="V927"/>
          <cell r="W927">
            <v>30000</v>
          </cell>
          <cell r="X927">
            <v>0.33333333333333331</v>
          </cell>
          <cell r="Y927">
            <v>0.33333333333333331</v>
          </cell>
          <cell r="Z927">
            <v>0.33333333333333331</v>
          </cell>
          <cell r="AA927"/>
        </row>
        <row r="928">
          <cell r="A928">
            <v>921</v>
          </cell>
          <cell r="B928" t="str">
            <v>Cartap</v>
          </cell>
          <cell r="C928" t="str">
            <v>15263-53-3</v>
          </cell>
          <cell r="D928" t="str">
            <v>Base</v>
          </cell>
          <cell r="E928">
            <v>7.21</v>
          </cell>
          <cell r="F928">
            <v>237.34</v>
          </cell>
          <cell r="G928"/>
          <cell r="H928">
            <v>1.26666666635E-6</v>
          </cell>
          <cell r="I928">
            <v>200000</v>
          </cell>
          <cell r="J928"/>
          <cell r="K928">
            <v>0.11220184543019632</v>
          </cell>
          <cell r="L928"/>
          <cell r="M928"/>
          <cell r="N928"/>
          <cell r="O928"/>
          <cell r="P928"/>
          <cell r="Q928">
            <v>9.6784252500000008E-5</v>
          </cell>
          <cell r="R928">
            <v>2.1393431498763744E-7</v>
          </cell>
          <cell r="S928">
            <v>2.3770479443070826E-8</v>
          </cell>
          <cell r="T928">
            <v>2.6741789373454678E-6</v>
          </cell>
          <cell r="U928"/>
          <cell r="V928"/>
          <cell r="W928">
            <v>30000</v>
          </cell>
          <cell r="X928">
            <v>0.33333333333333331</v>
          </cell>
          <cell r="Y928">
            <v>0.33333333333333331</v>
          </cell>
          <cell r="Z928">
            <v>0.33333333333333331</v>
          </cell>
          <cell r="AA928"/>
        </row>
        <row r="929">
          <cell r="A929">
            <v>922</v>
          </cell>
          <cell r="B929" t="str">
            <v>Phenobarbital</v>
          </cell>
          <cell r="C929" t="str">
            <v>50-06-6</v>
          </cell>
          <cell r="D929" t="str">
            <v>Base</v>
          </cell>
          <cell r="E929">
            <v>7.3</v>
          </cell>
          <cell r="F929">
            <v>232.24</v>
          </cell>
          <cell r="G929"/>
          <cell r="H929">
            <v>1.8133333328799998E-9</v>
          </cell>
          <cell r="I929">
            <v>1110</v>
          </cell>
          <cell r="J929"/>
          <cell r="K929">
            <v>29.512092266663863</v>
          </cell>
          <cell r="L929"/>
          <cell r="M929"/>
          <cell r="N929"/>
          <cell r="O929"/>
          <cell r="P929"/>
          <cell r="Q929">
            <v>7.5792299999999998E-6</v>
          </cell>
          <cell r="R929">
            <v>2.1393431498763744E-7</v>
          </cell>
          <cell r="S929">
            <v>2.3770479443070826E-8</v>
          </cell>
          <cell r="T929">
            <v>1.0696715749381872E-7</v>
          </cell>
          <cell r="U929"/>
          <cell r="V929"/>
          <cell r="W929">
            <v>30000</v>
          </cell>
          <cell r="X929">
            <v>0.33333333333333331</v>
          </cell>
          <cell r="Y929">
            <v>0.33333333333333331</v>
          </cell>
          <cell r="Z929">
            <v>0.33333333333333331</v>
          </cell>
          <cell r="AA929"/>
        </row>
        <row r="930">
          <cell r="A930">
            <v>923</v>
          </cell>
          <cell r="B930" t="str">
            <v>UREA, N-ETHYL-N'-(5-NITRO-2-THIAZOLYL)-</v>
          </cell>
          <cell r="C930" t="str">
            <v>139-94-6</v>
          </cell>
          <cell r="D930" t="str">
            <v>Base</v>
          </cell>
          <cell r="E930">
            <v>7.3</v>
          </cell>
          <cell r="F930">
            <v>216.22</v>
          </cell>
          <cell r="G930"/>
          <cell r="H930">
            <v>1.7466666662299998E-5</v>
          </cell>
          <cell r="I930">
            <v>300</v>
          </cell>
          <cell r="J930"/>
          <cell r="K930">
            <v>16.982436524617448</v>
          </cell>
          <cell r="L930"/>
          <cell r="M930"/>
          <cell r="N930"/>
          <cell r="O930"/>
          <cell r="P930"/>
          <cell r="Q930">
            <v>3.8978174999999997E-6</v>
          </cell>
          <cell r="R930">
            <v>2.1393431498763744E-7</v>
          </cell>
          <cell r="S930">
            <v>2.3770479443070826E-8</v>
          </cell>
          <cell r="T930">
            <v>1.0696715749381872E-7</v>
          </cell>
          <cell r="U930"/>
          <cell r="V930"/>
          <cell r="W930">
            <v>30000</v>
          </cell>
          <cell r="X930">
            <v>0.33333333333333331</v>
          </cell>
          <cell r="Y930">
            <v>0.33333333333333331</v>
          </cell>
          <cell r="Z930">
            <v>0.33333333333333331</v>
          </cell>
          <cell r="AA930"/>
        </row>
        <row r="931">
          <cell r="A931">
            <v>924</v>
          </cell>
          <cell r="B931" t="str">
            <v>PYRIMETHAMINE</v>
          </cell>
          <cell r="C931" t="str">
            <v>58-14-0</v>
          </cell>
          <cell r="D931" t="str">
            <v>Base</v>
          </cell>
          <cell r="E931">
            <v>7.34</v>
          </cell>
          <cell r="F931">
            <v>248.72</v>
          </cell>
          <cell r="G931"/>
          <cell r="H931">
            <v>1.7599999995599999E-6</v>
          </cell>
          <cell r="I931">
            <v>121.3</v>
          </cell>
          <cell r="J931"/>
          <cell r="K931">
            <v>489.77881936844625</v>
          </cell>
          <cell r="L931"/>
          <cell r="M931"/>
          <cell r="N931"/>
          <cell r="O931"/>
          <cell r="P931"/>
          <cell r="Q931">
            <v>1.5082595250000001E-4</v>
          </cell>
          <cell r="R931">
            <v>1.3370894686727339E-7</v>
          </cell>
          <cell r="S931">
            <v>1.4856549651919266E-8</v>
          </cell>
          <cell r="T931">
            <v>6.6854473433636697E-8</v>
          </cell>
          <cell r="U931"/>
          <cell r="V931"/>
          <cell r="W931">
            <v>30000</v>
          </cell>
          <cell r="X931">
            <v>0.33333333333333331</v>
          </cell>
          <cell r="Y931">
            <v>0.33333333333333331</v>
          </cell>
          <cell r="Z931">
            <v>0.33333333333333331</v>
          </cell>
          <cell r="AA931"/>
        </row>
        <row r="932">
          <cell r="A932">
            <v>925</v>
          </cell>
          <cell r="B932" t="str">
            <v>Fenpropimorph</v>
          </cell>
          <cell r="C932" t="str">
            <v>67564-91-4</v>
          </cell>
          <cell r="D932" t="str">
            <v>Base</v>
          </cell>
          <cell r="E932">
            <v>7.45</v>
          </cell>
          <cell r="F932">
            <v>303.49</v>
          </cell>
          <cell r="G932"/>
          <cell r="H932">
            <v>3.5066666657899998E-3</v>
          </cell>
          <cell r="I932">
            <v>4.3</v>
          </cell>
          <cell r="J932"/>
          <cell r="K932">
            <v>85113.803820237721</v>
          </cell>
          <cell r="L932"/>
          <cell r="M932"/>
          <cell r="N932"/>
          <cell r="O932"/>
          <cell r="P932"/>
          <cell r="Q932">
            <v>1.0354778249999999E-4</v>
          </cell>
          <cell r="R932">
            <v>1.3370894686727339E-7</v>
          </cell>
          <cell r="S932">
            <v>1.4856549651919266E-8</v>
          </cell>
          <cell r="T932">
            <v>3.1460928674652565E-7</v>
          </cell>
          <cell r="U932"/>
          <cell r="V932"/>
          <cell r="W932">
            <v>30000</v>
          </cell>
          <cell r="X932">
            <v>0.33333333333333331</v>
          </cell>
          <cell r="Y932">
            <v>0.33333333333333331</v>
          </cell>
          <cell r="Z932">
            <v>0.33333333333333331</v>
          </cell>
          <cell r="AA932"/>
        </row>
        <row r="933">
          <cell r="A933">
            <v>926</v>
          </cell>
          <cell r="B933" t="str">
            <v>HYDRAZINE, 1,1-DIBUTYL-</v>
          </cell>
          <cell r="C933" t="str">
            <v>7422-80-2</v>
          </cell>
          <cell r="D933" t="str">
            <v>Base</v>
          </cell>
          <cell r="E933">
            <v>7.64</v>
          </cell>
          <cell r="F933">
            <v>144.26</v>
          </cell>
          <cell r="G933"/>
          <cell r="H933">
            <v>52.533333320200001</v>
          </cell>
          <cell r="I933">
            <v>2554</v>
          </cell>
          <cell r="J933"/>
          <cell r="K933">
            <v>56.234132519034915</v>
          </cell>
          <cell r="L933"/>
          <cell r="M933"/>
          <cell r="N933"/>
          <cell r="O933"/>
          <cell r="P933"/>
          <cell r="Q933">
            <v>2.0119762500000001E-5</v>
          </cell>
          <cell r="R933">
            <v>9.2532143160742838E-7</v>
          </cell>
          <cell r="S933">
            <v>1.0281349240082538E-7</v>
          </cell>
          <cell r="T933">
            <v>4.6266071580371419E-7</v>
          </cell>
          <cell r="U933"/>
          <cell r="V933"/>
          <cell r="W933">
            <v>30000</v>
          </cell>
          <cell r="X933">
            <v>0.33333333333333331</v>
          </cell>
          <cell r="Y933">
            <v>0.33333333333333331</v>
          </cell>
          <cell r="Z933">
            <v>0.33333333333333331</v>
          </cell>
          <cell r="AA933"/>
        </row>
        <row r="934">
          <cell r="A934">
            <v>927</v>
          </cell>
          <cell r="B934" t="str">
            <v>SULFAMETHAZINE</v>
          </cell>
          <cell r="C934" t="str">
            <v>57-68-1</v>
          </cell>
          <cell r="D934" t="str">
            <v>Base</v>
          </cell>
          <cell r="E934">
            <v>7.65</v>
          </cell>
          <cell r="F934">
            <v>278.33</v>
          </cell>
          <cell r="G934"/>
          <cell r="H934">
            <v>9.0933333310599995E-7</v>
          </cell>
          <cell r="I934">
            <v>1500</v>
          </cell>
          <cell r="J934"/>
          <cell r="K934">
            <v>1.5488166189124815</v>
          </cell>
          <cell r="L934"/>
          <cell r="M934"/>
          <cell r="N934"/>
          <cell r="O934"/>
          <cell r="P934"/>
          <cell r="Q934">
            <v>4.3184707499999997E-5</v>
          </cell>
          <cell r="R934">
            <v>2.1393431498763744E-7</v>
          </cell>
          <cell r="S934">
            <v>2.3770479443070826E-8</v>
          </cell>
          <cell r="T934">
            <v>4.3131918344281736E-7</v>
          </cell>
          <cell r="U934"/>
          <cell r="V934"/>
          <cell r="W934">
            <v>30000</v>
          </cell>
          <cell r="X934">
            <v>0.33333333333333331</v>
          </cell>
          <cell r="Y934">
            <v>0.33333333333333331</v>
          </cell>
          <cell r="Z934">
            <v>0.33333333333333331</v>
          </cell>
          <cell r="AA934"/>
        </row>
        <row r="935">
          <cell r="A935">
            <v>928</v>
          </cell>
          <cell r="B935" t="str">
            <v>Ethanol, 2-hydrazino-</v>
          </cell>
          <cell r="C935" t="str">
            <v>109-84-2</v>
          </cell>
          <cell r="D935" t="str">
            <v>Base</v>
          </cell>
          <cell r="E935">
            <v>7.74</v>
          </cell>
          <cell r="F935">
            <v>76.099999999999994</v>
          </cell>
          <cell r="G935"/>
          <cell r="H935">
            <v>3.0799999992299996</v>
          </cell>
          <cell r="I935">
            <v>1000000</v>
          </cell>
          <cell r="J935"/>
          <cell r="K935">
            <v>1.0471285480508989E-2</v>
          </cell>
          <cell r="L935"/>
          <cell r="M935"/>
          <cell r="N935"/>
          <cell r="O935"/>
          <cell r="P935"/>
          <cell r="Q935">
            <v>5.8383667500000003E-5</v>
          </cell>
          <cell r="R935">
            <v>5.3483578746909358E-7</v>
          </cell>
          <cell r="S935">
            <v>5.9426198607677063E-8</v>
          </cell>
          <cell r="T935">
            <v>2.6741789373454679E-7</v>
          </cell>
          <cell r="U935"/>
          <cell r="V935"/>
          <cell r="W935">
            <v>30000</v>
          </cell>
          <cell r="X935">
            <v>0.33333333333333331</v>
          </cell>
          <cell r="Y935">
            <v>0.33333333333333331</v>
          </cell>
          <cell r="Z935">
            <v>0.33333333333333331</v>
          </cell>
          <cell r="AA935"/>
        </row>
        <row r="936">
          <cell r="A936">
            <v>929</v>
          </cell>
          <cell r="B936" t="str">
            <v>1,3-Propanediamine, N,N-dimethyl-</v>
          </cell>
          <cell r="C936" t="str">
            <v>109-55-7</v>
          </cell>
          <cell r="D936" t="str">
            <v>Base</v>
          </cell>
          <cell r="E936">
            <v>7.82</v>
          </cell>
          <cell r="F936">
            <v>102.18</v>
          </cell>
          <cell r="G936"/>
          <cell r="H936">
            <v>1333.333333</v>
          </cell>
          <cell r="I936">
            <v>1000000</v>
          </cell>
          <cell r="J936"/>
          <cell r="K936">
            <v>0.35481338923357542</v>
          </cell>
          <cell r="L936"/>
          <cell r="M936"/>
          <cell r="N936"/>
          <cell r="O936"/>
          <cell r="P936"/>
          <cell r="Q936">
            <v>8.4233025E-5</v>
          </cell>
          <cell r="R936">
            <v>2.1393431498763744E-7</v>
          </cell>
          <cell r="S936">
            <v>2.3770479443070826E-8</v>
          </cell>
          <cell r="T936">
            <v>1.0696715749381872E-7</v>
          </cell>
          <cell r="U936"/>
          <cell r="V936"/>
          <cell r="W936">
            <v>30000</v>
          </cell>
          <cell r="X936">
            <v>0.33333333333333331</v>
          </cell>
          <cell r="Y936">
            <v>0.33333333333333331</v>
          </cell>
          <cell r="Z936">
            <v>0.33333333333333331</v>
          </cell>
          <cell r="AA936"/>
        </row>
        <row r="937">
          <cell r="A937">
            <v>930</v>
          </cell>
          <cell r="B937" t="str">
            <v>1H-IMIDAZOLE, 2-METHYL-</v>
          </cell>
          <cell r="C937" t="str">
            <v>693-98-1</v>
          </cell>
          <cell r="D937" t="str">
            <v>Base</v>
          </cell>
          <cell r="E937">
            <v>7.85</v>
          </cell>
          <cell r="F937">
            <v>82.11</v>
          </cell>
          <cell r="G937"/>
          <cell r="H937">
            <v>9.1866666643699996E-2</v>
          </cell>
          <cell r="I937">
            <v>80850</v>
          </cell>
          <cell r="J937"/>
          <cell r="K937">
            <v>1.7378008287493756</v>
          </cell>
          <cell r="L937"/>
          <cell r="M937"/>
          <cell r="N937"/>
          <cell r="O937"/>
          <cell r="P937"/>
          <cell r="Q937">
            <v>7.0588139999999992E-5</v>
          </cell>
          <cell r="R937">
            <v>5.3483578746909358E-7</v>
          </cell>
          <cell r="S937">
            <v>5.9426198607677063E-8</v>
          </cell>
          <cell r="T937">
            <v>2.6741789373454679E-7</v>
          </cell>
          <cell r="U937"/>
          <cell r="V937"/>
          <cell r="W937">
            <v>30000</v>
          </cell>
          <cell r="X937">
            <v>0.33333333333333331</v>
          </cell>
          <cell r="Y937">
            <v>0.33333333333333331</v>
          </cell>
          <cell r="Z937">
            <v>0.33333333333333331</v>
          </cell>
          <cell r="AA937"/>
        </row>
        <row r="938">
          <cell r="A938">
            <v>931</v>
          </cell>
          <cell r="B938" t="str">
            <v>2-AMINOBENZIMIDAZOLE</v>
          </cell>
          <cell r="C938" t="str">
            <v>934-32-7</v>
          </cell>
          <cell r="D938" t="str">
            <v>Base</v>
          </cell>
          <cell r="E938">
            <v>7.89</v>
          </cell>
          <cell r="F938">
            <v>133.15</v>
          </cell>
          <cell r="G938"/>
          <cell r="H938">
            <v>2.6799999993300001E-5</v>
          </cell>
          <cell r="I938">
            <v>14920</v>
          </cell>
          <cell r="J938"/>
          <cell r="K938">
            <v>8.1283051616409931</v>
          </cell>
          <cell r="L938"/>
          <cell r="M938"/>
          <cell r="N938"/>
          <cell r="O938"/>
          <cell r="P938"/>
          <cell r="Q938">
            <v>1.5000000000000001E-4</v>
          </cell>
          <cell r="R938">
            <v>5.3483578746909358E-7</v>
          </cell>
          <cell r="S938">
            <v>5.9426198607677063E-8</v>
          </cell>
          <cell r="T938">
            <v>2.6741789373454679E-7</v>
          </cell>
          <cell r="U938"/>
          <cell r="V938"/>
          <cell r="W938">
            <v>30000</v>
          </cell>
          <cell r="X938">
            <v>0.33333333333333331</v>
          </cell>
          <cell r="Y938">
            <v>0.33333333333333331</v>
          </cell>
          <cell r="Z938">
            <v>0.33333333333333331</v>
          </cell>
          <cell r="AA938"/>
        </row>
        <row r="939">
          <cell r="A939">
            <v>932</v>
          </cell>
          <cell r="B939" t="str">
            <v>ARECOLINE.HCl</v>
          </cell>
          <cell r="C939" t="str">
            <v>61-94-9</v>
          </cell>
          <cell r="D939" t="str">
            <v>Base</v>
          </cell>
          <cell r="E939">
            <v>8.16</v>
          </cell>
          <cell r="F939">
            <v>155.19999999999999</v>
          </cell>
          <cell r="G939"/>
          <cell r="H939">
            <v>10.546666664029999</v>
          </cell>
          <cell r="I939">
            <v>1000000</v>
          </cell>
          <cell r="J939"/>
          <cell r="K939">
            <v>2.2387211385683394</v>
          </cell>
          <cell r="L939"/>
          <cell r="M939"/>
          <cell r="N939"/>
          <cell r="O939"/>
          <cell r="P939"/>
          <cell r="Q939">
            <v>8.8812329999999999E-5</v>
          </cell>
          <cell r="R939">
            <v>2.1393431498763744E-7</v>
          </cell>
          <cell r="S939">
            <v>2.3770479443070826E-8</v>
          </cell>
          <cell r="T939">
            <v>1.0696715749381872E-7</v>
          </cell>
          <cell r="U939"/>
          <cell r="V939"/>
          <cell r="W939">
            <v>30000</v>
          </cell>
          <cell r="X939">
            <v>0.33333333333333331</v>
          </cell>
          <cell r="Y939">
            <v>0.33333333333333331</v>
          </cell>
          <cell r="Z939">
            <v>0.33333333333333331</v>
          </cell>
          <cell r="AA939"/>
        </row>
        <row r="940">
          <cell r="A940">
            <v>933</v>
          </cell>
          <cell r="B940" t="str">
            <v>Thiram</v>
          </cell>
          <cell r="C940" t="str">
            <v>137-26-8</v>
          </cell>
          <cell r="D940" t="str">
            <v>Base</v>
          </cell>
          <cell r="E940">
            <v>8.19</v>
          </cell>
          <cell r="F940">
            <v>240.42</v>
          </cell>
          <cell r="G940"/>
          <cell r="H940">
            <v>2.3066666660899997E-3</v>
          </cell>
          <cell r="I940">
            <v>30</v>
          </cell>
          <cell r="J940"/>
          <cell r="K940">
            <v>53.703179637025293</v>
          </cell>
          <cell r="L940"/>
          <cell r="M940"/>
          <cell r="N940"/>
          <cell r="O940"/>
          <cell r="P940"/>
          <cell r="Q940">
            <v>2.715444E-4</v>
          </cell>
          <cell r="R940">
            <v>2.1393431498763744E-7</v>
          </cell>
          <cell r="S940">
            <v>2.3770479443070826E-8</v>
          </cell>
          <cell r="T940">
            <v>5.3483578746909358E-7</v>
          </cell>
          <cell r="U940"/>
          <cell r="V940"/>
          <cell r="W940">
            <v>30000</v>
          </cell>
          <cell r="X940">
            <v>0.33333333333333331</v>
          </cell>
          <cell r="Y940">
            <v>0.33333333333333331</v>
          </cell>
          <cell r="Z940">
            <v>0.33333333333333331</v>
          </cell>
          <cell r="AA940"/>
        </row>
        <row r="941">
          <cell r="A941">
            <v>934</v>
          </cell>
          <cell r="B941" t="str">
            <v>n-Butyl hydrazine hydrochloride</v>
          </cell>
          <cell r="C941" t="str">
            <v>56795-65-4</v>
          </cell>
          <cell r="D941" t="str">
            <v>Base</v>
          </cell>
          <cell r="E941">
            <v>8.2100000000000009</v>
          </cell>
          <cell r="F941">
            <v>88.15</v>
          </cell>
          <cell r="G941"/>
          <cell r="H941">
            <v>1226.6666663599999</v>
          </cell>
          <cell r="I941">
            <v>49740</v>
          </cell>
          <cell r="J941"/>
          <cell r="K941">
            <v>2.9512092266663856</v>
          </cell>
          <cell r="L941"/>
          <cell r="M941"/>
          <cell r="N941"/>
          <cell r="O941"/>
          <cell r="P941"/>
          <cell r="Q941">
            <v>5.7309884999999997E-5</v>
          </cell>
          <cell r="R941">
            <v>9.2532143160742838E-7</v>
          </cell>
          <cell r="S941">
            <v>1.0281349240082538E-7</v>
          </cell>
          <cell r="T941">
            <v>4.6266071580371419E-7</v>
          </cell>
          <cell r="U941"/>
          <cell r="V941"/>
          <cell r="W941">
            <v>30000</v>
          </cell>
          <cell r="X941">
            <v>0.33333333333333331</v>
          </cell>
          <cell r="Y941">
            <v>0.33333333333333331</v>
          </cell>
          <cell r="Z941">
            <v>0.33333333333333331</v>
          </cell>
          <cell r="AA941"/>
        </row>
        <row r="942">
          <cell r="A942">
            <v>935</v>
          </cell>
          <cell r="B942" t="str">
            <v>n-PENTYLHYDRAZINE.HCl</v>
          </cell>
          <cell r="C942" t="str">
            <v>1119-68-2</v>
          </cell>
          <cell r="D942" t="str">
            <v>Base</v>
          </cell>
          <cell r="E942">
            <v>8.2100000000000009</v>
          </cell>
          <cell r="F942">
            <v>102.18</v>
          </cell>
          <cell r="G942"/>
          <cell r="H942">
            <v>438.66666655699999</v>
          </cell>
          <cell r="I942">
            <v>17350</v>
          </cell>
          <cell r="J942"/>
          <cell r="K942">
            <v>9.1201083935590983</v>
          </cell>
          <cell r="L942"/>
          <cell r="M942"/>
          <cell r="N942"/>
          <cell r="O942"/>
          <cell r="P942"/>
          <cell r="Q942">
            <v>5.8369672499999999E-5</v>
          </cell>
          <cell r="R942">
            <v>9.2532143160742838E-7</v>
          </cell>
          <cell r="S942">
            <v>1.0281349240082538E-7</v>
          </cell>
          <cell r="T942">
            <v>4.6266071580371419E-7</v>
          </cell>
          <cell r="U942"/>
          <cell r="V942"/>
          <cell r="W942">
            <v>30000</v>
          </cell>
          <cell r="X942">
            <v>0.33333333333333331</v>
          </cell>
          <cell r="Y942">
            <v>0.33333333333333331</v>
          </cell>
          <cell r="Z942">
            <v>0.33333333333333331</v>
          </cell>
          <cell r="AA942"/>
        </row>
        <row r="943">
          <cell r="A943">
            <v>936</v>
          </cell>
          <cell r="B943" t="str">
            <v>Morpholine, 2,6-dimethyl-</v>
          </cell>
          <cell r="C943" t="str">
            <v>141-91-3</v>
          </cell>
          <cell r="D943" t="str">
            <v>Base</v>
          </cell>
          <cell r="E943">
            <v>8.27</v>
          </cell>
          <cell r="F943">
            <v>115.18</v>
          </cell>
          <cell r="G943"/>
          <cell r="H943">
            <v>625.33333317699999</v>
          </cell>
          <cell r="I943">
            <v>618500</v>
          </cell>
          <cell r="J943"/>
          <cell r="K943">
            <v>1.9054607179632475</v>
          </cell>
          <cell r="L943"/>
          <cell r="M943"/>
          <cell r="N943"/>
          <cell r="O943"/>
          <cell r="P943"/>
          <cell r="Q943">
            <v>8.53606875E-5</v>
          </cell>
          <cell r="R943">
            <v>5.3483578746909358E-7</v>
          </cell>
          <cell r="S943">
            <v>5.9426198607677063E-8</v>
          </cell>
          <cell r="T943">
            <v>2.6741789373454679E-7</v>
          </cell>
          <cell r="U943"/>
          <cell r="V943"/>
          <cell r="W943">
            <v>30000</v>
          </cell>
          <cell r="X943">
            <v>0.33333333333333331</v>
          </cell>
          <cell r="Y943">
            <v>0.33333333333333331</v>
          </cell>
          <cell r="Z943">
            <v>0.33333333333333331</v>
          </cell>
          <cell r="AA943"/>
        </row>
        <row r="944">
          <cell r="A944">
            <v>937</v>
          </cell>
          <cell r="B944" t="str">
            <v>cis-2,6-dimethylmorpholine</v>
          </cell>
          <cell r="C944" t="str">
            <v>6485-55-8</v>
          </cell>
          <cell r="D944" t="str">
            <v>Base</v>
          </cell>
          <cell r="E944">
            <v>8.27</v>
          </cell>
          <cell r="F944">
            <v>115.18</v>
          </cell>
          <cell r="G944"/>
          <cell r="H944">
            <v>625.33333317699999</v>
          </cell>
          <cell r="I944">
            <v>618500</v>
          </cell>
          <cell r="J944"/>
          <cell r="K944">
            <v>1.9054607179632475</v>
          </cell>
          <cell r="L944"/>
          <cell r="M944"/>
          <cell r="N944"/>
          <cell r="O944"/>
          <cell r="P944"/>
          <cell r="Q944">
            <v>8.53606875E-5</v>
          </cell>
          <cell r="R944">
            <v>5.3483578746909358E-7</v>
          </cell>
          <cell r="S944">
            <v>5.9426198607677063E-8</v>
          </cell>
          <cell r="T944">
            <v>2.6741789373454679E-7</v>
          </cell>
          <cell r="U944"/>
          <cell r="V944"/>
          <cell r="W944">
            <v>30000</v>
          </cell>
          <cell r="X944">
            <v>0.33333333333333331</v>
          </cell>
          <cell r="Y944">
            <v>0.33333333333333331</v>
          </cell>
          <cell r="Z944">
            <v>0.33333333333333331</v>
          </cell>
          <cell r="AA944"/>
        </row>
        <row r="945">
          <cell r="A945">
            <v>938</v>
          </cell>
          <cell r="B945" t="str">
            <v>BRUCINE</v>
          </cell>
          <cell r="C945" t="str">
            <v>357-57-3</v>
          </cell>
          <cell r="D945" t="str">
            <v>Base</v>
          </cell>
          <cell r="E945">
            <v>8.2799999999999994</v>
          </cell>
          <cell r="F945">
            <v>394.47</v>
          </cell>
          <cell r="G945"/>
          <cell r="H945">
            <v>4.1733333322900002E-8</v>
          </cell>
          <cell r="I945">
            <v>3200</v>
          </cell>
          <cell r="J945"/>
          <cell r="K945">
            <v>9.5499258602143584</v>
          </cell>
          <cell r="L945"/>
          <cell r="M945"/>
          <cell r="N945"/>
          <cell r="O945"/>
          <cell r="P945"/>
          <cell r="Q945">
            <v>2.6215887749999998E-4</v>
          </cell>
          <cell r="R945">
            <v>4.45696489557578E-8</v>
          </cell>
          <cell r="S945">
            <v>4.9521832173064224E-9</v>
          </cell>
          <cell r="T945">
            <v>2.22848244778789E-8</v>
          </cell>
          <cell r="U945"/>
          <cell r="V945"/>
          <cell r="W945">
            <v>30000</v>
          </cell>
          <cell r="X945">
            <v>0.33333333333333331</v>
          </cell>
          <cell r="Y945">
            <v>0.33333333333333331</v>
          </cell>
          <cell r="Z945">
            <v>0.33333333333333331</v>
          </cell>
          <cell r="AA945"/>
        </row>
        <row r="946">
          <cell r="A946">
            <v>939</v>
          </cell>
          <cell r="B946" t="str">
            <v>O-HYDROXYBENZAMIDE</v>
          </cell>
          <cell r="C946" t="str">
            <v>65-45-2</v>
          </cell>
          <cell r="D946" t="str">
            <v>Base</v>
          </cell>
          <cell r="E946">
            <v>8.3699999999999992</v>
          </cell>
          <cell r="F946">
            <v>137.13999999999999</v>
          </cell>
          <cell r="G946"/>
          <cell r="H946">
            <v>3.9999999989999995</v>
          </cell>
          <cell r="I946">
            <v>2060</v>
          </cell>
          <cell r="J946"/>
          <cell r="K946">
            <v>19.054607179632477</v>
          </cell>
          <cell r="L946"/>
          <cell r="M946"/>
          <cell r="N946"/>
          <cell r="O946"/>
          <cell r="P946"/>
          <cell r="Q946">
            <v>2.4390645E-5</v>
          </cell>
          <cell r="R946">
            <v>5.3483578746909358E-7</v>
          </cell>
          <cell r="S946">
            <v>5.9426198607677063E-8</v>
          </cell>
          <cell r="T946">
            <v>2.6741789373454679E-7</v>
          </cell>
          <cell r="U946"/>
          <cell r="V946"/>
          <cell r="W946">
            <v>30000</v>
          </cell>
          <cell r="X946">
            <v>0.33333333333333331</v>
          </cell>
          <cell r="Y946">
            <v>0.33333333333333331</v>
          </cell>
          <cell r="Z946">
            <v>0.33333333333333331</v>
          </cell>
          <cell r="AA946"/>
        </row>
        <row r="947">
          <cell r="A947">
            <v>940</v>
          </cell>
          <cell r="B947" t="str">
            <v>2-Propenoic acid, 2-(dimethylamino)ethyl ester</v>
          </cell>
          <cell r="C947" t="str">
            <v>2439-35-2</v>
          </cell>
          <cell r="D947" t="str">
            <v>Base</v>
          </cell>
          <cell r="E947">
            <v>8.41</v>
          </cell>
          <cell r="F947">
            <v>143.19</v>
          </cell>
          <cell r="G947"/>
          <cell r="H947">
            <v>230.66666660899998</v>
          </cell>
          <cell r="I947">
            <v>358600</v>
          </cell>
          <cell r="J947"/>
          <cell r="K947">
            <v>2.6302679918953822</v>
          </cell>
          <cell r="L947"/>
          <cell r="M947"/>
          <cell r="N947"/>
          <cell r="O947"/>
          <cell r="P947"/>
          <cell r="Q947">
            <v>6.7692554999999993E-5</v>
          </cell>
          <cell r="R947">
            <v>5.3483578746909358E-7</v>
          </cell>
          <cell r="S947">
            <v>5.9426198607677063E-8</v>
          </cell>
          <cell r="T947">
            <v>2.6741789373454679E-7</v>
          </cell>
          <cell r="U947"/>
          <cell r="V947"/>
          <cell r="W947">
            <v>30000</v>
          </cell>
          <cell r="X947">
            <v>0.33333333333333331</v>
          </cell>
          <cell r="Y947">
            <v>0.33333333333333331</v>
          </cell>
          <cell r="Z947">
            <v>0.33333333333333331</v>
          </cell>
          <cell r="AA947"/>
        </row>
        <row r="948">
          <cell r="A948">
            <v>941</v>
          </cell>
          <cell r="B948" t="str">
            <v>MORPHOLINE</v>
          </cell>
          <cell r="C948" t="str">
            <v>110-91-8</v>
          </cell>
          <cell r="D948" t="str">
            <v>Base</v>
          </cell>
          <cell r="E948">
            <v>8.49</v>
          </cell>
          <cell r="F948">
            <v>87.12</v>
          </cell>
          <cell r="G948"/>
          <cell r="H948">
            <v>1346.6666663299998</v>
          </cell>
          <cell r="I948">
            <v>1000000</v>
          </cell>
          <cell r="J948"/>
          <cell r="K948">
            <v>0.13803842646028844</v>
          </cell>
          <cell r="L948"/>
          <cell r="M948"/>
          <cell r="N948"/>
          <cell r="O948"/>
          <cell r="P948"/>
          <cell r="Q948">
            <v>1.0336425000000001E-4</v>
          </cell>
          <cell r="R948">
            <v>5.3483578746909358E-7</v>
          </cell>
          <cell r="S948">
            <v>5.9426198607677063E-8</v>
          </cell>
          <cell r="T948">
            <v>2.6741789373454679E-7</v>
          </cell>
          <cell r="U948"/>
          <cell r="V948"/>
          <cell r="W948">
            <v>30000</v>
          </cell>
          <cell r="X948">
            <v>0.33333333333333331</v>
          </cell>
          <cell r="Y948">
            <v>0.33333333333333331</v>
          </cell>
          <cell r="Z948">
            <v>0.33333333333333331</v>
          </cell>
          <cell r="AA948"/>
        </row>
        <row r="949">
          <cell r="A949">
            <v>942</v>
          </cell>
          <cell r="B949" t="str">
            <v>N-METHYLDIETHANOLAMINE</v>
          </cell>
          <cell r="C949" t="str">
            <v>105-59-9</v>
          </cell>
          <cell r="D949" t="str">
            <v>Base</v>
          </cell>
          <cell r="E949">
            <v>8.52</v>
          </cell>
          <cell r="F949">
            <v>119.17</v>
          </cell>
          <cell r="G949"/>
          <cell r="H949">
            <v>2.6666666660000001E-2</v>
          </cell>
          <cell r="I949">
            <v>1000000</v>
          </cell>
          <cell r="J949"/>
          <cell r="K949">
            <v>3.1622776601683784E-2</v>
          </cell>
          <cell r="L949"/>
          <cell r="M949"/>
          <cell r="N949"/>
          <cell r="O949"/>
          <cell r="P949"/>
          <cell r="Q949">
            <v>7.2715942499999999E-5</v>
          </cell>
          <cell r="R949">
            <v>5.3483578746909358E-7</v>
          </cell>
          <cell r="S949">
            <v>5.9426198607677063E-8</v>
          </cell>
          <cell r="T949">
            <v>2.6741789373454679E-7</v>
          </cell>
          <cell r="U949"/>
          <cell r="V949"/>
          <cell r="W949">
            <v>30000</v>
          </cell>
          <cell r="X949">
            <v>0.33333333333333331</v>
          </cell>
          <cell r="Y949">
            <v>0.33333333333333331</v>
          </cell>
          <cell r="Z949">
            <v>0.33333333333333331</v>
          </cell>
          <cell r="AA949"/>
        </row>
        <row r="950">
          <cell r="A950">
            <v>943</v>
          </cell>
          <cell r="B950" t="str">
            <v>Acetimidoylphosphoramidothioic acid, O,O-bis(p-Chlorophenyl) ester</v>
          </cell>
          <cell r="C950" t="str">
            <v>4104-14-7</v>
          </cell>
          <cell r="D950" t="str">
            <v>Base</v>
          </cell>
          <cell r="E950">
            <v>8.52</v>
          </cell>
          <cell r="F950">
            <v>375.21</v>
          </cell>
          <cell r="G950"/>
          <cell r="H950">
            <v>9.7999999975500006E-6</v>
          </cell>
          <cell r="I950">
            <v>3.0830000000000002</v>
          </cell>
          <cell r="J950"/>
          <cell r="K950">
            <v>4897.7881936844633</v>
          </cell>
          <cell r="L950"/>
          <cell r="M950"/>
          <cell r="N950"/>
          <cell r="O950"/>
          <cell r="P950"/>
          <cell r="Q950">
            <v>1.749582825E-4</v>
          </cell>
          <cell r="R950">
            <v>1.3370894686727339E-7</v>
          </cell>
          <cell r="S950">
            <v>1.4856549651919266E-8</v>
          </cell>
          <cell r="T950">
            <v>6.6854473433636697E-8</v>
          </cell>
          <cell r="U950"/>
          <cell r="V950"/>
          <cell r="W950">
            <v>30000</v>
          </cell>
          <cell r="X950">
            <v>0.33333333333333331</v>
          </cell>
          <cell r="Y950">
            <v>0.33333333333333331</v>
          </cell>
          <cell r="Z950">
            <v>0.33333333333333331</v>
          </cell>
          <cell r="AA950"/>
        </row>
        <row r="951">
          <cell r="A951">
            <v>944</v>
          </cell>
          <cell r="B951" t="str">
            <v>Oxymetholone</v>
          </cell>
          <cell r="C951" t="str">
            <v>434-07-1</v>
          </cell>
          <cell r="D951" t="str">
            <v>Base</v>
          </cell>
          <cell r="E951">
            <v>8.65</v>
          </cell>
          <cell r="F951">
            <v>332.49</v>
          </cell>
          <cell r="G951"/>
          <cell r="H951">
            <v>6.7999999982999996E-9</v>
          </cell>
          <cell r="I951">
            <v>21.31</v>
          </cell>
          <cell r="J951"/>
          <cell r="K951">
            <v>4073.8027780411317</v>
          </cell>
          <cell r="L951"/>
          <cell r="M951"/>
          <cell r="N951"/>
          <cell r="O951"/>
          <cell r="P951"/>
          <cell r="Q951">
            <v>8.3759617499999995E-5</v>
          </cell>
          <cell r="R951">
            <v>1.3370894686727339E-7</v>
          </cell>
          <cell r="S951">
            <v>1.4856549651919266E-8</v>
          </cell>
          <cell r="T951">
            <v>6.6854473433636697E-8</v>
          </cell>
          <cell r="U951"/>
          <cell r="V951"/>
          <cell r="W951">
            <v>30000</v>
          </cell>
          <cell r="X951">
            <v>0.33333333333333331</v>
          </cell>
          <cell r="Y951">
            <v>0.33333333333333331</v>
          </cell>
          <cell r="Z951">
            <v>0.33333333333333331</v>
          </cell>
          <cell r="AA951"/>
        </row>
        <row r="952">
          <cell r="A952">
            <v>945</v>
          </cell>
          <cell r="B952" t="str">
            <v>Terbutaline</v>
          </cell>
          <cell r="C952" t="str">
            <v>23031-25-6</v>
          </cell>
          <cell r="D952" t="str">
            <v>Base</v>
          </cell>
          <cell r="E952">
            <v>8.73</v>
          </cell>
          <cell r="F952">
            <v>225.29</v>
          </cell>
          <cell r="G952"/>
          <cell r="H952">
            <v>1.3333333329999999E-5</v>
          </cell>
          <cell r="I952">
            <v>212800</v>
          </cell>
          <cell r="J952"/>
          <cell r="K952">
            <v>7.9432823472428176</v>
          </cell>
          <cell r="L952"/>
          <cell r="M952"/>
          <cell r="N952"/>
          <cell r="O952"/>
          <cell r="P952"/>
          <cell r="Q952">
            <v>2.1221818499999999E-4</v>
          </cell>
          <cell r="R952">
            <v>5.3483578746909358E-7</v>
          </cell>
          <cell r="S952">
            <v>5.9426198607677063E-8</v>
          </cell>
          <cell r="T952">
            <v>2.6741789373454679E-7</v>
          </cell>
          <cell r="U952"/>
          <cell r="V952"/>
          <cell r="W952">
            <v>30000</v>
          </cell>
          <cell r="X952">
            <v>0.33333333333333331</v>
          </cell>
          <cell r="Y952">
            <v>0.33333333333333331</v>
          </cell>
          <cell r="Z952">
            <v>0.33333333333333331</v>
          </cell>
          <cell r="AA952"/>
        </row>
        <row r="953">
          <cell r="A953">
            <v>946</v>
          </cell>
          <cell r="B953" t="str">
            <v>THEOPHYLLINE</v>
          </cell>
          <cell r="C953" t="str">
            <v>58-55-9</v>
          </cell>
          <cell r="D953" t="str">
            <v>Base</v>
          </cell>
          <cell r="E953">
            <v>8.81</v>
          </cell>
          <cell r="F953">
            <v>180.17</v>
          </cell>
          <cell r="G953"/>
          <cell r="H953">
            <v>7.4266666648099999E-8</v>
          </cell>
          <cell r="I953">
            <v>7360</v>
          </cell>
          <cell r="J953"/>
          <cell r="K953">
            <v>0.95499258602143589</v>
          </cell>
          <cell r="L953"/>
          <cell r="M953"/>
          <cell r="N953"/>
          <cell r="O953"/>
          <cell r="P953"/>
          <cell r="Q953">
            <v>1.4461890000000001E-5</v>
          </cell>
          <cell r="R953">
            <v>5.3483578746909358E-7</v>
          </cell>
          <cell r="S953">
            <v>5.9426198607677063E-8</v>
          </cell>
          <cell r="T953">
            <v>2.6741789373454679E-7</v>
          </cell>
          <cell r="U953"/>
          <cell r="V953"/>
          <cell r="W953">
            <v>30000</v>
          </cell>
          <cell r="X953">
            <v>0.33333333333333331</v>
          </cell>
          <cell r="Y953">
            <v>0.33333333333333331</v>
          </cell>
          <cell r="Z953">
            <v>0.33333333333333331</v>
          </cell>
          <cell r="AA953"/>
        </row>
        <row r="954">
          <cell r="A954">
            <v>947</v>
          </cell>
          <cell r="B954" t="str">
            <v>1,4-DIAZABICYCLO(2,2,2)OCTANE  (DABCO)</v>
          </cell>
          <cell r="C954" t="str">
            <v>280-57-9</v>
          </cell>
          <cell r="D954" t="str">
            <v>Base</v>
          </cell>
          <cell r="E954">
            <v>8.82</v>
          </cell>
          <cell r="F954">
            <v>112.18</v>
          </cell>
          <cell r="G954"/>
          <cell r="H954">
            <v>98.933333308599998</v>
          </cell>
          <cell r="I954">
            <v>450000</v>
          </cell>
          <cell r="J954"/>
          <cell r="K954">
            <v>0.32359365692962827</v>
          </cell>
          <cell r="L954"/>
          <cell r="M954"/>
          <cell r="N954"/>
          <cell r="O954"/>
          <cell r="P954"/>
          <cell r="Q954">
            <v>1.6500000000000001E-5</v>
          </cell>
          <cell r="R954">
            <v>2.1393431498763744E-7</v>
          </cell>
          <cell r="S954">
            <v>2.3770479443070826E-8</v>
          </cell>
          <cell r="T954">
            <v>1.0696715749381872E-7</v>
          </cell>
          <cell r="U954"/>
          <cell r="V954"/>
          <cell r="W954">
            <v>30000</v>
          </cell>
          <cell r="X954">
            <v>0.33333333333333331</v>
          </cell>
          <cell r="Y954">
            <v>0.33333333333333331</v>
          </cell>
          <cell r="Z954">
            <v>0.33333333333333331</v>
          </cell>
          <cell r="AA954"/>
        </row>
        <row r="955">
          <cell r="A955">
            <v>948</v>
          </cell>
          <cell r="B955" t="str">
            <v>PARAROSANILINE</v>
          </cell>
          <cell r="C955" t="str">
            <v>569-61-9</v>
          </cell>
          <cell r="D955" t="str">
            <v>Base</v>
          </cell>
          <cell r="E955">
            <v>8.91</v>
          </cell>
          <cell r="F955">
            <v>323.83</v>
          </cell>
          <cell r="G955"/>
          <cell r="H955">
            <v>3.6933333324100001E-12</v>
          </cell>
          <cell r="I955">
            <v>3000</v>
          </cell>
          <cell r="J955"/>
          <cell r="K955">
            <v>0.61659500186148219</v>
          </cell>
          <cell r="L955"/>
          <cell r="M955"/>
          <cell r="N955"/>
          <cell r="O955"/>
          <cell r="P955"/>
          <cell r="Q955">
            <v>3.2684250750000002E-4</v>
          </cell>
          <cell r="R955">
            <v>1.3370894686727339E-7</v>
          </cell>
          <cell r="S955">
            <v>1.4856549651919266E-8</v>
          </cell>
          <cell r="T955">
            <v>6.6854473433636697E-8</v>
          </cell>
          <cell r="U955"/>
          <cell r="V955"/>
          <cell r="W955">
            <v>30000</v>
          </cell>
          <cell r="X955">
            <v>0.33333333333333331</v>
          </cell>
          <cell r="Y955">
            <v>0.33333333333333331</v>
          </cell>
          <cell r="Z955">
            <v>0.33333333333333331</v>
          </cell>
          <cell r="AA955"/>
        </row>
        <row r="956">
          <cell r="A956">
            <v>949</v>
          </cell>
          <cell r="B956" t="str">
            <v>Diethanolamine</v>
          </cell>
          <cell r="C956" t="str">
            <v>111-42-2</v>
          </cell>
          <cell r="D956" t="str">
            <v>Base</v>
          </cell>
          <cell r="E956">
            <v>8.9600000000000009</v>
          </cell>
          <cell r="F956">
            <v>105.14</v>
          </cell>
          <cell r="G956"/>
          <cell r="H956">
            <v>3.7333333323999997E-2</v>
          </cell>
          <cell r="I956">
            <v>1000000</v>
          </cell>
          <cell r="J956"/>
          <cell r="K956">
            <v>3.7153522909717254E-2</v>
          </cell>
          <cell r="L956"/>
          <cell r="M956"/>
          <cell r="N956"/>
          <cell r="O956"/>
          <cell r="P956"/>
          <cell r="Q956">
            <v>6.9517342500000006E-5</v>
          </cell>
          <cell r="R956">
            <v>9.2532143160742838E-7</v>
          </cell>
          <cell r="S956">
            <v>1.0281349240082538E-7</v>
          </cell>
          <cell r="T956">
            <v>4.6266071580371419E-7</v>
          </cell>
          <cell r="U956"/>
          <cell r="V956"/>
          <cell r="W956">
            <v>30000</v>
          </cell>
          <cell r="X956">
            <v>0.33333333333333331</v>
          </cell>
          <cell r="Y956">
            <v>0.33333333333333331</v>
          </cell>
          <cell r="Z956">
            <v>0.33333333333333331</v>
          </cell>
          <cell r="AA956"/>
        </row>
        <row r="957">
          <cell r="A957">
            <v>950</v>
          </cell>
          <cell r="B957" t="str">
            <v>HARMALINE</v>
          </cell>
          <cell r="C957" t="str">
            <v>304-21-2</v>
          </cell>
          <cell r="D957" t="str">
            <v>Base</v>
          </cell>
          <cell r="E957">
            <v>8.99</v>
          </cell>
          <cell r="F957">
            <v>214.27</v>
          </cell>
          <cell r="G957"/>
          <cell r="H957">
            <v>2.71999999932E-5</v>
          </cell>
          <cell r="I957">
            <v>4.0510000000000002</v>
          </cell>
          <cell r="J957"/>
          <cell r="K957">
            <v>43651.583224016598</v>
          </cell>
          <cell r="L957"/>
          <cell r="M957"/>
          <cell r="N957"/>
          <cell r="O957"/>
          <cell r="P957"/>
          <cell r="Q957">
            <v>1.524708975E-4</v>
          </cell>
          <cell r="R957">
            <v>2.1393431498763744E-7</v>
          </cell>
          <cell r="S957">
            <v>2.3770479443070826E-8</v>
          </cell>
          <cell r="T957">
            <v>1.0696715749381872E-7</v>
          </cell>
          <cell r="U957"/>
          <cell r="V957"/>
          <cell r="W957">
            <v>30000</v>
          </cell>
          <cell r="X957">
            <v>0.33333333333333331</v>
          </cell>
          <cell r="Y957">
            <v>0.33333333333333331</v>
          </cell>
          <cell r="Z957">
            <v>0.33333333333333331</v>
          </cell>
          <cell r="AA957"/>
        </row>
        <row r="958">
          <cell r="A958">
            <v>951</v>
          </cell>
          <cell r="B958" t="str">
            <v>DODINE</v>
          </cell>
          <cell r="C958" t="str">
            <v>197-14-3</v>
          </cell>
          <cell r="D958" t="str">
            <v>Base</v>
          </cell>
          <cell r="E958">
            <v>9</v>
          </cell>
          <cell r="F958">
            <v>287.45</v>
          </cell>
          <cell r="G958"/>
          <cell r="H958">
            <v>1.9999999994999997E-5</v>
          </cell>
          <cell r="I958">
            <v>630</v>
          </cell>
          <cell r="J958"/>
          <cell r="K958">
            <v>14.125375446227544</v>
          </cell>
          <cell r="L958"/>
          <cell r="M958"/>
          <cell r="N958"/>
          <cell r="O958"/>
          <cell r="P958"/>
          <cell r="Q958">
            <v>8.1569797499999989E-5</v>
          </cell>
          <cell r="R958">
            <v>5.3483578746909358E-7</v>
          </cell>
          <cell r="S958">
            <v>5.9426198607677063E-8</v>
          </cell>
          <cell r="T958">
            <v>6.0547447638010595E-7</v>
          </cell>
          <cell r="U958"/>
          <cell r="V958"/>
          <cell r="W958">
            <v>30000</v>
          </cell>
          <cell r="X958">
            <v>0.33333333333333331</v>
          </cell>
          <cell r="Y958">
            <v>0.33333333333333331</v>
          </cell>
          <cell r="Z958">
            <v>0.33333333333333331</v>
          </cell>
          <cell r="AA958"/>
        </row>
        <row r="959">
          <cell r="A959">
            <v>952</v>
          </cell>
          <cell r="B959" t="str">
            <v>Dodine</v>
          </cell>
          <cell r="C959" t="str">
            <v>197-14-3</v>
          </cell>
          <cell r="D959" t="str">
            <v>Base</v>
          </cell>
          <cell r="E959">
            <v>9</v>
          </cell>
          <cell r="F959">
            <v>287.45</v>
          </cell>
          <cell r="G959"/>
          <cell r="H959">
            <v>1.9999999994999997E-5</v>
          </cell>
          <cell r="I959">
            <v>630</v>
          </cell>
          <cell r="J959"/>
          <cell r="K959">
            <v>14.125375446227544</v>
          </cell>
          <cell r="L959"/>
          <cell r="M959"/>
          <cell r="N959"/>
          <cell r="O959"/>
          <cell r="P959"/>
          <cell r="Q959">
            <v>8.1569797499999989E-5</v>
          </cell>
          <cell r="R959">
            <v>5.3483578746909358E-7</v>
          </cell>
          <cell r="S959">
            <v>5.9426198607677063E-8</v>
          </cell>
          <cell r="T959">
            <v>6.0547447638010595E-7</v>
          </cell>
          <cell r="U959"/>
          <cell r="V959"/>
          <cell r="W959">
            <v>30000</v>
          </cell>
          <cell r="X959">
            <v>0.33333333333333331</v>
          </cell>
          <cell r="Y959">
            <v>0.33333333333333331</v>
          </cell>
          <cell r="Z959">
            <v>0.33333333333333331</v>
          </cell>
          <cell r="AA959"/>
        </row>
        <row r="960">
          <cell r="A960">
            <v>953</v>
          </cell>
          <cell r="B960" t="str">
            <v>5H-Pyrido(4,3-b)indol-3-amine, 1,4-dimethyl-, acetate</v>
          </cell>
          <cell r="C960" t="str">
            <v>75104-43-7</v>
          </cell>
          <cell r="D960" t="str">
            <v>Base</v>
          </cell>
          <cell r="E960">
            <v>9.14</v>
          </cell>
          <cell r="F960">
            <v>211.27</v>
          </cell>
          <cell r="G960"/>
          <cell r="H960">
            <v>1.9466666661799999E-5</v>
          </cell>
          <cell r="I960">
            <v>61.72</v>
          </cell>
          <cell r="J960"/>
          <cell r="K960">
            <v>93.325430079699174</v>
          </cell>
          <cell r="L960"/>
          <cell r="M960"/>
          <cell r="N960"/>
          <cell r="O960"/>
          <cell r="P960"/>
          <cell r="Q960">
            <v>1.50204E-4</v>
          </cell>
          <cell r="R960">
            <v>2.1393431498763744E-7</v>
          </cell>
          <cell r="S960">
            <v>2.3770479443070826E-8</v>
          </cell>
          <cell r="T960">
            <v>1.0696715749381872E-7</v>
          </cell>
          <cell r="U960"/>
          <cell r="V960"/>
          <cell r="W960">
            <v>30000</v>
          </cell>
          <cell r="X960">
            <v>0.33333333333333331</v>
          </cell>
          <cell r="Y960">
            <v>0.33333333333333331</v>
          </cell>
          <cell r="Z960">
            <v>0.33333333333333331</v>
          </cell>
          <cell r="AA960"/>
        </row>
        <row r="961">
          <cell r="A961">
            <v>954</v>
          </cell>
          <cell r="B961" t="str">
            <v>4-AMINOPYRIDINE</v>
          </cell>
          <cell r="C961" t="str">
            <v>504-24-5</v>
          </cell>
          <cell r="D961" t="str">
            <v>Base</v>
          </cell>
          <cell r="E961">
            <v>9.17</v>
          </cell>
          <cell r="F961">
            <v>94.12</v>
          </cell>
          <cell r="G961"/>
          <cell r="H961">
            <v>4.6266666655099993E-2</v>
          </cell>
          <cell r="I961">
            <v>83300</v>
          </cell>
          <cell r="J961"/>
          <cell r="K961">
            <v>2.0892961308540396</v>
          </cell>
          <cell r="L961"/>
          <cell r="M961"/>
          <cell r="N961"/>
          <cell r="O961"/>
          <cell r="P961"/>
          <cell r="Q961">
            <v>1.5320085000000002E-5</v>
          </cell>
          <cell r="R961">
            <v>2.1393431498763744E-7</v>
          </cell>
          <cell r="S961">
            <v>2.3770479443070826E-8</v>
          </cell>
          <cell r="T961">
            <v>1.6045073624072808E-8</v>
          </cell>
          <cell r="U961"/>
          <cell r="V961"/>
          <cell r="W961">
            <v>30000</v>
          </cell>
          <cell r="X961">
            <v>0.33333333333333331</v>
          </cell>
          <cell r="Y961">
            <v>0.33333333333333331</v>
          </cell>
          <cell r="Z961">
            <v>0.33333333333333331</v>
          </cell>
          <cell r="AA961"/>
        </row>
        <row r="962">
          <cell r="A962">
            <v>955</v>
          </cell>
          <cell r="B962" t="str">
            <v>2,4-IMIDAZOLIDINEDIONE, 5,5-DIMETHYL-</v>
          </cell>
          <cell r="C962" t="str">
            <v>77-71-4</v>
          </cell>
          <cell r="D962" t="str">
            <v>Base</v>
          </cell>
          <cell r="E962">
            <v>9.19</v>
          </cell>
          <cell r="F962">
            <v>128.13</v>
          </cell>
          <cell r="G962"/>
          <cell r="H962">
            <v>1.8133333328799997E-4</v>
          </cell>
          <cell r="I962">
            <v>100000</v>
          </cell>
          <cell r="J962"/>
          <cell r="K962">
            <v>0.33113112148259105</v>
          </cell>
          <cell r="L962"/>
          <cell r="M962"/>
          <cell r="N962"/>
          <cell r="O962"/>
          <cell r="P962"/>
          <cell r="Q962">
            <v>2.2956000000000001E-6</v>
          </cell>
          <cell r="R962">
            <v>2.1393431498763744E-7</v>
          </cell>
          <cell r="S962">
            <v>2.3770479443070826E-8</v>
          </cell>
          <cell r="T962">
            <v>1.0696715749381872E-7</v>
          </cell>
          <cell r="U962"/>
          <cell r="V962"/>
          <cell r="W962">
            <v>30000</v>
          </cell>
          <cell r="X962">
            <v>0.33333333333333331</v>
          </cell>
          <cell r="Y962">
            <v>0.33333333333333331</v>
          </cell>
          <cell r="Z962">
            <v>0.33333333333333331</v>
          </cell>
          <cell r="AA962"/>
        </row>
        <row r="963">
          <cell r="A963">
            <v>956</v>
          </cell>
          <cell r="B963" t="str">
            <v>CHLORDIMEFORM</v>
          </cell>
          <cell r="C963" t="str">
            <v>6164-98-3</v>
          </cell>
          <cell r="D963" t="str">
            <v>Base</v>
          </cell>
          <cell r="E963">
            <v>9.2100000000000009</v>
          </cell>
          <cell r="F963">
            <v>196.68</v>
          </cell>
          <cell r="G963"/>
          <cell r="H963">
            <v>0.12306666663589999</v>
          </cell>
          <cell r="I963">
            <v>270</v>
          </cell>
          <cell r="J963"/>
          <cell r="K963">
            <v>776.24711662869231</v>
          </cell>
          <cell r="L963"/>
          <cell r="M963"/>
          <cell r="N963"/>
          <cell r="O963"/>
          <cell r="P963"/>
          <cell r="Q963">
            <v>6.797676E-5</v>
          </cell>
          <cell r="R963">
            <v>2.1393431498763744E-7</v>
          </cell>
          <cell r="S963">
            <v>2.3770479443070826E-8</v>
          </cell>
          <cell r="T963">
            <v>2.6741789373454679E-7</v>
          </cell>
          <cell r="U963"/>
          <cell r="V963"/>
          <cell r="W963">
            <v>30000</v>
          </cell>
          <cell r="X963">
            <v>0.33333333333333331</v>
          </cell>
          <cell r="Y963">
            <v>0.33333333333333331</v>
          </cell>
          <cell r="Z963">
            <v>0.33333333333333331</v>
          </cell>
          <cell r="AA963"/>
        </row>
        <row r="964">
          <cell r="A964">
            <v>957</v>
          </cell>
          <cell r="B964" t="str">
            <v>BROMACIL</v>
          </cell>
          <cell r="C964" t="str">
            <v>314-40-9</v>
          </cell>
          <cell r="D964" t="str">
            <v>Base</v>
          </cell>
          <cell r="E964">
            <v>9.3000000000000007</v>
          </cell>
          <cell r="F964">
            <v>261.12</v>
          </cell>
          <cell r="G964"/>
          <cell r="H964">
            <v>4.0933333323099993E-5</v>
          </cell>
          <cell r="I964">
            <v>815</v>
          </cell>
          <cell r="J964"/>
          <cell r="K964">
            <v>128.82495516931343</v>
          </cell>
          <cell r="L964"/>
          <cell r="M964"/>
          <cell r="N964"/>
          <cell r="O964"/>
          <cell r="P964"/>
          <cell r="Q964">
            <v>1.4556599999999999E-5</v>
          </cell>
          <cell r="R964">
            <v>2.1393431498763744E-7</v>
          </cell>
          <cell r="S964">
            <v>2.3770479443070826E-8</v>
          </cell>
          <cell r="T964">
            <v>1.3370894686727339E-7</v>
          </cell>
          <cell r="U964"/>
          <cell r="V964"/>
          <cell r="W964">
            <v>30000</v>
          </cell>
          <cell r="X964">
            <v>0.33333333333333331</v>
          </cell>
          <cell r="Y964">
            <v>0.33333333333333331</v>
          </cell>
          <cell r="Z964">
            <v>0.33333333333333331</v>
          </cell>
          <cell r="AA964"/>
        </row>
        <row r="965">
          <cell r="A965">
            <v>958</v>
          </cell>
          <cell r="B965" t="str">
            <v>1,6-Hexanediamine, N,N,N',N'-tetramethyl-</v>
          </cell>
          <cell r="C965" t="str">
            <v>111-18-2</v>
          </cell>
          <cell r="D965" t="str">
            <v>Base</v>
          </cell>
          <cell r="E965">
            <v>9.33</v>
          </cell>
          <cell r="F965">
            <v>172.32</v>
          </cell>
          <cell r="G965"/>
          <cell r="H965">
            <v>29.8666666592</v>
          </cell>
          <cell r="I965">
            <v>21570</v>
          </cell>
          <cell r="J965"/>
          <cell r="K965">
            <v>50.118723362727238</v>
          </cell>
          <cell r="L965"/>
          <cell r="M965"/>
          <cell r="N965"/>
          <cell r="O965"/>
          <cell r="P965"/>
          <cell r="Q965">
            <v>1.230595875E-4</v>
          </cell>
          <cell r="R965">
            <v>2.1393431498763744E-7</v>
          </cell>
          <cell r="S965">
            <v>2.3770479443070826E-8</v>
          </cell>
          <cell r="T965">
            <v>1.0696715749381872E-7</v>
          </cell>
          <cell r="U965"/>
          <cell r="V965"/>
          <cell r="W965">
            <v>30000</v>
          </cell>
          <cell r="X965">
            <v>0.33333333333333331</v>
          </cell>
          <cell r="Y965">
            <v>0.33333333333333331</v>
          </cell>
          <cell r="Z965">
            <v>0.33333333333333331</v>
          </cell>
          <cell r="AA965"/>
        </row>
        <row r="966">
          <cell r="A966">
            <v>959</v>
          </cell>
          <cell r="B966" t="str">
            <v>1-Octanamine, N-methyl-N-octyl-</v>
          </cell>
          <cell r="C966" t="str">
            <v>4455-26-9</v>
          </cell>
          <cell r="D966" t="str">
            <v>Base</v>
          </cell>
          <cell r="E966">
            <v>9.41</v>
          </cell>
          <cell r="F966">
            <v>255.49</v>
          </cell>
          <cell r="G966"/>
          <cell r="H966">
            <v>0.17999999995499999</v>
          </cell>
          <cell r="I966">
            <v>0.27979999999999999</v>
          </cell>
          <cell r="J966"/>
          <cell r="K966">
            <v>8128305.1616410045</v>
          </cell>
          <cell r="L966"/>
          <cell r="M966"/>
          <cell r="N966"/>
          <cell r="O966"/>
          <cell r="P966"/>
          <cell r="Q966">
            <v>7.9046655E-5</v>
          </cell>
          <cell r="R966">
            <v>5.3483578746909358E-7</v>
          </cell>
          <cell r="S966">
            <v>5.9426198607677063E-8</v>
          </cell>
          <cell r="T966">
            <v>2.6741789373454679E-7</v>
          </cell>
          <cell r="U966"/>
          <cell r="V966"/>
          <cell r="W966">
            <v>30000</v>
          </cell>
          <cell r="X966">
            <v>0.33333333333333331</v>
          </cell>
          <cell r="Y966">
            <v>0.33333333333333331</v>
          </cell>
          <cell r="Z966">
            <v>0.33333333333333331</v>
          </cell>
          <cell r="AA966"/>
        </row>
        <row r="967">
          <cell r="A967">
            <v>960</v>
          </cell>
          <cell r="B967" t="str">
            <v>URACIL</v>
          </cell>
          <cell r="C967" t="str">
            <v>66-22-8</v>
          </cell>
          <cell r="D967" t="str">
            <v>Base</v>
          </cell>
          <cell r="E967">
            <v>9.4499999999999993</v>
          </cell>
          <cell r="F967">
            <v>112.09</v>
          </cell>
          <cell r="G967"/>
          <cell r="H967">
            <v>6.2266666651099988E-3</v>
          </cell>
          <cell r="I967">
            <v>3600</v>
          </cell>
          <cell r="J967"/>
          <cell r="K967">
            <v>8.5113803820237616E-2</v>
          </cell>
          <cell r="L967"/>
          <cell r="M967"/>
          <cell r="N967"/>
          <cell r="O967"/>
          <cell r="P967"/>
          <cell r="Q967">
            <v>6.5760000000000002E-6</v>
          </cell>
          <cell r="R967">
            <v>5.3483578746909358E-7</v>
          </cell>
          <cell r="S967">
            <v>5.9426198607677063E-8</v>
          </cell>
          <cell r="T967">
            <v>2.6741789373454679E-7</v>
          </cell>
          <cell r="U967"/>
          <cell r="V967"/>
          <cell r="W967">
            <v>30000</v>
          </cell>
          <cell r="X967">
            <v>0.33333333333333331</v>
          </cell>
          <cell r="Y967">
            <v>0.33333333333333331</v>
          </cell>
          <cell r="Z967">
            <v>0.33333333333333331</v>
          </cell>
          <cell r="AA967"/>
        </row>
        <row r="968">
          <cell r="A968">
            <v>961</v>
          </cell>
          <cell r="B968" t="str">
            <v>ETHANOLAMINE</v>
          </cell>
          <cell r="C968" t="str">
            <v>141-43-5</v>
          </cell>
          <cell r="D968" t="str">
            <v>Base</v>
          </cell>
          <cell r="E968">
            <v>9.5</v>
          </cell>
          <cell r="F968">
            <v>61.08</v>
          </cell>
          <cell r="G968"/>
          <cell r="H968">
            <v>53.866666653199999</v>
          </cell>
          <cell r="I968">
            <v>1000000</v>
          </cell>
          <cell r="J968"/>
          <cell r="K968">
            <v>4.8977881936844603E-2</v>
          </cell>
          <cell r="L968"/>
          <cell r="M968"/>
          <cell r="N968"/>
          <cell r="O968"/>
          <cell r="P968"/>
          <cell r="Q968">
            <v>2.6883667499999999E-5</v>
          </cell>
          <cell r="R968">
            <v>5.3483578746909358E-7</v>
          </cell>
          <cell r="S968">
            <v>5.9426198607677063E-8</v>
          </cell>
          <cell r="T968">
            <v>2.6741789373454679E-7</v>
          </cell>
          <cell r="U968"/>
          <cell r="V968"/>
          <cell r="W968">
            <v>30000</v>
          </cell>
          <cell r="X968">
            <v>0.33333333333333331</v>
          </cell>
          <cell r="Y968">
            <v>0.33333333333333331</v>
          </cell>
          <cell r="Z968">
            <v>0.33333333333333331</v>
          </cell>
          <cell r="AA968"/>
        </row>
        <row r="969">
          <cell r="A969">
            <v>962</v>
          </cell>
          <cell r="B969" t="str">
            <v>Albuterol</v>
          </cell>
          <cell r="C969" t="str">
            <v>18559-94-9</v>
          </cell>
          <cell r="D969" t="str">
            <v>Base</v>
          </cell>
          <cell r="E969">
            <v>9.56</v>
          </cell>
          <cell r="F969">
            <v>239.32</v>
          </cell>
          <cell r="G969"/>
          <cell r="H969">
            <v>1.1853333330370001E-6</v>
          </cell>
          <cell r="I969">
            <v>14100</v>
          </cell>
          <cell r="J969"/>
          <cell r="K969">
            <v>4.3651583224016601</v>
          </cell>
          <cell r="L969"/>
          <cell r="M969"/>
          <cell r="N969"/>
          <cell r="O969"/>
          <cell r="P969"/>
          <cell r="Q969">
            <v>1.0131548250000001E-4</v>
          </cell>
          <cell r="R969">
            <v>5.3483578746909358E-7</v>
          </cell>
          <cell r="S969">
            <v>5.9426198607677063E-8</v>
          </cell>
          <cell r="T969">
            <v>2.6741789373454679E-7</v>
          </cell>
          <cell r="U969"/>
          <cell r="V969"/>
          <cell r="W969">
            <v>30000</v>
          </cell>
          <cell r="X969">
            <v>0.33333333333333331</v>
          </cell>
          <cell r="Y969">
            <v>0.33333333333333331</v>
          </cell>
          <cell r="Z969">
            <v>0.33333333333333331</v>
          </cell>
          <cell r="AA969"/>
        </row>
        <row r="970">
          <cell r="A970">
            <v>963</v>
          </cell>
          <cell r="B970" t="str">
            <v>Ethanol, 2-(2-aminoethoxy)-</v>
          </cell>
          <cell r="C970" t="str">
            <v>929-06-6</v>
          </cell>
          <cell r="D970" t="str">
            <v>Base</v>
          </cell>
          <cell r="E970">
            <v>9.6199999999999992</v>
          </cell>
          <cell r="F970">
            <v>105.14</v>
          </cell>
          <cell r="G970"/>
          <cell r="H970">
            <v>0.20533333328199999</v>
          </cell>
          <cell r="I970">
            <v>1000000</v>
          </cell>
          <cell r="J970"/>
          <cell r="K970">
            <v>1.2882495516931332E-2</v>
          </cell>
          <cell r="L970"/>
          <cell r="M970"/>
          <cell r="N970"/>
          <cell r="O970"/>
          <cell r="P970"/>
          <cell r="Q970">
            <v>5.2183627499999998E-5</v>
          </cell>
          <cell r="R970">
            <v>5.3483578746909358E-7</v>
          </cell>
          <cell r="S970">
            <v>5.9426198607677063E-8</v>
          </cell>
          <cell r="T970">
            <v>2.6741789373454679E-7</v>
          </cell>
          <cell r="U970"/>
          <cell r="V970"/>
          <cell r="W970">
            <v>30000</v>
          </cell>
          <cell r="X970">
            <v>0.33333333333333331</v>
          </cell>
          <cell r="Y970">
            <v>0.33333333333333331</v>
          </cell>
          <cell r="Z970">
            <v>0.33333333333333331</v>
          </cell>
          <cell r="AA970"/>
        </row>
        <row r="971">
          <cell r="A971">
            <v>964</v>
          </cell>
          <cell r="B971" t="str">
            <v>Cymoxanil</v>
          </cell>
          <cell r="C971" t="str">
            <v>57966-95-7</v>
          </cell>
          <cell r="D971" t="str">
            <v>Base</v>
          </cell>
          <cell r="E971">
            <v>9.6999999999999993</v>
          </cell>
          <cell r="F971">
            <v>198.18</v>
          </cell>
          <cell r="G971"/>
          <cell r="H971">
            <v>1.5066666662899998E-4</v>
          </cell>
          <cell r="I971">
            <v>890</v>
          </cell>
          <cell r="J971"/>
          <cell r="K971">
            <v>17378.008287493791</v>
          </cell>
          <cell r="L971"/>
          <cell r="M971"/>
          <cell r="N971"/>
          <cell r="O971"/>
          <cell r="P971"/>
          <cell r="Q971">
            <v>4.5158699999999998E-6</v>
          </cell>
          <cell r="R971">
            <v>2.1393431498763744E-7</v>
          </cell>
          <cell r="S971">
            <v>2.3770479443070826E-8</v>
          </cell>
          <cell r="T971">
            <v>2.2921533748675437E-6</v>
          </cell>
          <cell r="U971"/>
          <cell r="V971"/>
          <cell r="W971">
            <v>30000</v>
          </cell>
          <cell r="X971">
            <v>0.33333333333333331</v>
          </cell>
          <cell r="Y971">
            <v>0.33333333333333331</v>
          </cell>
          <cell r="Z971">
            <v>0.33333333333333331</v>
          </cell>
          <cell r="AA971"/>
        </row>
        <row r="972">
          <cell r="A972">
            <v>965</v>
          </cell>
          <cell r="B972" t="str">
            <v>PIPERAZINE</v>
          </cell>
          <cell r="C972" t="str">
            <v>110-85-0</v>
          </cell>
          <cell r="D972" t="str">
            <v>Base</v>
          </cell>
          <cell r="E972">
            <v>9.73</v>
          </cell>
          <cell r="F972">
            <v>86.14</v>
          </cell>
          <cell r="G972"/>
          <cell r="H972">
            <v>21.333333327999998</v>
          </cell>
          <cell r="I972">
            <v>1000000</v>
          </cell>
          <cell r="J972"/>
          <cell r="K972">
            <v>3.1622776601683784E-2</v>
          </cell>
          <cell r="L972"/>
          <cell r="M972"/>
          <cell r="N972"/>
          <cell r="O972"/>
          <cell r="P972"/>
          <cell r="Q972">
            <v>1.2655208249999999E-4</v>
          </cell>
          <cell r="R972">
            <v>5.3483578746909358E-7</v>
          </cell>
          <cell r="S972">
            <v>5.9426198607677063E-8</v>
          </cell>
          <cell r="T972">
            <v>2.6741789373454679E-7</v>
          </cell>
          <cell r="U972"/>
          <cell r="V972"/>
          <cell r="W972">
            <v>30000</v>
          </cell>
          <cell r="X972">
            <v>0.33333333333333331</v>
          </cell>
          <cell r="Y972">
            <v>0.33333333333333331</v>
          </cell>
          <cell r="Z972">
            <v>0.33333333333333331</v>
          </cell>
          <cell r="AA972"/>
        </row>
        <row r="973">
          <cell r="A973">
            <v>966</v>
          </cell>
          <cell r="B973" t="str">
            <v>BENZENEMETHANAMINE, N-(1-METHYLETHYL)-</v>
          </cell>
          <cell r="C973" t="str">
            <v>102-97-6</v>
          </cell>
          <cell r="D973" t="str">
            <v>Base</v>
          </cell>
          <cell r="E973">
            <v>9.7799999999999994</v>
          </cell>
          <cell r="F973">
            <v>149.24</v>
          </cell>
          <cell r="G973"/>
          <cell r="H973">
            <v>48.133333321299993</v>
          </cell>
          <cell r="I973">
            <v>21310</v>
          </cell>
          <cell r="J973"/>
          <cell r="K973">
            <v>67.60829753919819</v>
          </cell>
          <cell r="L973"/>
          <cell r="M973"/>
          <cell r="N973"/>
          <cell r="O973"/>
          <cell r="P973"/>
          <cell r="Q973">
            <v>7.1180872500000003E-5</v>
          </cell>
          <cell r="R973">
            <v>5.3483578746909358E-7</v>
          </cell>
          <cell r="S973">
            <v>5.9426198607677063E-8</v>
          </cell>
          <cell r="T973">
            <v>2.6741789373454679E-7</v>
          </cell>
          <cell r="U973"/>
          <cell r="V973"/>
          <cell r="W973">
            <v>30000</v>
          </cell>
          <cell r="X973">
            <v>0.33333333333333331</v>
          </cell>
          <cell r="Y973">
            <v>0.33333333333333331</v>
          </cell>
          <cell r="Z973">
            <v>0.33333333333333331</v>
          </cell>
          <cell r="AA973"/>
        </row>
        <row r="974">
          <cell r="A974">
            <v>967</v>
          </cell>
          <cell r="B974" t="str">
            <v>1,2-DIAMINOETHANE</v>
          </cell>
          <cell r="C974" t="str">
            <v>107-15-3</v>
          </cell>
          <cell r="D974" t="str">
            <v>Base</v>
          </cell>
          <cell r="E974">
            <v>9.92</v>
          </cell>
          <cell r="F974">
            <v>60.1</v>
          </cell>
          <cell r="G974"/>
          <cell r="H974">
            <v>1599.9999995999999</v>
          </cell>
          <cell r="I974">
            <v>1000000</v>
          </cell>
          <cell r="J974"/>
          <cell r="K974">
            <v>9.1201083935590881E-3</v>
          </cell>
          <cell r="L974"/>
          <cell r="M974"/>
          <cell r="N974"/>
          <cell r="O974"/>
          <cell r="P974"/>
          <cell r="Q974">
            <v>4.7526037499999998E-5</v>
          </cell>
          <cell r="R974">
            <v>5.3483578746909358E-7</v>
          </cell>
          <cell r="S974">
            <v>5.9426198607677063E-8</v>
          </cell>
          <cell r="T974">
            <v>2.6741789373454679E-7</v>
          </cell>
          <cell r="U974"/>
          <cell r="V974"/>
          <cell r="W974">
            <v>30000</v>
          </cell>
          <cell r="X974">
            <v>0.33333333333333331</v>
          </cell>
          <cell r="Y974">
            <v>0.33333333333333331</v>
          </cell>
          <cell r="Z974">
            <v>0.33333333333333331</v>
          </cell>
          <cell r="AA974"/>
        </row>
        <row r="975">
          <cell r="A975">
            <v>968</v>
          </cell>
          <cell r="B975" t="str">
            <v>Guanidine, N,N'''-1,6-hexanediylbis N'-cyano-</v>
          </cell>
          <cell r="C975" t="str">
            <v>15894-70-9</v>
          </cell>
          <cell r="D975" t="str">
            <v>Base</v>
          </cell>
          <cell r="E975">
            <v>9.94</v>
          </cell>
          <cell r="F975">
            <v>250.31</v>
          </cell>
          <cell r="G975"/>
          <cell r="H975">
            <v>3.5466666657799995E-7</v>
          </cell>
          <cell r="I975">
            <v>29860</v>
          </cell>
          <cell r="J975"/>
          <cell r="K975">
            <v>0.75857757502918366</v>
          </cell>
          <cell r="L975"/>
          <cell r="M975"/>
          <cell r="N975"/>
          <cell r="O975"/>
          <cell r="P975"/>
          <cell r="Q975">
            <v>1.147651875E-4</v>
          </cell>
          <cell r="R975">
            <v>2.1393431498763744E-7</v>
          </cell>
          <cell r="S975">
            <v>2.3770479443070826E-8</v>
          </cell>
          <cell r="T975">
            <v>1.0696715749381872E-7</v>
          </cell>
          <cell r="U975"/>
          <cell r="V975"/>
          <cell r="W975">
            <v>30000</v>
          </cell>
          <cell r="X975">
            <v>0.33333333333333331</v>
          </cell>
          <cell r="Y975">
            <v>0.33333333333333331</v>
          </cell>
          <cell r="Z975">
            <v>0.33333333333333331</v>
          </cell>
          <cell r="AA975"/>
        </row>
        <row r="976">
          <cell r="A976">
            <v>969</v>
          </cell>
          <cell r="B976" t="str">
            <v>1-AMINO-2-PROPANOL</v>
          </cell>
          <cell r="C976" t="str">
            <v>78-96-6</v>
          </cell>
          <cell r="D976" t="str">
            <v>Base</v>
          </cell>
          <cell r="E976">
            <v>9.94</v>
          </cell>
          <cell r="F976">
            <v>75.11</v>
          </cell>
          <cell r="G976"/>
          <cell r="H976">
            <v>62.666666650999993</v>
          </cell>
          <cell r="I976">
            <v>1000000</v>
          </cell>
          <cell r="J976"/>
          <cell r="K976">
            <v>0.10964781961431849</v>
          </cell>
          <cell r="L976"/>
          <cell r="M976"/>
          <cell r="N976"/>
          <cell r="O976"/>
          <cell r="P976"/>
          <cell r="Q976">
            <v>3.02572575E-5</v>
          </cell>
          <cell r="R976">
            <v>5.3483578746909358E-7</v>
          </cell>
          <cell r="S976">
            <v>5.9426198607677063E-8</v>
          </cell>
          <cell r="T976">
            <v>2.6741789373454679E-7</v>
          </cell>
          <cell r="U976"/>
          <cell r="V976"/>
          <cell r="W976">
            <v>30000</v>
          </cell>
          <cell r="X976">
            <v>0.33333333333333331</v>
          </cell>
          <cell r="Y976">
            <v>0.33333333333333331</v>
          </cell>
          <cell r="Z976">
            <v>0.33333333333333331</v>
          </cell>
          <cell r="AA976"/>
        </row>
        <row r="977">
          <cell r="A977">
            <v>970</v>
          </cell>
          <cell r="B977" t="str">
            <v>2-(METHYLAMINO)ETHANOL</v>
          </cell>
          <cell r="C977" t="str">
            <v>109-83-1</v>
          </cell>
          <cell r="D977" t="str">
            <v>Base</v>
          </cell>
          <cell r="E977">
            <v>9.9499999999999993</v>
          </cell>
          <cell r="F977">
            <v>75.11</v>
          </cell>
          <cell r="G977"/>
          <cell r="H977">
            <v>143.99999996400001</v>
          </cell>
          <cell r="I977">
            <v>1000000</v>
          </cell>
          <cell r="J977"/>
          <cell r="K977">
            <v>0.11481536214968829</v>
          </cell>
          <cell r="L977"/>
          <cell r="M977"/>
          <cell r="N977"/>
          <cell r="O977"/>
          <cell r="P977"/>
          <cell r="Q977">
            <v>5.9332274999999993E-5</v>
          </cell>
          <cell r="R977">
            <v>5.3483578746909358E-7</v>
          </cell>
          <cell r="S977">
            <v>5.9426198607677063E-8</v>
          </cell>
          <cell r="T977">
            <v>2.6741789373454679E-7</v>
          </cell>
          <cell r="U977"/>
          <cell r="V977"/>
          <cell r="W977">
            <v>30000</v>
          </cell>
          <cell r="X977">
            <v>0.33333333333333331</v>
          </cell>
          <cell r="Y977">
            <v>0.33333333333333331</v>
          </cell>
          <cell r="Z977">
            <v>0.33333333333333331</v>
          </cell>
          <cell r="AA977"/>
        </row>
        <row r="978">
          <cell r="A978">
            <v>971</v>
          </cell>
          <cell r="B978" t="str">
            <v>1,2-DIAMINOPROPANE</v>
          </cell>
          <cell r="C978" t="str">
            <v>78-90-0</v>
          </cell>
          <cell r="D978" t="str">
            <v>Base</v>
          </cell>
          <cell r="E978">
            <v>9.9700000000000006</v>
          </cell>
          <cell r="F978">
            <v>74.13</v>
          </cell>
          <cell r="G978"/>
          <cell r="H978">
            <v>1413.3333329799998</v>
          </cell>
          <cell r="I978">
            <v>1000000</v>
          </cell>
          <cell r="J978"/>
          <cell r="K978">
            <v>6.3095734448019317E-2</v>
          </cell>
          <cell r="L978"/>
          <cell r="M978"/>
          <cell r="N978"/>
          <cell r="O978"/>
          <cell r="P978"/>
          <cell r="Q978">
            <v>5.62822275E-5</v>
          </cell>
          <cell r="R978">
            <v>5.3483578746909358E-7</v>
          </cell>
          <cell r="S978">
            <v>5.9426198607677063E-8</v>
          </cell>
          <cell r="T978">
            <v>2.6741789373454679E-7</v>
          </cell>
          <cell r="U978"/>
          <cell r="V978"/>
          <cell r="W978">
            <v>30000</v>
          </cell>
          <cell r="X978">
            <v>0.33333333333333331</v>
          </cell>
          <cell r="Y978">
            <v>0.33333333333333331</v>
          </cell>
          <cell r="Z978">
            <v>0.33333333333333331</v>
          </cell>
          <cell r="AA978"/>
        </row>
        <row r="979">
          <cell r="A979">
            <v>972</v>
          </cell>
          <cell r="B979" t="str">
            <v>Cyclohexanamine, 4,4'-methylenebis 2-methyl-</v>
          </cell>
          <cell r="C979" t="str">
            <v>6864-37-5</v>
          </cell>
          <cell r="D979" t="str">
            <v>Base</v>
          </cell>
          <cell r="E979">
            <v>9.98</v>
          </cell>
          <cell r="F979">
            <v>238.42</v>
          </cell>
          <cell r="G979"/>
          <cell r="H979">
            <v>926.66666643500002</v>
          </cell>
          <cell r="I979">
            <v>87.93</v>
          </cell>
          <cell r="J979"/>
          <cell r="K979">
            <v>12589.254117941671</v>
          </cell>
          <cell r="L979"/>
          <cell r="M979"/>
          <cell r="N979"/>
          <cell r="O979"/>
          <cell r="P979"/>
          <cell r="Q979">
            <v>8.9930699999999996E-5</v>
          </cell>
          <cell r="R979">
            <v>2.1393431498763744E-7</v>
          </cell>
          <cell r="S979">
            <v>2.3770479443070826E-8</v>
          </cell>
          <cell r="T979">
            <v>1.0696715749381872E-7</v>
          </cell>
          <cell r="U979"/>
          <cell r="V979"/>
          <cell r="W979">
            <v>30000</v>
          </cell>
          <cell r="X979">
            <v>0.33333333333333331</v>
          </cell>
          <cell r="Y979">
            <v>0.33333333333333331</v>
          </cell>
          <cell r="Z979">
            <v>0.33333333333333331</v>
          </cell>
          <cell r="AA979"/>
        </row>
        <row r="980">
          <cell r="A980">
            <v>973</v>
          </cell>
          <cell r="B980" t="str">
            <v>NITROFURAZONE</v>
          </cell>
          <cell r="C980" t="str">
            <v>59-87-0</v>
          </cell>
          <cell r="D980" t="str">
            <v>Base</v>
          </cell>
          <cell r="E980">
            <v>10</v>
          </cell>
          <cell r="F980">
            <v>198.14</v>
          </cell>
          <cell r="G980"/>
          <cell r="H980">
            <v>4.5999999988499996E-5</v>
          </cell>
          <cell r="I980">
            <v>210</v>
          </cell>
          <cell r="J980"/>
          <cell r="K980">
            <v>1.6982436524617444</v>
          </cell>
          <cell r="L980"/>
          <cell r="M980"/>
          <cell r="N980"/>
          <cell r="O980"/>
          <cell r="P980"/>
          <cell r="Q980">
            <v>1.1961502499999999E-5</v>
          </cell>
          <cell r="R980">
            <v>2.1393431498763744E-7</v>
          </cell>
          <cell r="S980">
            <v>2.3770479443070826E-8</v>
          </cell>
          <cell r="T980">
            <v>1.0696715749381872E-7</v>
          </cell>
          <cell r="U980"/>
          <cell r="V980"/>
          <cell r="W980">
            <v>30000</v>
          </cell>
          <cell r="X980">
            <v>0.33333333333333331</v>
          </cell>
          <cell r="Y980">
            <v>0.33333333333333331</v>
          </cell>
          <cell r="Z980">
            <v>0.33333333333333331</v>
          </cell>
          <cell r="AA980"/>
        </row>
        <row r="981">
          <cell r="A981">
            <v>974</v>
          </cell>
          <cell r="B981" t="str">
            <v>1-Octanamine, N,N-dimethyl-</v>
          </cell>
          <cell r="C981" t="str">
            <v>7378-99-6</v>
          </cell>
          <cell r="D981" t="str">
            <v>Base</v>
          </cell>
          <cell r="E981">
            <v>10.050000000000001</v>
          </cell>
          <cell r="F981">
            <v>157.30000000000001</v>
          </cell>
          <cell r="G981"/>
          <cell r="H981">
            <v>75.199999981199994</v>
          </cell>
          <cell r="I981">
            <v>770.6</v>
          </cell>
          <cell r="J981"/>
          <cell r="K981">
            <v>3019.9517204020176</v>
          </cell>
          <cell r="L981"/>
          <cell r="M981"/>
          <cell r="N981"/>
          <cell r="O981"/>
          <cell r="P981"/>
          <cell r="Q981">
            <v>6.5696227500000002E-5</v>
          </cell>
          <cell r="R981">
            <v>5.3483578746909358E-7</v>
          </cell>
          <cell r="S981">
            <v>5.9426198607677063E-8</v>
          </cell>
          <cell r="T981">
            <v>2.6741789373454679E-7</v>
          </cell>
          <cell r="U981"/>
          <cell r="V981"/>
          <cell r="W981">
            <v>30000</v>
          </cell>
          <cell r="X981">
            <v>0.33333333333333331</v>
          </cell>
          <cell r="Y981">
            <v>0.33333333333333331</v>
          </cell>
          <cell r="Z981">
            <v>0.33333333333333331</v>
          </cell>
          <cell r="AA981"/>
        </row>
        <row r="982">
          <cell r="A982">
            <v>975</v>
          </cell>
          <cell r="B982" t="str">
            <v>2-(BIS(1-METHYLETHYL)AMINO)ETHANOL</v>
          </cell>
          <cell r="C982" t="str">
            <v>96-80-0</v>
          </cell>
          <cell r="D982" t="str">
            <v>Base</v>
          </cell>
          <cell r="E982">
            <v>10.08</v>
          </cell>
          <cell r="F982">
            <v>145.25</v>
          </cell>
          <cell r="G982"/>
          <cell r="H982">
            <v>10.666666663999999</v>
          </cell>
          <cell r="I982">
            <v>12000</v>
          </cell>
          <cell r="J982"/>
          <cell r="K982">
            <v>7.5857757502918375</v>
          </cell>
          <cell r="L982"/>
          <cell r="M982"/>
          <cell r="N982"/>
          <cell r="O982"/>
          <cell r="P982"/>
          <cell r="Q982">
            <v>8.819850749999999E-5</v>
          </cell>
          <cell r="R982">
            <v>5.3483578746909358E-7</v>
          </cell>
          <cell r="S982">
            <v>5.9426198607677063E-8</v>
          </cell>
          <cell r="T982">
            <v>2.6741789373454679E-7</v>
          </cell>
          <cell r="U982"/>
          <cell r="V982"/>
          <cell r="W982">
            <v>30000</v>
          </cell>
          <cell r="X982">
            <v>0.33333333333333331</v>
          </cell>
          <cell r="Y982">
            <v>0.33333333333333331</v>
          </cell>
          <cell r="Z982">
            <v>0.33333333333333331</v>
          </cell>
          <cell r="AA982"/>
        </row>
        <row r="983">
          <cell r="A983">
            <v>976</v>
          </cell>
          <cell r="B983" t="str">
            <v>N,N'-DIPHENYLGUANIDINE</v>
          </cell>
          <cell r="C983" t="str">
            <v>102-06-7</v>
          </cell>
          <cell r="D983" t="str">
            <v>Base</v>
          </cell>
          <cell r="E983">
            <v>10.119999999999999</v>
          </cell>
          <cell r="F983">
            <v>211.27</v>
          </cell>
          <cell r="G983"/>
          <cell r="H983">
            <v>5.2933333320099999E-4</v>
          </cell>
          <cell r="I983">
            <v>1000</v>
          </cell>
          <cell r="J983"/>
          <cell r="K983">
            <v>776.24711662869231</v>
          </cell>
          <cell r="L983"/>
          <cell r="M983"/>
          <cell r="N983"/>
          <cell r="O983"/>
          <cell r="P983"/>
          <cell r="Q983">
            <v>6.3986924999999997E-5</v>
          </cell>
          <cell r="R983">
            <v>2.1393431498763744E-7</v>
          </cell>
          <cell r="S983">
            <v>2.3770479443070826E-8</v>
          </cell>
          <cell r="T983">
            <v>1.0696715749381872E-7</v>
          </cell>
          <cell r="U983"/>
          <cell r="V983"/>
          <cell r="W983">
            <v>30000</v>
          </cell>
          <cell r="X983">
            <v>0.33333333333333331</v>
          </cell>
          <cell r="Y983">
            <v>0.33333333333333331</v>
          </cell>
          <cell r="Z983">
            <v>0.33333333333333331</v>
          </cell>
          <cell r="AA983"/>
        </row>
        <row r="984">
          <cell r="A984">
            <v>977</v>
          </cell>
          <cell r="B984" t="str">
            <v>4-DIMETHYLAMINOPYRIDINE</v>
          </cell>
          <cell r="C984" t="str">
            <v>1122-58-3</v>
          </cell>
          <cell r="D984" t="str">
            <v>Base</v>
          </cell>
          <cell r="E984">
            <v>10.14</v>
          </cell>
          <cell r="F984">
            <v>122.17</v>
          </cell>
          <cell r="G984"/>
          <cell r="H984">
            <v>16.933333329099998</v>
          </cell>
          <cell r="I984">
            <v>76000</v>
          </cell>
          <cell r="J984"/>
          <cell r="K984">
            <v>21.877616239495538</v>
          </cell>
          <cell r="L984"/>
          <cell r="M984"/>
          <cell r="N984"/>
          <cell r="O984"/>
          <cell r="P984"/>
          <cell r="Q984">
            <v>5.4530587499999998E-5</v>
          </cell>
          <cell r="R984">
            <v>2.1393431498763744E-7</v>
          </cell>
          <cell r="S984">
            <v>2.3770479443070826E-8</v>
          </cell>
          <cell r="T984">
            <v>1.0696715749381872E-7</v>
          </cell>
          <cell r="U984"/>
          <cell r="V984"/>
          <cell r="W984">
            <v>30000</v>
          </cell>
          <cell r="X984">
            <v>0.33333333333333331</v>
          </cell>
          <cell r="Y984">
            <v>0.33333333333333331</v>
          </cell>
          <cell r="Z984">
            <v>0.33333333333333331</v>
          </cell>
          <cell r="AA984"/>
        </row>
        <row r="985">
          <cell r="A985">
            <v>978</v>
          </cell>
          <cell r="B985" t="str">
            <v>Cyclohexanamine, N,N-diethyl-</v>
          </cell>
          <cell r="C985" t="str">
            <v>91-65-6</v>
          </cell>
          <cell r="D985" t="str">
            <v>Base</v>
          </cell>
          <cell r="E985">
            <v>10.14</v>
          </cell>
          <cell r="F985">
            <v>155.29</v>
          </cell>
          <cell r="G985"/>
          <cell r="H985">
            <v>68.133333316299996</v>
          </cell>
          <cell r="I985">
            <v>1134</v>
          </cell>
          <cell r="J985"/>
          <cell r="K985">
            <v>1949.8445997580463</v>
          </cell>
          <cell r="L985"/>
          <cell r="M985"/>
          <cell r="N985"/>
          <cell r="O985"/>
          <cell r="P985"/>
          <cell r="Q985">
            <v>8.8550955000000003E-5</v>
          </cell>
          <cell r="R985">
            <v>2.1393431498763744E-7</v>
          </cell>
          <cell r="S985">
            <v>2.3770479443070826E-8</v>
          </cell>
          <cell r="T985">
            <v>1.0696715749381872E-7</v>
          </cell>
          <cell r="U985"/>
          <cell r="V985"/>
          <cell r="W985">
            <v>30000</v>
          </cell>
          <cell r="X985">
            <v>0.33333333333333331</v>
          </cell>
          <cell r="Y985">
            <v>0.33333333333333331</v>
          </cell>
          <cell r="Z985">
            <v>0.33333333333333331</v>
          </cell>
          <cell r="AA985"/>
        </row>
        <row r="986">
          <cell r="A986">
            <v>979</v>
          </cell>
          <cell r="B986" t="str">
            <v>ETHYL DIMETHYLAMINE</v>
          </cell>
          <cell r="C986" t="str">
            <v>598-56-1</v>
          </cell>
          <cell r="D986" t="str">
            <v>Base</v>
          </cell>
          <cell r="E986">
            <v>10.16</v>
          </cell>
          <cell r="F986">
            <v>73.14</v>
          </cell>
          <cell r="G986"/>
          <cell r="H986">
            <v>65733.333316899996</v>
          </cell>
          <cell r="I986">
            <v>345100</v>
          </cell>
          <cell r="J986"/>
          <cell r="K986">
            <v>5.0118723362727229</v>
          </cell>
          <cell r="L986"/>
          <cell r="M986"/>
          <cell r="N986"/>
          <cell r="O986"/>
          <cell r="P986"/>
          <cell r="Q986">
            <v>5.8037310000000002E-5</v>
          </cell>
          <cell r="R986">
            <v>5.3483578746909358E-7</v>
          </cell>
          <cell r="S986">
            <v>5.9426198607677063E-8</v>
          </cell>
          <cell r="T986">
            <v>2.6741789373454679E-7</v>
          </cell>
          <cell r="U986"/>
          <cell r="V986"/>
          <cell r="W986">
            <v>30000</v>
          </cell>
          <cell r="X986">
            <v>0.33333333333333331</v>
          </cell>
          <cell r="Y986">
            <v>0.33333333333333331</v>
          </cell>
          <cell r="Z986">
            <v>0.33333333333333331</v>
          </cell>
          <cell r="AA986"/>
        </row>
        <row r="987">
          <cell r="A987">
            <v>980</v>
          </cell>
          <cell r="B987" t="str">
            <v>2-AMINO-2-METHYL-1-PROPANOL</v>
          </cell>
          <cell r="C987" t="str">
            <v>124-68-5</v>
          </cell>
          <cell r="D987" t="str">
            <v>Base</v>
          </cell>
          <cell r="E987">
            <v>10.19</v>
          </cell>
          <cell r="F987">
            <v>89.14</v>
          </cell>
          <cell r="G987"/>
          <cell r="H987">
            <v>133.33333329999999</v>
          </cell>
          <cell r="I987">
            <v>1000000</v>
          </cell>
          <cell r="J987"/>
          <cell r="K987">
            <v>0.18197008586099833</v>
          </cell>
          <cell r="L987"/>
          <cell r="M987"/>
          <cell r="N987"/>
          <cell r="O987"/>
          <cell r="P987"/>
          <cell r="Q987">
            <v>2.0999999999999999E-5</v>
          </cell>
          <cell r="R987">
            <v>5.3483578746909358E-7</v>
          </cell>
          <cell r="S987">
            <v>5.9426198607677063E-8</v>
          </cell>
          <cell r="T987">
            <v>2.6741789373454679E-7</v>
          </cell>
          <cell r="U987"/>
          <cell r="V987"/>
          <cell r="W987">
            <v>30000</v>
          </cell>
          <cell r="X987">
            <v>0.33333333333333331</v>
          </cell>
          <cell r="Y987">
            <v>0.33333333333333331</v>
          </cell>
          <cell r="Z987">
            <v>0.33333333333333331</v>
          </cell>
          <cell r="AA987"/>
        </row>
        <row r="988">
          <cell r="A988">
            <v>981</v>
          </cell>
          <cell r="B988" t="str">
            <v>LENACIL</v>
          </cell>
          <cell r="C988" t="str">
            <v>96-63-9</v>
          </cell>
          <cell r="D988" t="str">
            <v>Base</v>
          </cell>
          <cell r="E988">
            <v>10.3</v>
          </cell>
          <cell r="F988">
            <v>234.3</v>
          </cell>
          <cell r="G988"/>
          <cell r="H988">
            <v>1.9999999994999998E-7</v>
          </cell>
          <cell r="I988">
            <v>6</v>
          </cell>
          <cell r="J988"/>
          <cell r="K988">
            <v>1230.2687708123824</v>
          </cell>
          <cell r="L988"/>
          <cell r="M988"/>
          <cell r="N988"/>
          <cell r="O988"/>
          <cell r="P988"/>
          <cell r="Q988">
            <v>3.4930267500000001E-5</v>
          </cell>
          <cell r="R988">
            <v>2.1393431498763744E-7</v>
          </cell>
          <cell r="S988">
            <v>2.3770479443070826E-8</v>
          </cell>
          <cell r="T988">
            <v>2.0157127668433178E-7</v>
          </cell>
          <cell r="U988"/>
          <cell r="V988"/>
          <cell r="W988">
            <v>30000</v>
          </cell>
          <cell r="X988">
            <v>0.33333333333333331</v>
          </cell>
          <cell r="Y988">
            <v>0.33333333333333331</v>
          </cell>
          <cell r="Z988">
            <v>0.33333333333333331</v>
          </cell>
          <cell r="AA988"/>
        </row>
        <row r="989">
          <cell r="A989">
            <v>982</v>
          </cell>
          <cell r="B989" t="str">
            <v>1-METHYL-PYRROLIDINE</v>
          </cell>
          <cell r="C989" t="str">
            <v>120-94-5</v>
          </cell>
          <cell r="D989" t="str">
            <v>Base</v>
          </cell>
          <cell r="E989">
            <v>10.32</v>
          </cell>
          <cell r="F989">
            <v>85.15</v>
          </cell>
          <cell r="G989"/>
          <cell r="H989">
            <v>13333.333329999999</v>
          </cell>
          <cell r="I989">
            <v>213100</v>
          </cell>
          <cell r="J989"/>
          <cell r="K989">
            <v>8.3176377110267108</v>
          </cell>
          <cell r="L989"/>
          <cell r="M989"/>
          <cell r="N989"/>
          <cell r="O989"/>
          <cell r="P989"/>
          <cell r="Q989">
            <v>6.2061787499999998E-5</v>
          </cell>
          <cell r="R989">
            <v>5.3483578746909358E-7</v>
          </cell>
          <cell r="S989">
            <v>5.9426198607677063E-8</v>
          </cell>
          <cell r="T989">
            <v>2.6741789373454679E-7</v>
          </cell>
          <cell r="U989"/>
          <cell r="V989"/>
          <cell r="W989">
            <v>30000</v>
          </cell>
          <cell r="X989">
            <v>0.33333333333333331</v>
          </cell>
          <cell r="Y989">
            <v>0.33333333333333331</v>
          </cell>
          <cell r="Z989">
            <v>0.33333333333333331</v>
          </cell>
          <cell r="AA989"/>
        </row>
        <row r="990">
          <cell r="A990">
            <v>983</v>
          </cell>
          <cell r="B990" t="str">
            <v>2-Pentanamine, 2,4,4-trimethyl-</v>
          </cell>
          <cell r="C990" t="str">
            <v>107-45-9</v>
          </cell>
          <cell r="D990" t="str">
            <v>Base</v>
          </cell>
          <cell r="E990">
            <v>10.36</v>
          </cell>
          <cell r="F990">
            <v>129.25</v>
          </cell>
          <cell r="G990"/>
          <cell r="H990">
            <v>971.99999975699996</v>
          </cell>
          <cell r="I990">
            <v>5939</v>
          </cell>
          <cell r="J990"/>
          <cell r="K990">
            <v>380.18939632056163</v>
          </cell>
          <cell r="L990"/>
          <cell r="M990"/>
          <cell r="N990"/>
          <cell r="O990"/>
          <cell r="P990"/>
          <cell r="Q990">
            <v>1.7437087499999999E-5</v>
          </cell>
          <cell r="R990">
            <v>2.1393431498763744E-7</v>
          </cell>
          <cell r="S990">
            <v>2.3770479443070826E-8</v>
          </cell>
          <cell r="T990">
            <v>1.0696715749381872E-7</v>
          </cell>
          <cell r="U990"/>
          <cell r="V990"/>
          <cell r="W990">
            <v>30000</v>
          </cell>
          <cell r="X990">
            <v>0.33333333333333331</v>
          </cell>
          <cell r="Y990">
            <v>0.33333333333333331</v>
          </cell>
          <cell r="Z990">
            <v>0.33333333333333331</v>
          </cell>
          <cell r="AA990"/>
        </row>
        <row r="991">
          <cell r="A991">
            <v>984</v>
          </cell>
          <cell r="B991" t="str">
            <v>3-Methyl-2-butanamine</v>
          </cell>
          <cell r="C991" t="str">
            <v>598-74-3</v>
          </cell>
          <cell r="D991" t="str">
            <v>Base</v>
          </cell>
          <cell r="E991">
            <v>10.36</v>
          </cell>
          <cell r="F991">
            <v>87.17</v>
          </cell>
          <cell r="G991"/>
          <cell r="H991">
            <v>9239.9999976899999</v>
          </cell>
          <cell r="I991">
            <v>126800</v>
          </cell>
          <cell r="J991"/>
          <cell r="K991">
            <v>15.135612484362087</v>
          </cell>
          <cell r="L991"/>
          <cell r="M991"/>
          <cell r="N991"/>
          <cell r="O991"/>
          <cell r="P991"/>
          <cell r="Q991">
            <v>3.4559774999999999E-5</v>
          </cell>
          <cell r="R991">
            <v>5.3483578746909358E-7</v>
          </cell>
          <cell r="S991">
            <v>5.9426198607677063E-8</v>
          </cell>
          <cell r="T991">
            <v>2.6741789373454679E-7</v>
          </cell>
          <cell r="U991"/>
          <cell r="V991"/>
          <cell r="W991">
            <v>30000</v>
          </cell>
          <cell r="X991">
            <v>0.33333333333333331</v>
          </cell>
          <cell r="Y991">
            <v>0.33333333333333331</v>
          </cell>
          <cell r="Z991">
            <v>0.33333333333333331</v>
          </cell>
          <cell r="AA991"/>
        </row>
        <row r="992">
          <cell r="A992">
            <v>985</v>
          </cell>
          <cell r="B992" t="str">
            <v>9-Octadecen-1-amine, (Z)-</v>
          </cell>
          <cell r="C992" t="str">
            <v>112-90-3</v>
          </cell>
          <cell r="D992" t="str">
            <v>Base</v>
          </cell>
          <cell r="E992">
            <v>10.4</v>
          </cell>
          <cell r="F992">
            <v>267.5</v>
          </cell>
          <cell r="G992"/>
          <cell r="H992">
            <v>8.9733333310899988E-5</v>
          </cell>
          <cell r="I992">
            <v>7.639E-2</v>
          </cell>
          <cell r="J992"/>
          <cell r="K992">
            <v>31622776.601683889</v>
          </cell>
          <cell r="L992"/>
          <cell r="M992"/>
          <cell r="N992"/>
          <cell r="O992"/>
          <cell r="P992"/>
          <cell r="Q992">
            <v>8.0430974999999994E-5</v>
          </cell>
          <cell r="R992">
            <v>5.3483578746909358E-7</v>
          </cell>
          <cell r="S992">
            <v>5.9426198607677063E-8</v>
          </cell>
          <cell r="T992">
            <v>2.6741789373454679E-7</v>
          </cell>
          <cell r="U992"/>
          <cell r="V992"/>
          <cell r="W992">
            <v>30000</v>
          </cell>
          <cell r="X992">
            <v>0.33333333333333331</v>
          </cell>
          <cell r="Y992">
            <v>0.33333333333333331</v>
          </cell>
          <cell r="Z992">
            <v>0.33333333333333331</v>
          </cell>
          <cell r="AA992"/>
        </row>
        <row r="993">
          <cell r="A993">
            <v>986</v>
          </cell>
          <cell r="B993" t="str">
            <v>1-Heptadecanamine</v>
          </cell>
          <cell r="C993" t="str">
            <v>4200-95-7</v>
          </cell>
          <cell r="D993" t="str">
            <v>Base</v>
          </cell>
          <cell r="E993">
            <v>10.41</v>
          </cell>
          <cell r="F993">
            <v>255.49</v>
          </cell>
          <cell r="G993"/>
          <cell r="H993">
            <v>2.2666666661E-2</v>
          </cell>
          <cell r="I993">
            <v>0.15359999999999999</v>
          </cell>
          <cell r="J993"/>
          <cell r="K993">
            <v>16595869.074375641</v>
          </cell>
          <cell r="L993"/>
          <cell r="M993"/>
          <cell r="N993"/>
          <cell r="O993"/>
          <cell r="P993"/>
          <cell r="Q993">
            <v>3.9587099999999999E-5</v>
          </cell>
          <cell r="R993">
            <v>5.3483578746909358E-7</v>
          </cell>
          <cell r="S993">
            <v>5.9426198607677063E-8</v>
          </cell>
          <cell r="T993">
            <v>2.6741789373454679E-7</v>
          </cell>
          <cell r="U993"/>
          <cell r="V993"/>
          <cell r="W993">
            <v>30000</v>
          </cell>
          <cell r="X993">
            <v>0.33333333333333331</v>
          </cell>
          <cell r="Y993">
            <v>0.33333333333333331</v>
          </cell>
          <cell r="Z993">
            <v>0.33333333333333331</v>
          </cell>
          <cell r="AA993"/>
        </row>
        <row r="994">
          <cell r="A994">
            <v>987</v>
          </cell>
          <cell r="B994" t="str">
            <v>PENTADECYLAMINE</v>
          </cell>
          <cell r="C994" t="str">
            <v>2570-26-5</v>
          </cell>
          <cell r="D994" t="str">
            <v>Base</v>
          </cell>
          <cell r="E994">
            <v>10.41</v>
          </cell>
          <cell r="F994">
            <v>227.44</v>
          </cell>
          <cell r="G994"/>
          <cell r="H994">
            <v>0.134666666633</v>
          </cell>
          <cell r="I994">
            <v>1.5089999999999999</v>
          </cell>
          <cell r="J994"/>
          <cell r="K994">
            <v>1737800.8287493798</v>
          </cell>
          <cell r="L994"/>
          <cell r="M994"/>
          <cell r="N994"/>
          <cell r="O994"/>
          <cell r="P994"/>
          <cell r="Q994">
            <v>3.7467525000000002E-5</v>
          </cell>
          <cell r="R994">
            <v>5.3483578746909358E-7</v>
          </cell>
          <cell r="S994">
            <v>5.9426198607677063E-8</v>
          </cell>
          <cell r="T994">
            <v>2.6741789373454679E-7</v>
          </cell>
          <cell r="U994"/>
          <cell r="V994"/>
          <cell r="W994">
            <v>30000</v>
          </cell>
          <cell r="X994">
            <v>0.33333333333333331</v>
          </cell>
          <cell r="Y994">
            <v>0.33333333333333331</v>
          </cell>
          <cell r="Z994">
            <v>0.33333333333333331</v>
          </cell>
          <cell r="AA994"/>
        </row>
        <row r="995">
          <cell r="A995">
            <v>988</v>
          </cell>
          <cell r="B995" t="str">
            <v>2-ETHYLHEXYLAMINE</v>
          </cell>
          <cell r="C995" t="str">
            <v>104-75-6</v>
          </cell>
          <cell r="D995" t="str">
            <v>Base</v>
          </cell>
          <cell r="E995">
            <v>10.41</v>
          </cell>
          <cell r="F995">
            <v>129.25</v>
          </cell>
          <cell r="G995"/>
          <cell r="H995">
            <v>186.66666661999997</v>
          </cell>
          <cell r="I995">
            <v>2500</v>
          </cell>
          <cell r="J995"/>
          <cell r="K995">
            <v>660.69344800759643</v>
          </cell>
          <cell r="L995"/>
          <cell r="M995"/>
          <cell r="N995"/>
          <cell r="O995"/>
          <cell r="P995"/>
          <cell r="Q995">
            <v>3.0564307499999999E-5</v>
          </cell>
          <cell r="R995">
            <v>5.3483578746909358E-7</v>
          </cell>
          <cell r="S995">
            <v>5.9426198607677063E-8</v>
          </cell>
          <cell r="T995">
            <v>2.6741789373454679E-7</v>
          </cell>
          <cell r="U995"/>
          <cell r="V995"/>
          <cell r="W995">
            <v>30000</v>
          </cell>
          <cell r="X995">
            <v>0.33333333333333331</v>
          </cell>
          <cell r="Y995">
            <v>0.33333333333333331</v>
          </cell>
          <cell r="Z995">
            <v>0.33333333333333331</v>
          </cell>
          <cell r="AA995"/>
        </row>
        <row r="996">
          <cell r="A996">
            <v>989</v>
          </cell>
          <cell r="B996" t="str">
            <v>Cyclohexylmethylamine</v>
          </cell>
          <cell r="C996" t="str">
            <v>481-43-0</v>
          </cell>
          <cell r="D996" t="str">
            <v>Base</v>
          </cell>
          <cell r="E996">
            <v>10.41</v>
          </cell>
          <cell r="F996">
            <v>113.2</v>
          </cell>
          <cell r="G996"/>
          <cell r="H996">
            <v>334.66666658299994</v>
          </cell>
          <cell r="I996">
            <v>16650</v>
          </cell>
          <cell r="J996"/>
          <cell r="K996">
            <v>131.82567385564084</v>
          </cell>
          <cell r="L996"/>
          <cell r="M996"/>
          <cell r="N996"/>
          <cell r="O996"/>
          <cell r="P996"/>
          <cell r="Q996">
            <v>3.1769512499999999E-5</v>
          </cell>
          <cell r="R996">
            <v>5.3483578746909358E-7</v>
          </cell>
          <cell r="S996">
            <v>5.9426198607677063E-8</v>
          </cell>
          <cell r="T996">
            <v>2.6741789373454679E-7</v>
          </cell>
          <cell r="U996"/>
          <cell r="V996"/>
          <cell r="W996">
            <v>30000</v>
          </cell>
          <cell r="X996">
            <v>0.33333333333333331</v>
          </cell>
          <cell r="Y996">
            <v>0.33333333333333331</v>
          </cell>
          <cell r="Z996">
            <v>0.33333333333333331</v>
          </cell>
          <cell r="AA996"/>
        </row>
        <row r="997">
          <cell r="A997">
            <v>990</v>
          </cell>
          <cell r="B997" t="str">
            <v>AMANTADINE</v>
          </cell>
          <cell r="C997" t="str">
            <v>768-94-5</v>
          </cell>
          <cell r="D997" t="str">
            <v>Base</v>
          </cell>
          <cell r="E997">
            <v>10.41</v>
          </cell>
          <cell r="F997">
            <v>151.25</v>
          </cell>
          <cell r="G997"/>
          <cell r="H997">
            <v>0.53066666653399996</v>
          </cell>
          <cell r="I997">
            <v>6292</v>
          </cell>
          <cell r="J997"/>
          <cell r="K997">
            <v>275.42287033381683</v>
          </cell>
          <cell r="L997"/>
          <cell r="M997"/>
          <cell r="N997"/>
          <cell r="O997"/>
          <cell r="P997"/>
          <cell r="Q997">
            <v>3.0231405E-5</v>
          </cell>
          <cell r="R997">
            <v>2.1393431498763744E-7</v>
          </cell>
          <cell r="S997">
            <v>2.3770479443070826E-8</v>
          </cell>
          <cell r="T997">
            <v>1.0696715749381872E-7</v>
          </cell>
          <cell r="U997"/>
          <cell r="V997"/>
          <cell r="W997">
            <v>30000</v>
          </cell>
          <cell r="X997">
            <v>0.33333333333333331</v>
          </cell>
          <cell r="Y997">
            <v>0.33333333333333331</v>
          </cell>
          <cell r="Z997">
            <v>0.33333333333333331</v>
          </cell>
          <cell r="AA997"/>
        </row>
        <row r="998">
          <cell r="A998">
            <v>991</v>
          </cell>
          <cell r="B998" t="str">
            <v>2,2-DIMETHYL-1-PROPYLAMIN</v>
          </cell>
          <cell r="C998" t="str">
            <v>5813-64-9</v>
          </cell>
          <cell r="D998" t="str">
            <v>Base</v>
          </cell>
          <cell r="E998">
            <v>10.41</v>
          </cell>
          <cell r="F998">
            <v>87.17</v>
          </cell>
          <cell r="G998"/>
          <cell r="H998">
            <v>10693.33333066</v>
          </cell>
          <cell r="I998">
            <v>118100</v>
          </cell>
          <cell r="J998"/>
          <cell r="K998">
            <v>16.218100973589298</v>
          </cell>
          <cell r="L998"/>
          <cell r="M998"/>
          <cell r="N998"/>
          <cell r="O998"/>
          <cell r="P998"/>
          <cell r="Q998">
            <v>2.4139402500000002E-5</v>
          </cell>
          <cell r="R998">
            <v>5.3483578746909358E-7</v>
          </cell>
          <cell r="S998">
            <v>5.9426198607677063E-8</v>
          </cell>
          <cell r="T998">
            <v>2.6741789373454679E-7</v>
          </cell>
          <cell r="U998"/>
          <cell r="V998"/>
          <cell r="W998">
            <v>30000</v>
          </cell>
          <cell r="X998">
            <v>0.33333333333333331</v>
          </cell>
          <cell r="Y998">
            <v>0.33333333333333331</v>
          </cell>
          <cell r="Z998">
            <v>0.33333333333333331</v>
          </cell>
          <cell r="AA998"/>
        </row>
        <row r="999">
          <cell r="A999">
            <v>992</v>
          </cell>
          <cell r="B999" t="str">
            <v>TRIFORINE</v>
          </cell>
          <cell r="C999" t="str">
            <v>26644-46-2</v>
          </cell>
          <cell r="D999" t="str">
            <v>Base</v>
          </cell>
          <cell r="E999">
            <v>10.6</v>
          </cell>
          <cell r="F999">
            <v>434.97</v>
          </cell>
          <cell r="G999"/>
          <cell r="H999">
            <v>2.6666666659999999E-5</v>
          </cell>
          <cell r="I999">
            <v>30</v>
          </cell>
          <cell r="J999"/>
          <cell r="K999">
            <v>158.48931924611153</v>
          </cell>
          <cell r="L999"/>
          <cell r="M999"/>
          <cell r="N999"/>
          <cell r="O999"/>
          <cell r="P999"/>
          <cell r="Q999">
            <v>4.9418407500000005E-5</v>
          </cell>
          <cell r="R999">
            <v>4.45696489557578E-8</v>
          </cell>
          <cell r="S999">
            <v>4.9521832173064224E-9</v>
          </cell>
          <cell r="T999">
            <v>3.8202556247792398E-7</v>
          </cell>
          <cell r="U999"/>
          <cell r="V999"/>
          <cell r="W999">
            <v>30000</v>
          </cell>
          <cell r="X999">
            <v>0.33333333333333331</v>
          </cell>
          <cell r="Y999">
            <v>0.33333333333333331</v>
          </cell>
          <cell r="Z999">
            <v>0.33333333333333331</v>
          </cell>
          <cell r="AA999"/>
        </row>
        <row r="1000">
          <cell r="A1000">
            <v>993</v>
          </cell>
          <cell r="B1000" t="str">
            <v>1,3-PROPANEDIAMINE</v>
          </cell>
          <cell r="C1000" t="str">
            <v>109-76-2</v>
          </cell>
          <cell r="D1000" t="str">
            <v>Base</v>
          </cell>
          <cell r="E1000">
            <v>10.62</v>
          </cell>
          <cell r="F1000">
            <v>74.13</v>
          </cell>
          <cell r="G1000"/>
          <cell r="H1000">
            <v>854.66666645299995</v>
          </cell>
          <cell r="I1000">
            <v>1000000</v>
          </cell>
          <cell r="J1000"/>
          <cell r="K1000">
            <v>3.7153522909717254E-2</v>
          </cell>
          <cell r="L1000"/>
          <cell r="M1000"/>
          <cell r="N1000"/>
          <cell r="O1000"/>
          <cell r="P1000"/>
          <cell r="Q1000">
            <v>4.8585825E-5</v>
          </cell>
          <cell r="R1000">
            <v>5.3483578746909358E-7</v>
          </cell>
          <cell r="S1000">
            <v>5.9426198607677063E-8</v>
          </cell>
          <cell r="T1000">
            <v>2.6741789373454679E-7</v>
          </cell>
          <cell r="U1000"/>
          <cell r="V1000"/>
          <cell r="W1000">
            <v>30000</v>
          </cell>
          <cell r="X1000">
            <v>0.33333333333333331</v>
          </cell>
          <cell r="Y1000">
            <v>0.33333333333333331</v>
          </cell>
          <cell r="Z1000">
            <v>0.33333333333333331</v>
          </cell>
          <cell r="AA1000"/>
        </row>
        <row r="1001">
          <cell r="A1001">
            <v>994</v>
          </cell>
          <cell r="B1001" t="str">
            <v>CYCLOHEXANAMINE</v>
          </cell>
          <cell r="C1001" t="str">
            <v>108-91-8</v>
          </cell>
          <cell r="D1001" t="str">
            <v>Base</v>
          </cell>
          <cell r="E1001">
            <v>10.63</v>
          </cell>
          <cell r="F1001">
            <v>99.18</v>
          </cell>
          <cell r="G1001"/>
          <cell r="H1001">
            <v>1346.6666663299998</v>
          </cell>
          <cell r="I1001">
            <v>1000000</v>
          </cell>
          <cell r="J1001"/>
          <cell r="K1001">
            <v>30.902954325135919</v>
          </cell>
          <cell r="L1001"/>
          <cell r="M1001"/>
          <cell r="N1001"/>
          <cell r="O1001"/>
          <cell r="P1001"/>
          <cell r="Q1001">
            <v>4.1520734999999999E-5</v>
          </cell>
          <cell r="R1001">
            <v>5.3483578746909358E-7</v>
          </cell>
          <cell r="S1001">
            <v>5.9426198607677063E-8</v>
          </cell>
          <cell r="T1001">
            <v>2.6741789373454679E-7</v>
          </cell>
          <cell r="U1001"/>
          <cell r="V1001"/>
          <cell r="W1001">
            <v>30000</v>
          </cell>
          <cell r="X1001">
            <v>0.33333333333333331</v>
          </cell>
          <cell r="Y1001">
            <v>0.33333333333333331</v>
          </cell>
          <cell r="Z1001">
            <v>0.33333333333333331</v>
          </cell>
          <cell r="AA1001"/>
        </row>
        <row r="1002">
          <cell r="A1002">
            <v>995</v>
          </cell>
          <cell r="B1002" t="str">
            <v>N-DODECYLAMINE</v>
          </cell>
          <cell r="C1002" t="str">
            <v>124-22-1</v>
          </cell>
          <cell r="D1002" t="str">
            <v>Base</v>
          </cell>
          <cell r="E1002">
            <v>10.63</v>
          </cell>
          <cell r="F1002">
            <v>185.36</v>
          </cell>
          <cell r="G1002"/>
          <cell r="H1002">
            <v>1.0733333330649999</v>
          </cell>
          <cell r="I1002">
            <v>78</v>
          </cell>
          <cell r="J1002"/>
          <cell r="K1002">
            <v>57543.993733715732</v>
          </cell>
          <cell r="L1002"/>
          <cell r="M1002"/>
          <cell r="N1002"/>
          <cell r="O1002"/>
          <cell r="P1002"/>
          <cell r="Q1002">
            <v>3.4288169999999999E-5</v>
          </cell>
          <cell r="R1002">
            <v>5.3483578746909358E-7</v>
          </cell>
          <cell r="S1002">
            <v>5.9426198607677063E-8</v>
          </cell>
          <cell r="T1002">
            <v>2.6741789373454679E-7</v>
          </cell>
          <cell r="U1002"/>
          <cell r="V1002"/>
          <cell r="W1002">
            <v>30000</v>
          </cell>
          <cell r="X1002">
            <v>0.33333333333333331</v>
          </cell>
          <cell r="Y1002">
            <v>0.33333333333333331</v>
          </cell>
          <cell r="Z1002">
            <v>0.33333333333333331</v>
          </cell>
          <cell r="AA1002"/>
        </row>
        <row r="1003">
          <cell r="A1003">
            <v>996</v>
          </cell>
          <cell r="B1003" t="str">
            <v>N-PENTYLAMINE</v>
          </cell>
          <cell r="C1003" t="str">
            <v>110-58-7</v>
          </cell>
          <cell r="D1003" t="str">
            <v>Base</v>
          </cell>
          <cell r="E1003">
            <v>10.63</v>
          </cell>
          <cell r="F1003">
            <v>87.17</v>
          </cell>
          <cell r="G1003"/>
          <cell r="H1003">
            <v>3999.9999989999997</v>
          </cell>
          <cell r="I1003">
            <v>1000000</v>
          </cell>
          <cell r="J1003"/>
          <cell r="K1003">
            <v>30.902954325135919</v>
          </cell>
          <cell r="L1003"/>
          <cell r="M1003"/>
          <cell r="N1003"/>
          <cell r="O1003"/>
          <cell r="P1003"/>
          <cell r="Q1003">
            <v>2.6869672500000003E-5</v>
          </cell>
          <cell r="R1003">
            <v>9.2532143160742838E-7</v>
          </cell>
          <cell r="S1003">
            <v>1.0281349240082538E-7</v>
          </cell>
          <cell r="T1003">
            <v>4.6266071580371419E-7</v>
          </cell>
          <cell r="U1003"/>
          <cell r="V1003"/>
          <cell r="W1003">
            <v>30000</v>
          </cell>
          <cell r="X1003">
            <v>0.33333333333333331</v>
          </cell>
          <cell r="Y1003">
            <v>0.33333333333333331</v>
          </cell>
          <cell r="Z1003">
            <v>0.33333333333333331</v>
          </cell>
          <cell r="AA1003"/>
        </row>
        <row r="1004">
          <cell r="A1004">
            <v>997</v>
          </cell>
          <cell r="B1004" t="str">
            <v>N-DECYLAMINE</v>
          </cell>
          <cell r="C1004" t="str">
            <v>2016-57-1</v>
          </cell>
          <cell r="D1004" t="str">
            <v>Base</v>
          </cell>
          <cell r="E1004">
            <v>10.64</v>
          </cell>
          <cell r="F1004">
            <v>157.30000000000001</v>
          </cell>
          <cell r="G1004"/>
          <cell r="H1004">
            <v>13.33333333</v>
          </cell>
          <cell r="I1004">
            <v>550</v>
          </cell>
          <cell r="J1004"/>
          <cell r="K1004">
            <v>6025.595860743585</v>
          </cell>
          <cell r="L1004"/>
          <cell r="M1004"/>
          <cell r="N1004"/>
          <cell r="O1004"/>
          <cell r="P1004"/>
          <cell r="Q1004">
            <v>3.2168595000000002E-5</v>
          </cell>
          <cell r="R1004">
            <v>5.3483578746909358E-7</v>
          </cell>
          <cell r="S1004">
            <v>5.9426198607677063E-8</v>
          </cell>
          <cell r="T1004">
            <v>2.6741789373454679E-7</v>
          </cell>
          <cell r="U1004"/>
          <cell r="V1004"/>
          <cell r="W1004">
            <v>30000</v>
          </cell>
          <cell r="X1004">
            <v>0.33333333333333331</v>
          </cell>
          <cell r="Y1004">
            <v>0.33333333333333331</v>
          </cell>
          <cell r="Z1004">
            <v>0.33333333333333331</v>
          </cell>
          <cell r="AA1004"/>
        </row>
        <row r="1005">
          <cell r="A1005">
            <v>998</v>
          </cell>
          <cell r="B1005" t="str">
            <v>N-OCTYLAMINE</v>
          </cell>
          <cell r="C1005" t="str">
            <v>111-86-4</v>
          </cell>
          <cell r="D1005" t="str">
            <v>Base</v>
          </cell>
          <cell r="E1005">
            <v>10.65</v>
          </cell>
          <cell r="F1005">
            <v>129.25</v>
          </cell>
          <cell r="G1005"/>
          <cell r="H1005">
            <v>129.19999996769999</v>
          </cell>
          <cell r="I1005">
            <v>200</v>
          </cell>
          <cell r="J1005"/>
          <cell r="K1005">
            <v>794.32823472428208</v>
          </cell>
          <cell r="L1005"/>
          <cell r="M1005"/>
          <cell r="N1005"/>
          <cell r="O1005"/>
          <cell r="P1005"/>
          <cell r="Q1005">
            <v>3.0049027499999998E-5</v>
          </cell>
          <cell r="R1005">
            <v>5.3483578746909358E-7</v>
          </cell>
          <cell r="S1005">
            <v>5.9426198607677063E-8</v>
          </cell>
          <cell r="T1005">
            <v>2.6741789373454679E-7</v>
          </cell>
          <cell r="U1005"/>
          <cell r="V1005"/>
          <cell r="W1005">
            <v>30000</v>
          </cell>
          <cell r="X1005">
            <v>0.33333333333333331</v>
          </cell>
          <cell r="Y1005">
            <v>0.33333333333333331</v>
          </cell>
          <cell r="Z1005">
            <v>0.33333333333333331</v>
          </cell>
          <cell r="AA1005"/>
        </row>
        <row r="1006">
          <cell r="A1006">
            <v>999</v>
          </cell>
          <cell r="B1006" t="str">
            <v>PENTANAL METHYLFORMYLHYDRAZONE</v>
          </cell>
          <cell r="C1006" t="str">
            <v>57590-20-2</v>
          </cell>
          <cell r="D1006" t="str">
            <v>Base</v>
          </cell>
          <cell r="E1006">
            <v>10.75</v>
          </cell>
          <cell r="F1006">
            <v>142.19999999999999</v>
          </cell>
          <cell r="G1006"/>
          <cell r="H1006">
            <v>1.1426666663809999</v>
          </cell>
          <cell r="I1006">
            <v>5114</v>
          </cell>
          <cell r="J1006"/>
          <cell r="K1006">
            <v>25.703957827688647</v>
          </cell>
          <cell r="L1006"/>
          <cell r="M1006"/>
          <cell r="N1006"/>
          <cell r="O1006"/>
          <cell r="P1006"/>
          <cell r="Q1006">
            <v>1.5305250000000001E-5</v>
          </cell>
          <cell r="R1006">
            <v>5.3483578746909358E-7</v>
          </cell>
          <cell r="S1006">
            <v>5.9426198607677063E-8</v>
          </cell>
          <cell r="T1006">
            <v>2.6741789373454679E-7</v>
          </cell>
          <cell r="U1006"/>
          <cell r="V1006"/>
          <cell r="W1006">
            <v>30000</v>
          </cell>
          <cell r="X1006">
            <v>0.33333333333333331</v>
          </cell>
          <cell r="Y1006">
            <v>0.33333333333333331</v>
          </cell>
          <cell r="Z1006">
            <v>0.33333333333333331</v>
          </cell>
          <cell r="AA1006"/>
        </row>
        <row r="1007">
          <cell r="A1007">
            <v>1000</v>
          </cell>
          <cell r="B1007" t="str">
            <v>N-BUTYLAMINE</v>
          </cell>
          <cell r="C1007" t="str">
            <v>109-73-9</v>
          </cell>
          <cell r="D1007" t="str">
            <v>Base</v>
          </cell>
          <cell r="E1007">
            <v>10.78</v>
          </cell>
          <cell r="F1007">
            <v>73.14</v>
          </cell>
          <cell r="G1007"/>
          <cell r="H1007">
            <v>12386.66666357</v>
          </cell>
          <cell r="I1007">
            <v>1000000</v>
          </cell>
          <cell r="J1007"/>
          <cell r="K1007">
            <v>9.3325430079699103</v>
          </cell>
          <cell r="L1007"/>
          <cell r="M1007"/>
          <cell r="N1007"/>
          <cell r="O1007"/>
          <cell r="P1007"/>
          <cell r="Q1007">
            <v>2.5809885000000001E-5</v>
          </cell>
          <cell r="R1007">
            <v>9.2532143160742838E-7</v>
          </cell>
          <cell r="S1007">
            <v>1.0281349240082538E-7</v>
          </cell>
          <cell r="T1007">
            <v>4.6266071580371419E-7</v>
          </cell>
          <cell r="U1007"/>
          <cell r="V1007"/>
          <cell r="W1007">
            <v>30000</v>
          </cell>
          <cell r="X1007">
            <v>0.33333333333333331</v>
          </cell>
          <cell r="Y1007">
            <v>0.33333333333333331</v>
          </cell>
          <cell r="Z1007">
            <v>0.33333333333333331</v>
          </cell>
          <cell r="AA1007"/>
        </row>
        <row r="1008">
          <cell r="A1008">
            <v>1001</v>
          </cell>
          <cell r="B1008" t="str">
            <v>N,N'-DIMETHYLACETAMIDE</v>
          </cell>
          <cell r="C1008" t="str">
            <v>127-19-5</v>
          </cell>
          <cell r="D1008" t="str">
            <v>Base</v>
          </cell>
          <cell r="E1008">
            <v>10.78</v>
          </cell>
          <cell r="F1008">
            <v>87.12</v>
          </cell>
          <cell r="G1008"/>
          <cell r="H1008">
            <v>266.66666659999999</v>
          </cell>
          <cell r="I1008">
            <v>1000000</v>
          </cell>
          <cell r="J1008"/>
          <cell r="K1008">
            <v>0.16982436524617442</v>
          </cell>
          <cell r="L1008"/>
          <cell r="M1008"/>
          <cell r="N1008"/>
          <cell r="O1008"/>
          <cell r="P1008"/>
          <cell r="Q1008">
            <v>1.0200000000000001E-5</v>
          </cell>
          <cell r="R1008">
            <v>5.3483578746909358E-7</v>
          </cell>
          <cell r="S1008">
            <v>5.9426198607677063E-8</v>
          </cell>
          <cell r="T1008">
            <v>2.6741789373454679E-7</v>
          </cell>
          <cell r="U1008"/>
          <cell r="V1008"/>
          <cell r="W1008">
            <v>30000</v>
          </cell>
          <cell r="X1008">
            <v>0.33333333333333331</v>
          </cell>
          <cell r="Y1008">
            <v>0.33333333333333331</v>
          </cell>
          <cell r="Z1008">
            <v>0.33333333333333331</v>
          </cell>
          <cell r="AA1008"/>
        </row>
        <row r="1009">
          <cell r="A1009">
            <v>1002</v>
          </cell>
          <cell r="B1009" t="str">
            <v>1-Hexanamine, N-hexyl-</v>
          </cell>
          <cell r="C1009" t="str">
            <v>143-16-8</v>
          </cell>
          <cell r="D1009" t="str">
            <v>Base</v>
          </cell>
          <cell r="E1009">
            <v>10.8</v>
          </cell>
          <cell r="F1009">
            <v>185.36</v>
          </cell>
          <cell r="G1009"/>
          <cell r="H1009">
            <v>7.6133333314299989</v>
          </cell>
          <cell r="I1009">
            <v>129</v>
          </cell>
          <cell r="J1009"/>
          <cell r="K1009">
            <v>54954.087385762505</v>
          </cell>
          <cell r="L1009"/>
          <cell r="M1009"/>
          <cell r="N1009"/>
          <cell r="O1009"/>
          <cell r="P1009"/>
          <cell r="Q1009">
            <v>7.1608912500000009E-5</v>
          </cell>
          <cell r="R1009">
            <v>9.2532143160742838E-7</v>
          </cell>
          <cell r="S1009">
            <v>1.0281349240082538E-7</v>
          </cell>
          <cell r="T1009">
            <v>4.6266071580371419E-7</v>
          </cell>
          <cell r="U1009"/>
          <cell r="V1009"/>
          <cell r="W1009">
            <v>30000</v>
          </cell>
          <cell r="X1009">
            <v>0.33333333333333331</v>
          </cell>
          <cell r="Y1009">
            <v>0.33333333333333331</v>
          </cell>
          <cell r="Z1009">
            <v>0.33333333333333331</v>
          </cell>
          <cell r="AA1009"/>
        </row>
        <row r="1010">
          <cell r="A1010">
            <v>1003</v>
          </cell>
          <cell r="B1010" t="str">
            <v>Azocine, octahydro-</v>
          </cell>
          <cell r="C1010" t="str">
            <v>1121-92-2</v>
          </cell>
          <cell r="D1010" t="str">
            <v>Base</v>
          </cell>
          <cell r="E1010">
            <v>10.87</v>
          </cell>
          <cell r="F1010">
            <v>113.2</v>
          </cell>
          <cell r="G1010"/>
          <cell r="H1010">
            <v>131.59999996709999</v>
          </cell>
          <cell r="I1010">
            <v>15140</v>
          </cell>
          <cell r="J1010"/>
          <cell r="K1010">
            <v>147.91083881682084</v>
          </cell>
          <cell r="L1010"/>
          <cell r="M1010"/>
          <cell r="N1010"/>
          <cell r="O1010"/>
          <cell r="P1010"/>
          <cell r="Q1010">
            <v>6.8574975000000005E-5</v>
          </cell>
          <cell r="R1010">
            <v>5.3483578746909358E-7</v>
          </cell>
          <cell r="S1010">
            <v>5.9426198607677063E-8</v>
          </cell>
          <cell r="T1010">
            <v>2.6741789373454679E-7</v>
          </cell>
          <cell r="U1010"/>
          <cell r="V1010"/>
          <cell r="W1010">
            <v>30000</v>
          </cell>
          <cell r="X1010">
            <v>0.33333333333333331</v>
          </cell>
          <cell r="Y1010">
            <v>0.33333333333333331</v>
          </cell>
          <cell r="Z1010">
            <v>0.33333333333333331</v>
          </cell>
          <cell r="AA1010"/>
        </row>
        <row r="1011">
          <cell r="A1011">
            <v>1004</v>
          </cell>
          <cell r="B1011" t="str">
            <v>ETHYLAMINE</v>
          </cell>
          <cell r="C1011" t="str">
            <v>75-04-7</v>
          </cell>
          <cell r="D1011" t="str">
            <v>Base</v>
          </cell>
          <cell r="E1011">
            <v>10.87</v>
          </cell>
          <cell r="F1011">
            <v>45.08</v>
          </cell>
          <cell r="G1011"/>
          <cell r="H1011">
            <v>139999.999965</v>
          </cell>
          <cell r="I1011">
            <v>1000000</v>
          </cell>
          <cell r="J1011"/>
          <cell r="K1011">
            <v>0.74131024130091738</v>
          </cell>
          <cell r="L1011"/>
          <cell r="M1011"/>
          <cell r="N1011"/>
          <cell r="O1011"/>
          <cell r="P1011"/>
          <cell r="Q1011">
            <v>2.0775E-5</v>
          </cell>
          <cell r="R1011">
            <v>5.3483578746909358E-7</v>
          </cell>
          <cell r="S1011">
            <v>5.9426198607677063E-8</v>
          </cell>
          <cell r="T1011">
            <v>2.6741789373454679E-7</v>
          </cell>
          <cell r="U1011"/>
          <cell r="V1011"/>
          <cell r="W1011">
            <v>30000</v>
          </cell>
          <cell r="X1011">
            <v>0.33333333333333331</v>
          </cell>
          <cell r="Y1011">
            <v>0.33333333333333331</v>
          </cell>
          <cell r="Z1011">
            <v>0.33333333333333331</v>
          </cell>
          <cell r="AA1011"/>
        </row>
        <row r="1012">
          <cell r="A1012">
            <v>1005</v>
          </cell>
          <cell r="B1012" t="str">
            <v>RUBEANIC ACID</v>
          </cell>
          <cell r="C1012" t="str">
            <v>79-40-3</v>
          </cell>
          <cell r="D1012" t="str">
            <v>Base</v>
          </cell>
          <cell r="E1012">
            <v>10.9</v>
          </cell>
          <cell r="F1012">
            <v>120.19</v>
          </cell>
          <cell r="G1012"/>
          <cell r="H1012">
            <v>2.1866666661199998E-4</v>
          </cell>
          <cell r="I1012">
            <v>369</v>
          </cell>
          <cell r="J1012"/>
          <cell r="K1012">
            <v>1.0471285480508988E-3</v>
          </cell>
          <cell r="L1012"/>
          <cell r="M1012"/>
          <cell r="N1012"/>
          <cell r="O1012"/>
          <cell r="P1012"/>
          <cell r="Q1012">
            <v>3.15E-5</v>
          </cell>
          <cell r="R1012">
            <v>5.3483578746909358E-7</v>
          </cell>
          <cell r="S1012">
            <v>5.9426198607677063E-8</v>
          </cell>
          <cell r="T1012">
            <v>2.6741789373454679E-7</v>
          </cell>
          <cell r="U1012"/>
          <cell r="V1012"/>
          <cell r="W1012">
            <v>30000</v>
          </cell>
          <cell r="X1012">
            <v>0.33333333333333331</v>
          </cell>
          <cell r="Y1012">
            <v>0.33333333333333331</v>
          </cell>
          <cell r="Z1012">
            <v>0.33333333333333331</v>
          </cell>
          <cell r="AA1012"/>
        </row>
        <row r="1013">
          <cell r="A1013">
            <v>1006</v>
          </cell>
          <cell r="B1013" t="str">
            <v>DIISOBUTYLAMINE</v>
          </cell>
          <cell r="C1013" t="str">
            <v>110-96-3</v>
          </cell>
          <cell r="D1013" t="str">
            <v>Base</v>
          </cell>
          <cell r="E1013">
            <v>10.91</v>
          </cell>
          <cell r="F1013">
            <v>129.25</v>
          </cell>
          <cell r="G1013"/>
          <cell r="H1013">
            <v>969.33333309099987</v>
          </cell>
          <cell r="I1013">
            <v>2200</v>
          </cell>
          <cell r="J1013"/>
          <cell r="K1013">
            <v>426.57951880159294</v>
          </cell>
          <cell r="L1013"/>
          <cell r="M1013"/>
          <cell r="N1013"/>
          <cell r="O1013"/>
          <cell r="P1013"/>
          <cell r="Q1013">
            <v>6.7357177499999994E-5</v>
          </cell>
          <cell r="R1013">
            <v>5.3483578746909358E-7</v>
          </cell>
          <cell r="S1013">
            <v>5.9426198607677063E-8</v>
          </cell>
          <cell r="T1013">
            <v>2.6741789373454679E-7</v>
          </cell>
          <cell r="U1013"/>
          <cell r="V1013"/>
          <cell r="W1013">
            <v>30000</v>
          </cell>
          <cell r="X1013">
            <v>0.33333333333333331</v>
          </cell>
          <cell r="Y1013">
            <v>0.33333333333333331</v>
          </cell>
          <cell r="Z1013">
            <v>0.33333333333333331</v>
          </cell>
          <cell r="AA1013"/>
        </row>
        <row r="1014">
          <cell r="A1014">
            <v>1007</v>
          </cell>
          <cell r="B1014" t="str">
            <v>Ag(I)</v>
          </cell>
          <cell r="C1014" t="str">
            <v>7440-22-4</v>
          </cell>
          <cell r="D1014" t="str">
            <v>Metal</v>
          </cell>
          <cell r="E1014"/>
          <cell r="F1014">
            <v>107.87</v>
          </cell>
          <cell r="G1014"/>
          <cell r="H1014">
            <v>2.4084152589004067E-36</v>
          </cell>
          <cell r="I1014"/>
          <cell r="J1014">
            <v>9.9999999999999995E-21</v>
          </cell>
          <cell r="K1014"/>
          <cell r="L1014">
            <v>47500</v>
          </cell>
          <cell r="M1014"/>
          <cell r="N1014"/>
          <cell r="O1014"/>
          <cell r="P1014"/>
          <cell r="Q1014">
            <v>9.9999999999999995E-21</v>
          </cell>
          <cell r="R1014">
            <v>9.9999999999999995E-21</v>
          </cell>
          <cell r="S1014">
            <v>9.9999999999999995E-21</v>
          </cell>
          <cell r="T1014">
            <v>9.9999999999999995E-21</v>
          </cell>
          <cell r="U1014"/>
          <cell r="V1014"/>
          <cell r="W1014">
            <v>30000</v>
          </cell>
          <cell r="X1014">
            <v>0.33333333333333331</v>
          </cell>
          <cell r="Y1014">
            <v>0.33333333333333331</v>
          </cell>
          <cell r="Z1014">
            <v>0.33333333333333331</v>
          </cell>
          <cell r="AA1014"/>
        </row>
        <row r="1015">
          <cell r="A1015">
            <v>1008</v>
          </cell>
          <cell r="B1015" t="str">
            <v>Al(III)</v>
          </cell>
          <cell r="C1015" t="str">
            <v>7429-90-5</v>
          </cell>
          <cell r="D1015" t="str">
            <v>Metal</v>
          </cell>
          <cell r="E1015"/>
          <cell r="F1015">
            <v>26.98</v>
          </cell>
          <cell r="G1015"/>
          <cell r="H1015">
            <v>3.5055501931685987E-44</v>
          </cell>
          <cell r="I1015"/>
          <cell r="J1015">
            <v>9.9999999999999995E-21</v>
          </cell>
          <cell r="K1015"/>
          <cell r="L1015">
            <v>13328.649403946676</v>
          </cell>
          <cell r="M1015"/>
          <cell r="N1015"/>
          <cell r="O1015"/>
          <cell r="P1015"/>
          <cell r="Q1015">
            <v>9.9999999999999995E-21</v>
          </cell>
          <cell r="R1015">
            <v>9.9999999999999995E-21</v>
          </cell>
          <cell r="S1015">
            <v>9.9999999999999995E-21</v>
          </cell>
          <cell r="T1015">
            <v>9.9999999999999995E-21</v>
          </cell>
          <cell r="U1015"/>
          <cell r="V1015"/>
          <cell r="W1015">
            <v>30000</v>
          </cell>
          <cell r="X1015">
            <v>0.33333333333333331</v>
          </cell>
          <cell r="Y1015">
            <v>0.33333333333333331</v>
          </cell>
          <cell r="Z1015">
            <v>0.33333333333333331</v>
          </cell>
          <cell r="AA1015"/>
        </row>
        <row r="1016">
          <cell r="A1016">
            <v>1009</v>
          </cell>
          <cell r="B1016" t="str">
            <v>As(III)</v>
          </cell>
          <cell r="C1016" t="str">
            <v>7440-38-2</v>
          </cell>
          <cell r="D1016" t="str">
            <v>Metal</v>
          </cell>
          <cell r="E1016"/>
          <cell r="F1016">
            <v>74.921599999999998</v>
          </cell>
          <cell r="G1016"/>
          <cell r="H1016"/>
          <cell r="I1016"/>
          <cell r="J1016">
            <v>9.9999999999999995E-21</v>
          </cell>
          <cell r="K1016"/>
          <cell r="L1016">
            <v>3971.6411736214077</v>
          </cell>
          <cell r="M1016"/>
          <cell r="N1016"/>
          <cell r="O1016"/>
          <cell r="P1016"/>
          <cell r="Q1016">
            <v>9.9999999999999995E-21</v>
          </cell>
          <cell r="R1016">
            <v>9.9999999999999995E-21</v>
          </cell>
          <cell r="S1016">
            <v>9.9999999999999995E-21</v>
          </cell>
          <cell r="T1016">
            <v>9.9999999999999995E-21</v>
          </cell>
          <cell r="U1016"/>
          <cell r="V1016"/>
          <cell r="W1016">
            <v>30000</v>
          </cell>
          <cell r="X1016">
            <v>0.33333333333333331</v>
          </cell>
          <cell r="Y1016">
            <v>0.33333333333333331</v>
          </cell>
          <cell r="Z1016">
            <v>0.33333333333333331</v>
          </cell>
          <cell r="AA1016"/>
        </row>
        <row r="1017">
          <cell r="A1017">
            <v>1010</v>
          </cell>
          <cell r="B1017" t="str">
            <v>As(V)</v>
          </cell>
          <cell r="C1017" t="str">
            <v>7440-38-2</v>
          </cell>
          <cell r="D1017" t="str">
            <v>Metal</v>
          </cell>
          <cell r="E1017"/>
          <cell r="F1017">
            <v>74.921599999999998</v>
          </cell>
          <cell r="G1017"/>
          <cell r="H1017"/>
          <cell r="I1017"/>
          <cell r="J1017">
            <v>9.9999999999999995E-21</v>
          </cell>
          <cell r="K1017"/>
          <cell r="L1017">
            <v>3971.6411736214077</v>
          </cell>
          <cell r="M1017"/>
          <cell r="N1017"/>
          <cell r="O1017"/>
          <cell r="P1017"/>
          <cell r="Q1017">
            <v>9.9999999999999995E-21</v>
          </cell>
          <cell r="R1017">
            <v>9.9999999999999995E-21</v>
          </cell>
          <cell r="S1017">
            <v>9.9999999999999995E-21</v>
          </cell>
          <cell r="T1017">
            <v>9.9999999999999995E-21</v>
          </cell>
          <cell r="U1017"/>
          <cell r="V1017"/>
          <cell r="W1017">
            <v>30000</v>
          </cell>
          <cell r="X1017">
            <v>0.33333333333333331</v>
          </cell>
          <cell r="Y1017">
            <v>0.33333333333333331</v>
          </cell>
          <cell r="Z1017">
            <v>0.33333333333333331</v>
          </cell>
          <cell r="AA1017"/>
        </row>
        <row r="1018">
          <cell r="A1018">
            <v>1011</v>
          </cell>
          <cell r="B1018" t="str">
            <v>Ba(II)</v>
          </cell>
          <cell r="C1018" t="str">
            <v>7440-39-3</v>
          </cell>
          <cell r="D1018" t="str">
            <v>Metal</v>
          </cell>
          <cell r="E1018"/>
          <cell r="F1018">
            <v>137.33000000000001</v>
          </cell>
          <cell r="G1018"/>
          <cell r="H1018">
            <v>4.3040812006100106E-19</v>
          </cell>
          <cell r="I1018"/>
          <cell r="J1018">
            <v>9.9999999999999995E-21</v>
          </cell>
          <cell r="K1018"/>
          <cell r="L1018">
            <v>45.15781779593015</v>
          </cell>
          <cell r="M1018"/>
          <cell r="N1018"/>
          <cell r="O1018"/>
          <cell r="P1018"/>
          <cell r="Q1018">
            <v>9.9999999999999995E-21</v>
          </cell>
          <cell r="R1018">
            <v>9.9999999999999995E-21</v>
          </cell>
          <cell r="S1018">
            <v>9.9999999999999995E-21</v>
          </cell>
          <cell r="T1018">
            <v>9.9999999999999995E-21</v>
          </cell>
          <cell r="U1018"/>
          <cell r="V1018"/>
          <cell r="W1018">
            <v>30000</v>
          </cell>
          <cell r="X1018">
            <v>0.33333333333333331</v>
          </cell>
          <cell r="Y1018">
            <v>0.33333333333333331</v>
          </cell>
          <cell r="Z1018">
            <v>0.33333333333333331</v>
          </cell>
          <cell r="AA1018"/>
        </row>
        <row r="1019">
          <cell r="A1019">
            <v>1012</v>
          </cell>
          <cell r="B1019" t="str">
            <v>Be(II)</v>
          </cell>
          <cell r="C1019" t="str">
            <v>7440-41-7</v>
          </cell>
          <cell r="D1019" t="str">
            <v>Metal</v>
          </cell>
          <cell r="E1019"/>
          <cell r="F1019">
            <v>9.0121800000000007</v>
          </cell>
          <cell r="G1019"/>
          <cell r="H1019">
            <v>1.070740126697043E-42</v>
          </cell>
          <cell r="I1019"/>
          <cell r="J1019">
            <v>9.9999999999999995E-21</v>
          </cell>
          <cell r="K1019"/>
          <cell r="L1019">
            <v>621494.61991248687</v>
          </cell>
          <cell r="M1019"/>
          <cell r="N1019"/>
          <cell r="O1019"/>
          <cell r="P1019"/>
          <cell r="Q1019">
            <v>9.9999999999999995E-21</v>
          </cell>
          <cell r="R1019">
            <v>9.9999999999999995E-21</v>
          </cell>
          <cell r="S1019">
            <v>9.9999999999999995E-21</v>
          </cell>
          <cell r="T1019">
            <v>9.9999999999999995E-21</v>
          </cell>
          <cell r="U1019"/>
          <cell r="V1019"/>
          <cell r="W1019">
            <v>30000</v>
          </cell>
          <cell r="X1019">
            <v>0.33333333333333331</v>
          </cell>
          <cell r="Y1019">
            <v>0.33333333333333331</v>
          </cell>
          <cell r="Z1019">
            <v>0.33333333333333331</v>
          </cell>
          <cell r="AA1019"/>
        </row>
        <row r="1020">
          <cell r="A1020">
            <v>1013</v>
          </cell>
          <cell r="B1020" t="str">
            <v>Cd(II)</v>
          </cell>
          <cell r="C1020" t="str">
            <v>7440-43-9</v>
          </cell>
          <cell r="D1020" t="str">
            <v>Metal</v>
          </cell>
          <cell r="E1020"/>
          <cell r="F1020">
            <v>112.41</v>
          </cell>
          <cell r="G1020"/>
          <cell r="H1020">
            <v>1.454989960287752E-8</v>
          </cell>
          <cell r="I1020"/>
          <cell r="J1020">
            <v>9.9999999999999995E-21</v>
          </cell>
          <cell r="K1020"/>
          <cell r="L1020">
            <v>1541.7385257268772</v>
          </cell>
          <cell r="M1020"/>
          <cell r="N1020"/>
          <cell r="O1020"/>
          <cell r="P1020"/>
          <cell r="Q1020">
            <v>9.9999999999999995E-21</v>
          </cell>
          <cell r="R1020">
            <v>9.9999999999999995E-21</v>
          </cell>
          <cell r="S1020">
            <v>9.9999999999999995E-21</v>
          </cell>
          <cell r="T1020">
            <v>9.9999999999999995E-21</v>
          </cell>
          <cell r="U1020"/>
          <cell r="V1020"/>
          <cell r="W1020">
            <v>30000</v>
          </cell>
          <cell r="X1020">
            <v>0.33333333333333331</v>
          </cell>
          <cell r="Y1020">
            <v>0.33333333333333331</v>
          </cell>
          <cell r="Z1020">
            <v>0.33333333333333331</v>
          </cell>
          <cell r="AA1020"/>
        </row>
        <row r="1021">
          <cell r="A1021">
            <v>1014</v>
          </cell>
          <cell r="B1021" t="str">
            <v>Co(II)</v>
          </cell>
          <cell r="C1021" t="str">
            <v>7440-48-4</v>
          </cell>
          <cell r="D1021" t="str">
            <v>Metal</v>
          </cell>
          <cell r="E1021"/>
          <cell r="F1021">
            <v>58.933199999999999</v>
          </cell>
          <cell r="G1021"/>
          <cell r="H1021">
            <v>2.9837773958947626E-58</v>
          </cell>
          <cell r="I1021"/>
          <cell r="J1021">
            <v>9.9999999999999995E-21</v>
          </cell>
          <cell r="K1021"/>
          <cell r="L1021">
            <v>1833.3474017044932</v>
          </cell>
          <cell r="M1021"/>
          <cell r="N1021"/>
          <cell r="O1021"/>
          <cell r="P1021"/>
          <cell r="Q1021">
            <v>9.9999999999999995E-21</v>
          </cell>
          <cell r="R1021">
            <v>9.9999999999999995E-21</v>
          </cell>
          <cell r="S1021">
            <v>9.9999999999999995E-21</v>
          </cell>
          <cell r="T1021">
            <v>9.9999999999999995E-21</v>
          </cell>
          <cell r="U1021"/>
          <cell r="V1021"/>
          <cell r="W1021">
            <v>30000</v>
          </cell>
          <cell r="X1021">
            <v>0.33333333333333331</v>
          </cell>
          <cell r="Y1021">
            <v>0.33333333333333331</v>
          </cell>
          <cell r="Z1021">
            <v>0.33333333333333331</v>
          </cell>
          <cell r="AA1021"/>
        </row>
        <row r="1022">
          <cell r="A1022">
            <v>1015</v>
          </cell>
          <cell r="B1022" t="str">
            <v>Cr(III)</v>
          </cell>
          <cell r="C1022" t="str">
            <v>16065-83-1</v>
          </cell>
          <cell r="D1022" t="str">
            <v>Metal</v>
          </cell>
          <cell r="E1022"/>
          <cell r="F1022">
            <v>51.996000000000002</v>
          </cell>
          <cell r="G1022"/>
          <cell r="H1022"/>
          <cell r="I1022"/>
          <cell r="J1022">
            <v>9.9999999999999995E-21</v>
          </cell>
          <cell r="K1022"/>
          <cell r="L1022">
            <v>44741805.854611523</v>
          </cell>
          <cell r="M1022"/>
          <cell r="N1022"/>
          <cell r="O1022"/>
          <cell r="P1022"/>
          <cell r="Q1022">
            <v>9.9999999999999995E-21</v>
          </cell>
          <cell r="R1022">
            <v>9.9999999999999995E-21</v>
          </cell>
          <cell r="S1022">
            <v>9.9999999999999995E-21</v>
          </cell>
          <cell r="T1022">
            <v>9.9999999999999995E-21</v>
          </cell>
          <cell r="U1022"/>
          <cell r="V1022"/>
          <cell r="W1022">
            <v>30000</v>
          </cell>
          <cell r="X1022">
            <v>0.33333333333333331</v>
          </cell>
          <cell r="Y1022">
            <v>0.33333333333333331</v>
          </cell>
          <cell r="Z1022">
            <v>0.33333333333333331</v>
          </cell>
          <cell r="AA1022"/>
        </row>
        <row r="1023">
          <cell r="A1023">
            <v>1016</v>
          </cell>
          <cell r="B1023" t="str">
            <v>Cr(VI)</v>
          </cell>
          <cell r="C1023" t="str">
            <v>18540-29-9</v>
          </cell>
          <cell r="D1023" t="str">
            <v>Metal</v>
          </cell>
          <cell r="E1023"/>
          <cell r="F1023">
            <v>51.996000000000002</v>
          </cell>
          <cell r="G1023"/>
          <cell r="H1023"/>
          <cell r="I1023"/>
          <cell r="J1023">
            <v>9.9999999999999995E-21</v>
          </cell>
          <cell r="K1023"/>
          <cell r="L1023">
            <v>7924.4659623055732</v>
          </cell>
          <cell r="M1023"/>
          <cell r="N1023"/>
          <cell r="O1023"/>
          <cell r="P1023"/>
          <cell r="Q1023">
            <v>9.9999999999999995E-21</v>
          </cell>
          <cell r="R1023">
            <v>9.9999999999999995E-21</v>
          </cell>
          <cell r="S1023">
            <v>9.9999999999999995E-21</v>
          </cell>
          <cell r="T1023">
            <v>9.9999999999999995E-21</v>
          </cell>
          <cell r="U1023"/>
          <cell r="V1023"/>
          <cell r="W1023">
            <v>30000</v>
          </cell>
          <cell r="X1023">
            <v>0.33333333333333331</v>
          </cell>
          <cell r="Y1023">
            <v>0.33333333333333331</v>
          </cell>
          <cell r="Z1023">
            <v>0.33333333333333331</v>
          </cell>
          <cell r="AA1023"/>
        </row>
        <row r="1024">
          <cell r="A1024">
            <v>1017</v>
          </cell>
          <cell r="B1024" t="str">
            <v>Cs(I)</v>
          </cell>
          <cell r="C1024" t="str">
            <v>7440-46-2</v>
          </cell>
          <cell r="D1024" t="str">
            <v>Metal</v>
          </cell>
          <cell r="E1024"/>
          <cell r="F1024">
            <v>132.91</v>
          </cell>
          <cell r="G1024"/>
          <cell r="H1024">
            <v>2.1126797400753872E-4</v>
          </cell>
          <cell r="I1024"/>
          <cell r="J1024">
            <v>9.9999999999999995E-21</v>
          </cell>
          <cell r="K1024"/>
          <cell r="L1024">
            <v>9.001981404479741</v>
          </cell>
          <cell r="M1024"/>
          <cell r="N1024"/>
          <cell r="O1024"/>
          <cell r="P1024"/>
          <cell r="Q1024">
            <v>9.9999999999999995E-21</v>
          </cell>
          <cell r="R1024">
            <v>9.9999999999999995E-21</v>
          </cell>
          <cell r="S1024">
            <v>9.9999999999999995E-21</v>
          </cell>
          <cell r="T1024">
            <v>9.9999999999999995E-21</v>
          </cell>
          <cell r="U1024"/>
          <cell r="V1024"/>
          <cell r="W1024">
            <v>30000</v>
          </cell>
          <cell r="X1024">
            <v>0.33333333333333331</v>
          </cell>
          <cell r="Y1024">
            <v>0.33333333333333331</v>
          </cell>
          <cell r="Z1024">
            <v>0.33333333333333331</v>
          </cell>
          <cell r="AA1024"/>
        </row>
        <row r="1025">
          <cell r="A1025">
            <v>1018</v>
          </cell>
          <cell r="B1025" t="str">
            <v>Cu(II)</v>
          </cell>
          <cell r="C1025" t="str">
            <v>7440-50-8</v>
          </cell>
          <cell r="D1025" t="str">
            <v>Metal</v>
          </cell>
          <cell r="E1025"/>
          <cell r="F1025">
            <v>63.545999999999999</v>
          </cell>
          <cell r="G1025"/>
          <cell r="H1025">
            <v>6.2883519005482815E-45</v>
          </cell>
          <cell r="I1025"/>
          <cell r="J1025">
            <v>9.9999999999999995E-21</v>
          </cell>
          <cell r="K1025"/>
          <cell r="L1025">
            <v>1317669.2061579451</v>
          </cell>
          <cell r="M1025"/>
          <cell r="N1025"/>
          <cell r="O1025"/>
          <cell r="P1025"/>
          <cell r="Q1025">
            <v>9.9999999999999995E-21</v>
          </cell>
          <cell r="R1025">
            <v>9.9999999999999995E-21</v>
          </cell>
          <cell r="S1025">
            <v>9.9999999999999995E-21</v>
          </cell>
          <cell r="T1025">
            <v>9.9999999999999995E-21</v>
          </cell>
          <cell r="U1025"/>
          <cell r="V1025"/>
          <cell r="W1025">
            <v>30000</v>
          </cell>
          <cell r="X1025">
            <v>0.33333333333333331</v>
          </cell>
          <cell r="Y1025">
            <v>0.33333333333333331</v>
          </cell>
          <cell r="Z1025">
            <v>0.33333333333333331</v>
          </cell>
          <cell r="AA1025"/>
        </row>
        <row r="1026">
          <cell r="A1026">
            <v>1019</v>
          </cell>
          <cell r="B1026" t="str">
            <v>Fe(II)</v>
          </cell>
          <cell r="C1026" t="str">
            <v>7439-89-6</v>
          </cell>
          <cell r="D1026" t="str">
            <v>Metal</v>
          </cell>
          <cell r="E1026"/>
          <cell r="F1026">
            <v>55.85</v>
          </cell>
          <cell r="G1026"/>
          <cell r="H1026">
            <v>5.025727302876554E-55</v>
          </cell>
          <cell r="I1026"/>
          <cell r="J1026">
            <v>9.9999999999999995E-21</v>
          </cell>
          <cell r="K1026"/>
          <cell r="L1026">
            <v>423.53402768410797</v>
          </cell>
          <cell r="M1026"/>
          <cell r="N1026"/>
          <cell r="O1026"/>
          <cell r="P1026"/>
          <cell r="Q1026">
            <v>9.9999999999999995E-21</v>
          </cell>
          <cell r="R1026">
            <v>9.9999999999999995E-21</v>
          </cell>
          <cell r="S1026">
            <v>9.9999999999999995E-21</v>
          </cell>
          <cell r="T1026">
            <v>9.9999999999999995E-21</v>
          </cell>
          <cell r="U1026"/>
          <cell r="V1026"/>
          <cell r="W1026">
            <v>30000</v>
          </cell>
          <cell r="X1026">
            <v>0.33333333333333331</v>
          </cell>
          <cell r="Y1026">
            <v>0.33333333333333331</v>
          </cell>
          <cell r="Z1026">
            <v>0.33333333333333331</v>
          </cell>
          <cell r="AA1026"/>
        </row>
        <row r="1027">
          <cell r="A1027">
            <v>1020</v>
          </cell>
          <cell r="B1027" t="str">
            <v>Fe(III)</v>
          </cell>
          <cell r="C1027" t="str">
            <v>7439-89-6</v>
          </cell>
          <cell r="D1027" t="str">
            <v>Metal</v>
          </cell>
          <cell r="E1027"/>
          <cell r="F1027">
            <v>55.85</v>
          </cell>
          <cell r="G1027"/>
          <cell r="H1027">
            <v>5.025727302876554E-55</v>
          </cell>
          <cell r="I1027"/>
          <cell r="J1027">
            <v>9.9999999999999995E-21</v>
          </cell>
          <cell r="K1027"/>
          <cell r="L1027">
            <v>1613634.9487338495</v>
          </cell>
          <cell r="M1027"/>
          <cell r="N1027"/>
          <cell r="O1027"/>
          <cell r="P1027"/>
          <cell r="Q1027">
            <v>9.9999999999999995E-21</v>
          </cell>
          <cell r="R1027">
            <v>9.9999999999999995E-21</v>
          </cell>
          <cell r="S1027">
            <v>9.9999999999999995E-21</v>
          </cell>
          <cell r="T1027">
            <v>9.9999999999999995E-21</v>
          </cell>
          <cell r="U1027"/>
          <cell r="V1027"/>
          <cell r="W1027">
            <v>30000</v>
          </cell>
          <cell r="X1027">
            <v>0.33333333333333331</v>
          </cell>
          <cell r="Y1027">
            <v>0.33333333333333331</v>
          </cell>
          <cell r="Z1027">
            <v>0.33333333333333331</v>
          </cell>
          <cell r="AA1027"/>
        </row>
        <row r="1028">
          <cell r="A1028">
            <v>1021</v>
          </cell>
          <cell r="B1028" t="str">
            <v>Hg(II)</v>
          </cell>
          <cell r="C1028" t="str">
            <v>7439-97-6</v>
          </cell>
          <cell r="D1028" t="str">
            <v>Metal</v>
          </cell>
          <cell r="E1028"/>
          <cell r="F1028">
            <v>200.59</v>
          </cell>
          <cell r="G1028"/>
          <cell r="H1028">
            <v>0.26448691183005452</v>
          </cell>
          <cell r="I1028"/>
          <cell r="J1028">
            <v>9.9999999999999995E-21</v>
          </cell>
          <cell r="K1028"/>
          <cell r="L1028">
            <v>99763.115748444063</v>
          </cell>
          <cell r="M1028"/>
          <cell r="N1028"/>
          <cell r="O1028"/>
          <cell r="P1028"/>
          <cell r="Q1028">
            <v>9.9999999999999995E-21</v>
          </cell>
          <cell r="R1028">
            <v>9.9999999999999995E-21</v>
          </cell>
          <cell r="S1028">
            <v>9.9999999999999995E-21</v>
          </cell>
          <cell r="T1028">
            <v>9.9999999999999995E-21</v>
          </cell>
          <cell r="U1028"/>
          <cell r="V1028"/>
          <cell r="W1028">
            <v>30000</v>
          </cell>
          <cell r="X1028">
            <v>0.33333333333333331</v>
          </cell>
          <cell r="Y1028">
            <v>0.33333333333333331</v>
          </cell>
          <cell r="Z1028">
            <v>0.33333333333333331</v>
          </cell>
          <cell r="AA1028"/>
        </row>
        <row r="1029">
          <cell r="A1029">
            <v>1022</v>
          </cell>
          <cell r="B1029" t="str">
            <v>Mn(II)</v>
          </cell>
          <cell r="C1029" t="str">
            <v>7439-96-5</v>
          </cell>
          <cell r="D1029" t="str">
            <v>Metal</v>
          </cell>
          <cell r="E1029"/>
          <cell r="F1029">
            <v>54.94</v>
          </cell>
          <cell r="G1029"/>
          <cell r="H1029"/>
          <cell r="I1029"/>
          <cell r="J1029">
            <v>9.9999999999999995E-21</v>
          </cell>
          <cell r="K1029"/>
          <cell r="L1029">
            <v>2890.7153900116759</v>
          </cell>
          <cell r="M1029"/>
          <cell r="N1029"/>
          <cell r="O1029"/>
          <cell r="P1029"/>
          <cell r="Q1029">
            <v>9.9999999999999995E-21</v>
          </cell>
          <cell r="R1029">
            <v>9.9999999999999995E-21</v>
          </cell>
          <cell r="S1029">
            <v>9.9999999999999995E-21</v>
          </cell>
          <cell r="T1029">
            <v>9.9999999999999995E-21</v>
          </cell>
          <cell r="U1029"/>
          <cell r="V1029"/>
          <cell r="W1029">
            <v>30000</v>
          </cell>
          <cell r="X1029">
            <v>0.33333333333333331</v>
          </cell>
          <cell r="Y1029">
            <v>0.33333333333333331</v>
          </cell>
          <cell r="Z1029">
            <v>0.33333333333333331</v>
          </cell>
          <cell r="AA1029"/>
        </row>
        <row r="1030">
          <cell r="A1030">
            <v>1023</v>
          </cell>
          <cell r="B1030" t="str">
            <v>Mo(VI)</v>
          </cell>
          <cell r="C1030" t="str">
            <v>7439-98-7</v>
          </cell>
          <cell r="D1030" t="str">
            <v>Metal</v>
          </cell>
          <cell r="E1030"/>
          <cell r="F1030">
            <v>95.94</v>
          </cell>
          <cell r="G1030"/>
          <cell r="H1030"/>
          <cell r="I1030"/>
          <cell r="J1030">
            <v>9.9999999999999995E-21</v>
          </cell>
          <cell r="K1030"/>
          <cell r="L1030">
            <v>12559.43215754793</v>
          </cell>
          <cell r="M1030"/>
          <cell r="N1030"/>
          <cell r="O1030"/>
          <cell r="P1030"/>
          <cell r="Q1030">
            <v>9.9999999999999995E-21</v>
          </cell>
          <cell r="R1030">
            <v>9.9999999999999995E-21</v>
          </cell>
          <cell r="S1030">
            <v>9.9999999999999995E-21</v>
          </cell>
          <cell r="T1030">
            <v>9.9999999999999995E-21</v>
          </cell>
          <cell r="U1030"/>
          <cell r="V1030"/>
          <cell r="W1030">
            <v>30000</v>
          </cell>
          <cell r="X1030">
            <v>0.33333333333333331</v>
          </cell>
          <cell r="Y1030">
            <v>0.33333333333333331</v>
          </cell>
          <cell r="Z1030">
            <v>0.33333333333333331</v>
          </cell>
          <cell r="AA1030"/>
        </row>
        <row r="1031">
          <cell r="A1031">
            <v>1024</v>
          </cell>
          <cell r="B1031" t="str">
            <v>Ni(II)</v>
          </cell>
          <cell r="C1031" t="str">
            <v>7440-02-0</v>
          </cell>
          <cell r="D1031" t="str">
            <v>Metal</v>
          </cell>
          <cell r="E1031"/>
          <cell r="F1031">
            <v>58.693399999999997</v>
          </cell>
          <cell r="G1031"/>
          <cell r="H1031">
            <v>1.0606335149628644E-58</v>
          </cell>
          <cell r="I1031"/>
          <cell r="J1031">
            <v>9.9999999999999995E-21</v>
          </cell>
          <cell r="K1031"/>
          <cell r="L1031">
            <v>1210.0279673713412</v>
          </cell>
          <cell r="M1031"/>
          <cell r="N1031"/>
          <cell r="O1031"/>
          <cell r="P1031"/>
          <cell r="Q1031">
            <v>9.9999999999999995E-21</v>
          </cell>
          <cell r="R1031">
            <v>9.9999999999999995E-21</v>
          </cell>
          <cell r="S1031">
            <v>9.9999999999999995E-21</v>
          </cell>
          <cell r="T1031">
            <v>9.9999999999999995E-21</v>
          </cell>
          <cell r="U1031"/>
          <cell r="V1031"/>
          <cell r="W1031">
            <v>30000</v>
          </cell>
          <cell r="X1031">
            <v>0.33333333333333331</v>
          </cell>
          <cell r="Y1031">
            <v>0.33333333333333331</v>
          </cell>
          <cell r="Z1031">
            <v>0.33333333333333331</v>
          </cell>
          <cell r="AA1031"/>
        </row>
        <row r="1032">
          <cell r="A1032">
            <v>1025</v>
          </cell>
          <cell r="B1032" t="str">
            <v>Pb(II)</v>
          </cell>
          <cell r="C1032" t="str">
            <v>7439-92-1</v>
          </cell>
          <cell r="D1032" t="str">
            <v>Metal</v>
          </cell>
          <cell r="E1032"/>
          <cell r="F1032">
            <v>207.2</v>
          </cell>
          <cell r="G1032"/>
          <cell r="H1032">
            <v>2.3955386353897258E-23</v>
          </cell>
          <cell r="I1032"/>
          <cell r="J1032">
            <v>9.9999999999999995E-21</v>
          </cell>
          <cell r="K1032"/>
          <cell r="L1032">
            <v>3741364.2432536432</v>
          </cell>
          <cell r="M1032"/>
          <cell r="N1032"/>
          <cell r="O1032"/>
          <cell r="P1032"/>
          <cell r="Q1032">
            <v>9.9999999999999995E-21</v>
          </cell>
          <cell r="R1032">
            <v>9.9999999999999995E-21</v>
          </cell>
          <cell r="S1032">
            <v>9.9999999999999995E-21</v>
          </cell>
          <cell r="T1032">
            <v>9.9999999999999995E-21</v>
          </cell>
          <cell r="U1032"/>
          <cell r="V1032"/>
          <cell r="W1032">
            <v>30000</v>
          </cell>
          <cell r="X1032">
            <v>0.33333333333333331</v>
          </cell>
          <cell r="Y1032">
            <v>0.33333333333333331</v>
          </cell>
          <cell r="Z1032">
            <v>0.33333333333333331</v>
          </cell>
          <cell r="AA1032"/>
        </row>
        <row r="1033">
          <cell r="A1033">
            <v>1026</v>
          </cell>
          <cell r="B1033" t="str">
            <v>Sb(III)</v>
          </cell>
          <cell r="C1033" t="str">
            <v>7440-36-0</v>
          </cell>
          <cell r="D1033" t="str">
            <v>Metal</v>
          </cell>
          <cell r="E1033"/>
          <cell r="F1033">
            <v>121.76</v>
          </cell>
          <cell r="G1033"/>
          <cell r="H1033"/>
          <cell r="I1033"/>
          <cell r="J1033">
            <v>9.9999999999999995E-21</v>
          </cell>
          <cell r="K1033"/>
          <cell r="L1033">
            <v>2500</v>
          </cell>
          <cell r="M1033"/>
          <cell r="N1033"/>
          <cell r="O1033"/>
          <cell r="P1033"/>
          <cell r="Q1033">
            <v>9.9999999999999995E-21</v>
          </cell>
          <cell r="R1033">
            <v>9.9999999999999995E-21</v>
          </cell>
          <cell r="S1033">
            <v>9.9999999999999995E-21</v>
          </cell>
          <cell r="T1033">
            <v>9.9999999999999995E-21</v>
          </cell>
          <cell r="U1033"/>
          <cell r="V1033"/>
          <cell r="W1033">
            <v>30000</v>
          </cell>
          <cell r="X1033">
            <v>0.33333333333333331</v>
          </cell>
          <cell r="Y1033">
            <v>0.33333333333333331</v>
          </cell>
          <cell r="Z1033">
            <v>0.33333333333333331</v>
          </cell>
          <cell r="AA1033"/>
        </row>
        <row r="1034">
          <cell r="A1034">
            <v>1027</v>
          </cell>
          <cell r="B1034" t="str">
            <v>Sb(V)</v>
          </cell>
          <cell r="C1034" t="str">
            <v>7440-36-0</v>
          </cell>
          <cell r="D1034" t="str">
            <v>Metal</v>
          </cell>
          <cell r="E1034"/>
          <cell r="F1034">
            <v>121.76</v>
          </cell>
          <cell r="G1034"/>
          <cell r="H1034"/>
          <cell r="I1034"/>
          <cell r="J1034">
            <v>9.9999999999999995E-21</v>
          </cell>
          <cell r="K1034"/>
          <cell r="L1034">
            <v>2500</v>
          </cell>
          <cell r="M1034"/>
          <cell r="N1034"/>
          <cell r="O1034"/>
          <cell r="P1034"/>
          <cell r="Q1034">
            <v>9.9999999999999995E-21</v>
          </cell>
          <cell r="R1034">
            <v>9.9999999999999995E-21</v>
          </cell>
          <cell r="S1034">
            <v>9.9999999999999995E-21</v>
          </cell>
          <cell r="T1034">
            <v>9.9999999999999995E-21</v>
          </cell>
          <cell r="U1034"/>
          <cell r="V1034"/>
          <cell r="W1034">
            <v>30000</v>
          </cell>
          <cell r="X1034">
            <v>0.33333333333333331</v>
          </cell>
          <cell r="Y1034">
            <v>0.33333333333333331</v>
          </cell>
          <cell r="Z1034">
            <v>0.33333333333333331</v>
          </cell>
          <cell r="AA1034"/>
        </row>
        <row r="1035">
          <cell r="A1035">
            <v>1028</v>
          </cell>
          <cell r="B1035" t="str">
            <v>Se(IV)</v>
          </cell>
          <cell r="C1035" t="str">
            <v>7782-49-2</v>
          </cell>
          <cell r="D1035" t="str">
            <v>Metal</v>
          </cell>
          <cell r="E1035"/>
          <cell r="F1035">
            <v>78.959999999999994</v>
          </cell>
          <cell r="G1035"/>
          <cell r="H1035"/>
          <cell r="I1035"/>
          <cell r="J1035">
            <v>9.9999999999999995E-21</v>
          </cell>
          <cell r="K1035"/>
          <cell r="L1035">
            <v>12559.43215754793</v>
          </cell>
          <cell r="M1035"/>
          <cell r="N1035"/>
          <cell r="O1035"/>
          <cell r="P1035"/>
          <cell r="Q1035">
            <v>9.9999999999999995E-21</v>
          </cell>
          <cell r="R1035">
            <v>9.9999999999999995E-21</v>
          </cell>
          <cell r="S1035">
            <v>9.9999999999999995E-21</v>
          </cell>
          <cell r="T1035">
            <v>9.9999999999999995E-21</v>
          </cell>
          <cell r="U1035"/>
          <cell r="V1035"/>
          <cell r="W1035">
            <v>30000</v>
          </cell>
          <cell r="X1035">
            <v>0.33333333333333331</v>
          </cell>
          <cell r="Y1035">
            <v>0.33333333333333331</v>
          </cell>
          <cell r="Z1035">
            <v>0.33333333333333331</v>
          </cell>
          <cell r="AA1035"/>
        </row>
        <row r="1036">
          <cell r="A1036">
            <v>1029</v>
          </cell>
          <cell r="B1036" t="str">
            <v>Sn(II)</v>
          </cell>
          <cell r="C1036" t="str">
            <v>7440-31-5</v>
          </cell>
          <cell r="D1036" t="str">
            <v>Metal</v>
          </cell>
          <cell r="E1036"/>
          <cell r="F1036">
            <v>118.69</v>
          </cell>
          <cell r="G1036"/>
          <cell r="H1036">
            <v>6.9813053852734295E-42</v>
          </cell>
          <cell r="I1036"/>
          <cell r="J1036">
            <v>9.9999999999999995E-21</v>
          </cell>
          <cell r="K1036"/>
          <cell r="L1036">
            <v>39716.411736214119</v>
          </cell>
          <cell r="M1036"/>
          <cell r="N1036"/>
          <cell r="O1036"/>
          <cell r="P1036"/>
          <cell r="Q1036">
            <v>9.9999999999999995E-21</v>
          </cell>
          <cell r="R1036">
            <v>9.9999999999999995E-21</v>
          </cell>
          <cell r="S1036">
            <v>9.9999999999999995E-21</v>
          </cell>
          <cell r="T1036">
            <v>9.9999999999999995E-21</v>
          </cell>
          <cell r="U1036"/>
          <cell r="V1036"/>
          <cell r="W1036">
            <v>30000</v>
          </cell>
          <cell r="X1036">
            <v>0.33333333333333331</v>
          </cell>
          <cell r="Y1036">
            <v>0.33333333333333331</v>
          </cell>
          <cell r="Z1036">
            <v>0.33333333333333331</v>
          </cell>
          <cell r="AA1036"/>
        </row>
        <row r="1037">
          <cell r="A1037">
            <v>1030</v>
          </cell>
          <cell r="B1037" t="str">
            <v>Sr(II)</v>
          </cell>
          <cell r="C1037" t="str">
            <v>7440-24-6</v>
          </cell>
          <cell r="D1037" t="str">
            <v>Metal</v>
          </cell>
          <cell r="E1037"/>
          <cell r="F1037">
            <v>87.62</v>
          </cell>
          <cell r="G1037"/>
          <cell r="H1037"/>
          <cell r="I1037"/>
          <cell r="J1037">
            <v>9.9999999999999995E-21</v>
          </cell>
          <cell r="K1037"/>
          <cell r="L1037">
            <v>751.59373449939994</v>
          </cell>
          <cell r="M1037"/>
          <cell r="N1037"/>
          <cell r="O1037"/>
          <cell r="P1037"/>
          <cell r="Q1037">
            <v>9.9999999999999995E-21</v>
          </cell>
          <cell r="R1037">
            <v>9.9999999999999995E-21</v>
          </cell>
          <cell r="S1037">
            <v>9.9999999999999995E-21</v>
          </cell>
          <cell r="T1037">
            <v>9.9999999999999995E-21</v>
          </cell>
          <cell r="U1037"/>
          <cell r="V1037"/>
          <cell r="W1037">
            <v>30000</v>
          </cell>
          <cell r="X1037">
            <v>0.33333333333333331</v>
          </cell>
          <cell r="Y1037">
            <v>0.33333333333333331</v>
          </cell>
          <cell r="Z1037">
            <v>0.33333333333333331</v>
          </cell>
          <cell r="AA1037"/>
        </row>
        <row r="1038">
          <cell r="A1038">
            <v>1031</v>
          </cell>
          <cell r="B1038" t="str">
            <v>Tl(I)</v>
          </cell>
          <cell r="C1038" t="str">
            <v>7791-12-0</v>
          </cell>
          <cell r="D1038" t="str">
            <v>Metal</v>
          </cell>
          <cell r="E1038"/>
          <cell r="F1038">
            <v>204.38300000000001</v>
          </cell>
          <cell r="G1038"/>
          <cell r="H1038">
            <v>9.0047174941122605E-21</v>
          </cell>
          <cell r="I1038"/>
          <cell r="J1038">
            <v>9.9999999999999995E-21</v>
          </cell>
          <cell r="K1038"/>
          <cell r="L1038">
            <v>6294.6270589708356</v>
          </cell>
          <cell r="M1038"/>
          <cell r="N1038"/>
          <cell r="O1038"/>
          <cell r="P1038"/>
          <cell r="Q1038">
            <v>9.9999999999999995E-21</v>
          </cell>
          <cell r="R1038">
            <v>9.9999999999999995E-21</v>
          </cell>
          <cell r="S1038">
            <v>9.9999999999999995E-21</v>
          </cell>
          <cell r="T1038">
            <v>9.9999999999999995E-21</v>
          </cell>
          <cell r="U1038"/>
          <cell r="V1038"/>
          <cell r="W1038">
            <v>30000</v>
          </cell>
          <cell r="X1038">
            <v>0.33333333333333331</v>
          </cell>
          <cell r="Y1038">
            <v>0.33333333333333331</v>
          </cell>
          <cell r="Z1038">
            <v>0.33333333333333331</v>
          </cell>
          <cell r="AA1038"/>
        </row>
        <row r="1039">
          <cell r="A1039">
            <v>1032</v>
          </cell>
          <cell r="B1039" t="str">
            <v>V(V)</v>
          </cell>
          <cell r="C1039" t="str">
            <v>1314-62-1</v>
          </cell>
          <cell r="D1039" t="str">
            <v>Metal</v>
          </cell>
          <cell r="E1039"/>
          <cell r="F1039">
            <v>50.941000000000003</v>
          </cell>
          <cell r="G1039"/>
          <cell r="H1039">
            <v>1.1153510093102885E-72</v>
          </cell>
          <cell r="I1039"/>
          <cell r="J1039">
            <v>9.9999999999999995E-21</v>
          </cell>
          <cell r="K1039"/>
          <cell r="L1039">
            <v>2505.9361681363662</v>
          </cell>
          <cell r="M1039"/>
          <cell r="N1039"/>
          <cell r="O1039"/>
          <cell r="P1039"/>
          <cell r="Q1039">
            <v>9.9999999999999995E-21</v>
          </cell>
          <cell r="R1039">
            <v>9.9999999999999995E-21</v>
          </cell>
          <cell r="S1039">
            <v>9.9999999999999995E-21</v>
          </cell>
          <cell r="T1039">
            <v>9.9999999999999995E-21</v>
          </cell>
          <cell r="U1039"/>
          <cell r="V1039"/>
          <cell r="W1039">
            <v>30000</v>
          </cell>
          <cell r="X1039">
            <v>0.33333333333333331</v>
          </cell>
          <cell r="Y1039">
            <v>0.33333333333333331</v>
          </cell>
          <cell r="Z1039">
            <v>0.33333333333333331</v>
          </cell>
          <cell r="AA1039"/>
        </row>
        <row r="1040">
          <cell r="A1040">
            <v>1033</v>
          </cell>
          <cell r="B1040" t="str">
            <v>Zn(II)</v>
          </cell>
          <cell r="C1040" t="str">
            <v>7440-66-6</v>
          </cell>
          <cell r="D1040" t="str">
            <v>Metal</v>
          </cell>
          <cell r="E1040"/>
          <cell r="F1040">
            <v>65.38</v>
          </cell>
          <cell r="G1040"/>
          <cell r="H1040">
            <v>1.9969597156785102E-11</v>
          </cell>
          <cell r="I1040"/>
          <cell r="J1040">
            <v>9.9999999999999995E-21</v>
          </cell>
          <cell r="K1040"/>
          <cell r="L1040">
            <v>2807.9188845538101</v>
          </cell>
          <cell r="M1040"/>
          <cell r="N1040"/>
          <cell r="O1040"/>
          <cell r="P1040"/>
          <cell r="Q1040">
            <v>9.9999999999999995E-21</v>
          </cell>
          <cell r="R1040">
            <v>9.9999999999999995E-21</v>
          </cell>
          <cell r="S1040">
            <v>9.9999999999999995E-21</v>
          </cell>
          <cell r="T1040">
            <v>9.9999999999999995E-21</v>
          </cell>
          <cell r="U1040"/>
          <cell r="V1040"/>
          <cell r="W1040">
            <v>30000</v>
          </cell>
          <cell r="X1040">
            <v>0.33333333333333331</v>
          </cell>
          <cell r="Y1040">
            <v>0.33333333333333331</v>
          </cell>
          <cell r="Z1040">
            <v>0.33333333333333331</v>
          </cell>
          <cell r="AA1040"/>
        </row>
        <row r="1041">
          <cell r="A1041"/>
          <cell r="B1041"/>
          <cell r="C1041"/>
          <cell r="D1041"/>
          <cell r="E1041"/>
          <cell r="F1041"/>
          <cell r="G1041"/>
          <cell r="H1041"/>
          <cell r="I1041"/>
          <cell r="J1041"/>
          <cell r="K1041"/>
          <cell r="L1041"/>
          <cell r="M1041"/>
          <cell r="N1041"/>
          <cell r="O1041"/>
          <cell r="P1041"/>
          <cell r="Q1041"/>
          <cell r="R1041"/>
          <cell r="S1041"/>
          <cell r="T1041"/>
          <cell r="U1041"/>
          <cell r="V1041"/>
          <cell r="W1041"/>
          <cell r="X1041"/>
          <cell r="Y1041"/>
          <cell r="Z1041"/>
          <cell r="AA1041"/>
        </row>
      </sheetData>
      <sheetData sheetId="5">
        <row r="3">
          <cell r="J3" t="str">
            <v>default scenario</v>
          </cell>
          <cell r="K3" t="str">
            <v>EUSES settings</v>
          </cell>
          <cell r="L3" t="str">
            <v>USA Mid Atlantic</v>
          </cell>
          <cell r="M3" t="str">
            <v>USA New England</v>
          </cell>
          <cell r="N3" t="str">
            <v>USA - EN Central</v>
          </cell>
          <cell r="O3" t="str">
            <v>USA - WN Central</v>
          </cell>
          <cell r="P3" t="str">
            <v>USA South Atlantic</v>
          </cell>
          <cell r="Q3" t="str">
            <v>USA ES Central</v>
          </cell>
          <cell r="R3" t="str">
            <v>USA WS Central</v>
          </cell>
          <cell r="S3" t="str">
            <v>USA Mountain</v>
          </cell>
          <cell r="T3" t="str">
            <v>USA Pacific</v>
          </cell>
          <cell r="U3" t="str">
            <v>CAN Nfld and Lbrdr</v>
          </cell>
          <cell r="V3" t="str">
            <v>CAN Atl Maritime</v>
          </cell>
          <cell r="W3" t="str">
            <v>CAN Québec</v>
          </cell>
          <cell r="X3" t="str">
            <v>CAN Ontario</v>
          </cell>
          <cell r="Y3" t="str">
            <v>CAN Manitoba</v>
          </cell>
          <cell r="Z3" t="str">
            <v>CAN Ssktchwn</v>
          </cell>
          <cell r="AA3" t="str">
            <v>CAN Alberta</v>
          </cell>
          <cell r="AB3" t="str">
            <v>CAN BC</v>
          </cell>
          <cell r="AC3"/>
          <cell r="AD3"/>
          <cell r="AE3"/>
          <cell r="AF3"/>
          <cell r="AG3"/>
        </row>
        <row r="4">
          <cell r="J4"/>
          <cell r="K4"/>
          <cell r="L4"/>
          <cell r="M4"/>
          <cell r="N4"/>
          <cell r="O4"/>
          <cell r="P4"/>
          <cell r="Q4"/>
          <cell r="R4"/>
          <cell r="S4"/>
          <cell r="T4"/>
          <cell r="U4"/>
          <cell r="V4"/>
          <cell r="W4"/>
          <cell r="X4"/>
          <cell r="Y4"/>
          <cell r="Z4"/>
          <cell r="AA4"/>
          <cell r="AB4"/>
          <cell r="AC4"/>
          <cell r="AD4"/>
          <cell r="AE4"/>
          <cell r="AF4"/>
          <cell r="AG4"/>
        </row>
        <row r="5">
          <cell r="J5"/>
          <cell r="K5"/>
          <cell r="L5"/>
          <cell r="M5"/>
          <cell r="N5"/>
          <cell r="O5"/>
          <cell r="P5"/>
          <cell r="Q5"/>
          <cell r="R5"/>
          <cell r="S5"/>
          <cell r="T5"/>
          <cell r="U5"/>
          <cell r="V5"/>
          <cell r="W5"/>
          <cell r="X5"/>
          <cell r="Y5"/>
          <cell r="Z5"/>
          <cell r="AA5"/>
          <cell r="AB5"/>
          <cell r="AC5"/>
          <cell r="AD5"/>
          <cell r="AE5"/>
          <cell r="AF5"/>
          <cell r="AG5"/>
        </row>
        <row r="6">
          <cell r="J6"/>
          <cell r="K6"/>
          <cell r="L6"/>
          <cell r="M6"/>
          <cell r="N6"/>
          <cell r="O6"/>
          <cell r="P6"/>
          <cell r="Q6"/>
          <cell r="R6"/>
          <cell r="S6"/>
          <cell r="T6"/>
          <cell r="U6"/>
          <cell r="V6"/>
          <cell r="W6"/>
          <cell r="X6"/>
          <cell r="Y6"/>
          <cell r="Z6"/>
          <cell r="AA6"/>
          <cell r="AB6"/>
          <cell r="AC6"/>
          <cell r="AD6"/>
          <cell r="AE6"/>
          <cell r="AF6"/>
          <cell r="AG6"/>
        </row>
        <row r="7">
          <cell r="J7">
            <v>10000</v>
          </cell>
          <cell r="K7">
            <v>1</v>
          </cell>
          <cell r="L7">
            <v>1</v>
          </cell>
          <cell r="M7">
            <v>1</v>
          </cell>
          <cell r="N7">
            <v>1</v>
          </cell>
          <cell r="O7">
            <v>1</v>
          </cell>
          <cell r="P7">
            <v>1</v>
          </cell>
          <cell r="Q7">
            <v>1</v>
          </cell>
          <cell r="R7">
            <v>1</v>
          </cell>
          <cell r="S7">
            <v>1</v>
          </cell>
          <cell r="T7">
            <v>1</v>
          </cell>
          <cell r="U7">
            <v>1</v>
          </cell>
          <cell r="V7">
            <v>1</v>
          </cell>
          <cell r="W7">
            <v>1</v>
          </cell>
          <cell r="X7">
            <v>1</v>
          </cell>
          <cell r="Y7">
            <v>1</v>
          </cell>
          <cell r="Z7">
            <v>1</v>
          </cell>
          <cell r="AA7">
            <v>1</v>
          </cell>
          <cell r="AB7">
            <v>1</v>
          </cell>
          <cell r="AC7"/>
          <cell r="AD7"/>
          <cell r="AE7"/>
          <cell r="AF7"/>
          <cell r="AG7"/>
        </row>
        <row r="8"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/>
          <cell r="AD8"/>
          <cell r="AE8"/>
          <cell r="AF8"/>
          <cell r="AG8"/>
        </row>
        <row r="9">
          <cell r="J9">
            <v>10000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/>
          <cell r="AD9"/>
          <cell r="AE9"/>
          <cell r="AF9"/>
          <cell r="AG9"/>
        </row>
        <row r="10"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/>
          <cell r="AD10"/>
          <cell r="AE10"/>
          <cell r="AF10"/>
          <cell r="AG10"/>
        </row>
        <row r="11"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/>
          <cell r="AD11"/>
          <cell r="AE11"/>
          <cell r="AF11"/>
          <cell r="AG11"/>
        </row>
        <row r="12">
          <cell r="J12">
            <v>10000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/>
          <cell r="AD12"/>
          <cell r="AE12"/>
          <cell r="AF12"/>
          <cell r="AG12"/>
        </row>
        <row r="13"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/>
          <cell r="AD13"/>
          <cell r="AE13"/>
          <cell r="AF13"/>
          <cell r="AG13"/>
        </row>
        <row r="14">
          <cell r="J14"/>
          <cell r="K14"/>
          <cell r="L14"/>
          <cell r="M14"/>
          <cell r="N14"/>
          <cell r="O14"/>
          <cell r="P14"/>
          <cell r="Q14"/>
          <cell r="R14"/>
          <cell r="S14"/>
          <cell r="T14"/>
          <cell r="U14"/>
          <cell r="V14"/>
          <cell r="W14"/>
          <cell r="X14"/>
          <cell r="Y14"/>
          <cell r="Z14"/>
          <cell r="AA14"/>
          <cell r="AB14"/>
          <cell r="AC14"/>
          <cell r="AD14"/>
          <cell r="AE14"/>
          <cell r="AF14"/>
          <cell r="AG14"/>
        </row>
        <row r="15"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/>
          <cell r="AD15"/>
          <cell r="AE15"/>
          <cell r="AF15"/>
          <cell r="AG15"/>
        </row>
        <row r="16"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/>
          <cell r="AD16"/>
          <cell r="AE16"/>
          <cell r="AF16"/>
          <cell r="AG16"/>
        </row>
        <row r="17"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/>
          <cell r="AD17"/>
          <cell r="AE17"/>
          <cell r="AF17"/>
          <cell r="AG17"/>
        </row>
        <row r="18"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/>
          <cell r="AD18"/>
          <cell r="AE18"/>
          <cell r="AF18"/>
          <cell r="AG18"/>
        </row>
        <row r="19"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/>
          <cell r="AD19"/>
          <cell r="AE19"/>
          <cell r="AF19"/>
          <cell r="AG19"/>
        </row>
        <row r="20"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/>
          <cell r="AD20"/>
          <cell r="AE20"/>
          <cell r="AF20"/>
          <cell r="AG20"/>
        </row>
        <row r="21"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/>
          <cell r="AD21"/>
          <cell r="AE21"/>
          <cell r="AF21"/>
          <cell r="AG21"/>
        </row>
        <row r="22">
          <cell r="J22"/>
          <cell r="K22"/>
          <cell r="L22"/>
          <cell r="M22"/>
          <cell r="N22"/>
          <cell r="O22"/>
          <cell r="P22"/>
          <cell r="Q22"/>
          <cell r="R22"/>
          <cell r="S22"/>
          <cell r="T22"/>
          <cell r="U22"/>
          <cell r="V22"/>
          <cell r="W22"/>
          <cell r="X22"/>
          <cell r="Y22"/>
          <cell r="Z22"/>
          <cell r="AA22"/>
          <cell r="AB22"/>
          <cell r="AC22"/>
          <cell r="AD22"/>
          <cell r="AE22"/>
          <cell r="AF22"/>
          <cell r="AG22"/>
        </row>
        <row r="23"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/>
          <cell r="AD23"/>
          <cell r="AE23"/>
          <cell r="AF23"/>
          <cell r="AG23"/>
        </row>
        <row r="24"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/>
          <cell r="AD24"/>
          <cell r="AE24"/>
          <cell r="AF24"/>
          <cell r="AG24"/>
        </row>
        <row r="25"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/>
          <cell r="AD25"/>
          <cell r="AE25"/>
          <cell r="AF25"/>
          <cell r="AG25"/>
        </row>
        <row r="26">
          <cell r="J26"/>
          <cell r="K26"/>
          <cell r="L26"/>
          <cell r="M26"/>
          <cell r="N26"/>
          <cell r="O26"/>
          <cell r="P26"/>
          <cell r="Q26"/>
          <cell r="R26"/>
          <cell r="S26"/>
          <cell r="T26"/>
          <cell r="U26"/>
          <cell r="V26"/>
          <cell r="W26"/>
          <cell r="X26"/>
          <cell r="Y26"/>
          <cell r="Z26"/>
          <cell r="AA26"/>
          <cell r="AB26"/>
          <cell r="AC26"/>
          <cell r="AD26"/>
          <cell r="AE26"/>
          <cell r="AF26"/>
          <cell r="AG26"/>
        </row>
        <row r="27"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/>
          <cell r="AD27"/>
          <cell r="AE27"/>
          <cell r="AF27"/>
          <cell r="AG27"/>
        </row>
        <row r="28"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/>
          <cell r="AD28"/>
          <cell r="AE28"/>
          <cell r="AF28"/>
          <cell r="AG28"/>
        </row>
        <row r="29"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/>
          <cell r="AD29"/>
          <cell r="AE29"/>
          <cell r="AF29"/>
          <cell r="AG29"/>
        </row>
        <row r="30">
          <cell r="J30"/>
          <cell r="K30"/>
          <cell r="L30"/>
          <cell r="M30"/>
          <cell r="N30"/>
          <cell r="O30"/>
          <cell r="P30"/>
          <cell r="Q30"/>
          <cell r="R30"/>
          <cell r="S30"/>
          <cell r="T30"/>
          <cell r="U30"/>
          <cell r="V30"/>
          <cell r="W30"/>
          <cell r="X30"/>
          <cell r="Y30"/>
          <cell r="Z30"/>
          <cell r="AA30"/>
          <cell r="AB30"/>
          <cell r="AC30"/>
          <cell r="AD30"/>
          <cell r="AE30"/>
          <cell r="AF30"/>
          <cell r="AG30"/>
        </row>
        <row r="31"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/>
          <cell r="AD31"/>
          <cell r="AE31"/>
          <cell r="AF31"/>
          <cell r="AG31"/>
        </row>
        <row r="32"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/>
          <cell r="AD32"/>
          <cell r="AE32"/>
          <cell r="AF32"/>
          <cell r="AG32"/>
        </row>
        <row r="33"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/>
          <cell r="AD33"/>
          <cell r="AE33"/>
          <cell r="AF33"/>
          <cell r="AG33"/>
        </row>
        <row r="34">
          <cell r="J34"/>
          <cell r="K34"/>
          <cell r="L34"/>
          <cell r="M34"/>
          <cell r="N34"/>
          <cell r="O34"/>
          <cell r="P34"/>
          <cell r="Q34"/>
          <cell r="R34"/>
          <cell r="S34"/>
          <cell r="T34"/>
          <cell r="U34"/>
          <cell r="V34"/>
          <cell r="W34"/>
          <cell r="X34"/>
          <cell r="Y34"/>
          <cell r="Z34"/>
          <cell r="AA34"/>
          <cell r="AB34"/>
          <cell r="AC34"/>
          <cell r="AD34"/>
          <cell r="AE34"/>
          <cell r="AF34"/>
          <cell r="AG34"/>
        </row>
        <row r="35">
          <cell r="J35"/>
          <cell r="K35"/>
          <cell r="L35"/>
          <cell r="M35"/>
          <cell r="N35"/>
          <cell r="O35"/>
          <cell r="P35"/>
          <cell r="Q35"/>
          <cell r="S35"/>
          <cell r="T35"/>
          <cell r="U35"/>
          <cell r="V35"/>
          <cell r="W35"/>
          <cell r="X35"/>
          <cell r="Y35"/>
          <cell r="Z35"/>
          <cell r="AA35"/>
          <cell r="AB35"/>
          <cell r="AC35"/>
          <cell r="AD35"/>
          <cell r="AE35"/>
          <cell r="AF35"/>
          <cell r="AG35"/>
        </row>
        <row r="36">
          <cell r="J36"/>
          <cell r="K36"/>
          <cell r="L36"/>
          <cell r="M36"/>
          <cell r="N36"/>
          <cell r="O36"/>
          <cell r="P36"/>
          <cell r="Q36"/>
          <cell r="S36"/>
          <cell r="T36"/>
          <cell r="U36"/>
          <cell r="V36"/>
          <cell r="W36"/>
          <cell r="X36"/>
          <cell r="Y36"/>
          <cell r="Z36"/>
          <cell r="AA36"/>
          <cell r="AB36"/>
          <cell r="AC36"/>
          <cell r="AD36"/>
          <cell r="AE36"/>
          <cell r="AF36"/>
          <cell r="AG36"/>
        </row>
        <row r="37">
          <cell r="J37">
            <v>228570</v>
          </cell>
          <cell r="K37">
            <v>40000</v>
          </cell>
          <cell r="L37">
            <v>280401</v>
          </cell>
          <cell r="M37">
            <v>183816</v>
          </cell>
          <cell r="N37">
            <v>780546</v>
          </cell>
          <cell r="O37">
            <v>1347817</v>
          </cell>
          <cell r="P37">
            <v>735603</v>
          </cell>
          <cell r="Q37">
            <v>474176</v>
          </cell>
          <cell r="R37">
            <v>1139633</v>
          </cell>
          <cell r="S37">
            <v>2236756</v>
          </cell>
          <cell r="T37">
            <v>845990</v>
          </cell>
          <cell r="U37">
            <v>405212</v>
          </cell>
          <cell r="V37">
            <v>133852</v>
          </cell>
          <cell r="W37">
            <v>1542056</v>
          </cell>
          <cell r="X37">
            <v>1076395</v>
          </cell>
          <cell r="Y37">
            <v>647797</v>
          </cell>
          <cell r="Z37">
            <v>651036</v>
          </cell>
          <cell r="AA37">
            <v>661848</v>
          </cell>
          <cell r="AB37">
            <v>944735</v>
          </cell>
          <cell r="AC37"/>
          <cell r="AD37"/>
          <cell r="AE37"/>
          <cell r="AF37"/>
          <cell r="AG37"/>
        </row>
        <row r="38">
          <cell r="J38">
            <v>1000</v>
          </cell>
          <cell r="K38">
            <v>400</v>
          </cell>
          <cell r="L38">
            <v>1528.22818010318</v>
          </cell>
          <cell r="M38">
            <v>1027.867343304843</v>
          </cell>
          <cell r="N38">
            <v>9.9999999999999995E-21</v>
          </cell>
          <cell r="O38">
            <v>9.9999999999999995E-21</v>
          </cell>
          <cell r="P38">
            <v>4374.2355624855627</v>
          </cell>
          <cell r="Q38">
            <v>147.27650727650723</v>
          </cell>
          <cell r="R38">
            <v>12482.598298235805</v>
          </cell>
          <cell r="S38">
            <v>9.9999999999999995E-21</v>
          </cell>
          <cell r="T38">
            <v>4941.1541300916297</v>
          </cell>
          <cell r="U38">
            <v>3871.8359717213675</v>
          </cell>
          <cell r="V38">
            <v>1344.8821206612297</v>
          </cell>
          <cell r="W38">
            <v>14874.209665216042</v>
          </cell>
          <cell r="X38">
            <v>3161.9058682726481</v>
          </cell>
          <cell r="Y38">
            <v>2685.5525674602077</v>
          </cell>
          <cell r="Z38">
            <v>9.9999999999999995E-21</v>
          </cell>
          <cell r="AA38">
            <v>9.9999999999999995E-21</v>
          </cell>
          <cell r="AB38">
            <v>5413.826223902367</v>
          </cell>
          <cell r="AC38"/>
          <cell r="AD38"/>
          <cell r="AE38"/>
          <cell r="AF38"/>
          <cell r="AG38"/>
        </row>
        <row r="39">
          <cell r="J39">
            <v>2.5000000000000001E-3</v>
          </cell>
          <cell r="K39">
            <v>1E-10</v>
          </cell>
          <cell r="L39">
            <v>9.9999999999999995E-21</v>
          </cell>
          <cell r="M39">
            <v>9.9999999999999995E-21</v>
          </cell>
          <cell r="N39">
            <v>9.9999999999999995E-21</v>
          </cell>
          <cell r="O39">
            <v>9.9999999999999995E-21</v>
          </cell>
          <cell r="P39">
            <v>9.9999999999999995E-21</v>
          </cell>
          <cell r="Q39">
            <v>9.9999999999999995E-21</v>
          </cell>
          <cell r="R39">
            <v>9.9999999999999995E-21</v>
          </cell>
          <cell r="S39">
            <v>9.9999999999999995E-21</v>
          </cell>
          <cell r="T39">
            <v>9.9999999999999995E-21</v>
          </cell>
          <cell r="U39">
            <v>9.9999999999999995E-21</v>
          </cell>
          <cell r="V39">
            <v>9.9999999999999995E-21</v>
          </cell>
          <cell r="W39">
            <v>9.9999999999999995E-21</v>
          </cell>
          <cell r="X39">
            <v>9.9999999999999995E-21</v>
          </cell>
          <cell r="Y39">
            <v>9.9999999999999995E-21</v>
          </cell>
          <cell r="Z39">
            <v>9.9999999999999995E-21</v>
          </cell>
          <cell r="AA39">
            <v>9.9999999999999995E-21</v>
          </cell>
          <cell r="AB39">
            <v>9.9999999999999995E-21</v>
          </cell>
          <cell r="AC39"/>
          <cell r="AD39"/>
          <cell r="AE39"/>
          <cell r="AF39"/>
          <cell r="AG39"/>
        </row>
        <row r="40">
          <cell r="J40">
            <v>2.75E-2</v>
          </cell>
          <cell r="K40">
            <v>0.03</v>
          </cell>
          <cell r="L40">
            <v>8.1287156607858027E-2</v>
          </cell>
          <cell r="M40">
            <v>8.5679845603865989E-2</v>
          </cell>
          <cell r="N40">
            <v>0.19325974948350247</v>
          </cell>
          <cell r="O40">
            <v>2.3852644683959322E-2</v>
          </cell>
          <cell r="P40">
            <v>6.3097665062926411E-2</v>
          </cell>
          <cell r="Q40">
            <v>2.4383351329464165E-2</v>
          </cell>
          <cell r="R40">
            <v>3.1314467025788127E-2</v>
          </cell>
          <cell r="S40">
            <v>8.6746162746405963E-3</v>
          </cell>
          <cell r="T40">
            <v>2.4736699015354791E-2</v>
          </cell>
          <cell r="U40">
            <v>7.7342230733541947E-2</v>
          </cell>
          <cell r="V40">
            <v>2.5431073125541642E-2</v>
          </cell>
          <cell r="W40">
            <v>0.11473513283564281</v>
          </cell>
          <cell r="X40">
            <v>0.14739384705428768</v>
          </cell>
          <cell r="Y40">
            <v>0.1454792164829414</v>
          </cell>
          <cell r="Z40">
            <v>9.1186969691384193E-2</v>
          </cell>
          <cell r="AA40">
            <v>2.9509796811352455E-2</v>
          </cell>
          <cell r="AB40">
            <v>2.0692575166581104E-2</v>
          </cell>
          <cell r="AC40"/>
          <cell r="AD40"/>
          <cell r="AE40"/>
          <cell r="AF40"/>
          <cell r="AG40"/>
        </row>
        <row r="41">
          <cell r="J41">
            <v>0.27</v>
          </cell>
          <cell r="K41">
            <v>0.27</v>
          </cell>
          <cell r="L41">
            <v>0.5843037389452963</v>
          </cell>
          <cell r="M41">
            <v>0.7444324519845934</v>
          </cell>
          <cell r="N41">
            <v>0.33423119465220502</v>
          </cell>
          <cell r="O41">
            <v>0.15195191614366049</v>
          </cell>
          <cell r="P41">
            <v>0.59666542071334672</v>
          </cell>
          <cell r="Q41">
            <v>0.55708800597879282</v>
          </cell>
          <cell r="R41">
            <v>0.28470275990867239</v>
          </cell>
          <cell r="S41">
            <v>0.57649809712190336</v>
          </cell>
          <cell r="T41">
            <v>0.66110335138713217</v>
          </cell>
          <cell r="U41">
            <v>0.91985429849066658</v>
          </cell>
          <cell r="V41">
            <v>0.88245226070585425</v>
          </cell>
          <cell r="W41">
            <v>0.85824379918757809</v>
          </cell>
          <cell r="X41">
            <v>0.79472126867924875</v>
          </cell>
          <cell r="Y41">
            <v>0.73579994967559281</v>
          </cell>
          <cell r="Z41">
            <v>0.50409040360287294</v>
          </cell>
          <cell r="AA41">
            <v>0.64715010092951852</v>
          </cell>
          <cell r="AB41">
            <v>0.94737042662757276</v>
          </cell>
          <cell r="AC41"/>
          <cell r="AD41"/>
          <cell r="AE41"/>
          <cell r="AF41"/>
          <cell r="AG41"/>
        </row>
        <row r="42">
          <cell r="J42">
            <v>0.6</v>
          </cell>
          <cell r="K42">
            <v>0.6</v>
          </cell>
          <cell r="L42">
            <v>0.2314964744062967</v>
          </cell>
          <cell r="M42">
            <v>8.8283722472472487E-2</v>
          </cell>
          <cell r="N42">
            <v>0.42566136179033653</v>
          </cell>
          <cell r="O42">
            <v>0.79627332167497511</v>
          </cell>
          <cell r="P42">
            <v>0.26902023197295288</v>
          </cell>
          <cell r="Q42">
            <v>0.3844809282840127</v>
          </cell>
          <cell r="R42">
            <v>0.65942660145853971</v>
          </cell>
          <cell r="S42">
            <v>0.40816903980586167</v>
          </cell>
          <cell r="T42">
            <v>0.28031863000744695</v>
          </cell>
          <cell r="U42">
            <v>1.0019446610663061E-3</v>
          </cell>
          <cell r="V42">
            <v>7.8937931446672438E-2</v>
          </cell>
          <cell r="W42">
            <v>2.2158728347089859E-2</v>
          </cell>
          <cell r="X42">
            <v>5.0783402003911203E-2</v>
          </cell>
          <cell r="Y42">
            <v>0.11734849034496918</v>
          </cell>
          <cell r="Z42">
            <v>0.40344619959572126</v>
          </cell>
          <cell r="AA42">
            <v>0.31831477922423274</v>
          </cell>
          <cell r="AB42">
            <v>2.7384398799663399E-2</v>
          </cell>
          <cell r="AC42"/>
          <cell r="AD42"/>
          <cell r="AE42"/>
          <cell r="AF42"/>
          <cell r="AG42"/>
        </row>
        <row r="43">
          <cell r="J43">
            <v>0.1</v>
          </cell>
          <cell r="K43">
            <v>0.1</v>
          </cell>
          <cell r="L43">
            <v>0.10291263004054907</v>
          </cell>
          <cell r="M43">
            <v>8.495693343343344E-2</v>
          </cell>
          <cell r="N43">
            <v>4.8214845299316113E-2</v>
          </cell>
          <cell r="O43">
            <v>2.7922117497405058E-2</v>
          </cell>
          <cell r="P43">
            <v>7.1225969479461068E-2</v>
          </cell>
          <cell r="Q43">
            <v>3.4047714407730453E-2</v>
          </cell>
          <cell r="R43">
            <v>2.4626369644438165E-2</v>
          </cell>
          <cell r="S43">
            <v>6.658246797594373E-3</v>
          </cell>
          <cell r="T43">
            <v>3.3841319590066081E-2</v>
          </cell>
          <cell r="U43">
            <v>1.8015261147251314E-3</v>
          </cell>
          <cell r="V43">
            <v>1.3178734721931686E-2</v>
          </cell>
          <cell r="W43">
            <v>4.8623396296891943E-3</v>
          </cell>
          <cell r="X43">
            <v>7.1014822625523159E-3</v>
          </cell>
          <cell r="Y43">
            <v>1.3723434964965876E-3</v>
          </cell>
          <cell r="Z43">
            <v>1.2764271100215655E-3</v>
          </cell>
          <cell r="AA43">
            <v>5.0253230348962299E-3</v>
          </cell>
          <cell r="AB43">
            <v>4.5525994061826865E-3</v>
          </cell>
          <cell r="AC43"/>
          <cell r="AD43"/>
          <cell r="AE43"/>
          <cell r="AF43"/>
          <cell r="AG43"/>
        </row>
        <row r="44">
          <cell r="J44">
            <v>12</v>
          </cell>
          <cell r="K44">
            <v>12</v>
          </cell>
          <cell r="L44">
            <v>11.422808763164198</v>
          </cell>
          <cell r="M44">
            <v>6.4826402489446195</v>
          </cell>
          <cell r="N44">
            <v>8.5061790080276865</v>
          </cell>
          <cell r="O44">
            <v>9.1864852572715563</v>
          </cell>
          <cell r="P44">
            <v>16.827219301715729</v>
          </cell>
          <cell r="Q44">
            <v>15.941989894047765</v>
          </cell>
          <cell r="R44">
            <v>18.273647744493189</v>
          </cell>
          <cell r="S44">
            <v>10.863019032920874</v>
          </cell>
          <cell r="T44">
            <v>13.215630208394884</v>
          </cell>
          <cell r="U44">
            <v>-0.31359347105330271</v>
          </cell>
          <cell r="V44">
            <v>5.5</v>
          </cell>
          <cell r="W44">
            <v>-1.1484865825743922</v>
          </cell>
          <cell r="X44">
            <v>0.51163579947638904</v>
          </cell>
          <cell r="Y44">
            <v>-2.1509263973095138</v>
          </cell>
          <cell r="Z44">
            <v>0.20677966101694914</v>
          </cell>
          <cell r="AA44">
            <v>2.3945457331086257</v>
          </cell>
          <cell r="AB44">
            <v>4.7365410875525304</v>
          </cell>
          <cell r="AC44"/>
          <cell r="AD44"/>
          <cell r="AE44"/>
          <cell r="AF44"/>
          <cell r="AG44"/>
        </row>
        <row r="45">
          <cell r="J45">
            <v>3</v>
          </cell>
          <cell r="K45">
            <v>3</v>
          </cell>
          <cell r="L45">
            <v>3.2031848263023321</v>
          </cell>
          <cell r="M45">
            <v>3.9158281081081081</v>
          </cell>
          <cell r="N45">
            <v>3.3028696355627987</v>
          </cell>
          <cell r="O45">
            <v>3.4710797445053743</v>
          </cell>
          <cell r="P45">
            <v>2.6731022663039714</v>
          </cell>
          <cell r="Q45">
            <v>2.4483716432716962</v>
          </cell>
          <cell r="R45">
            <v>3.3647209294922131</v>
          </cell>
          <cell r="S45">
            <v>3.2308838056542606</v>
          </cell>
          <cell r="T45">
            <v>2.4551684081372129</v>
          </cell>
          <cell r="U45">
            <v>4.6407308226359492</v>
          </cell>
          <cell r="V45">
            <v>4.4722222222222223</v>
          </cell>
          <cell r="W45">
            <v>4.1667968771138062</v>
          </cell>
          <cell r="X45">
            <v>3.7364222071387783</v>
          </cell>
          <cell r="Y45">
            <v>4.1464773075940755</v>
          </cell>
          <cell r="Z45">
            <v>3.9515836329395655</v>
          </cell>
          <cell r="AA45">
            <v>3.651779786527757</v>
          </cell>
          <cell r="AB45">
            <v>3.4511432909796387</v>
          </cell>
          <cell r="AC45"/>
          <cell r="AD45"/>
          <cell r="AE45"/>
          <cell r="AF45"/>
          <cell r="AG45"/>
        </row>
        <row r="46">
          <cell r="J46">
            <v>700</v>
          </cell>
          <cell r="K46">
            <v>700</v>
          </cell>
          <cell r="L46">
            <v>1022</v>
          </cell>
          <cell r="M46">
            <v>1131.5</v>
          </cell>
          <cell r="N46">
            <v>1168</v>
          </cell>
          <cell r="O46">
            <v>1131.5</v>
          </cell>
          <cell r="P46">
            <v>1131.5</v>
          </cell>
          <cell r="Q46">
            <v>1350.5</v>
          </cell>
          <cell r="R46">
            <v>876</v>
          </cell>
          <cell r="S46">
            <v>306.60000000000002</v>
          </cell>
          <cell r="T46">
            <v>693.5</v>
          </cell>
          <cell r="U46">
            <v>1030.8158530986993</v>
          </cell>
          <cell r="V46">
            <v>1235.1600000000001</v>
          </cell>
          <cell r="W46">
            <v>876.51046315686949</v>
          </cell>
          <cell r="X46">
            <v>741.05709686803061</v>
          </cell>
          <cell r="Y46">
            <v>491.49828666635807</v>
          </cell>
          <cell r="Z46">
            <v>424.38623112480741</v>
          </cell>
          <cell r="AA46">
            <v>447.97730044430824</v>
          </cell>
          <cell r="AB46">
            <v>748.23923572812248</v>
          </cell>
          <cell r="AC46"/>
          <cell r="AD46"/>
          <cell r="AE46"/>
          <cell r="AF46"/>
          <cell r="AG46"/>
        </row>
        <row r="47">
          <cell r="J47">
            <v>100</v>
          </cell>
          <cell r="K47">
            <v>1E-10</v>
          </cell>
          <cell r="L47">
            <v>9.9999999999999995E-21</v>
          </cell>
          <cell r="M47">
            <v>9.9999999999999995E-21</v>
          </cell>
          <cell r="N47">
            <v>9.9999999999999995E-21</v>
          </cell>
          <cell r="O47">
            <v>9.9999999999999995E-21</v>
          </cell>
          <cell r="P47">
            <v>9.9999999999999995E-21</v>
          </cell>
          <cell r="Q47">
            <v>9.9999999999999995E-21</v>
          </cell>
          <cell r="R47">
            <v>9.9999999999999995E-21</v>
          </cell>
          <cell r="S47">
            <v>9.9999999999999995E-21</v>
          </cell>
          <cell r="T47">
            <v>9.9999999999999995E-21</v>
          </cell>
          <cell r="U47">
            <v>9.9999999999999995E-21</v>
          </cell>
          <cell r="V47">
            <v>9.9999999999999995E-21</v>
          </cell>
          <cell r="W47">
            <v>9.9999999999999995E-21</v>
          </cell>
          <cell r="X47">
            <v>9.9999999999999995E-21</v>
          </cell>
          <cell r="Y47">
            <v>9.9999999999999995E-21</v>
          </cell>
          <cell r="Z47">
            <v>9.9999999999999995E-21</v>
          </cell>
          <cell r="AA47">
            <v>9.9999999999999995E-21</v>
          </cell>
          <cell r="AB47">
            <v>9.9999999999999995E-21</v>
          </cell>
          <cell r="AC47"/>
          <cell r="AD47"/>
          <cell r="AE47"/>
          <cell r="AF47"/>
          <cell r="AG47"/>
        </row>
        <row r="48">
          <cell r="J48">
            <v>3</v>
          </cell>
          <cell r="K48">
            <v>3</v>
          </cell>
          <cell r="L48">
            <v>9.9999999999999995E-21</v>
          </cell>
          <cell r="M48">
            <v>9.9999999999999995E-21</v>
          </cell>
          <cell r="N48">
            <v>9.9999999999999995E-21</v>
          </cell>
          <cell r="O48">
            <v>9.9999999999999995E-21</v>
          </cell>
          <cell r="P48">
            <v>9.9999999999999995E-21</v>
          </cell>
          <cell r="Q48">
            <v>9.9999999999999995E-21</v>
          </cell>
          <cell r="R48">
            <v>9.9999999999999995E-21</v>
          </cell>
          <cell r="S48">
            <v>9.9999999999999995E-21</v>
          </cell>
          <cell r="T48">
            <v>9.9999999999999995E-21</v>
          </cell>
          <cell r="U48">
            <v>9.9999999999999995E-21</v>
          </cell>
          <cell r="V48">
            <v>9.9999999999999995E-21</v>
          </cell>
          <cell r="W48">
            <v>9.9999999999999995E-21</v>
          </cell>
          <cell r="X48">
            <v>9.9999999999999995E-21</v>
          </cell>
          <cell r="Y48">
            <v>9.9999999999999995E-21</v>
          </cell>
          <cell r="Z48">
            <v>9.9999999999999995E-21</v>
          </cell>
          <cell r="AA48">
            <v>9.9999999999999995E-21</v>
          </cell>
          <cell r="AB48">
            <v>9.9999999999999995E-21</v>
          </cell>
          <cell r="AC48"/>
          <cell r="AD48"/>
          <cell r="AE48"/>
          <cell r="AF48"/>
          <cell r="AG48"/>
        </row>
        <row r="49">
          <cell r="J49">
            <v>0</v>
          </cell>
          <cell r="K49">
            <v>0</v>
          </cell>
          <cell r="L49">
            <v>0.4624588267553017</v>
          </cell>
          <cell r="M49">
            <v>0</v>
          </cell>
          <cell r="N49">
            <v>1</v>
          </cell>
          <cell r="O49">
            <v>1</v>
          </cell>
          <cell r="P49">
            <v>0</v>
          </cell>
          <cell r="Q49">
            <v>0.97993020168682365</v>
          </cell>
          <cell r="R49">
            <v>0</v>
          </cell>
          <cell r="S49">
            <v>1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0.38678002745658252</v>
          </cell>
          <cell r="Y49">
            <v>1.8544979672486669E-3</v>
          </cell>
          <cell r="Z49">
            <v>1</v>
          </cell>
          <cell r="AA49">
            <v>1</v>
          </cell>
          <cell r="AB49">
            <v>0.30716113220259167</v>
          </cell>
          <cell r="AC49"/>
          <cell r="AD49"/>
          <cell r="AE49"/>
          <cell r="AF49"/>
          <cell r="AG49"/>
        </row>
        <row r="50">
          <cell r="J50">
            <v>0.25</v>
          </cell>
          <cell r="K50">
            <v>0.25</v>
          </cell>
          <cell r="L50">
            <v>0.35714285714285715</v>
          </cell>
          <cell r="M50">
            <v>0.32258064516129031</v>
          </cell>
          <cell r="N50">
            <v>0.34375</v>
          </cell>
          <cell r="O50">
            <v>6.7741935483870974E-2</v>
          </cell>
          <cell r="P50">
            <v>0.35483870967741937</v>
          </cell>
          <cell r="Q50">
            <v>0.37837837837837834</v>
          </cell>
          <cell r="R50">
            <v>0.2</v>
          </cell>
          <cell r="S50">
            <v>0.23809523809523811</v>
          </cell>
          <cell r="T50">
            <v>0.5</v>
          </cell>
          <cell r="U50">
            <v>0.67907376268589059</v>
          </cell>
          <cell r="V50">
            <v>0.60720878266783251</v>
          </cell>
          <cell r="W50">
            <v>0.62748823102362239</v>
          </cell>
          <cell r="X50">
            <v>0.40482710612705297</v>
          </cell>
          <cell r="Y50">
            <v>0.30518926325744028</v>
          </cell>
          <cell r="Z50">
            <v>0.23563441192462034</v>
          </cell>
          <cell r="AA50">
            <v>0.22322559625413838</v>
          </cell>
          <cell r="AB50">
            <v>0.83529434191165264</v>
          </cell>
          <cell r="AC50"/>
          <cell r="AD50"/>
          <cell r="AE50"/>
          <cell r="AF50"/>
          <cell r="AG50"/>
        </row>
        <row r="51">
          <cell r="J51">
            <v>0.25</v>
          </cell>
          <cell r="K51">
            <v>0.25</v>
          </cell>
          <cell r="L51"/>
          <cell r="M51"/>
          <cell r="N51"/>
          <cell r="O51"/>
          <cell r="P51"/>
          <cell r="Q51"/>
          <cell r="R51"/>
          <cell r="S51"/>
          <cell r="T51"/>
          <cell r="U51"/>
          <cell r="V51"/>
          <cell r="W51"/>
          <cell r="X51"/>
          <cell r="Y51"/>
          <cell r="Z51"/>
          <cell r="AA51"/>
          <cell r="AB51"/>
          <cell r="AC51"/>
          <cell r="AD51"/>
          <cell r="AE51"/>
          <cell r="AF51"/>
          <cell r="AG51"/>
        </row>
        <row r="52">
          <cell r="J52">
            <v>0.03</v>
          </cell>
          <cell r="K52">
            <v>0.03</v>
          </cell>
          <cell r="L52">
            <v>4.2340000000000003E-2</v>
          </cell>
          <cell r="M52">
            <v>4.2340000000000003E-2</v>
          </cell>
          <cell r="N52">
            <v>8.0299999999999996E-2</v>
          </cell>
          <cell r="O52">
            <v>6.7159999999999997E-2</v>
          </cell>
          <cell r="P52">
            <v>3.2120000000000003E-2</v>
          </cell>
          <cell r="Q52">
            <v>4.6720000000000005E-2</v>
          </cell>
          <cell r="R52">
            <v>4.0879999999999993E-2</v>
          </cell>
          <cell r="S52">
            <v>5.1100000000000007E-2</v>
          </cell>
          <cell r="T52">
            <v>2.3360000000000002E-2</v>
          </cell>
          <cell r="U52">
            <v>1.1666666666666667E-2</v>
          </cell>
          <cell r="V52">
            <v>0.05</v>
          </cell>
          <cell r="W52">
            <v>9.1666666666666667E-3</v>
          </cell>
          <cell r="X52">
            <v>0.02</v>
          </cell>
          <cell r="Y52">
            <v>5.0000000000000001E-3</v>
          </cell>
          <cell r="Z52">
            <v>6.6666666666666671E-3</v>
          </cell>
          <cell r="AA52">
            <v>3.3333333333333333E-2</v>
          </cell>
          <cell r="AB52">
            <v>0.125</v>
          </cell>
          <cell r="AC52"/>
          <cell r="AD52"/>
          <cell r="AE52"/>
          <cell r="AF52"/>
          <cell r="AG52"/>
        </row>
        <row r="53">
          <cell r="J53"/>
          <cell r="K53"/>
          <cell r="L53"/>
          <cell r="M53"/>
          <cell r="N53"/>
          <cell r="O53"/>
          <cell r="P53"/>
          <cell r="Q53"/>
          <cell r="S53"/>
          <cell r="T53"/>
          <cell r="U53"/>
          <cell r="V53"/>
          <cell r="W53"/>
          <cell r="X53"/>
          <cell r="Y53"/>
          <cell r="Z53"/>
          <cell r="AA53"/>
          <cell r="AB53"/>
          <cell r="AC53"/>
          <cell r="AD53"/>
          <cell r="AE53"/>
          <cell r="AF53"/>
          <cell r="AG53"/>
        </row>
        <row r="54">
          <cell r="J54"/>
          <cell r="K54"/>
          <cell r="L54"/>
          <cell r="M54"/>
          <cell r="N54"/>
          <cell r="O54"/>
          <cell r="P54"/>
          <cell r="Q54"/>
          <cell r="S54"/>
          <cell r="T54"/>
          <cell r="U54"/>
          <cell r="V54"/>
          <cell r="W54"/>
          <cell r="X54"/>
          <cell r="Y54"/>
          <cell r="Z54"/>
          <cell r="AA54"/>
          <cell r="AB54"/>
          <cell r="AC54"/>
          <cell r="AD54"/>
          <cell r="AE54"/>
          <cell r="AF54"/>
          <cell r="AG54"/>
        </row>
        <row r="55">
          <cell r="J55">
            <v>3714410</v>
          </cell>
          <cell r="K55">
            <v>3520000</v>
          </cell>
          <cell r="L55">
            <v>14626328.135358533</v>
          </cell>
          <cell r="M55">
            <v>14626328.135358533</v>
          </cell>
          <cell r="N55">
            <v>14626328.135358533</v>
          </cell>
          <cell r="O55">
            <v>14626328.135358533</v>
          </cell>
          <cell r="P55">
            <v>14626328.135358533</v>
          </cell>
          <cell r="Q55">
            <v>14626328.135358533</v>
          </cell>
          <cell r="R55">
            <v>14626328.135358533</v>
          </cell>
          <cell r="S55">
            <v>14626328.135358533</v>
          </cell>
          <cell r="T55">
            <v>14626328.135358533</v>
          </cell>
          <cell r="U55">
            <v>14626328.135358533</v>
          </cell>
          <cell r="V55">
            <v>14626328.135358533</v>
          </cell>
          <cell r="W55">
            <v>14626328.135358533</v>
          </cell>
          <cell r="X55">
            <v>14626328.135358533</v>
          </cell>
          <cell r="Y55">
            <v>14626328.135358533</v>
          </cell>
          <cell r="Z55">
            <v>14626328.135358533</v>
          </cell>
          <cell r="AA55">
            <v>14626328.135358533</v>
          </cell>
          <cell r="AB55">
            <v>14626328.135358533</v>
          </cell>
          <cell r="AC55"/>
          <cell r="AD55"/>
          <cell r="AE55"/>
          <cell r="AF55"/>
          <cell r="AG55"/>
        </row>
        <row r="56">
          <cell r="J56">
            <v>3714410</v>
          </cell>
          <cell r="K56">
            <v>3520200</v>
          </cell>
          <cell r="L56">
            <v>538659.13535853324</v>
          </cell>
          <cell r="M56">
            <v>538659.13535853324</v>
          </cell>
          <cell r="N56">
            <v>538659.13535853324</v>
          </cell>
          <cell r="O56">
            <v>538659.13535853324</v>
          </cell>
          <cell r="P56">
            <v>538659.13535853324</v>
          </cell>
          <cell r="Q56">
            <v>538659.13535853324</v>
          </cell>
          <cell r="R56">
            <v>538659.13535853324</v>
          </cell>
          <cell r="S56">
            <v>538659.13535853324</v>
          </cell>
          <cell r="T56">
            <v>538659.13535853324</v>
          </cell>
          <cell r="U56">
            <v>538659.13535853324</v>
          </cell>
          <cell r="V56">
            <v>538659.13535853324</v>
          </cell>
          <cell r="W56">
            <v>538659.13535853324</v>
          </cell>
          <cell r="X56">
            <v>538659.13535853324</v>
          </cell>
          <cell r="Y56">
            <v>538659.13535853324</v>
          </cell>
          <cell r="Z56">
            <v>538659.13535853324</v>
          </cell>
          <cell r="AA56">
            <v>538659.13535853324</v>
          </cell>
          <cell r="AB56">
            <v>538659.13535853324</v>
          </cell>
          <cell r="AC56"/>
          <cell r="AD56"/>
          <cell r="AE56"/>
          <cell r="AF56"/>
          <cell r="AG56"/>
        </row>
        <row r="57">
          <cell r="J57">
            <v>2.5000000000000001E-3</v>
          </cell>
          <cell r="K57">
            <v>1E-10</v>
          </cell>
          <cell r="L57">
            <v>9.9999999999999995E-21</v>
          </cell>
          <cell r="M57">
            <v>9.9999999999999995E-21</v>
          </cell>
          <cell r="N57">
            <v>9.9999999999999995E-21</v>
          </cell>
          <cell r="O57">
            <v>9.9999999999999995E-21</v>
          </cell>
          <cell r="P57">
            <v>9.9999999999999995E-21</v>
          </cell>
          <cell r="Q57">
            <v>9.9999999999999995E-21</v>
          </cell>
          <cell r="R57">
            <v>9.9999999999999995E-21</v>
          </cell>
          <cell r="S57">
            <v>9.9999999999999995E-21</v>
          </cell>
          <cell r="T57">
            <v>9.9999999999999995E-21</v>
          </cell>
          <cell r="U57">
            <v>9.9999999999999995E-21</v>
          </cell>
          <cell r="V57">
            <v>9.9999999999999995E-21</v>
          </cell>
          <cell r="W57">
            <v>9.9999999999999995E-21</v>
          </cell>
          <cell r="X57">
            <v>9.9999999999999995E-21</v>
          </cell>
          <cell r="Y57">
            <v>9.9999999999999995E-21</v>
          </cell>
          <cell r="Z57">
            <v>9.9999999999999995E-21</v>
          </cell>
          <cell r="AA57">
            <v>9.9999999999999995E-21</v>
          </cell>
          <cell r="AB57">
            <v>9.9999999999999995E-21</v>
          </cell>
          <cell r="AC57"/>
          <cell r="AD57"/>
          <cell r="AE57"/>
          <cell r="AF57"/>
          <cell r="AG57"/>
        </row>
        <row r="58">
          <cell r="J58">
            <v>2.75E-2</v>
          </cell>
          <cell r="K58">
            <v>0.03</v>
          </cell>
          <cell r="L58">
            <v>6.4747276579262464E-2</v>
          </cell>
          <cell r="M58">
            <v>6.4848427266887818E-2</v>
          </cell>
          <cell r="N58">
            <v>5.7637928198304024E-2</v>
          </cell>
          <cell r="O58">
            <v>6.9437776828176659E-2</v>
          </cell>
          <cell r="P58">
            <v>6.5186016905548552E-2</v>
          </cell>
          <cell r="Q58">
            <v>6.6493882209363905E-2</v>
          </cell>
          <cell r="R58">
            <v>6.805425934867651E-2</v>
          </cell>
          <cell r="S58">
            <v>7.5721845228295906E-2</v>
          </cell>
          <cell r="T58">
            <v>6.7653731826605973E-2</v>
          </cell>
          <cell r="U58">
            <v>6.4713230964292448E-2</v>
          </cell>
          <cell r="V58">
            <v>6.5456785050284086E-2</v>
          </cell>
          <cell r="W58">
            <v>5.8972646454182827E-2</v>
          </cell>
          <cell r="X58">
            <v>5.82665463812383E-2</v>
          </cell>
          <cell r="Y58">
            <v>6.1201103700987629E-2</v>
          </cell>
          <cell r="Z58">
            <v>6.3811372983097775E-2</v>
          </cell>
          <cell r="AA58">
            <v>6.6829805045069496E-2</v>
          </cell>
          <cell r="AB58">
            <v>6.8266872526332401E-2</v>
          </cell>
          <cell r="AC58"/>
          <cell r="AD58"/>
          <cell r="AE58"/>
          <cell r="AF58"/>
          <cell r="AG58"/>
        </row>
        <row r="59">
          <cell r="J59">
            <v>0.27</v>
          </cell>
          <cell r="K59">
            <v>0.27</v>
          </cell>
          <cell r="L59">
            <v>0.59944715287347206</v>
          </cell>
          <cell r="M59">
            <v>0.59722497416155074</v>
          </cell>
          <cell r="N59">
            <v>0.61468463335042434</v>
          </cell>
          <cell r="O59">
            <v>0.64645676170366806</v>
          </cell>
          <cell r="P59">
            <v>0.59928238602115946</v>
          </cell>
          <cell r="Q59">
            <v>0.60061066487065429</v>
          </cell>
          <cell r="R59">
            <v>0.62682171905314432</v>
          </cell>
          <cell r="S59">
            <v>0.60342028217901855</v>
          </cell>
          <cell r="T59">
            <v>0.59518736408162431</v>
          </cell>
          <cell r="U59">
            <v>0.58964781283544321</v>
          </cell>
          <cell r="V59">
            <v>0.59642812029604508</v>
          </cell>
          <cell r="W59">
            <v>0.56729845279501279</v>
          </cell>
          <cell r="X59">
            <v>0.58296619103286884</v>
          </cell>
          <cell r="Y59">
            <v>0.59255905445118817</v>
          </cell>
          <cell r="Z59">
            <v>0.60375138952332763</v>
          </cell>
          <cell r="AA59">
            <v>0.59677928405756331</v>
          </cell>
          <cell r="AB59">
            <v>0.57411479387060749</v>
          </cell>
          <cell r="AC59"/>
          <cell r="AD59"/>
          <cell r="AE59"/>
          <cell r="AF59"/>
          <cell r="AG59"/>
        </row>
        <row r="60">
          <cell r="J60">
            <v>0.6</v>
          </cell>
          <cell r="K60">
            <v>0.6</v>
          </cell>
          <cell r="L60">
            <v>0.31712025106487396</v>
          </cell>
          <cell r="M60">
            <v>0.31841879922565347</v>
          </cell>
          <cell r="N60">
            <v>0.30894941485849348</v>
          </cell>
          <cell r="O60">
            <v>0.26454352986204238</v>
          </cell>
          <cell r="P60">
            <v>0.31797206873453138</v>
          </cell>
          <cell r="Q60">
            <v>0.31301037205880955</v>
          </cell>
          <cell r="R60">
            <v>0.28513759318401649</v>
          </cell>
          <cell r="S60">
            <v>0.29790967065575452</v>
          </cell>
          <cell r="T60">
            <v>0.31765831053599775</v>
          </cell>
          <cell r="U60">
            <v>0.32472750600275957</v>
          </cell>
          <cell r="V60">
            <v>0.31768441119730895</v>
          </cell>
          <cell r="W60">
            <v>0.35146199214020074</v>
          </cell>
          <cell r="X60">
            <v>0.337308486286585</v>
          </cell>
          <cell r="Y60">
            <v>0.32496277774074039</v>
          </cell>
          <cell r="Z60">
            <v>0.31115072783486758</v>
          </cell>
          <cell r="AA60">
            <v>0.31527309485207644</v>
          </cell>
          <cell r="AB60">
            <v>0.33612016446251652</v>
          </cell>
          <cell r="AC60"/>
          <cell r="AD60"/>
          <cell r="AE60"/>
          <cell r="AF60"/>
          <cell r="AG60"/>
        </row>
        <row r="61">
          <cell r="J61">
            <v>0.1</v>
          </cell>
          <cell r="K61">
            <v>0.1</v>
          </cell>
          <cell r="L61">
            <v>1.7101501318436053E-2</v>
          </cell>
          <cell r="M61">
            <v>1.7934983389568341E-2</v>
          </cell>
          <cell r="N61">
            <v>1.70846780061325E-2</v>
          </cell>
          <cell r="O61">
            <v>1.9561931606112842E-2</v>
          </cell>
          <cell r="P61">
            <v>1.5921714246694103E-2</v>
          </cell>
          <cell r="Q61">
            <v>1.8278718566572146E-2</v>
          </cell>
          <cell r="R61">
            <v>1.8297508036353924E-2</v>
          </cell>
          <cell r="S61">
            <v>2.1102926230915704E-2</v>
          </cell>
          <cell r="T61">
            <v>1.7849126105684933E-2</v>
          </cell>
          <cell r="U61">
            <v>1.9313184487406022E-2</v>
          </cell>
          <cell r="V61">
            <v>1.8863499233363883E-2</v>
          </cell>
          <cell r="W61">
            <v>2.0523813087650635E-2</v>
          </cell>
          <cell r="X61">
            <v>1.9778064490994497E-2</v>
          </cell>
          <cell r="Y61">
            <v>1.9649950258603648E-2</v>
          </cell>
          <cell r="Z61">
            <v>1.9659003582370667E-2</v>
          </cell>
          <cell r="AA61">
            <v>1.9488999315721543E-2</v>
          </cell>
          <cell r="AB61">
            <v>1.9834293946998434E-2</v>
          </cell>
          <cell r="AC61"/>
          <cell r="AD61"/>
          <cell r="AE61"/>
          <cell r="AF61"/>
          <cell r="AG61"/>
        </row>
        <row r="62">
          <cell r="J62">
            <v>12</v>
          </cell>
          <cell r="K62">
            <v>12</v>
          </cell>
          <cell r="L62">
            <v>7.2891589080413182</v>
          </cell>
          <cell r="M62">
            <v>7.3831854046438661</v>
          </cell>
          <cell r="N62">
            <v>7.3048752565008863</v>
          </cell>
          <cell r="O62">
            <v>7.1794112316150818</v>
          </cell>
          <cell r="P62">
            <v>6.8504892454781023</v>
          </cell>
          <cell r="Q62">
            <v>7.0729113048292476</v>
          </cell>
          <cell r="R62">
            <v>6.4118670613762445</v>
          </cell>
          <cell r="S62">
            <v>6.7124292059112962</v>
          </cell>
          <cell r="T62">
            <v>6.9980586704989483</v>
          </cell>
          <cell r="U62">
            <v>7.5990305962961386</v>
          </cell>
          <cell r="V62">
            <v>7.389386827841717</v>
          </cell>
          <cell r="W62">
            <v>8.4186693917222044</v>
          </cell>
          <cell r="X62">
            <v>7.9389316773696743</v>
          </cell>
          <cell r="Y62">
            <v>7.8304094864379472</v>
          </cell>
          <cell r="Z62">
            <v>7.718579240388868</v>
          </cell>
          <cell r="AA62">
            <v>7.6167790583195876</v>
          </cell>
          <cell r="AB62">
            <v>7.5608354567986797</v>
          </cell>
          <cell r="AC62"/>
          <cell r="AD62"/>
          <cell r="AE62"/>
          <cell r="AF62"/>
          <cell r="AG62"/>
        </row>
        <row r="63">
          <cell r="J63">
            <v>3</v>
          </cell>
          <cell r="K63">
            <v>3</v>
          </cell>
          <cell r="L63">
            <v>3.4839797703975917</v>
          </cell>
          <cell r="M63">
            <v>3.4726076840296005</v>
          </cell>
          <cell r="N63">
            <v>3.4886862428774439</v>
          </cell>
          <cell r="O63">
            <v>3.4791643055930335</v>
          </cell>
          <cell r="P63">
            <v>3.522756446720531</v>
          </cell>
          <cell r="Q63">
            <v>3.5142677601272516</v>
          </cell>
          <cell r="R63">
            <v>3.4883955850831754</v>
          </cell>
          <cell r="S63">
            <v>3.5251056089381483</v>
          </cell>
          <cell r="T63">
            <v>3.5437628946705337</v>
          </cell>
          <cell r="U63">
            <v>3.4439676153804877</v>
          </cell>
          <cell r="V63">
            <v>3.4688574987079974</v>
          </cell>
          <cell r="W63">
            <v>3.3937747402062706</v>
          </cell>
          <cell r="X63">
            <v>3.4570444403280476</v>
          </cell>
          <cell r="Y63">
            <v>3.4461892988646396</v>
          </cell>
          <cell r="Z63">
            <v>3.4554635393318831</v>
          </cell>
          <cell r="AA63">
            <v>3.4698433322464375</v>
          </cell>
          <cell r="AB63">
            <v>3.4803494233429437</v>
          </cell>
          <cell r="AC63"/>
          <cell r="AD63"/>
          <cell r="AE63"/>
          <cell r="AF63"/>
          <cell r="AG63"/>
        </row>
        <row r="64">
          <cell r="J64">
            <v>700</v>
          </cell>
          <cell r="K64">
            <v>700</v>
          </cell>
          <cell r="L64">
            <v>776.30276892048266</v>
          </cell>
          <cell r="M64">
            <v>776.56189242127164</v>
          </cell>
          <cell r="N64">
            <v>758.50448467540082</v>
          </cell>
          <cell r="O64">
            <v>744.13229181368627</v>
          </cell>
          <cell r="P64">
            <v>761.8937329344518</v>
          </cell>
          <cell r="Q64">
            <v>761.36341449084182</v>
          </cell>
          <cell r="R64">
            <v>772.84861531333206</v>
          </cell>
          <cell r="S64">
            <v>870.76842197957023</v>
          </cell>
          <cell r="T64">
            <v>786.79570291857806</v>
          </cell>
          <cell r="U64">
            <v>773.80044009356982</v>
          </cell>
          <cell r="V64">
            <v>776.83844967346033</v>
          </cell>
          <cell r="W64">
            <v>769.47710588979146</v>
          </cell>
          <cell r="X64">
            <v>784.51349559189282</v>
          </cell>
          <cell r="Y64">
            <v>795.15631443659345</v>
          </cell>
          <cell r="Z64">
            <v>798.48124803740677</v>
          </cell>
          <cell r="AA64">
            <v>797.61955125743964</v>
          </cell>
          <cell r="AB64">
            <v>783.56190537528119</v>
          </cell>
          <cell r="AC64"/>
          <cell r="AD64"/>
          <cell r="AE64"/>
          <cell r="AF64"/>
          <cell r="AG64"/>
        </row>
        <row r="65">
          <cell r="J65">
            <v>100</v>
          </cell>
          <cell r="K65">
            <v>1E-10</v>
          </cell>
          <cell r="L65">
            <v>9.9999999999999995E-21</v>
          </cell>
          <cell r="M65">
            <v>9.9999999999999995E-21</v>
          </cell>
          <cell r="N65">
            <v>9.9999999999999995E-21</v>
          </cell>
          <cell r="O65">
            <v>9.9999999999999995E-21</v>
          </cell>
          <cell r="P65">
            <v>9.9999999999999995E-21</v>
          </cell>
          <cell r="Q65">
            <v>9.9999999999999995E-21</v>
          </cell>
          <cell r="R65">
            <v>9.9999999999999995E-21</v>
          </cell>
          <cell r="S65">
            <v>9.9999999999999995E-21</v>
          </cell>
          <cell r="T65">
            <v>9.9999999999999995E-21</v>
          </cell>
          <cell r="U65">
            <v>9.9999999999999995E-21</v>
          </cell>
          <cell r="V65">
            <v>9.9999999999999995E-21</v>
          </cell>
          <cell r="W65">
            <v>9.9999999999999995E-21</v>
          </cell>
          <cell r="X65">
            <v>9.9999999999999995E-21</v>
          </cell>
          <cell r="Y65">
            <v>9.9999999999999995E-21</v>
          </cell>
          <cell r="Z65">
            <v>9.9999999999999995E-21</v>
          </cell>
          <cell r="AA65">
            <v>9.9999999999999995E-21</v>
          </cell>
          <cell r="AB65">
            <v>9.9999999999999995E-21</v>
          </cell>
          <cell r="AC65"/>
          <cell r="AD65"/>
          <cell r="AE65"/>
          <cell r="AF65"/>
          <cell r="AG65"/>
        </row>
        <row r="66">
          <cell r="J66">
            <v>3</v>
          </cell>
          <cell r="K66">
            <v>3</v>
          </cell>
          <cell r="L66">
            <v>9.9999999999999995E-21</v>
          </cell>
          <cell r="M66">
            <v>9.9999999999999995E-21</v>
          </cell>
          <cell r="N66">
            <v>9.9999999999999995E-21</v>
          </cell>
          <cell r="O66">
            <v>9.9999999999999995E-21</v>
          </cell>
          <cell r="P66">
            <v>9.9999999999999995E-21</v>
          </cell>
          <cell r="Q66">
            <v>9.9999999999999995E-21</v>
          </cell>
          <cell r="R66">
            <v>9.9999999999999995E-21</v>
          </cell>
          <cell r="S66">
            <v>9.9999999999999995E-21</v>
          </cell>
          <cell r="T66">
            <v>9.9999999999999995E-21</v>
          </cell>
          <cell r="U66">
            <v>9.9999999999999995E-21</v>
          </cell>
          <cell r="V66">
            <v>9.9999999999999995E-21</v>
          </cell>
          <cell r="W66">
            <v>9.9999999999999995E-21</v>
          </cell>
          <cell r="X66">
            <v>9.9999999999999995E-21</v>
          </cell>
          <cell r="Y66">
            <v>9.9999999999999995E-21</v>
          </cell>
          <cell r="Z66">
            <v>9.9999999999999995E-21</v>
          </cell>
          <cell r="AA66">
            <v>9.9999999999999995E-21</v>
          </cell>
          <cell r="AB66">
            <v>9.9999999999999995E-21</v>
          </cell>
          <cell r="AC66"/>
          <cell r="AD66"/>
          <cell r="AE66"/>
          <cell r="AF66"/>
          <cell r="AG66"/>
        </row>
        <row r="67">
          <cell r="J67">
            <v>0</v>
          </cell>
          <cell r="K67">
            <v>3.4000000000000002E-2</v>
          </cell>
          <cell r="L67">
            <v>2.1814301056646525E-2</v>
          </cell>
          <cell r="M67">
            <v>0</v>
          </cell>
          <cell r="N67">
            <v>0</v>
          </cell>
          <cell r="O67">
            <v>4.83747337064948E-3</v>
          </cell>
          <cell r="P67">
            <v>1.3184391555402485E-3</v>
          </cell>
          <cell r="Q67">
            <v>6.6691816193702985E-2</v>
          </cell>
          <cell r="R67">
            <v>0.15830879856937888</v>
          </cell>
          <cell r="S67">
            <v>0</v>
          </cell>
          <cell r="T67">
            <v>4.5319563249860563E-2</v>
          </cell>
          <cell r="U67">
            <v>0</v>
          </cell>
          <cell r="V67">
            <v>0</v>
          </cell>
          <cell r="W67">
            <v>4.8958627341624546E-2</v>
          </cell>
          <cell r="X67">
            <v>0</v>
          </cell>
          <cell r="Y67">
            <v>1.6546758246488581E-2</v>
          </cell>
          <cell r="Z67">
            <v>3.240137475339975E-3</v>
          </cell>
          <cell r="AA67">
            <v>1.0795228729033286E-2</v>
          </cell>
          <cell r="AB67">
            <v>0</v>
          </cell>
          <cell r="AC67"/>
          <cell r="AD67"/>
          <cell r="AE67"/>
          <cell r="AF67"/>
          <cell r="AG67"/>
        </row>
        <row r="68">
          <cell r="J68">
            <v>0.25</v>
          </cell>
          <cell r="K68">
            <v>0.25</v>
          </cell>
          <cell r="L68">
            <v>0.36869234536481382</v>
          </cell>
          <cell r="M68">
            <v>0.36906904527941203</v>
          </cell>
          <cell r="N68">
            <v>0.36991200493046139</v>
          </cell>
          <cell r="O68">
            <v>0.4002772955312347</v>
          </cell>
          <cell r="P68">
            <v>0.36921303541574901</v>
          </cell>
          <cell r="Q68">
            <v>0.36811707989568226</v>
          </cell>
          <cell r="R68">
            <v>0.38328983919153892</v>
          </cell>
          <cell r="S68">
            <v>0.39306813609257818</v>
          </cell>
          <cell r="T68">
            <v>0.36005873849428432</v>
          </cell>
          <cell r="U68">
            <v>0.35926357369592182</v>
          </cell>
          <cell r="V68">
            <v>0.36617229008439778</v>
          </cell>
          <cell r="W68">
            <v>0.33662406489877322</v>
          </cell>
          <cell r="X68">
            <v>0.36545409491696412</v>
          </cell>
          <cell r="Y68">
            <v>0.37151220987193007</v>
          </cell>
          <cell r="Z68">
            <v>0.37489829120766338</v>
          </cell>
          <cell r="AA68">
            <v>0.37562215538674676</v>
          </cell>
          <cell r="AB68">
            <v>0.33490584645562027</v>
          </cell>
          <cell r="AC68"/>
          <cell r="AD68"/>
          <cell r="AE68"/>
          <cell r="AF68"/>
          <cell r="AG68"/>
        </row>
        <row r="69">
          <cell r="J69">
            <v>0.25</v>
          </cell>
          <cell r="K69">
            <v>0.25</v>
          </cell>
          <cell r="L69"/>
          <cell r="M69"/>
          <cell r="N69"/>
          <cell r="O69"/>
          <cell r="P69"/>
          <cell r="Q69"/>
          <cell r="R69"/>
          <cell r="S69"/>
          <cell r="T69"/>
          <cell r="U69"/>
          <cell r="V69"/>
          <cell r="W69"/>
          <cell r="X69"/>
          <cell r="Y69"/>
          <cell r="Z69"/>
          <cell r="AA69"/>
          <cell r="AB69"/>
          <cell r="AC69"/>
          <cell r="AD69"/>
          <cell r="AE69"/>
          <cell r="AF69"/>
          <cell r="AG69"/>
        </row>
        <row r="70">
          <cell r="J70">
            <v>0.03</v>
          </cell>
          <cell r="K70">
            <v>0.03</v>
          </cell>
          <cell r="L70">
            <v>4.2168082472699639E-2</v>
          </cell>
          <cell r="M70">
            <v>4.2169276721112245E-2</v>
          </cell>
          <cell r="N70">
            <v>3.9935029554221943E-2</v>
          </cell>
          <cell r="O70">
            <v>3.9527837871795257E-2</v>
          </cell>
          <cell r="P70">
            <v>4.2725270061327328E-2</v>
          </cell>
          <cell r="Q70">
            <v>4.201307418798883E-2</v>
          </cell>
          <cell r="R70">
            <v>4.2285177230482411E-2</v>
          </cell>
          <cell r="S70">
            <v>4.0486328984666968E-2</v>
          </cell>
          <cell r="T70">
            <v>4.3373341680210384E-2</v>
          </cell>
          <cell r="U70">
            <v>4.3074918543747898E-2</v>
          </cell>
          <cell r="V70">
            <v>4.2096409468940763E-2</v>
          </cell>
          <cell r="W70">
            <v>4.62283254515609E-2</v>
          </cell>
          <cell r="X70">
            <v>4.4005705673915291E-2</v>
          </cell>
          <cell r="Y70">
            <v>4.396315746806715E-2</v>
          </cell>
          <cell r="Z70">
            <v>4.3891795964559471E-2</v>
          </cell>
          <cell r="AA70">
            <v>4.2607196542145662E-2</v>
          </cell>
          <cell r="AB70">
            <v>3.6217660309841512E-2</v>
          </cell>
          <cell r="AC70"/>
          <cell r="AD70"/>
          <cell r="AE70"/>
          <cell r="AF70"/>
          <cell r="AG70"/>
        </row>
        <row r="71">
          <cell r="J71"/>
          <cell r="K71"/>
          <cell r="L71"/>
          <cell r="M71"/>
          <cell r="N71"/>
          <cell r="O71"/>
          <cell r="P71"/>
          <cell r="Q71"/>
          <cell r="R71"/>
          <cell r="S71"/>
          <cell r="T71"/>
          <cell r="U71"/>
          <cell r="V71"/>
          <cell r="W71"/>
          <cell r="X71"/>
          <cell r="Y71"/>
          <cell r="Z71"/>
          <cell r="AA71"/>
          <cell r="AB71"/>
          <cell r="AC71"/>
          <cell r="AD71"/>
          <cell r="AE71"/>
          <cell r="AF71"/>
          <cell r="AG71"/>
        </row>
        <row r="72">
          <cell r="J72"/>
          <cell r="K72"/>
          <cell r="L72"/>
          <cell r="M72"/>
          <cell r="N72"/>
          <cell r="O72"/>
          <cell r="P72"/>
          <cell r="Q72"/>
          <cell r="R72"/>
          <cell r="S72"/>
          <cell r="T72"/>
          <cell r="U72"/>
          <cell r="V72"/>
          <cell r="W72"/>
          <cell r="X72"/>
          <cell r="Y72"/>
          <cell r="Z72"/>
          <cell r="AA72"/>
          <cell r="AB72"/>
          <cell r="AC72"/>
          <cell r="AD72"/>
          <cell r="AE72"/>
          <cell r="AF72"/>
          <cell r="AG72"/>
        </row>
      </sheetData>
      <sheetData sheetId="6">
        <row r="3">
          <cell r="J3" t="str">
            <v>defaults only</v>
          </cell>
          <cell r="K3" t="str">
            <v>SimpleBox 3.32</v>
          </cell>
          <cell r="L3" t="str">
            <v>+ lake</v>
          </cell>
          <cell r="M3" t="str">
            <v>+ deep ocean</v>
          </cell>
          <cell r="N3" t="str">
            <v>+ H0vap</v>
          </cell>
          <cell r="O3" t="str">
            <v>+ soil depth</v>
          </cell>
          <cell r="P3" t="str">
            <v>+ intercmp exchng</v>
          </cell>
        </row>
        <row r="4">
          <cell r="J4"/>
          <cell r="K4"/>
          <cell r="L4"/>
          <cell r="M4"/>
          <cell r="N4"/>
          <cell r="O4"/>
          <cell r="P4"/>
        </row>
        <row r="5">
          <cell r="J5"/>
          <cell r="K5"/>
          <cell r="L5"/>
          <cell r="M5"/>
          <cell r="N5"/>
          <cell r="O5"/>
          <cell r="P5"/>
        </row>
        <row r="6">
          <cell r="J6"/>
          <cell r="K6"/>
          <cell r="L6"/>
          <cell r="M6"/>
          <cell r="N6"/>
          <cell r="O6"/>
          <cell r="P6"/>
        </row>
        <row r="7">
          <cell r="J7"/>
          <cell r="K7"/>
          <cell r="L7"/>
          <cell r="M7"/>
          <cell r="N7"/>
          <cell r="O7"/>
          <cell r="P7"/>
        </row>
        <row r="8">
          <cell r="J8"/>
          <cell r="K8"/>
          <cell r="L8"/>
          <cell r="M8"/>
          <cell r="N8"/>
          <cell r="O8"/>
          <cell r="P8"/>
        </row>
        <row r="9">
          <cell r="J9"/>
          <cell r="K9"/>
          <cell r="L9"/>
          <cell r="M9"/>
          <cell r="N9"/>
          <cell r="O9"/>
          <cell r="P9"/>
        </row>
        <row r="10">
          <cell r="J10"/>
          <cell r="K10"/>
          <cell r="L10"/>
          <cell r="M10"/>
          <cell r="N10"/>
          <cell r="O10"/>
          <cell r="P10"/>
        </row>
        <row r="11">
          <cell r="J11"/>
          <cell r="K11"/>
          <cell r="L11"/>
          <cell r="M11"/>
          <cell r="N11"/>
          <cell r="O11"/>
          <cell r="P11"/>
        </row>
        <row r="12">
          <cell r="J12"/>
          <cell r="K12"/>
          <cell r="L12"/>
          <cell r="M12"/>
          <cell r="N12"/>
          <cell r="O12"/>
          <cell r="P12"/>
        </row>
        <row r="13">
          <cell r="J13"/>
          <cell r="K13"/>
          <cell r="L13"/>
          <cell r="M13"/>
          <cell r="N13"/>
          <cell r="O13"/>
          <cell r="P13"/>
        </row>
        <row r="14">
          <cell r="J14"/>
          <cell r="K14"/>
          <cell r="L14"/>
          <cell r="M14"/>
          <cell r="N14"/>
          <cell r="O14"/>
          <cell r="P14"/>
        </row>
        <row r="15">
          <cell r="J15"/>
          <cell r="K15"/>
          <cell r="L15"/>
          <cell r="M15"/>
          <cell r="N15"/>
          <cell r="O15"/>
          <cell r="P15"/>
        </row>
        <row r="16">
          <cell r="J16"/>
          <cell r="K16"/>
          <cell r="L16"/>
          <cell r="M16"/>
          <cell r="N16"/>
          <cell r="O16"/>
          <cell r="P16"/>
        </row>
        <row r="17">
          <cell r="J17"/>
          <cell r="K17"/>
          <cell r="L17"/>
          <cell r="M17"/>
          <cell r="N17"/>
          <cell r="O17"/>
          <cell r="P17"/>
        </row>
        <row r="18">
          <cell r="J18"/>
          <cell r="K18"/>
          <cell r="L18"/>
          <cell r="M18"/>
          <cell r="N18"/>
          <cell r="O18"/>
          <cell r="P18"/>
        </row>
        <row r="19">
          <cell r="J19"/>
          <cell r="K19"/>
          <cell r="L19"/>
          <cell r="M19"/>
          <cell r="N19"/>
          <cell r="O19"/>
          <cell r="P19"/>
        </row>
        <row r="20">
          <cell r="J20"/>
          <cell r="K20"/>
          <cell r="L20"/>
          <cell r="M20"/>
          <cell r="N20"/>
          <cell r="O20"/>
          <cell r="P20"/>
        </row>
        <row r="21">
          <cell r="J21"/>
          <cell r="K21"/>
          <cell r="L21"/>
          <cell r="M21"/>
          <cell r="N21"/>
          <cell r="O21"/>
          <cell r="P21"/>
        </row>
        <row r="22">
          <cell r="J22"/>
          <cell r="K22"/>
          <cell r="L22"/>
          <cell r="M22"/>
          <cell r="N22"/>
          <cell r="O22"/>
          <cell r="P22"/>
        </row>
        <row r="23">
          <cell r="J23"/>
          <cell r="K23"/>
          <cell r="L23"/>
          <cell r="M23"/>
          <cell r="N23"/>
          <cell r="O23"/>
          <cell r="P23"/>
        </row>
        <row r="24">
          <cell r="J24"/>
          <cell r="K24">
            <v>1</v>
          </cell>
          <cell r="L24">
            <v>1</v>
          </cell>
          <cell r="M24">
            <v>1</v>
          </cell>
          <cell r="N24">
            <v>1</v>
          </cell>
          <cell r="O24">
            <v>1</v>
          </cell>
          <cell r="P24"/>
        </row>
        <row r="25">
          <cell r="J25"/>
          <cell r="K25">
            <v>1</v>
          </cell>
          <cell r="L25">
            <v>1</v>
          </cell>
          <cell r="M25">
            <v>1</v>
          </cell>
          <cell r="N25">
            <v>1</v>
          </cell>
          <cell r="O25">
            <v>1</v>
          </cell>
          <cell r="P25"/>
        </row>
        <row r="26">
          <cell r="J26"/>
          <cell r="K26">
            <v>1</v>
          </cell>
          <cell r="L26">
            <v>1</v>
          </cell>
          <cell r="M26">
            <v>1</v>
          </cell>
          <cell r="N26">
            <v>1</v>
          </cell>
          <cell r="O26">
            <v>1</v>
          </cell>
          <cell r="P26"/>
        </row>
        <row r="27">
          <cell r="J27"/>
          <cell r="K27">
            <v>1</v>
          </cell>
          <cell r="L27">
            <v>1</v>
          </cell>
          <cell r="M27">
            <v>1</v>
          </cell>
          <cell r="N27">
            <v>1</v>
          </cell>
          <cell r="O27">
            <v>1</v>
          </cell>
          <cell r="P27"/>
        </row>
        <row r="28">
          <cell r="J28"/>
          <cell r="K28">
            <v>1</v>
          </cell>
          <cell r="L28">
            <v>1</v>
          </cell>
          <cell r="M28">
            <v>1</v>
          </cell>
          <cell r="N28">
            <v>1</v>
          </cell>
          <cell r="O28">
            <v>1</v>
          </cell>
          <cell r="P28"/>
        </row>
        <row r="29">
          <cell r="J29"/>
          <cell r="K29">
            <v>1</v>
          </cell>
          <cell r="L29">
            <v>1</v>
          </cell>
          <cell r="M29">
            <v>1</v>
          </cell>
          <cell r="N29">
            <v>1</v>
          </cell>
          <cell r="O29">
            <v>1</v>
          </cell>
          <cell r="P29"/>
        </row>
        <row r="30">
          <cell r="J30"/>
          <cell r="K30">
            <v>1</v>
          </cell>
          <cell r="L30">
            <v>1</v>
          </cell>
          <cell r="M30">
            <v>1</v>
          </cell>
          <cell r="N30">
            <v>1</v>
          </cell>
          <cell r="O30">
            <v>1</v>
          </cell>
          <cell r="P30"/>
        </row>
        <row r="31">
          <cell r="J31"/>
          <cell r="K31">
            <v>1</v>
          </cell>
          <cell r="L31">
            <v>1</v>
          </cell>
          <cell r="M31">
            <v>1</v>
          </cell>
          <cell r="N31">
            <v>1</v>
          </cell>
          <cell r="O31">
            <v>1</v>
          </cell>
          <cell r="P31"/>
        </row>
        <row r="32">
          <cell r="J32"/>
          <cell r="K32">
            <v>1</v>
          </cell>
          <cell r="L32">
            <v>1</v>
          </cell>
          <cell r="M32">
            <v>1</v>
          </cell>
          <cell r="N32">
            <v>1</v>
          </cell>
          <cell r="O32">
            <v>1</v>
          </cell>
          <cell r="P32"/>
        </row>
        <row r="33">
          <cell r="J33"/>
          <cell r="K33">
            <v>1</v>
          </cell>
          <cell r="L33">
            <v>1</v>
          </cell>
          <cell r="M33">
            <v>1</v>
          </cell>
          <cell r="N33">
            <v>1</v>
          </cell>
          <cell r="O33">
            <v>1</v>
          </cell>
          <cell r="P33"/>
        </row>
        <row r="34">
          <cell r="J34"/>
          <cell r="K34">
            <v>1</v>
          </cell>
          <cell r="L34">
            <v>1</v>
          </cell>
          <cell r="M34">
            <v>1</v>
          </cell>
          <cell r="N34">
            <v>1</v>
          </cell>
          <cell r="O34">
            <v>1</v>
          </cell>
          <cell r="P34"/>
        </row>
        <row r="35">
          <cell r="J35"/>
          <cell r="K35"/>
          <cell r="L35"/>
          <cell r="M35"/>
          <cell r="N35"/>
          <cell r="O35"/>
          <cell r="P35"/>
        </row>
        <row r="36">
          <cell r="J36"/>
          <cell r="K36">
            <v>50</v>
          </cell>
          <cell r="L36">
            <v>50</v>
          </cell>
          <cell r="M36">
            <v>50</v>
          </cell>
          <cell r="N36"/>
          <cell r="O36">
            <v>50</v>
          </cell>
          <cell r="P36">
            <v>50</v>
          </cell>
        </row>
        <row r="37">
          <cell r="J37"/>
          <cell r="K37"/>
          <cell r="L37"/>
          <cell r="M37"/>
          <cell r="N37"/>
          <cell r="O37"/>
          <cell r="P37"/>
        </row>
        <row r="38">
          <cell r="J38"/>
          <cell r="K38"/>
          <cell r="L38"/>
          <cell r="M38"/>
          <cell r="N38"/>
          <cell r="O38"/>
          <cell r="P38"/>
        </row>
        <row r="39">
          <cell r="J39"/>
          <cell r="K39"/>
          <cell r="L39"/>
          <cell r="M39"/>
          <cell r="N39"/>
          <cell r="O39"/>
          <cell r="P39"/>
        </row>
        <row r="40">
          <cell r="J40"/>
          <cell r="K40"/>
          <cell r="L40"/>
          <cell r="M40"/>
          <cell r="N40"/>
          <cell r="O40"/>
          <cell r="P40"/>
        </row>
        <row r="41">
          <cell r="J41"/>
          <cell r="K41"/>
          <cell r="L41"/>
          <cell r="M41"/>
          <cell r="N41"/>
          <cell r="O41"/>
          <cell r="P41"/>
        </row>
        <row r="42">
          <cell r="J42"/>
          <cell r="K42"/>
          <cell r="L42"/>
          <cell r="M42"/>
          <cell r="N42"/>
          <cell r="O42"/>
          <cell r="P42"/>
        </row>
        <row r="43">
          <cell r="J43"/>
          <cell r="K43"/>
          <cell r="L43"/>
          <cell r="M43"/>
          <cell r="N43"/>
          <cell r="O43"/>
          <cell r="P43"/>
        </row>
        <row r="44">
          <cell r="J44"/>
          <cell r="K44"/>
          <cell r="L44"/>
          <cell r="M44"/>
          <cell r="N44"/>
          <cell r="O44"/>
          <cell r="P44"/>
        </row>
        <row r="45">
          <cell r="J45"/>
          <cell r="K45"/>
          <cell r="L45"/>
          <cell r="M45"/>
          <cell r="N45"/>
          <cell r="O45"/>
          <cell r="P45"/>
        </row>
        <row r="46">
          <cell r="J46"/>
          <cell r="K46"/>
          <cell r="L46"/>
          <cell r="M46"/>
          <cell r="N46"/>
          <cell r="O46"/>
          <cell r="P46"/>
        </row>
        <row r="47">
          <cell r="J47"/>
          <cell r="K47"/>
          <cell r="L47"/>
          <cell r="M47"/>
          <cell r="N47"/>
          <cell r="O47"/>
          <cell r="P47"/>
        </row>
        <row r="48">
          <cell r="J48"/>
          <cell r="K48"/>
          <cell r="L48"/>
          <cell r="M48"/>
          <cell r="N48"/>
          <cell r="O48"/>
          <cell r="P48"/>
        </row>
        <row r="49">
          <cell r="J49"/>
          <cell r="K49"/>
          <cell r="L49"/>
          <cell r="M49"/>
          <cell r="N49"/>
          <cell r="O49"/>
          <cell r="P49"/>
        </row>
        <row r="50">
          <cell r="J50"/>
          <cell r="K50"/>
          <cell r="L50"/>
          <cell r="M50"/>
          <cell r="N50"/>
          <cell r="O50"/>
          <cell r="P50"/>
        </row>
        <row r="51">
          <cell r="J51"/>
          <cell r="K51"/>
          <cell r="L51"/>
          <cell r="M51"/>
          <cell r="N51"/>
          <cell r="O51"/>
          <cell r="P51"/>
        </row>
        <row r="52">
          <cell r="J52"/>
          <cell r="K52"/>
          <cell r="L52"/>
          <cell r="M52"/>
          <cell r="N52"/>
          <cell r="O52"/>
          <cell r="P52"/>
        </row>
        <row r="53">
          <cell r="J53"/>
          <cell r="K53"/>
          <cell r="L53"/>
          <cell r="M53"/>
          <cell r="N53"/>
          <cell r="O53"/>
          <cell r="P53"/>
        </row>
        <row r="54">
          <cell r="J54"/>
          <cell r="K54"/>
          <cell r="L54"/>
          <cell r="M54"/>
          <cell r="N54"/>
          <cell r="O54"/>
          <cell r="P54"/>
        </row>
        <row r="55">
          <cell r="J55"/>
          <cell r="K55"/>
          <cell r="L55"/>
          <cell r="M55"/>
          <cell r="N55"/>
          <cell r="O55"/>
          <cell r="P55"/>
        </row>
        <row r="56">
          <cell r="J56"/>
          <cell r="K56"/>
          <cell r="L56"/>
          <cell r="M56"/>
          <cell r="N56"/>
          <cell r="O56"/>
          <cell r="P56"/>
        </row>
        <row r="57">
          <cell r="J57"/>
          <cell r="K57"/>
          <cell r="L57"/>
          <cell r="M57"/>
          <cell r="N57"/>
          <cell r="O57"/>
          <cell r="P57"/>
        </row>
        <row r="58">
          <cell r="J58"/>
          <cell r="K58"/>
          <cell r="L58"/>
          <cell r="M58"/>
          <cell r="N58"/>
          <cell r="O58"/>
          <cell r="P58"/>
        </row>
        <row r="59">
          <cell r="J59"/>
          <cell r="K59"/>
          <cell r="L59"/>
          <cell r="M59"/>
          <cell r="N59"/>
          <cell r="O59"/>
          <cell r="P59"/>
        </row>
        <row r="60">
          <cell r="J60"/>
          <cell r="K60"/>
          <cell r="L60"/>
          <cell r="M60"/>
          <cell r="N60"/>
          <cell r="O60"/>
          <cell r="P60"/>
        </row>
        <row r="61">
          <cell r="J61"/>
          <cell r="K61"/>
          <cell r="L61"/>
          <cell r="M61"/>
          <cell r="N61"/>
          <cell r="O61"/>
          <cell r="P61"/>
        </row>
        <row r="62">
          <cell r="J62"/>
          <cell r="K62"/>
          <cell r="L62"/>
          <cell r="M62"/>
          <cell r="N62"/>
          <cell r="O62"/>
          <cell r="P62"/>
        </row>
        <row r="63">
          <cell r="J63"/>
          <cell r="K63"/>
          <cell r="L63"/>
          <cell r="M63"/>
          <cell r="N63"/>
          <cell r="O63"/>
          <cell r="P63"/>
        </row>
        <row r="64">
          <cell r="J64"/>
          <cell r="K64"/>
          <cell r="L64"/>
          <cell r="M64"/>
          <cell r="N64"/>
          <cell r="O64"/>
          <cell r="P64"/>
        </row>
        <row r="65">
          <cell r="J65"/>
          <cell r="K65"/>
          <cell r="L65"/>
          <cell r="M65"/>
          <cell r="N65"/>
          <cell r="O65"/>
          <cell r="P65"/>
        </row>
        <row r="66">
          <cell r="J66"/>
          <cell r="K66"/>
          <cell r="L66"/>
          <cell r="M66"/>
          <cell r="N66"/>
          <cell r="O66"/>
          <cell r="P66"/>
        </row>
        <row r="67">
          <cell r="J67"/>
          <cell r="K67"/>
          <cell r="L67"/>
          <cell r="M67"/>
          <cell r="N67"/>
          <cell r="O67"/>
          <cell r="P67"/>
        </row>
        <row r="68">
          <cell r="J68"/>
          <cell r="K68"/>
          <cell r="L68"/>
          <cell r="M68"/>
          <cell r="N68"/>
          <cell r="O68"/>
          <cell r="P68"/>
        </row>
        <row r="69">
          <cell r="J69"/>
          <cell r="K69"/>
          <cell r="L69"/>
          <cell r="M69"/>
          <cell r="N69"/>
          <cell r="O69"/>
          <cell r="P69"/>
        </row>
        <row r="70">
          <cell r="J70"/>
          <cell r="K70"/>
          <cell r="L70"/>
          <cell r="M70"/>
          <cell r="N70"/>
          <cell r="O70"/>
          <cell r="P70"/>
        </row>
        <row r="71">
          <cell r="J71"/>
          <cell r="K71"/>
          <cell r="L71"/>
          <cell r="M71"/>
          <cell r="N71"/>
          <cell r="O71"/>
          <cell r="P71"/>
        </row>
        <row r="72">
          <cell r="J72"/>
          <cell r="K72"/>
          <cell r="L72"/>
          <cell r="M72"/>
          <cell r="N72"/>
          <cell r="O72"/>
          <cell r="P72"/>
        </row>
        <row r="73">
          <cell r="J73"/>
          <cell r="K73"/>
          <cell r="L73"/>
          <cell r="M73"/>
          <cell r="N73"/>
          <cell r="O73"/>
          <cell r="P73"/>
        </row>
        <row r="74">
          <cell r="J74"/>
          <cell r="K74"/>
          <cell r="L74"/>
          <cell r="M74"/>
          <cell r="N74"/>
          <cell r="O74"/>
          <cell r="P74"/>
        </row>
        <row r="75">
          <cell r="J75"/>
          <cell r="K75"/>
          <cell r="L75"/>
          <cell r="M75"/>
          <cell r="N75"/>
          <cell r="O75"/>
          <cell r="P75"/>
        </row>
        <row r="76">
          <cell r="J76"/>
          <cell r="K76"/>
          <cell r="L76"/>
          <cell r="M76"/>
          <cell r="N76"/>
          <cell r="O76"/>
          <cell r="P76"/>
        </row>
        <row r="77">
          <cell r="J77"/>
          <cell r="K77"/>
          <cell r="L77"/>
          <cell r="M77"/>
          <cell r="N77"/>
          <cell r="O77"/>
          <cell r="P77"/>
        </row>
        <row r="78">
          <cell r="J78"/>
          <cell r="K78"/>
          <cell r="L78"/>
          <cell r="M78"/>
          <cell r="N78"/>
          <cell r="O78"/>
          <cell r="P78"/>
        </row>
        <row r="79">
          <cell r="J79"/>
          <cell r="K79"/>
          <cell r="L79"/>
          <cell r="M79"/>
          <cell r="N79"/>
          <cell r="O79"/>
          <cell r="P79"/>
        </row>
        <row r="80">
          <cell r="J80"/>
          <cell r="K80"/>
          <cell r="L80"/>
          <cell r="M80"/>
          <cell r="N80"/>
          <cell r="O80"/>
          <cell r="P80"/>
        </row>
        <row r="81">
          <cell r="J81"/>
          <cell r="K81"/>
          <cell r="L81"/>
          <cell r="M81"/>
          <cell r="N81"/>
          <cell r="O81"/>
          <cell r="P81"/>
        </row>
        <row r="82">
          <cell r="J82"/>
          <cell r="K82"/>
          <cell r="L82"/>
          <cell r="M82"/>
          <cell r="N82"/>
          <cell r="O82"/>
          <cell r="P82"/>
        </row>
        <row r="83">
          <cell r="J83"/>
          <cell r="K83"/>
          <cell r="L83"/>
          <cell r="M83"/>
          <cell r="N83"/>
          <cell r="O83"/>
          <cell r="P83"/>
        </row>
        <row r="84">
          <cell r="J84"/>
          <cell r="K84"/>
          <cell r="L84"/>
          <cell r="M84"/>
          <cell r="N84"/>
          <cell r="O84"/>
          <cell r="P84"/>
        </row>
        <row r="85">
          <cell r="J85"/>
          <cell r="K85"/>
          <cell r="L85"/>
          <cell r="M85"/>
          <cell r="N85"/>
          <cell r="O85"/>
          <cell r="P85"/>
        </row>
        <row r="86">
          <cell r="J86"/>
          <cell r="K86"/>
          <cell r="L86"/>
          <cell r="M86"/>
          <cell r="N86"/>
          <cell r="O86"/>
          <cell r="P86"/>
        </row>
        <row r="87">
          <cell r="J87"/>
          <cell r="K87"/>
          <cell r="L87"/>
          <cell r="M87"/>
          <cell r="N87"/>
          <cell r="O87"/>
          <cell r="P87"/>
        </row>
        <row r="88">
          <cell r="J88"/>
          <cell r="K88"/>
          <cell r="L88"/>
          <cell r="M88"/>
          <cell r="N88"/>
          <cell r="O88"/>
          <cell r="P88"/>
        </row>
        <row r="89">
          <cell r="J89"/>
          <cell r="K89"/>
          <cell r="L89"/>
          <cell r="M89"/>
          <cell r="N89"/>
          <cell r="O89"/>
          <cell r="P89"/>
        </row>
        <row r="90">
          <cell r="J90"/>
          <cell r="K90"/>
          <cell r="L90"/>
          <cell r="M90"/>
          <cell r="N90"/>
          <cell r="O90"/>
          <cell r="P90"/>
        </row>
        <row r="91">
          <cell r="J91"/>
          <cell r="K91"/>
          <cell r="L91"/>
          <cell r="M91"/>
          <cell r="N91"/>
          <cell r="O91"/>
          <cell r="P91"/>
        </row>
        <row r="92">
          <cell r="J92"/>
          <cell r="K92"/>
          <cell r="L92"/>
          <cell r="M92"/>
          <cell r="N92"/>
          <cell r="O92"/>
          <cell r="P92"/>
        </row>
        <row r="93">
          <cell r="J93"/>
          <cell r="K93"/>
          <cell r="L93"/>
          <cell r="M93"/>
          <cell r="N93"/>
          <cell r="O93"/>
          <cell r="P93"/>
        </row>
        <row r="94">
          <cell r="J94"/>
          <cell r="K94"/>
          <cell r="L94"/>
          <cell r="M94"/>
          <cell r="N94"/>
          <cell r="O94"/>
          <cell r="P94"/>
        </row>
        <row r="95">
          <cell r="J95"/>
          <cell r="K95"/>
          <cell r="L95"/>
          <cell r="M95"/>
          <cell r="N95"/>
          <cell r="O95"/>
          <cell r="P95"/>
        </row>
        <row r="96">
          <cell r="J96"/>
          <cell r="K96"/>
          <cell r="L96"/>
          <cell r="M96"/>
          <cell r="N96"/>
          <cell r="O96"/>
          <cell r="P96"/>
        </row>
        <row r="97">
          <cell r="J97"/>
          <cell r="K97"/>
          <cell r="L97"/>
          <cell r="M97"/>
          <cell r="N97"/>
          <cell r="O97"/>
          <cell r="P97"/>
        </row>
        <row r="98">
          <cell r="J98"/>
          <cell r="K98"/>
          <cell r="L98"/>
          <cell r="M98"/>
          <cell r="N98"/>
          <cell r="O98"/>
          <cell r="P98"/>
        </row>
        <row r="99">
          <cell r="J99"/>
          <cell r="K99"/>
          <cell r="L99"/>
          <cell r="M99"/>
          <cell r="N99"/>
          <cell r="O99"/>
          <cell r="P99"/>
        </row>
        <row r="100">
          <cell r="J100"/>
          <cell r="K100"/>
          <cell r="L100"/>
          <cell r="M100"/>
          <cell r="N100"/>
          <cell r="O100"/>
          <cell r="P100"/>
        </row>
        <row r="101">
          <cell r="J101"/>
          <cell r="K101"/>
          <cell r="L101"/>
          <cell r="M101"/>
          <cell r="N101"/>
          <cell r="O101"/>
          <cell r="P101"/>
        </row>
        <row r="102">
          <cell r="J102"/>
          <cell r="K102"/>
          <cell r="L102"/>
          <cell r="M102"/>
          <cell r="N102"/>
          <cell r="O102"/>
          <cell r="P102"/>
        </row>
        <row r="103">
          <cell r="J103"/>
          <cell r="K103"/>
          <cell r="L103"/>
          <cell r="M103"/>
          <cell r="N103"/>
          <cell r="O103"/>
          <cell r="P103"/>
        </row>
        <row r="104">
          <cell r="J104"/>
          <cell r="K104"/>
          <cell r="L104"/>
          <cell r="M104"/>
          <cell r="N104"/>
          <cell r="O104"/>
          <cell r="P104"/>
        </row>
        <row r="105">
          <cell r="J105"/>
          <cell r="K105"/>
          <cell r="L105"/>
          <cell r="M105"/>
          <cell r="N105"/>
          <cell r="O105"/>
          <cell r="P105"/>
        </row>
        <row r="106">
          <cell r="J106"/>
          <cell r="K106"/>
          <cell r="L106"/>
          <cell r="M106"/>
          <cell r="N106"/>
          <cell r="O106"/>
          <cell r="P106"/>
        </row>
        <row r="107">
          <cell r="J107"/>
          <cell r="K107"/>
          <cell r="L107"/>
          <cell r="M107"/>
          <cell r="N107"/>
          <cell r="O107"/>
          <cell r="P107"/>
        </row>
        <row r="108">
          <cell r="J108"/>
          <cell r="K108"/>
          <cell r="L108"/>
          <cell r="M108"/>
          <cell r="N108"/>
          <cell r="O108"/>
          <cell r="P108"/>
        </row>
        <row r="109">
          <cell r="J109"/>
          <cell r="K109"/>
          <cell r="L109"/>
          <cell r="M109"/>
          <cell r="N109"/>
          <cell r="O109"/>
          <cell r="P109"/>
        </row>
        <row r="110">
          <cell r="J110"/>
          <cell r="K110"/>
          <cell r="L110"/>
          <cell r="M110"/>
          <cell r="N110"/>
          <cell r="O110"/>
          <cell r="P110"/>
        </row>
        <row r="111">
          <cell r="J111"/>
          <cell r="K111"/>
          <cell r="L111"/>
          <cell r="M111"/>
          <cell r="N111"/>
          <cell r="O111"/>
          <cell r="P111"/>
        </row>
        <row r="112">
          <cell r="J112"/>
          <cell r="K112"/>
          <cell r="L112"/>
          <cell r="M112"/>
          <cell r="N112"/>
          <cell r="O112"/>
          <cell r="P112"/>
        </row>
        <row r="113">
          <cell r="J113"/>
          <cell r="K113">
            <v>9.9999999999999995E-21</v>
          </cell>
          <cell r="L113"/>
          <cell r="M113">
            <v>9.9999999999999995E-21</v>
          </cell>
          <cell r="N113">
            <v>9.9999999999999995E-21</v>
          </cell>
          <cell r="O113">
            <v>9.9999999999999995E-21</v>
          </cell>
          <cell r="P113">
            <v>9.9999999999999995E-21</v>
          </cell>
        </row>
        <row r="114">
          <cell r="J114"/>
          <cell r="K114">
            <v>0.03</v>
          </cell>
          <cell r="L114"/>
          <cell r="M114">
            <v>0.03</v>
          </cell>
          <cell r="N114">
            <v>0.03</v>
          </cell>
          <cell r="O114">
            <v>0.03</v>
          </cell>
          <cell r="P114">
            <v>0.03</v>
          </cell>
        </row>
        <row r="115">
          <cell r="J115"/>
          <cell r="K115"/>
          <cell r="L115"/>
          <cell r="M115"/>
          <cell r="N115"/>
          <cell r="O115"/>
          <cell r="P115"/>
        </row>
        <row r="116">
          <cell r="J116"/>
          <cell r="K116"/>
          <cell r="L116"/>
          <cell r="M116"/>
          <cell r="N116"/>
          <cell r="O116"/>
          <cell r="P116"/>
        </row>
        <row r="117">
          <cell r="J117"/>
          <cell r="K117"/>
          <cell r="L117"/>
          <cell r="M117"/>
          <cell r="N117"/>
          <cell r="O117"/>
          <cell r="P117"/>
        </row>
        <row r="118">
          <cell r="J118"/>
          <cell r="K118"/>
          <cell r="L118"/>
          <cell r="M118"/>
          <cell r="N118"/>
          <cell r="O118"/>
          <cell r="P118"/>
        </row>
        <row r="119">
          <cell r="J119"/>
          <cell r="K119"/>
          <cell r="L119"/>
          <cell r="M119"/>
          <cell r="N119"/>
          <cell r="O119"/>
          <cell r="P119"/>
        </row>
        <row r="120">
          <cell r="J120"/>
          <cell r="K120"/>
          <cell r="L120"/>
          <cell r="M120"/>
          <cell r="N120"/>
          <cell r="O120"/>
          <cell r="P120"/>
        </row>
        <row r="121">
          <cell r="J121"/>
          <cell r="K121"/>
          <cell r="L121"/>
          <cell r="M121"/>
          <cell r="N121"/>
          <cell r="O121"/>
          <cell r="P121"/>
        </row>
        <row r="122">
          <cell r="J122"/>
          <cell r="K122"/>
          <cell r="L122"/>
          <cell r="M122"/>
          <cell r="N122"/>
          <cell r="O122"/>
          <cell r="P122"/>
        </row>
        <row r="123">
          <cell r="J123"/>
          <cell r="K123"/>
          <cell r="L123"/>
          <cell r="M123"/>
          <cell r="N123"/>
          <cell r="O123"/>
          <cell r="P123"/>
        </row>
        <row r="124">
          <cell r="J124"/>
          <cell r="K124"/>
          <cell r="L124"/>
          <cell r="M124"/>
          <cell r="N124"/>
          <cell r="O124"/>
          <cell r="P124"/>
        </row>
        <row r="125">
          <cell r="J125"/>
          <cell r="K125"/>
          <cell r="L125"/>
          <cell r="M125"/>
          <cell r="N125"/>
          <cell r="O125"/>
          <cell r="P125"/>
        </row>
        <row r="126">
          <cell r="J126"/>
          <cell r="K126"/>
          <cell r="L126"/>
          <cell r="M126"/>
          <cell r="N126"/>
          <cell r="O126"/>
          <cell r="P126"/>
        </row>
        <row r="127">
          <cell r="J127"/>
          <cell r="K127"/>
          <cell r="L127"/>
          <cell r="M127"/>
          <cell r="N127"/>
          <cell r="O127"/>
          <cell r="P127"/>
        </row>
        <row r="128">
          <cell r="J128"/>
          <cell r="K128"/>
          <cell r="L128"/>
          <cell r="M128"/>
          <cell r="N128"/>
          <cell r="O128"/>
          <cell r="P128"/>
        </row>
        <row r="129">
          <cell r="J129"/>
          <cell r="K129"/>
          <cell r="L129"/>
          <cell r="M129"/>
          <cell r="N129"/>
          <cell r="O129"/>
          <cell r="P129"/>
        </row>
        <row r="130">
          <cell r="J130"/>
          <cell r="K130"/>
          <cell r="L130"/>
          <cell r="M130"/>
          <cell r="N130"/>
          <cell r="O130"/>
          <cell r="P130"/>
        </row>
        <row r="131">
          <cell r="J131"/>
          <cell r="K131">
            <v>9.9999999999999995E-21</v>
          </cell>
          <cell r="L131"/>
          <cell r="M131">
            <v>9.9999999999999995E-21</v>
          </cell>
          <cell r="N131">
            <v>9.9999999999999995E-21</v>
          </cell>
          <cell r="O131">
            <v>9.9999999999999995E-21</v>
          </cell>
          <cell r="P131">
            <v>9.9999999999999995E-21</v>
          </cell>
        </row>
        <row r="132">
          <cell r="J132"/>
          <cell r="K132">
            <v>0.03</v>
          </cell>
          <cell r="L132"/>
          <cell r="M132">
            <v>0.03</v>
          </cell>
          <cell r="N132">
            <v>0.03</v>
          </cell>
          <cell r="O132">
            <v>0.03</v>
          </cell>
          <cell r="P132">
            <v>0.03</v>
          </cell>
        </row>
        <row r="133">
          <cell r="J133"/>
          <cell r="K133"/>
          <cell r="L133"/>
          <cell r="M133"/>
          <cell r="N133"/>
          <cell r="O133"/>
          <cell r="P133"/>
        </row>
        <row r="134">
          <cell r="J134"/>
          <cell r="K134"/>
          <cell r="L134"/>
          <cell r="M134"/>
          <cell r="N134"/>
          <cell r="O134"/>
          <cell r="P134"/>
        </row>
        <row r="135">
          <cell r="J135"/>
          <cell r="K135"/>
          <cell r="L135"/>
          <cell r="M135"/>
          <cell r="N135"/>
          <cell r="O135"/>
          <cell r="P135"/>
        </row>
        <row r="136">
          <cell r="J136"/>
          <cell r="K136"/>
          <cell r="L136"/>
          <cell r="M136"/>
          <cell r="N136"/>
          <cell r="O136"/>
          <cell r="P136"/>
        </row>
        <row r="137">
          <cell r="J137"/>
          <cell r="K137"/>
          <cell r="L137"/>
          <cell r="M137"/>
          <cell r="N137"/>
          <cell r="O137"/>
          <cell r="P137"/>
        </row>
        <row r="138">
          <cell r="J138"/>
          <cell r="K138"/>
          <cell r="L138"/>
          <cell r="M138"/>
          <cell r="N138"/>
          <cell r="O138"/>
          <cell r="P138"/>
        </row>
        <row r="139">
          <cell r="J139"/>
          <cell r="K139"/>
          <cell r="L139"/>
          <cell r="M139"/>
          <cell r="N139"/>
          <cell r="O139"/>
          <cell r="P139"/>
        </row>
        <row r="140">
          <cell r="J140"/>
          <cell r="K140"/>
          <cell r="L140"/>
          <cell r="M140"/>
          <cell r="N140"/>
          <cell r="O140"/>
          <cell r="P140"/>
        </row>
        <row r="141">
          <cell r="J141"/>
          <cell r="K141"/>
          <cell r="L141"/>
          <cell r="M141"/>
          <cell r="N141"/>
          <cell r="O141"/>
          <cell r="P141"/>
        </row>
        <row r="142">
          <cell r="J142"/>
          <cell r="K142"/>
          <cell r="L142"/>
          <cell r="M142"/>
          <cell r="N142"/>
          <cell r="O142"/>
          <cell r="P142"/>
        </row>
        <row r="143">
          <cell r="J143"/>
          <cell r="K143"/>
          <cell r="L143"/>
          <cell r="M143"/>
          <cell r="N143"/>
          <cell r="O143"/>
          <cell r="P143"/>
        </row>
        <row r="144">
          <cell r="J144"/>
          <cell r="K144"/>
          <cell r="L144"/>
          <cell r="M144"/>
          <cell r="N144"/>
          <cell r="O144"/>
          <cell r="P144"/>
        </row>
        <row r="145">
          <cell r="J145"/>
          <cell r="K145"/>
          <cell r="L145"/>
          <cell r="M145"/>
          <cell r="N145"/>
          <cell r="O145"/>
          <cell r="P145"/>
        </row>
        <row r="146">
          <cell r="J146"/>
          <cell r="K146"/>
          <cell r="L146"/>
          <cell r="M146"/>
          <cell r="N146"/>
          <cell r="O146"/>
          <cell r="P146"/>
        </row>
        <row r="147">
          <cell r="J147"/>
          <cell r="K147"/>
          <cell r="L147"/>
          <cell r="M147"/>
          <cell r="N147"/>
          <cell r="O147"/>
          <cell r="P147"/>
        </row>
        <row r="148">
          <cell r="J148"/>
          <cell r="K148"/>
          <cell r="L148"/>
          <cell r="M148"/>
          <cell r="N148"/>
          <cell r="O148"/>
          <cell r="P148"/>
        </row>
        <row r="149">
          <cell r="J149"/>
          <cell r="K149"/>
          <cell r="L149"/>
          <cell r="M149"/>
          <cell r="N149"/>
          <cell r="O149"/>
          <cell r="P149"/>
        </row>
        <row r="150">
          <cell r="J150"/>
          <cell r="K150"/>
          <cell r="L150"/>
          <cell r="M150"/>
          <cell r="N150"/>
          <cell r="O150"/>
          <cell r="P150"/>
        </row>
        <row r="151">
          <cell r="J151"/>
          <cell r="K151"/>
          <cell r="L151"/>
          <cell r="M151"/>
          <cell r="N151"/>
          <cell r="O151"/>
          <cell r="P151"/>
        </row>
        <row r="152">
          <cell r="J152"/>
          <cell r="K152"/>
          <cell r="L152"/>
          <cell r="M152"/>
          <cell r="N152"/>
          <cell r="O152"/>
          <cell r="P152"/>
        </row>
        <row r="153">
          <cell r="J153"/>
          <cell r="K153"/>
          <cell r="L153"/>
          <cell r="M153"/>
          <cell r="N153"/>
          <cell r="O153"/>
          <cell r="P153"/>
        </row>
        <row r="154">
          <cell r="J154"/>
          <cell r="K154"/>
          <cell r="L154"/>
          <cell r="M154"/>
          <cell r="N154"/>
          <cell r="O154"/>
          <cell r="P154"/>
        </row>
        <row r="155">
          <cell r="J155"/>
          <cell r="K155"/>
          <cell r="L155"/>
          <cell r="M155"/>
          <cell r="N155"/>
          <cell r="O155"/>
          <cell r="P155"/>
        </row>
        <row r="156">
          <cell r="J156"/>
          <cell r="K156"/>
          <cell r="L156"/>
          <cell r="M156"/>
          <cell r="N156"/>
          <cell r="O156"/>
          <cell r="P156"/>
        </row>
        <row r="157">
          <cell r="J157"/>
          <cell r="K157"/>
          <cell r="L157"/>
          <cell r="M157"/>
          <cell r="N157"/>
          <cell r="O157"/>
          <cell r="P157"/>
        </row>
        <row r="158">
          <cell r="J158"/>
          <cell r="K158"/>
          <cell r="L158"/>
          <cell r="M158"/>
          <cell r="N158"/>
          <cell r="O158"/>
          <cell r="P158"/>
        </row>
        <row r="159">
          <cell r="J159"/>
          <cell r="K159"/>
          <cell r="L159"/>
          <cell r="M159"/>
          <cell r="N159"/>
          <cell r="O159"/>
          <cell r="P159"/>
        </row>
        <row r="160">
          <cell r="J160"/>
          <cell r="K160"/>
          <cell r="L160"/>
          <cell r="M160"/>
          <cell r="N160"/>
          <cell r="O160"/>
          <cell r="P160"/>
        </row>
        <row r="161">
          <cell r="J161"/>
          <cell r="K161"/>
          <cell r="L161"/>
          <cell r="M161"/>
          <cell r="N161"/>
          <cell r="O161"/>
          <cell r="P161"/>
        </row>
        <row r="162">
          <cell r="J162"/>
          <cell r="K162"/>
          <cell r="L162"/>
          <cell r="M162"/>
          <cell r="N162"/>
          <cell r="O162"/>
          <cell r="P162"/>
        </row>
        <row r="163">
          <cell r="J163"/>
          <cell r="K163"/>
          <cell r="L163"/>
          <cell r="M163"/>
          <cell r="N163"/>
          <cell r="O163"/>
          <cell r="P163"/>
        </row>
        <row r="164">
          <cell r="J164"/>
          <cell r="K164"/>
          <cell r="L164"/>
          <cell r="M164"/>
          <cell r="N164"/>
          <cell r="O164"/>
          <cell r="P164"/>
        </row>
        <row r="165">
          <cell r="J165"/>
          <cell r="K165"/>
          <cell r="L165"/>
          <cell r="M165"/>
          <cell r="N165"/>
          <cell r="O165"/>
          <cell r="P165"/>
        </row>
        <row r="166">
          <cell r="J166"/>
          <cell r="K166"/>
          <cell r="L166"/>
          <cell r="M166"/>
          <cell r="N166"/>
          <cell r="O166"/>
          <cell r="P166"/>
        </row>
        <row r="167">
          <cell r="J167"/>
          <cell r="K167"/>
          <cell r="L167"/>
          <cell r="M167"/>
          <cell r="N167"/>
          <cell r="O167"/>
          <cell r="P167"/>
        </row>
        <row r="168">
          <cell r="J168"/>
          <cell r="K168"/>
          <cell r="L168"/>
          <cell r="M168"/>
          <cell r="N168"/>
          <cell r="O168"/>
          <cell r="P168"/>
        </row>
        <row r="169">
          <cell r="J169"/>
          <cell r="K169"/>
          <cell r="L169"/>
          <cell r="M169"/>
          <cell r="N169"/>
          <cell r="O169"/>
          <cell r="P169"/>
        </row>
        <row r="170">
          <cell r="J170"/>
          <cell r="K170"/>
          <cell r="L170"/>
          <cell r="M170"/>
          <cell r="N170"/>
          <cell r="O170"/>
          <cell r="P170"/>
        </row>
        <row r="171">
          <cell r="J171"/>
          <cell r="K171"/>
          <cell r="L171"/>
          <cell r="M171"/>
          <cell r="N171"/>
          <cell r="O171"/>
          <cell r="P171"/>
        </row>
        <row r="172">
          <cell r="J172"/>
          <cell r="K172"/>
          <cell r="L172"/>
          <cell r="M172"/>
          <cell r="N172"/>
          <cell r="O172"/>
          <cell r="P172"/>
        </row>
        <row r="173">
          <cell r="J173"/>
          <cell r="K173"/>
          <cell r="L173"/>
          <cell r="M173"/>
          <cell r="N173"/>
          <cell r="O173"/>
          <cell r="P173"/>
        </row>
        <row r="174">
          <cell r="J174"/>
          <cell r="K174"/>
          <cell r="L174"/>
          <cell r="M174"/>
          <cell r="N174"/>
          <cell r="O174"/>
          <cell r="P174"/>
        </row>
        <row r="175">
          <cell r="J175"/>
          <cell r="K175"/>
          <cell r="L175"/>
          <cell r="M175"/>
          <cell r="N175"/>
          <cell r="O175"/>
          <cell r="P175"/>
        </row>
        <row r="176">
          <cell r="J176"/>
          <cell r="K176"/>
          <cell r="L176"/>
          <cell r="M176"/>
          <cell r="N176"/>
          <cell r="O176"/>
          <cell r="P176"/>
        </row>
        <row r="177">
          <cell r="J177"/>
          <cell r="K177"/>
          <cell r="L177"/>
          <cell r="M177"/>
          <cell r="N177"/>
          <cell r="O177"/>
          <cell r="P177"/>
        </row>
        <row r="178">
          <cell r="J178"/>
          <cell r="K178"/>
          <cell r="L178"/>
          <cell r="M178"/>
          <cell r="N178"/>
          <cell r="O178"/>
          <cell r="P178"/>
        </row>
        <row r="179">
          <cell r="J179"/>
          <cell r="K179"/>
          <cell r="L179"/>
          <cell r="M179"/>
          <cell r="N179"/>
          <cell r="O179"/>
          <cell r="P179"/>
        </row>
        <row r="180">
          <cell r="J180"/>
          <cell r="K180"/>
          <cell r="L180"/>
          <cell r="M180"/>
          <cell r="N180"/>
          <cell r="O180"/>
          <cell r="P180"/>
        </row>
        <row r="181">
          <cell r="J181"/>
          <cell r="K181"/>
          <cell r="L181"/>
          <cell r="M181"/>
          <cell r="N181"/>
          <cell r="O181"/>
          <cell r="P181"/>
        </row>
        <row r="182">
          <cell r="J182"/>
          <cell r="K182"/>
          <cell r="L182"/>
          <cell r="M182"/>
          <cell r="N182"/>
          <cell r="O182"/>
          <cell r="P182"/>
        </row>
        <row r="183">
          <cell r="J183"/>
          <cell r="K183"/>
          <cell r="L183"/>
          <cell r="M183"/>
          <cell r="N183"/>
          <cell r="O183"/>
          <cell r="P183"/>
        </row>
        <row r="184">
          <cell r="J184"/>
          <cell r="K184"/>
          <cell r="L184"/>
          <cell r="M184"/>
          <cell r="N184"/>
          <cell r="O184"/>
          <cell r="P184"/>
        </row>
        <row r="185">
          <cell r="J185"/>
          <cell r="K185"/>
          <cell r="L185"/>
          <cell r="M185"/>
          <cell r="N185"/>
          <cell r="O185"/>
          <cell r="P185"/>
        </row>
        <row r="186">
          <cell r="J186"/>
          <cell r="K186"/>
          <cell r="L186"/>
          <cell r="M186"/>
          <cell r="N186"/>
          <cell r="O186"/>
          <cell r="P186"/>
        </row>
        <row r="187">
          <cell r="J187"/>
          <cell r="K187"/>
          <cell r="L187"/>
          <cell r="M187"/>
          <cell r="N187"/>
          <cell r="O187"/>
          <cell r="P187"/>
        </row>
        <row r="188">
          <cell r="J188"/>
          <cell r="K188"/>
          <cell r="L188"/>
          <cell r="M188"/>
          <cell r="N188"/>
          <cell r="O188"/>
          <cell r="P188"/>
        </row>
        <row r="189">
          <cell r="J189"/>
          <cell r="K189"/>
          <cell r="L189"/>
          <cell r="M189"/>
          <cell r="N189"/>
          <cell r="O189"/>
          <cell r="P189"/>
        </row>
        <row r="190">
          <cell r="J190"/>
          <cell r="K190">
            <v>4.9999999999999995E-11</v>
          </cell>
          <cell r="L190">
            <v>4.9999999999999995E-11</v>
          </cell>
          <cell r="M190">
            <v>4.9999999999999995E-11</v>
          </cell>
          <cell r="N190">
            <v>4.9999999999999995E-11</v>
          </cell>
          <cell r="O190">
            <v>4.9999999999999995E-11</v>
          </cell>
          <cell r="P190"/>
        </row>
        <row r="191">
          <cell r="J191"/>
          <cell r="K191">
            <v>9.9999999999999995E-21</v>
          </cell>
          <cell r="L191">
            <v>9.9999999999999995E-21</v>
          </cell>
          <cell r="M191">
            <v>9.9999999999999995E-21</v>
          </cell>
          <cell r="N191">
            <v>9.9999999999999995E-21</v>
          </cell>
          <cell r="O191">
            <v>9.9999999999999995E-21</v>
          </cell>
          <cell r="P191"/>
        </row>
        <row r="192">
          <cell r="J192"/>
          <cell r="K192"/>
          <cell r="L192"/>
          <cell r="M192"/>
          <cell r="N192"/>
          <cell r="O192"/>
          <cell r="P192"/>
        </row>
        <row r="193">
          <cell r="J193"/>
          <cell r="K193"/>
          <cell r="L193"/>
          <cell r="M193"/>
          <cell r="N193"/>
          <cell r="O193"/>
          <cell r="P193"/>
        </row>
        <row r="194">
          <cell r="J194"/>
          <cell r="K194"/>
          <cell r="L194"/>
          <cell r="M194"/>
          <cell r="N194"/>
          <cell r="O194"/>
          <cell r="P194"/>
        </row>
        <row r="195">
          <cell r="J195"/>
          <cell r="K195"/>
          <cell r="L195"/>
          <cell r="M195"/>
          <cell r="N195"/>
          <cell r="O195"/>
          <cell r="P195"/>
        </row>
        <row r="196">
          <cell r="J196"/>
          <cell r="K196"/>
          <cell r="L196"/>
          <cell r="M196"/>
          <cell r="N196"/>
          <cell r="O196"/>
          <cell r="P196"/>
        </row>
        <row r="197">
          <cell r="J197"/>
          <cell r="K197"/>
          <cell r="L197"/>
          <cell r="M197"/>
          <cell r="N197"/>
          <cell r="O197"/>
          <cell r="P197"/>
        </row>
        <row r="198">
          <cell r="J198"/>
          <cell r="K198"/>
          <cell r="L198"/>
          <cell r="M198"/>
          <cell r="N198"/>
          <cell r="O198"/>
          <cell r="P198"/>
        </row>
        <row r="199">
          <cell r="J199"/>
          <cell r="K199"/>
          <cell r="L199"/>
          <cell r="M199"/>
          <cell r="N199"/>
          <cell r="O199"/>
          <cell r="P199"/>
        </row>
        <row r="200">
          <cell r="J200"/>
          <cell r="K200"/>
          <cell r="L200"/>
          <cell r="M200"/>
          <cell r="N200"/>
          <cell r="O200"/>
          <cell r="P200"/>
        </row>
        <row r="201">
          <cell r="J201"/>
          <cell r="K201"/>
          <cell r="L201"/>
          <cell r="M201"/>
          <cell r="N201"/>
          <cell r="O201"/>
          <cell r="P201"/>
        </row>
        <row r="202">
          <cell r="J202"/>
          <cell r="K202"/>
          <cell r="L202"/>
          <cell r="M202"/>
          <cell r="N202"/>
          <cell r="O202"/>
          <cell r="P202"/>
        </row>
        <row r="203">
          <cell r="J203"/>
          <cell r="K203"/>
          <cell r="L203"/>
          <cell r="M203"/>
          <cell r="N203"/>
          <cell r="O203"/>
          <cell r="P203"/>
        </row>
        <row r="204">
          <cell r="J204"/>
          <cell r="K204"/>
          <cell r="L204"/>
          <cell r="M204"/>
          <cell r="N204"/>
          <cell r="O204"/>
          <cell r="P204"/>
        </row>
        <row r="205">
          <cell r="J205"/>
          <cell r="K205"/>
          <cell r="L205"/>
          <cell r="M205"/>
          <cell r="N205"/>
          <cell r="O205"/>
          <cell r="P205"/>
        </row>
        <row r="206">
          <cell r="J206"/>
          <cell r="K206"/>
          <cell r="L206"/>
          <cell r="M206"/>
          <cell r="N206"/>
          <cell r="O206"/>
          <cell r="P206"/>
        </row>
        <row r="207">
          <cell r="J207"/>
          <cell r="K207"/>
          <cell r="L207"/>
          <cell r="M207"/>
          <cell r="N207"/>
          <cell r="O207"/>
          <cell r="P207"/>
        </row>
        <row r="208">
          <cell r="J208"/>
          <cell r="K208"/>
          <cell r="L208"/>
          <cell r="M208"/>
          <cell r="N208"/>
          <cell r="O208"/>
          <cell r="P208"/>
        </row>
        <row r="209">
          <cell r="J209"/>
          <cell r="K209"/>
          <cell r="L209"/>
          <cell r="M209"/>
          <cell r="N209"/>
          <cell r="O209"/>
          <cell r="P209"/>
        </row>
        <row r="210">
          <cell r="J210"/>
          <cell r="K210"/>
          <cell r="L210"/>
          <cell r="M210"/>
          <cell r="N210"/>
          <cell r="O210"/>
          <cell r="P210"/>
        </row>
        <row r="211">
          <cell r="J211"/>
          <cell r="K211"/>
          <cell r="L211"/>
          <cell r="M211"/>
          <cell r="N211"/>
          <cell r="O211"/>
          <cell r="P211"/>
        </row>
        <row r="212">
          <cell r="J212"/>
          <cell r="K212"/>
          <cell r="L212"/>
          <cell r="M212"/>
          <cell r="N212"/>
          <cell r="O212"/>
          <cell r="P212"/>
        </row>
        <row r="213">
          <cell r="J213"/>
          <cell r="K213"/>
          <cell r="L213"/>
          <cell r="M213"/>
          <cell r="N213"/>
          <cell r="O213"/>
          <cell r="P213"/>
        </row>
        <row r="214">
          <cell r="J214"/>
          <cell r="K214"/>
          <cell r="L214"/>
          <cell r="M214"/>
          <cell r="N214"/>
          <cell r="O214"/>
          <cell r="P214"/>
        </row>
        <row r="215">
          <cell r="J215"/>
          <cell r="K215"/>
          <cell r="L215"/>
          <cell r="M215"/>
          <cell r="N215"/>
          <cell r="O215"/>
          <cell r="P215"/>
        </row>
        <row r="216">
          <cell r="J216"/>
          <cell r="K216"/>
          <cell r="L216"/>
          <cell r="M216"/>
          <cell r="N216"/>
          <cell r="O216"/>
          <cell r="P216"/>
        </row>
        <row r="217">
          <cell r="J217"/>
          <cell r="K217"/>
          <cell r="L217"/>
          <cell r="M217"/>
          <cell r="N217"/>
          <cell r="O217"/>
          <cell r="P217"/>
        </row>
        <row r="218">
          <cell r="J218"/>
          <cell r="K218"/>
          <cell r="L218"/>
          <cell r="M218"/>
          <cell r="N218"/>
          <cell r="O218"/>
          <cell r="P218"/>
        </row>
        <row r="219">
          <cell r="J219"/>
          <cell r="K219"/>
          <cell r="L219"/>
          <cell r="M219"/>
          <cell r="N219"/>
          <cell r="O219"/>
          <cell r="P219"/>
        </row>
        <row r="220">
          <cell r="J220"/>
          <cell r="K220">
            <v>0.99999999617906088</v>
          </cell>
          <cell r="L220">
            <v>0.99999999617906088</v>
          </cell>
          <cell r="M220">
            <v>0.99999999617906088</v>
          </cell>
          <cell r="N220">
            <v>0.99999999617906088</v>
          </cell>
          <cell r="O220">
            <v>0.99999999617906088</v>
          </cell>
          <cell r="P220"/>
        </row>
        <row r="221">
          <cell r="J221"/>
          <cell r="K221"/>
          <cell r="L221"/>
          <cell r="M221"/>
          <cell r="N221"/>
          <cell r="O221"/>
          <cell r="P221"/>
        </row>
        <row r="222">
          <cell r="J222"/>
          <cell r="K222">
            <v>3.8209391609446115E-9</v>
          </cell>
          <cell r="L222">
            <v>3.8209391609446115E-9</v>
          </cell>
          <cell r="M222">
            <v>3.8209391609446115E-9</v>
          </cell>
          <cell r="N222">
            <v>3.8209391609446115E-9</v>
          </cell>
          <cell r="O222">
            <v>3.8209391609446115E-9</v>
          </cell>
          <cell r="P222"/>
        </row>
        <row r="223">
          <cell r="J223"/>
          <cell r="K223"/>
          <cell r="L223"/>
          <cell r="M223"/>
          <cell r="N223"/>
          <cell r="O223"/>
          <cell r="P223"/>
        </row>
        <row r="224">
          <cell r="J224"/>
          <cell r="K224"/>
          <cell r="L224"/>
          <cell r="M224"/>
          <cell r="N224"/>
          <cell r="O224"/>
          <cell r="P224"/>
        </row>
        <row r="225">
          <cell r="J225"/>
          <cell r="K225"/>
          <cell r="L225"/>
          <cell r="M225"/>
          <cell r="N225"/>
          <cell r="O225"/>
          <cell r="P225"/>
        </row>
        <row r="226">
          <cell r="J226"/>
          <cell r="K226">
            <v>0.99998990840428303</v>
          </cell>
          <cell r="L226">
            <v>0.99998990840428303</v>
          </cell>
          <cell r="M226">
            <v>0.99998990840428303</v>
          </cell>
          <cell r="N226">
            <v>0.99998990840428303</v>
          </cell>
          <cell r="O226">
            <v>0.99998990840428303</v>
          </cell>
          <cell r="P226"/>
        </row>
        <row r="227">
          <cell r="J227"/>
          <cell r="K227"/>
          <cell r="L227"/>
          <cell r="M227"/>
          <cell r="N227"/>
          <cell r="O227"/>
          <cell r="P227"/>
        </row>
        <row r="228">
          <cell r="J228"/>
          <cell r="K228"/>
          <cell r="L228"/>
          <cell r="M228"/>
          <cell r="N228"/>
          <cell r="O228"/>
          <cell r="P228"/>
        </row>
        <row r="229">
          <cell r="J229"/>
          <cell r="K229"/>
          <cell r="L229"/>
          <cell r="M229"/>
          <cell r="N229"/>
          <cell r="O229"/>
          <cell r="P229"/>
        </row>
        <row r="230">
          <cell r="J230"/>
          <cell r="K230"/>
          <cell r="L230"/>
          <cell r="M230"/>
          <cell r="N230"/>
          <cell r="O230"/>
          <cell r="P230"/>
        </row>
        <row r="231">
          <cell r="J231"/>
          <cell r="K231"/>
          <cell r="L231"/>
          <cell r="M231"/>
          <cell r="N231"/>
          <cell r="O231"/>
          <cell r="P231"/>
        </row>
        <row r="232">
          <cell r="J232"/>
          <cell r="K232">
            <v>0.999892860171401</v>
          </cell>
          <cell r="L232">
            <v>0.999892860171401</v>
          </cell>
          <cell r="M232">
            <v>0.999892860171401</v>
          </cell>
          <cell r="N232">
            <v>0.999892860171401</v>
          </cell>
          <cell r="O232">
            <v>0.999892860171401</v>
          </cell>
          <cell r="P232"/>
        </row>
        <row r="233">
          <cell r="J233"/>
          <cell r="K233"/>
          <cell r="L233"/>
          <cell r="M233"/>
          <cell r="N233"/>
          <cell r="O233"/>
          <cell r="P233"/>
        </row>
        <row r="234">
          <cell r="J234"/>
          <cell r="K234"/>
          <cell r="L234"/>
          <cell r="M234"/>
          <cell r="N234"/>
          <cell r="O234"/>
          <cell r="P234"/>
        </row>
        <row r="235">
          <cell r="J235"/>
          <cell r="K235"/>
          <cell r="L235"/>
          <cell r="M235"/>
          <cell r="N235"/>
          <cell r="O235"/>
          <cell r="P235"/>
        </row>
        <row r="236">
          <cell r="J236"/>
          <cell r="K236"/>
          <cell r="L236"/>
          <cell r="M236"/>
          <cell r="N236"/>
          <cell r="O236"/>
          <cell r="P236"/>
        </row>
        <row r="237">
          <cell r="J237"/>
          <cell r="K237"/>
          <cell r="L237"/>
          <cell r="M237"/>
          <cell r="N237"/>
          <cell r="O237"/>
          <cell r="P237"/>
        </row>
        <row r="238">
          <cell r="J238"/>
          <cell r="K238">
            <v>0.99995978797120633</v>
          </cell>
          <cell r="L238">
            <v>0.99995978797120633</v>
          </cell>
          <cell r="M238">
            <v>0.99995978797120633</v>
          </cell>
          <cell r="N238">
            <v>0.99995978797120633</v>
          </cell>
          <cell r="O238">
            <v>0.99995978797120633</v>
          </cell>
          <cell r="P238"/>
        </row>
        <row r="239">
          <cell r="J239"/>
          <cell r="K239"/>
          <cell r="L239"/>
          <cell r="M239"/>
          <cell r="N239"/>
          <cell r="O239"/>
          <cell r="P239"/>
        </row>
        <row r="240">
          <cell r="J240"/>
          <cell r="K240"/>
          <cell r="L240"/>
          <cell r="M240"/>
          <cell r="N240"/>
          <cell r="O240"/>
          <cell r="P240"/>
        </row>
        <row r="241">
          <cell r="J241"/>
          <cell r="K241"/>
          <cell r="L241"/>
          <cell r="M241"/>
          <cell r="N241"/>
          <cell r="O241"/>
          <cell r="P241"/>
        </row>
        <row r="242">
          <cell r="J242"/>
          <cell r="K242"/>
          <cell r="L242"/>
          <cell r="M242"/>
          <cell r="N242"/>
          <cell r="O242"/>
          <cell r="P242"/>
        </row>
        <row r="243">
          <cell r="J243"/>
          <cell r="K243"/>
          <cell r="L243"/>
          <cell r="M243"/>
          <cell r="N243"/>
          <cell r="O243"/>
          <cell r="P243"/>
        </row>
        <row r="244">
          <cell r="J244"/>
          <cell r="K244"/>
          <cell r="L244"/>
          <cell r="M244"/>
          <cell r="N244"/>
          <cell r="O244"/>
          <cell r="P244"/>
        </row>
        <row r="245">
          <cell r="J245"/>
          <cell r="K245"/>
          <cell r="L245"/>
          <cell r="M245"/>
          <cell r="N245"/>
          <cell r="O245"/>
          <cell r="P245"/>
        </row>
        <row r="246">
          <cell r="J246"/>
          <cell r="K246"/>
          <cell r="L246"/>
          <cell r="M246"/>
          <cell r="N246"/>
          <cell r="O246"/>
          <cell r="P246"/>
        </row>
        <row r="247">
          <cell r="J247"/>
          <cell r="K247"/>
          <cell r="L247"/>
          <cell r="M247"/>
          <cell r="N247"/>
          <cell r="O247"/>
          <cell r="P247"/>
        </row>
        <row r="248">
          <cell r="J248"/>
          <cell r="K248"/>
          <cell r="L248"/>
          <cell r="M248"/>
          <cell r="N248"/>
          <cell r="O248"/>
          <cell r="P248"/>
        </row>
        <row r="249">
          <cell r="J249"/>
          <cell r="K249"/>
          <cell r="L249"/>
          <cell r="M249"/>
          <cell r="N249"/>
          <cell r="O249"/>
          <cell r="P249"/>
        </row>
        <row r="250">
          <cell r="J250"/>
          <cell r="K250"/>
          <cell r="L250"/>
          <cell r="M250"/>
          <cell r="N250"/>
          <cell r="O250"/>
          <cell r="P250"/>
        </row>
        <row r="251">
          <cell r="J251"/>
          <cell r="K251"/>
          <cell r="L251"/>
          <cell r="M251"/>
          <cell r="N251"/>
          <cell r="O251"/>
          <cell r="P251"/>
        </row>
        <row r="252">
          <cell r="J252"/>
          <cell r="K252"/>
          <cell r="L252"/>
          <cell r="M252"/>
          <cell r="N252"/>
          <cell r="O252"/>
          <cell r="P252"/>
        </row>
        <row r="253">
          <cell r="J253"/>
          <cell r="K253"/>
          <cell r="L253"/>
          <cell r="M253"/>
          <cell r="N253"/>
          <cell r="O253"/>
          <cell r="P253"/>
        </row>
        <row r="254">
          <cell r="J254"/>
          <cell r="K254"/>
          <cell r="L254"/>
          <cell r="M254"/>
          <cell r="N254"/>
          <cell r="O254"/>
          <cell r="P254"/>
        </row>
        <row r="255">
          <cell r="J255"/>
          <cell r="K255"/>
          <cell r="L255"/>
          <cell r="M255"/>
          <cell r="N255"/>
          <cell r="O255"/>
          <cell r="P255"/>
        </row>
        <row r="256">
          <cell r="J256"/>
          <cell r="K256"/>
          <cell r="L256"/>
          <cell r="M256"/>
          <cell r="N256"/>
          <cell r="O256"/>
          <cell r="P256"/>
        </row>
        <row r="257">
          <cell r="J257"/>
          <cell r="K257"/>
          <cell r="L257"/>
          <cell r="M257"/>
          <cell r="N257"/>
          <cell r="O257"/>
          <cell r="P257"/>
        </row>
        <row r="258">
          <cell r="J258"/>
          <cell r="K258"/>
          <cell r="L258"/>
          <cell r="M258"/>
          <cell r="N258"/>
          <cell r="O258"/>
          <cell r="P258"/>
        </row>
        <row r="259">
          <cell r="J259"/>
          <cell r="K259"/>
          <cell r="L259"/>
          <cell r="M259"/>
          <cell r="N259"/>
          <cell r="O259"/>
          <cell r="P259"/>
        </row>
        <row r="260">
          <cell r="J260"/>
          <cell r="K260"/>
          <cell r="L260"/>
          <cell r="M260"/>
          <cell r="N260"/>
          <cell r="O260"/>
          <cell r="P260"/>
        </row>
        <row r="261">
          <cell r="J261"/>
          <cell r="K261"/>
          <cell r="L261"/>
          <cell r="M261"/>
          <cell r="N261"/>
          <cell r="O261"/>
          <cell r="P261"/>
        </row>
        <row r="262">
          <cell r="J262"/>
          <cell r="K262"/>
          <cell r="L262"/>
          <cell r="M262"/>
          <cell r="N262"/>
          <cell r="O262"/>
          <cell r="P262"/>
        </row>
        <row r="263">
          <cell r="J263"/>
          <cell r="K263"/>
          <cell r="L263"/>
          <cell r="M263"/>
          <cell r="N263"/>
          <cell r="O263"/>
          <cell r="P263"/>
        </row>
        <row r="264">
          <cell r="J264"/>
          <cell r="K264"/>
          <cell r="L264"/>
          <cell r="M264"/>
          <cell r="N264"/>
          <cell r="O264"/>
          <cell r="P264"/>
        </row>
        <row r="265">
          <cell r="J265"/>
          <cell r="K265"/>
          <cell r="L265"/>
          <cell r="M265"/>
          <cell r="N265"/>
          <cell r="O265"/>
          <cell r="P265"/>
        </row>
        <row r="266">
          <cell r="J266"/>
          <cell r="K266"/>
          <cell r="L266"/>
          <cell r="M266"/>
          <cell r="N266"/>
          <cell r="O266"/>
          <cell r="P266"/>
        </row>
        <row r="267">
          <cell r="J267"/>
          <cell r="K267"/>
          <cell r="L267"/>
          <cell r="M267"/>
          <cell r="N267"/>
          <cell r="O267"/>
          <cell r="P267"/>
        </row>
        <row r="268">
          <cell r="J268"/>
          <cell r="K268">
            <v>5.532646369860723E-29</v>
          </cell>
          <cell r="L268">
            <v>5.532646369860723E-29</v>
          </cell>
          <cell r="M268">
            <v>5.532646369860723E-29</v>
          </cell>
          <cell r="N268">
            <v>5.532646369860723E-29</v>
          </cell>
          <cell r="O268">
            <v>5.532646369860723E-29</v>
          </cell>
          <cell r="P268"/>
        </row>
        <row r="269">
          <cell r="J269"/>
          <cell r="K269">
            <v>1.6597939109582171E-10</v>
          </cell>
          <cell r="L269">
            <v>1.6597939109582171E-10</v>
          </cell>
          <cell r="M269">
            <v>1.6597939109582171E-10</v>
          </cell>
          <cell r="N269">
            <v>1.6597939109582171E-10</v>
          </cell>
          <cell r="O269">
            <v>1.6597939109582171E-10</v>
          </cell>
          <cell r="P269"/>
        </row>
        <row r="270">
          <cell r="J270"/>
          <cell r="K270">
            <v>5.5326463698607293E-10</v>
          </cell>
          <cell r="L270">
            <v>5.5326463698607293E-10</v>
          </cell>
          <cell r="M270">
            <v>5.5326463698607293E-10</v>
          </cell>
          <cell r="N270">
            <v>5.5326463698607293E-10</v>
          </cell>
          <cell r="O270">
            <v>5.5326463698607293E-10</v>
          </cell>
          <cell r="P270"/>
        </row>
        <row r="271">
          <cell r="J271"/>
          <cell r="K271">
            <v>3.2127633486578417E-11</v>
          </cell>
          <cell r="L271">
            <v>3.2127633486578417E-11</v>
          </cell>
          <cell r="M271">
            <v>3.2127633486578417E-11</v>
          </cell>
          <cell r="N271">
            <v>3.2127633486578417E-11</v>
          </cell>
          <cell r="O271">
            <v>3.2127633486578417E-11</v>
          </cell>
          <cell r="P271"/>
        </row>
        <row r="272">
          <cell r="J272"/>
          <cell r="K272">
            <v>1.4457435068960288E-11</v>
          </cell>
          <cell r="L272">
            <v>1.4457435068960288E-11</v>
          </cell>
          <cell r="M272">
            <v>1.4457435068960288E-11</v>
          </cell>
          <cell r="N272">
            <v>1.4457435068960288E-11</v>
          </cell>
          <cell r="O272">
            <v>1.4457435068960288E-11</v>
          </cell>
          <cell r="P272"/>
        </row>
        <row r="273">
          <cell r="J273"/>
          <cell r="K273">
            <v>5.3546055810964033E-12</v>
          </cell>
          <cell r="L273">
            <v>5.3546055810964033E-12</v>
          </cell>
          <cell r="M273">
            <v>5.3546055810964033E-12</v>
          </cell>
          <cell r="N273">
            <v>5.3546055810964033E-12</v>
          </cell>
          <cell r="O273">
            <v>5.3546055810964033E-12</v>
          </cell>
          <cell r="P273"/>
        </row>
        <row r="274">
          <cell r="J274"/>
          <cell r="K274"/>
          <cell r="L274"/>
          <cell r="M274"/>
          <cell r="N274"/>
          <cell r="O274"/>
          <cell r="P274"/>
        </row>
        <row r="275">
          <cell r="J275"/>
          <cell r="K275"/>
          <cell r="L275"/>
          <cell r="M275"/>
          <cell r="N275"/>
          <cell r="O275"/>
          <cell r="P275"/>
        </row>
        <row r="276">
          <cell r="J276"/>
          <cell r="K276"/>
          <cell r="L276"/>
          <cell r="M276"/>
          <cell r="N276"/>
          <cell r="O276"/>
          <cell r="P276"/>
        </row>
        <row r="277">
          <cell r="J277"/>
          <cell r="K277"/>
          <cell r="L277"/>
          <cell r="M277"/>
          <cell r="N277"/>
          <cell r="O277"/>
          <cell r="P277"/>
        </row>
        <row r="278">
          <cell r="J278"/>
          <cell r="K278"/>
          <cell r="L278"/>
          <cell r="M278"/>
          <cell r="N278"/>
          <cell r="O278"/>
          <cell r="P278"/>
        </row>
        <row r="279">
          <cell r="J279"/>
          <cell r="K279"/>
          <cell r="L279"/>
          <cell r="M279"/>
          <cell r="N279"/>
          <cell r="O279"/>
          <cell r="P279"/>
        </row>
        <row r="280">
          <cell r="J280"/>
          <cell r="K280"/>
          <cell r="L280"/>
          <cell r="M280"/>
          <cell r="N280"/>
          <cell r="O280"/>
          <cell r="P280"/>
        </row>
        <row r="281">
          <cell r="J281"/>
          <cell r="K281"/>
          <cell r="L281"/>
          <cell r="M281"/>
          <cell r="N281"/>
          <cell r="O281"/>
          <cell r="P281"/>
        </row>
        <row r="282">
          <cell r="J282"/>
          <cell r="K282"/>
          <cell r="L282"/>
          <cell r="M282"/>
          <cell r="N282"/>
          <cell r="O282"/>
          <cell r="P282"/>
        </row>
        <row r="283">
          <cell r="J283"/>
          <cell r="K283"/>
          <cell r="L283"/>
          <cell r="M283"/>
          <cell r="N283"/>
          <cell r="O283"/>
          <cell r="P283"/>
        </row>
        <row r="284">
          <cell r="J284"/>
          <cell r="K284"/>
          <cell r="L284"/>
          <cell r="M284"/>
          <cell r="N284"/>
          <cell r="O284"/>
          <cell r="P284"/>
        </row>
        <row r="285">
          <cell r="J285"/>
          <cell r="K285"/>
          <cell r="L285"/>
          <cell r="M285"/>
          <cell r="N285"/>
          <cell r="O285"/>
          <cell r="P285"/>
        </row>
        <row r="286">
          <cell r="J286"/>
          <cell r="K286">
            <v>1.9478421123995062E-13</v>
          </cell>
          <cell r="L286">
            <v>1.9478421123995062E-13</v>
          </cell>
          <cell r="M286">
            <v>1.9478421123995062E-13</v>
          </cell>
          <cell r="N286">
            <v>1.9478421123995062E-13</v>
          </cell>
          <cell r="O286">
            <v>1.9478421123995062E-13</v>
          </cell>
          <cell r="P286"/>
        </row>
        <row r="287">
          <cell r="J287"/>
          <cell r="K287">
            <v>9.5437781134756329E-13</v>
          </cell>
          <cell r="L287">
            <v>9.5437781134756329E-13</v>
          </cell>
          <cell r="M287">
            <v>9.5437781134756329E-13</v>
          </cell>
          <cell r="N287">
            <v>9.5437781134756329E-13</v>
          </cell>
          <cell r="O287">
            <v>9.5437781134756329E-13</v>
          </cell>
          <cell r="P287"/>
        </row>
        <row r="288">
          <cell r="J288"/>
          <cell r="K288">
            <v>2.2167637374194877E-8</v>
          </cell>
          <cell r="L288">
            <v>2.2167637374194877E-8</v>
          </cell>
          <cell r="M288">
            <v>2.2167637374194877E-8</v>
          </cell>
          <cell r="N288">
            <v>2.2167637374194877E-8</v>
          </cell>
          <cell r="O288">
            <v>2.2167637374194877E-8</v>
          </cell>
          <cell r="P288"/>
        </row>
        <row r="289">
          <cell r="J289"/>
          <cell r="K289"/>
          <cell r="L289"/>
          <cell r="M289"/>
          <cell r="N289"/>
          <cell r="O289"/>
          <cell r="P289"/>
        </row>
        <row r="290">
          <cell r="J290"/>
          <cell r="K290"/>
          <cell r="L290"/>
          <cell r="M290"/>
          <cell r="N290"/>
          <cell r="O290"/>
          <cell r="P290"/>
        </row>
        <row r="291">
          <cell r="J291"/>
          <cell r="K291"/>
          <cell r="L291"/>
          <cell r="M291"/>
          <cell r="N291"/>
          <cell r="O291"/>
          <cell r="P291"/>
        </row>
        <row r="292">
          <cell r="J292"/>
          <cell r="K292"/>
          <cell r="L292"/>
          <cell r="M292"/>
          <cell r="N292"/>
          <cell r="O292"/>
          <cell r="P292"/>
        </row>
        <row r="293">
          <cell r="J293"/>
          <cell r="K293"/>
          <cell r="L293"/>
          <cell r="M293"/>
          <cell r="N293"/>
          <cell r="O293"/>
          <cell r="P293"/>
        </row>
        <row r="294">
          <cell r="J294"/>
          <cell r="K294"/>
          <cell r="L294"/>
          <cell r="M294"/>
          <cell r="N294"/>
          <cell r="O294"/>
          <cell r="P294"/>
        </row>
        <row r="295">
          <cell r="J295"/>
          <cell r="K295"/>
          <cell r="L295"/>
          <cell r="M295"/>
          <cell r="N295"/>
          <cell r="O295"/>
          <cell r="P295"/>
        </row>
        <row r="296">
          <cell r="J296"/>
          <cell r="K296"/>
          <cell r="L296"/>
          <cell r="M296"/>
          <cell r="N296"/>
          <cell r="O296"/>
          <cell r="P296"/>
        </row>
        <row r="297">
          <cell r="J297"/>
          <cell r="K297"/>
          <cell r="L297"/>
          <cell r="M297"/>
          <cell r="N297"/>
          <cell r="O297"/>
          <cell r="P297"/>
        </row>
        <row r="298">
          <cell r="J298"/>
          <cell r="K298"/>
          <cell r="L298"/>
          <cell r="M298"/>
          <cell r="N298"/>
          <cell r="O298"/>
          <cell r="P298"/>
        </row>
        <row r="299">
          <cell r="J299"/>
          <cell r="K299"/>
          <cell r="L299"/>
          <cell r="M299"/>
          <cell r="N299"/>
          <cell r="O299"/>
          <cell r="P299"/>
        </row>
        <row r="300">
          <cell r="J300"/>
          <cell r="K300"/>
          <cell r="L300"/>
          <cell r="M300"/>
          <cell r="N300"/>
          <cell r="O300"/>
          <cell r="P300"/>
        </row>
        <row r="301">
          <cell r="J301"/>
          <cell r="K301"/>
          <cell r="L301"/>
          <cell r="M301"/>
          <cell r="N301"/>
          <cell r="O301"/>
          <cell r="P301"/>
        </row>
        <row r="302">
          <cell r="J302"/>
          <cell r="K302"/>
          <cell r="L302"/>
          <cell r="M302"/>
          <cell r="N302"/>
          <cell r="O302"/>
          <cell r="P302"/>
        </row>
        <row r="303">
          <cell r="J303"/>
          <cell r="K303">
            <v>1</v>
          </cell>
          <cell r="L303">
            <v>1</v>
          </cell>
          <cell r="M303">
            <v>1</v>
          </cell>
          <cell r="N303">
            <v>1</v>
          </cell>
          <cell r="O303"/>
          <cell r="P303">
            <v>1</v>
          </cell>
        </row>
        <row r="304">
          <cell r="J304"/>
          <cell r="K304">
            <v>1</v>
          </cell>
          <cell r="L304">
            <v>1</v>
          </cell>
          <cell r="M304">
            <v>1</v>
          </cell>
          <cell r="N304">
            <v>1</v>
          </cell>
          <cell r="O304"/>
          <cell r="P304">
            <v>1</v>
          </cell>
        </row>
        <row r="305">
          <cell r="J305"/>
          <cell r="K305">
            <v>1</v>
          </cell>
          <cell r="L305">
            <v>1</v>
          </cell>
          <cell r="M305">
            <v>1</v>
          </cell>
          <cell r="N305">
            <v>1</v>
          </cell>
          <cell r="O305"/>
          <cell r="P305">
            <v>1</v>
          </cell>
        </row>
        <row r="306">
          <cell r="J306"/>
          <cell r="K306"/>
          <cell r="L306"/>
          <cell r="M306"/>
          <cell r="N306"/>
          <cell r="O306"/>
          <cell r="P306"/>
        </row>
        <row r="307">
          <cell r="J307"/>
          <cell r="K307"/>
          <cell r="L307"/>
          <cell r="M307"/>
          <cell r="N307"/>
          <cell r="O307"/>
          <cell r="P307"/>
        </row>
        <row r="308">
          <cell r="J308"/>
          <cell r="K308"/>
          <cell r="L308"/>
          <cell r="M308"/>
          <cell r="N308"/>
          <cell r="O308"/>
          <cell r="P308"/>
        </row>
        <row r="309">
          <cell r="J309"/>
          <cell r="K309"/>
          <cell r="L309"/>
          <cell r="M309"/>
          <cell r="N309"/>
          <cell r="O309"/>
          <cell r="P309"/>
        </row>
        <row r="310">
          <cell r="J310"/>
          <cell r="K310"/>
          <cell r="L310"/>
          <cell r="M310"/>
          <cell r="N310"/>
          <cell r="O310"/>
          <cell r="P310"/>
        </row>
        <row r="311">
          <cell r="J311"/>
          <cell r="K311"/>
          <cell r="L311"/>
          <cell r="M311"/>
          <cell r="N311"/>
          <cell r="O311"/>
          <cell r="P311"/>
        </row>
        <row r="312">
          <cell r="J312"/>
          <cell r="K312"/>
          <cell r="L312"/>
          <cell r="M312"/>
          <cell r="N312"/>
          <cell r="O312"/>
          <cell r="P312"/>
        </row>
        <row r="313">
          <cell r="J313"/>
          <cell r="K313"/>
          <cell r="L313"/>
          <cell r="M313"/>
          <cell r="N313"/>
          <cell r="O313"/>
          <cell r="P313"/>
        </row>
        <row r="314">
          <cell r="J314"/>
          <cell r="K314"/>
          <cell r="L314"/>
          <cell r="M314"/>
          <cell r="N314"/>
          <cell r="O314"/>
          <cell r="P314"/>
        </row>
        <row r="315">
          <cell r="J315"/>
          <cell r="K315"/>
          <cell r="L315"/>
          <cell r="M315"/>
          <cell r="N315"/>
          <cell r="O315"/>
          <cell r="P315"/>
        </row>
        <row r="316">
          <cell r="J316"/>
          <cell r="K316"/>
          <cell r="L316"/>
          <cell r="M316"/>
          <cell r="N316"/>
          <cell r="O316"/>
          <cell r="P316"/>
        </row>
        <row r="317">
          <cell r="J317"/>
          <cell r="K317"/>
          <cell r="L317"/>
          <cell r="M317"/>
          <cell r="N317"/>
          <cell r="O317"/>
          <cell r="P317"/>
        </row>
        <row r="318">
          <cell r="J318"/>
          <cell r="K318"/>
          <cell r="L318"/>
          <cell r="M318"/>
          <cell r="N318"/>
          <cell r="O318"/>
          <cell r="P318"/>
        </row>
        <row r="319">
          <cell r="J319"/>
          <cell r="K319">
            <v>2.8062993087265316E-11</v>
          </cell>
          <cell r="L319">
            <v>2.8062993087265316E-11</v>
          </cell>
          <cell r="M319">
            <v>2.8062993087265316E-11</v>
          </cell>
          <cell r="N319">
            <v>2.8062993087265316E-11</v>
          </cell>
          <cell r="O319">
            <v>2.8062993087265316E-11</v>
          </cell>
          <cell r="P319">
            <v>2.8062993087265316E-11</v>
          </cell>
        </row>
        <row r="320">
          <cell r="J320"/>
          <cell r="K320"/>
          <cell r="L320"/>
          <cell r="M320"/>
          <cell r="N320"/>
          <cell r="O320"/>
          <cell r="P320"/>
        </row>
        <row r="321">
          <cell r="J321"/>
          <cell r="K321"/>
          <cell r="L321"/>
          <cell r="M321"/>
          <cell r="N321"/>
          <cell r="O321"/>
          <cell r="P321"/>
        </row>
        <row r="322">
          <cell r="J322"/>
          <cell r="K322"/>
          <cell r="L322"/>
          <cell r="M322"/>
          <cell r="N322"/>
          <cell r="O322"/>
          <cell r="P322"/>
        </row>
        <row r="323">
          <cell r="J323"/>
          <cell r="K323"/>
          <cell r="L323"/>
          <cell r="M323"/>
          <cell r="N323"/>
          <cell r="O323"/>
          <cell r="P323"/>
        </row>
        <row r="324">
          <cell r="J324"/>
          <cell r="K324"/>
          <cell r="L324"/>
          <cell r="M324"/>
          <cell r="N324"/>
          <cell r="O324"/>
          <cell r="P324"/>
        </row>
        <row r="325">
          <cell r="J325"/>
          <cell r="K325"/>
          <cell r="L325"/>
          <cell r="M325"/>
          <cell r="N325"/>
          <cell r="O325"/>
          <cell r="P325"/>
        </row>
        <row r="326">
          <cell r="J326"/>
          <cell r="K326"/>
          <cell r="L326"/>
          <cell r="M326"/>
          <cell r="N326"/>
          <cell r="O326"/>
          <cell r="P326"/>
        </row>
        <row r="327">
          <cell r="J327"/>
          <cell r="K327"/>
          <cell r="L327"/>
          <cell r="M327"/>
          <cell r="N327"/>
          <cell r="O327"/>
          <cell r="P327"/>
        </row>
        <row r="328">
          <cell r="J328"/>
          <cell r="K328"/>
          <cell r="L328"/>
          <cell r="M328"/>
          <cell r="N328"/>
          <cell r="O328"/>
          <cell r="P328"/>
        </row>
        <row r="329">
          <cell r="J329"/>
          <cell r="K329"/>
          <cell r="L329"/>
          <cell r="M329"/>
          <cell r="N329"/>
          <cell r="O329"/>
          <cell r="P329"/>
        </row>
        <row r="330">
          <cell r="J330"/>
          <cell r="K330"/>
          <cell r="L330"/>
          <cell r="M330"/>
          <cell r="N330"/>
          <cell r="O330"/>
          <cell r="P330"/>
        </row>
        <row r="331">
          <cell r="J331"/>
          <cell r="K331"/>
          <cell r="L331"/>
          <cell r="M331"/>
          <cell r="N331"/>
          <cell r="O331"/>
          <cell r="P331"/>
        </row>
        <row r="332">
          <cell r="J332"/>
          <cell r="K332"/>
          <cell r="L332"/>
          <cell r="M332"/>
          <cell r="N332"/>
          <cell r="O332"/>
          <cell r="P332"/>
        </row>
        <row r="333">
          <cell r="J333"/>
          <cell r="K333"/>
          <cell r="L333"/>
          <cell r="M333"/>
          <cell r="N333"/>
          <cell r="O333"/>
          <cell r="P333"/>
        </row>
        <row r="334">
          <cell r="J334"/>
          <cell r="K334"/>
          <cell r="L334"/>
          <cell r="M334"/>
          <cell r="N334"/>
          <cell r="O334"/>
          <cell r="P334"/>
        </row>
        <row r="335">
          <cell r="J335"/>
          <cell r="K335"/>
          <cell r="L335"/>
          <cell r="M335"/>
          <cell r="N335"/>
          <cell r="O335"/>
          <cell r="P335"/>
        </row>
        <row r="336">
          <cell r="J336"/>
          <cell r="K336"/>
          <cell r="L336"/>
          <cell r="M336"/>
          <cell r="N336"/>
          <cell r="O336"/>
          <cell r="P336"/>
        </row>
        <row r="337">
          <cell r="J337"/>
          <cell r="K337"/>
          <cell r="L337"/>
          <cell r="M337"/>
          <cell r="N337"/>
          <cell r="O337"/>
          <cell r="P337"/>
        </row>
        <row r="338">
          <cell r="J338"/>
          <cell r="K338">
            <v>1</v>
          </cell>
          <cell r="L338">
            <v>1</v>
          </cell>
          <cell r="M338">
            <v>1</v>
          </cell>
          <cell r="N338">
            <v>1</v>
          </cell>
          <cell r="O338"/>
          <cell r="P338">
            <v>1</v>
          </cell>
        </row>
        <row r="339">
          <cell r="J339"/>
          <cell r="K339">
            <v>1</v>
          </cell>
          <cell r="L339">
            <v>1</v>
          </cell>
          <cell r="M339">
            <v>1</v>
          </cell>
          <cell r="N339">
            <v>1</v>
          </cell>
          <cell r="O339"/>
          <cell r="P339">
            <v>1</v>
          </cell>
        </row>
        <row r="340">
          <cell r="J340"/>
          <cell r="K340">
            <v>1</v>
          </cell>
          <cell r="L340">
            <v>1</v>
          </cell>
          <cell r="M340">
            <v>1</v>
          </cell>
          <cell r="N340">
            <v>1</v>
          </cell>
          <cell r="O340"/>
          <cell r="P340">
            <v>1</v>
          </cell>
        </row>
        <row r="341">
          <cell r="J341"/>
          <cell r="K341"/>
          <cell r="L341"/>
          <cell r="M341"/>
          <cell r="N341"/>
          <cell r="O341"/>
          <cell r="P341"/>
        </row>
        <row r="342">
          <cell r="J342"/>
          <cell r="K342"/>
          <cell r="L342"/>
          <cell r="M342"/>
          <cell r="N342"/>
          <cell r="O342"/>
          <cell r="P342"/>
        </row>
        <row r="343">
          <cell r="J343"/>
          <cell r="K343"/>
          <cell r="L343"/>
          <cell r="M343"/>
          <cell r="N343"/>
          <cell r="O343"/>
          <cell r="P343"/>
        </row>
        <row r="344">
          <cell r="J344"/>
          <cell r="K344"/>
          <cell r="L344"/>
          <cell r="M344"/>
          <cell r="N344"/>
          <cell r="O344"/>
          <cell r="P344"/>
        </row>
        <row r="345">
          <cell r="J345"/>
          <cell r="K345"/>
          <cell r="L345"/>
          <cell r="M345"/>
          <cell r="N345"/>
          <cell r="O345"/>
          <cell r="P345"/>
        </row>
        <row r="346">
          <cell r="J346"/>
          <cell r="K346"/>
          <cell r="L346"/>
          <cell r="M346"/>
          <cell r="N346"/>
          <cell r="O346"/>
          <cell r="P346"/>
        </row>
        <row r="347">
          <cell r="J347"/>
          <cell r="K347"/>
          <cell r="L347"/>
          <cell r="M347"/>
          <cell r="N347"/>
          <cell r="O347"/>
          <cell r="P347"/>
        </row>
        <row r="348">
          <cell r="J348"/>
          <cell r="K348"/>
          <cell r="L348"/>
          <cell r="M348"/>
          <cell r="N348"/>
          <cell r="O348"/>
          <cell r="P348"/>
        </row>
        <row r="349">
          <cell r="J349"/>
          <cell r="K349"/>
          <cell r="L349"/>
          <cell r="M349"/>
          <cell r="N349"/>
          <cell r="O349"/>
          <cell r="P349"/>
        </row>
        <row r="350">
          <cell r="J350"/>
          <cell r="K350"/>
          <cell r="L350"/>
          <cell r="M350"/>
          <cell r="N350"/>
          <cell r="O350"/>
          <cell r="P350"/>
        </row>
        <row r="351">
          <cell r="J351"/>
          <cell r="K351"/>
          <cell r="L351"/>
          <cell r="M351"/>
          <cell r="N351"/>
          <cell r="O351"/>
          <cell r="P351"/>
        </row>
        <row r="352">
          <cell r="J352"/>
          <cell r="K352"/>
          <cell r="L352"/>
          <cell r="M352"/>
          <cell r="N352"/>
          <cell r="O352"/>
          <cell r="P352"/>
        </row>
        <row r="353">
          <cell r="J353"/>
          <cell r="K353"/>
          <cell r="L353"/>
          <cell r="M353"/>
          <cell r="N353"/>
          <cell r="O353"/>
          <cell r="P353"/>
        </row>
        <row r="354">
          <cell r="J354"/>
          <cell r="K354"/>
          <cell r="L354"/>
          <cell r="M354"/>
          <cell r="N354"/>
          <cell r="O354"/>
          <cell r="P354"/>
        </row>
        <row r="355">
          <cell r="J355"/>
          <cell r="K355"/>
          <cell r="L355"/>
          <cell r="M355"/>
          <cell r="N355"/>
          <cell r="O355"/>
          <cell r="P355"/>
        </row>
        <row r="356">
          <cell r="J356"/>
          <cell r="K356"/>
          <cell r="L356"/>
          <cell r="M356"/>
          <cell r="N356"/>
          <cell r="O356"/>
          <cell r="P356"/>
        </row>
        <row r="357">
          <cell r="J357"/>
          <cell r="K357"/>
          <cell r="L357"/>
          <cell r="M357"/>
          <cell r="N357"/>
          <cell r="O357"/>
          <cell r="P357"/>
        </row>
        <row r="358">
          <cell r="J358"/>
          <cell r="K358"/>
          <cell r="L358"/>
          <cell r="M358"/>
          <cell r="N358"/>
          <cell r="O358"/>
          <cell r="P358"/>
        </row>
        <row r="359">
          <cell r="J359"/>
          <cell r="K359"/>
          <cell r="L359"/>
          <cell r="M359"/>
          <cell r="N359"/>
          <cell r="O359"/>
          <cell r="P359"/>
        </row>
        <row r="360">
          <cell r="J360"/>
          <cell r="K360"/>
          <cell r="L360"/>
          <cell r="M360"/>
          <cell r="N360"/>
          <cell r="O360"/>
          <cell r="P360"/>
        </row>
        <row r="361">
          <cell r="J361"/>
          <cell r="K361"/>
          <cell r="L361"/>
          <cell r="M361"/>
          <cell r="N361"/>
          <cell r="O361"/>
          <cell r="P361"/>
        </row>
        <row r="362">
          <cell r="J362"/>
          <cell r="K362"/>
          <cell r="L362"/>
          <cell r="M362"/>
          <cell r="N362"/>
          <cell r="O362"/>
          <cell r="P362"/>
        </row>
        <row r="363">
          <cell r="J363"/>
          <cell r="K363"/>
          <cell r="L363"/>
          <cell r="M363"/>
          <cell r="N363"/>
          <cell r="O363"/>
          <cell r="P363"/>
        </row>
        <row r="364">
          <cell r="J364"/>
          <cell r="K364"/>
          <cell r="L364"/>
          <cell r="M364"/>
          <cell r="N364"/>
          <cell r="O364"/>
          <cell r="P364"/>
        </row>
        <row r="365">
          <cell r="J365"/>
          <cell r="K365"/>
          <cell r="L365"/>
          <cell r="M365"/>
          <cell r="N365"/>
          <cell r="O365"/>
          <cell r="P365"/>
        </row>
        <row r="366">
          <cell r="J366"/>
          <cell r="K366"/>
          <cell r="L366"/>
          <cell r="M366"/>
          <cell r="N366"/>
          <cell r="O366"/>
          <cell r="P366"/>
        </row>
        <row r="367">
          <cell r="J367"/>
          <cell r="K367"/>
          <cell r="L367"/>
          <cell r="M367"/>
          <cell r="N367"/>
          <cell r="O367"/>
          <cell r="P367"/>
        </row>
        <row r="368">
          <cell r="J368"/>
          <cell r="K368"/>
          <cell r="L368"/>
          <cell r="M368"/>
          <cell r="N368"/>
          <cell r="O368"/>
          <cell r="P368"/>
        </row>
        <row r="369">
          <cell r="J369"/>
          <cell r="K369"/>
          <cell r="L369"/>
          <cell r="M369"/>
          <cell r="N369"/>
          <cell r="O369"/>
          <cell r="P369"/>
        </row>
        <row r="370">
          <cell r="J370"/>
          <cell r="K370"/>
          <cell r="L370"/>
          <cell r="M370"/>
          <cell r="N370"/>
          <cell r="O370"/>
          <cell r="P370"/>
        </row>
        <row r="371">
          <cell r="J371"/>
          <cell r="K371"/>
          <cell r="L371"/>
          <cell r="M371"/>
          <cell r="N371"/>
          <cell r="O371"/>
          <cell r="P371"/>
        </row>
        <row r="372">
          <cell r="J372"/>
          <cell r="K372">
            <v>1</v>
          </cell>
          <cell r="L372">
            <v>1</v>
          </cell>
          <cell r="M372">
            <v>1</v>
          </cell>
          <cell r="N372">
            <v>1</v>
          </cell>
          <cell r="O372"/>
          <cell r="P372">
            <v>1</v>
          </cell>
        </row>
        <row r="373">
          <cell r="J373"/>
          <cell r="K373">
            <v>1</v>
          </cell>
          <cell r="L373">
            <v>1</v>
          </cell>
          <cell r="M373">
            <v>1</v>
          </cell>
          <cell r="N373">
            <v>1</v>
          </cell>
          <cell r="O373"/>
          <cell r="P373">
            <v>1</v>
          </cell>
        </row>
        <row r="374">
          <cell r="J374"/>
          <cell r="K374">
            <v>1</v>
          </cell>
          <cell r="L374">
            <v>1</v>
          </cell>
          <cell r="M374">
            <v>1</v>
          </cell>
          <cell r="N374">
            <v>1</v>
          </cell>
          <cell r="O374"/>
          <cell r="P374">
            <v>1</v>
          </cell>
        </row>
        <row r="375">
          <cell r="J375"/>
          <cell r="K375"/>
          <cell r="L375"/>
          <cell r="M375"/>
          <cell r="N375"/>
          <cell r="O375"/>
          <cell r="P375"/>
        </row>
        <row r="376">
          <cell r="J376"/>
          <cell r="K376"/>
          <cell r="L376"/>
          <cell r="M376"/>
          <cell r="N376"/>
          <cell r="O376"/>
          <cell r="P376"/>
        </row>
        <row r="377">
          <cell r="J377"/>
          <cell r="K377"/>
          <cell r="L377"/>
          <cell r="M377"/>
          <cell r="N377"/>
          <cell r="O377"/>
          <cell r="P377"/>
        </row>
        <row r="378">
          <cell r="J378"/>
          <cell r="K378"/>
          <cell r="L378"/>
          <cell r="M378"/>
          <cell r="N378"/>
          <cell r="O378"/>
          <cell r="P378"/>
        </row>
        <row r="379">
          <cell r="J379"/>
          <cell r="K379"/>
          <cell r="L379"/>
          <cell r="M379"/>
          <cell r="N379"/>
          <cell r="O379"/>
          <cell r="P379"/>
        </row>
        <row r="380">
          <cell r="J380"/>
          <cell r="K380"/>
          <cell r="L380"/>
          <cell r="M380"/>
          <cell r="N380"/>
          <cell r="O380"/>
          <cell r="P380"/>
        </row>
        <row r="381">
          <cell r="J381"/>
          <cell r="K381"/>
          <cell r="L381"/>
          <cell r="M381"/>
          <cell r="N381"/>
          <cell r="O381"/>
          <cell r="P381"/>
        </row>
        <row r="382">
          <cell r="J382"/>
          <cell r="K382"/>
          <cell r="L382"/>
          <cell r="M382"/>
          <cell r="N382"/>
          <cell r="O382"/>
          <cell r="P382"/>
        </row>
        <row r="383">
          <cell r="J383"/>
          <cell r="K383"/>
          <cell r="L383"/>
          <cell r="M383"/>
          <cell r="N383"/>
          <cell r="O383"/>
          <cell r="P383"/>
        </row>
        <row r="384">
          <cell r="J384"/>
          <cell r="K384"/>
          <cell r="L384"/>
          <cell r="M384"/>
          <cell r="N384"/>
          <cell r="O384"/>
          <cell r="P384"/>
        </row>
        <row r="385">
          <cell r="J385"/>
          <cell r="K385"/>
          <cell r="L385"/>
          <cell r="M385"/>
          <cell r="N385"/>
          <cell r="O385"/>
          <cell r="P385"/>
        </row>
        <row r="386">
          <cell r="J386"/>
          <cell r="K386"/>
          <cell r="L386"/>
          <cell r="M386"/>
          <cell r="N386"/>
          <cell r="O386"/>
          <cell r="P386"/>
        </row>
        <row r="387">
          <cell r="J387"/>
          <cell r="K387"/>
          <cell r="L387"/>
          <cell r="M387"/>
          <cell r="N387"/>
          <cell r="O387"/>
          <cell r="P387"/>
        </row>
        <row r="388">
          <cell r="J388"/>
          <cell r="K388"/>
          <cell r="L388"/>
          <cell r="M388"/>
          <cell r="N388"/>
          <cell r="O388"/>
          <cell r="P388"/>
        </row>
        <row r="389">
          <cell r="J389"/>
          <cell r="K389"/>
          <cell r="L389"/>
          <cell r="M389"/>
          <cell r="N389"/>
          <cell r="O389"/>
          <cell r="P389"/>
        </row>
        <row r="390">
          <cell r="J390"/>
          <cell r="K390"/>
          <cell r="L390"/>
          <cell r="M390"/>
          <cell r="N390"/>
          <cell r="O390"/>
          <cell r="P390"/>
        </row>
        <row r="391">
          <cell r="J391"/>
          <cell r="K391"/>
          <cell r="L391"/>
          <cell r="M391"/>
          <cell r="N391"/>
          <cell r="O391"/>
          <cell r="P391"/>
        </row>
        <row r="392">
          <cell r="J392"/>
          <cell r="K392"/>
          <cell r="L392"/>
          <cell r="M392"/>
          <cell r="N392"/>
          <cell r="O392"/>
          <cell r="P392"/>
        </row>
        <row r="393">
          <cell r="J393"/>
          <cell r="K393"/>
          <cell r="L393"/>
          <cell r="M393"/>
          <cell r="N393"/>
          <cell r="O393"/>
          <cell r="P393"/>
        </row>
        <row r="394">
          <cell r="J394"/>
          <cell r="K394"/>
          <cell r="L394"/>
          <cell r="M394"/>
          <cell r="N394"/>
          <cell r="O394"/>
          <cell r="P394"/>
        </row>
        <row r="395">
          <cell r="J395"/>
          <cell r="K395"/>
          <cell r="L395"/>
          <cell r="M395"/>
          <cell r="N395"/>
          <cell r="O395"/>
          <cell r="P395"/>
        </row>
        <row r="396">
          <cell r="J396"/>
          <cell r="K396"/>
          <cell r="L396"/>
          <cell r="M396"/>
          <cell r="N396"/>
          <cell r="O396"/>
          <cell r="P396"/>
        </row>
        <row r="397">
          <cell r="J397"/>
          <cell r="K397"/>
          <cell r="L397"/>
          <cell r="M397"/>
          <cell r="N397"/>
          <cell r="O397"/>
          <cell r="P397"/>
        </row>
        <row r="398">
          <cell r="J398"/>
          <cell r="K398"/>
          <cell r="L398"/>
          <cell r="M398"/>
          <cell r="N398"/>
          <cell r="O398"/>
          <cell r="P398"/>
        </row>
        <row r="399">
          <cell r="J399"/>
          <cell r="K399"/>
          <cell r="L399"/>
          <cell r="M399"/>
          <cell r="N399"/>
          <cell r="O399"/>
          <cell r="P399"/>
        </row>
        <row r="400">
          <cell r="J400"/>
          <cell r="K400"/>
          <cell r="L400"/>
          <cell r="M400"/>
          <cell r="N400"/>
          <cell r="O400"/>
          <cell r="P400"/>
        </row>
        <row r="401">
          <cell r="J401"/>
          <cell r="K401"/>
          <cell r="L401"/>
          <cell r="M401"/>
          <cell r="N401"/>
          <cell r="O401"/>
          <cell r="P401"/>
        </row>
        <row r="402">
          <cell r="J402"/>
          <cell r="K402"/>
          <cell r="L402"/>
          <cell r="M402"/>
          <cell r="N402"/>
          <cell r="O402"/>
          <cell r="P402"/>
        </row>
        <row r="403">
          <cell r="J403"/>
          <cell r="K403"/>
          <cell r="L403"/>
          <cell r="M403"/>
          <cell r="N403"/>
          <cell r="O403"/>
          <cell r="P403"/>
        </row>
        <row r="404">
          <cell r="J404"/>
          <cell r="K404"/>
          <cell r="L404"/>
          <cell r="M404"/>
          <cell r="N404"/>
          <cell r="O404"/>
          <cell r="P404"/>
        </row>
        <row r="405">
          <cell r="J405"/>
          <cell r="K405"/>
          <cell r="L405"/>
          <cell r="M405"/>
          <cell r="N405"/>
          <cell r="O405"/>
          <cell r="P405"/>
        </row>
        <row r="406">
          <cell r="J406"/>
          <cell r="K406">
            <v>4.9999999999999995E-11</v>
          </cell>
          <cell r="L406">
            <v>4.9999999999999995E-11</v>
          </cell>
          <cell r="M406">
            <v>4.9999999999999995E-11</v>
          </cell>
          <cell r="N406">
            <v>4.9999999999999995E-11</v>
          </cell>
          <cell r="O406">
            <v>4.9999999999999995E-11</v>
          </cell>
          <cell r="P406"/>
        </row>
        <row r="407">
          <cell r="J407"/>
          <cell r="K407">
            <v>9.9999999999999995E-21</v>
          </cell>
          <cell r="L407">
            <v>9.9999999999999995E-21</v>
          </cell>
          <cell r="M407">
            <v>9.9999999999999995E-21</v>
          </cell>
          <cell r="N407">
            <v>9.9999999999999995E-21</v>
          </cell>
          <cell r="O407">
            <v>9.9999999999999995E-21</v>
          </cell>
          <cell r="P407"/>
        </row>
        <row r="408">
          <cell r="J408"/>
          <cell r="K408"/>
          <cell r="L408"/>
          <cell r="M408"/>
          <cell r="N408"/>
          <cell r="O408"/>
          <cell r="P408"/>
        </row>
        <row r="409">
          <cell r="J409"/>
          <cell r="K409"/>
          <cell r="L409"/>
          <cell r="M409"/>
          <cell r="N409"/>
          <cell r="O409"/>
          <cell r="P409"/>
        </row>
        <row r="410">
          <cell r="J410"/>
          <cell r="K410"/>
          <cell r="L410"/>
          <cell r="M410"/>
          <cell r="N410"/>
          <cell r="O410"/>
          <cell r="P410"/>
        </row>
        <row r="411">
          <cell r="J411"/>
          <cell r="K411"/>
          <cell r="L411"/>
          <cell r="M411"/>
          <cell r="N411"/>
          <cell r="O411"/>
          <cell r="P411"/>
        </row>
        <row r="412">
          <cell r="J412"/>
          <cell r="K412"/>
          <cell r="L412"/>
          <cell r="M412"/>
          <cell r="N412"/>
          <cell r="O412"/>
          <cell r="P412"/>
        </row>
        <row r="413">
          <cell r="J413"/>
          <cell r="K413"/>
          <cell r="L413"/>
          <cell r="M413"/>
          <cell r="N413"/>
          <cell r="O413"/>
          <cell r="P413"/>
        </row>
        <row r="414">
          <cell r="J414"/>
          <cell r="K414"/>
          <cell r="L414"/>
          <cell r="M414"/>
          <cell r="N414"/>
          <cell r="O414"/>
          <cell r="P414"/>
        </row>
        <row r="415">
          <cell r="J415"/>
          <cell r="K415"/>
          <cell r="L415"/>
          <cell r="M415"/>
          <cell r="N415"/>
          <cell r="O415"/>
          <cell r="P415"/>
        </row>
        <row r="416">
          <cell r="J416"/>
          <cell r="K416"/>
          <cell r="L416"/>
          <cell r="M416"/>
          <cell r="N416"/>
          <cell r="O416"/>
          <cell r="P416"/>
        </row>
        <row r="417">
          <cell r="J417"/>
          <cell r="K417"/>
          <cell r="L417"/>
          <cell r="M417"/>
          <cell r="N417"/>
          <cell r="O417"/>
          <cell r="P417"/>
        </row>
        <row r="418">
          <cell r="J418"/>
          <cell r="K418"/>
          <cell r="L418"/>
          <cell r="M418"/>
          <cell r="N418"/>
          <cell r="O418"/>
          <cell r="P418"/>
        </row>
        <row r="419">
          <cell r="J419"/>
          <cell r="K419"/>
          <cell r="L419"/>
          <cell r="M419"/>
          <cell r="N419"/>
          <cell r="O419"/>
          <cell r="P419"/>
        </row>
        <row r="420">
          <cell r="J420"/>
          <cell r="K420"/>
          <cell r="L420"/>
          <cell r="M420"/>
          <cell r="N420"/>
          <cell r="O420"/>
          <cell r="P420"/>
        </row>
        <row r="421">
          <cell r="J421"/>
          <cell r="K421"/>
          <cell r="L421"/>
          <cell r="M421"/>
          <cell r="N421"/>
          <cell r="O421"/>
          <cell r="P421"/>
        </row>
        <row r="422">
          <cell r="J422"/>
          <cell r="K422"/>
          <cell r="L422"/>
          <cell r="M422"/>
          <cell r="N422"/>
          <cell r="O422"/>
          <cell r="P422"/>
        </row>
        <row r="423">
          <cell r="J423"/>
          <cell r="K423"/>
          <cell r="L423"/>
          <cell r="M423"/>
          <cell r="N423"/>
          <cell r="O423"/>
          <cell r="P423"/>
        </row>
        <row r="424">
          <cell r="J424"/>
          <cell r="K424"/>
          <cell r="L424"/>
          <cell r="M424"/>
          <cell r="N424"/>
          <cell r="O424"/>
          <cell r="P424"/>
        </row>
        <row r="425">
          <cell r="J425"/>
          <cell r="K425"/>
          <cell r="L425"/>
          <cell r="M425"/>
          <cell r="N425"/>
          <cell r="O425"/>
          <cell r="P425"/>
        </row>
        <row r="426">
          <cell r="J426"/>
          <cell r="K426"/>
          <cell r="L426"/>
          <cell r="M426"/>
          <cell r="N426"/>
          <cell r="O426"/>
          <cell r="P426"/>
        </row>
        <row r="427">
          <cell r="J427"/>
          <cell r="K427"/>
          <cell r="L427"/>
          <cell r="M427"/>
          <cell r="N427"/>
          <cell r="O427"/>
          <cell r="P427"/>
        </row>
        <row r="428">
          <cell r="J428"/>
          <cell r="K428"/>
          <cell r="L428"/>
          <cell r="M428"/>
          <cell r="N428"/>
          <cell r="O428"/>
          <cell r="P428"/>
        </row>
        <row r="429">
          <cell r="J429"/>
          <cell r="K429"/>
          <cell r="L429"/>
          <cell r="M429"/>
          <cell r="N429"/>
          <cell r="O429"/>
          <cell r="P429"/>
        </row>
        <row r="430">
          <cell r="J430"/>
          <cell r="K430"/>
          <cell r="L430"/>
          <cell r="M430"/>
          <cell r="N430"/>
          <cell r="O430"/>
          <cell r="P430"/>
        </row>
        <row r="431">
          <cell r="J431"/>
          <cell r="K431"/>
          <cell r="L431"/>
          <cell r="M431"/>
          <cell r="N431"/>
          <cell r="O431"/>
          <cell r="P431"/>
        </row>
        <row r="432">
          <cell r="J432"/>
          <cell r="K432"/>
          <cell r="L432"/>
          <cell r="M432"/>
          <cell r="N432"/>
          <cell r="O432"/>
          <cell r="P432"/>
        </row>
        <row r="433">
          <cell r="J433"/>
          <cell r="K433"/>
          <cell r="L433"/>
          <cell r="M433"/>
          <cell r="N433"/>
          <cell r="O433"/>
          <cell r="P433"/>
        </row>
        <row r="434">
          <cell r="J434"/>
          <cell r="K434"/>
          <cell r="L434"/>
          <cell r="M434"/>
          <cell r="N434"/>
          <cell r="O434"/>
          <cell r="P434"/>
        </row>
        <row r="435">
          <cell r="J435"/>
          <cell r="K435"/>
          <cell r="L435"/>
          <cell r="M435"/>
          <cell r="N435"/>
          <cell r="O435"/>
          <cell r="P435"/>
        </row>
        <row r="436">
          <cell r="J436"/>
          <cell r="K436"/>
          <cell r="L436"/>
          <cell r="M436"/>
          <cell r="N436"/>
          <cell r="O436"/>
          <cell r="P436"/>
        </row>
        <row r="437">
          <cell r="J437"/>
          <cell r="K437"/>
          <cell r="L437"/>
          <cell r="M437"/>
          <cell r="N437"/>
          <cell r="O437"/>
          <cell r="P437"/>
        </row>
        <row r="438">
          <cell r="J438"/>
          <cell r="K438"/>
          <cell r="L438"/>
          <cell r="M438"/>
          <cell r="N438"/>
          <cell r="O438"/>
          <cell r="P438"/>
        </row>
        <row r="439">
          <cell r="J439"/>
          <cell r="K439"/>
          <cell r="L439"/>
          <cell r="M439"/>
          <cell r="N439"/>
          <cell r="O439"/>
          <cell r="P439"/>
        </row>
        <row r="440">
          <cell r="J440"/>
          <cell r="K440"/>
          <cell r="L440"/>
          <cell r="M440"/>
          <cell r="N440"/>
          <cell r="O440"/>
          <cell r="P440"/>
        </row>
        <row r="441">
          <cell r="J441"/>
          <cell r="K441"/>
          <cell r="L441"/>
          <cell r="M441"/>
          <cell r="N441"/>
          <cell r="O441"/>
          <cell r="P441"/>
        </row>
        <row r="442">
          <cell r="J442"/>
          <cell r="K442">
            <v>0.99999999620774216</v>
          </cell>
          <cell r="L442">
            <v>0.99999999620774216</v>
          </cell>
          <cell r="M442">
            <v>0.99999999620774216</v>
          </cell>
          <cell r="N442">
            <v>0.99999999620774216</v>
          </cell>
          <cell r="O442">
            <v>0.99999999620774216</v>
          </cell>
          <cell r="P442"/>
        </row>
        <row r="443">
          <cell r="J443"/>
          <cell r="K443"/>
          <cell r="L443"/>
          <cell r="M443"/>
          <cell r="N443"/>
          <cell r="O443"/>
          <cell r="P443"/>
        </row>
        <row r="444">
          <cell r="J444"/>
          <cell r="K444">
            <v>3.7922578411423006E-9</v>
          </cell>
          <cell r="L444">
            <v>3.7922578411423006E-9</v>
          </cell>
          <cell r="M444">
            <v>3.7922578411423006E-9</v>
          </cell>
          <cell r="N444">
            <v>3.7922578411423006E-9</v>
          </cell>
          <cell r="O444">
            <v>3.7922578411423006E-9</v>
          </cell>
          <cell r="P444"/>
        </row>
        <row r="445">
          <cell r="J445"/>
          <cell r="K445"/>
          <cell r="L445"/>
          <cell r="M445"/>
          <cell r="N445"/>
          <cell r="O445"/>
          <cell r="P445"/>
        </row>
        <row r="446">
          <cell r="J446"/>
          <cell r="K446"/>
          <cell r="L446"/>
          <cell r="M446"/>
          <cell r="N446"/>
          <cell r="O446"/>
          <cell r="P446"/>
        </row>
        <row r="447">
          <cell r="J447"/>
          <cell r="K447"/>
          <cell r="L447"/>
          <cell r="M447"/>
          <cell r="N447"/>
          <cell r="O447"/>
          <cell r="P447"/>
        </row>
        <row r="448">
          <cell r="J448"/>
          <cell r="K448">
            <v>0.99998990840428303</v>
          </cell>
          <cell r="L448">
            <v>0.99998990840428303</v>
          </cell>
          <cell r="M448">
            <v>0.99998990840428303</v>
          </cell>
          <cell r="N448">
            <v>0.99998990840428303</v>
          </cell>
          <cell r="O448">
            <v>0.99998990840428303</v>
          </cell>
          <cell r="P448"/>
        </row>
        <row r="449">
          <cell r="J449"/>
          <cell r="K449"/>
          <cell r="L449"/>
          <cell r="M449"/>
          <cell r="N449"/>
          <cell r="O449"/>
          <cell r="P449"/>
        </row>
        <row r="450">
          <cell r="J450"/>
          <cell r="K450"/>
          <cell r="L450"/>
          <cell r="M450"/>
          <cell r="N450"/>
          <cell r="O450"/>
          <cell r="P450"/>
        </row>
        <row r="451">
          <cell r="J451"/>
          <cell r="K451"/>
          <cell r="L451"/>
          <cell r="M451"/>
          <cell r="N451"/>
          <cell r="O451"/>
          <cell r="P451"/>
        </row>
        <row r="452">
          <cell r="J452"/>
          <cell r="K452"/>
          <cell r="L452"/>
          <cell r="M452"/>
          <cell r="N452"/>
          <cell r="O452"/>
          <cell r="P452"/>
        </row>
        <row r="453">
          <cell r="J453"/>
          <cell r="K453"/>
          <cell r="L453"/>
          <cell r="M453"/>
          <cell r="N453"/>
          <cell r="O453"/>
          <cell r="P453"/>
        </row>
        <row r="454">
          <cell r="J454"/>
          <cell r="K454">
            <v>0.999892860171401</v>
          </cell>
          <cell r="L454">
            <v>0.999892860171401</v>
          </cell>
          <cell r="M454">
            <v>0.999892860171401</v>
          </cell>
          <cell r="N454">
            <v>0.999892860171401</v>
          </cell>
          <cell r="O454">
            <v>0.999892860171401</v>
          </cell>
          <cell r="P454"/>
        </row>
        <row r="455">
          <cell r="J455"/>
          <cell r="K455"/>
          <cell r="L455"/>
          <cell r="M455"/>
          <cell r="N455"/>
          <cell r="O455"/>
          <cell r="P455"/>
        </row>
        <row r="456">
          <cell r="J456"/>
          <cell r="K456"/>
          <cell r="L456"/>
          <cell r="M456"/>
          <cell r="N456"/>
          <cell r="O456"/>
          <cell r="P456"/>
        </row>
        <row r="457">
          <cell r="J457"/>
          <cell r="K457"/>
          <cell r="L457"/>
          <cell r="M457"/>
          <cell r="N457"/>
          <cell r="O457"/>
          <cell r="P457"/>
        </row>
        <row r="458">
          <cell r="J458"/>
          <cell r="K458"/>
          <cell r="L458"/>
          <cell r="M458"/>
          <cell r="N458"/>
          <cell r="O458"/>
          <cell r="P458"/>
        </row>
        <row r="459">
          <cell r="J459"/>
          <cell r="K459"/>
          <cell r="L459"/>
          <cell r="M459"/>
          <cell r="N459"/>
          <cell r="O459"/>
          <cell r="P459"/>
        </row>
        <row r="460">
          <cell r="J460"/>
          <cell r="K460">
            <v>0.99995978797120633</v>
          </cell>
          <cell r="L460">
            <v>0.99995978797120633</v>
          </cell>
          <cell r="M460">
            <v>0.99995978797120633</v>
          </cell>
          <cell r="N460">
            <v>0.99995978797120633</v>
          </cell>
          <cell r="O460">
            <v>0.99995978797120633</v>
          </cell>
          <cell r="P460"/>
        </row>
        <row r="461">
          <cell r="J461"/>
          <cell r="K461"/>
          <cell r="L461"/>
          <cell r="M461"/>
          <cell r="N461"/>
          <cell r="O461"/>
          <cell r="P461"/>
        </row>
        <row r="462">
          <cell r="J462"/>
          <cell r="K462"/>
          <cell r="L462"/>
          <cell r="M462"/>
          <cell r="N462"/>
          <cell r="O462"/>
          <cell r="P462"/>
        </row>
        <row r="463">
          <cell r="J463"/>
          <cell r="K463"/>
          <cell r="L463"/>
          <cell r="M463"/>
          <cell r="N463"/>
          <cell r="O463"/>
          <cell r="P463"/>
        </row>
        <row r="464">
          <cell r="J464"/>
          <cell r="K464"/>
          <cell r="L464"/>
          <cell r="M464"/>
          <cell r="N464"/>
          <cell r="O464"/>
          <cell r="P464"/>
        </row>
        <row r="465">
          <cell r="J465"/>
          <cell r="K465"/>
          <cell r="L465"/>
          <cell r="M465"/>
          <cell r="N465"/>
          <cell r="O465"/>
          <cell r="P465"/>
        </row>
        <row r="466">
          <cell r="J466"/>
          <cell r="K466"/>
          <cell r="L466"/>
          <cell r="M466"/>
          <cell r="N466"/>
          <cell r="O466"/>
          <cell r="P466"/>
        </row>
        <row r="467">
          <cell r="J467"/>
          <cell r="K467"/>
          <cell r="L467"/>
          <cell r="M467"/>
          <cell r="N467"/>
          <cell r="O467"/>
          <cell r="P467"/>
        </row>
        <row r="468">
          <cell r="J468"/>
          <cell r="K468"/>
          <cell r="L468"/>
          <cell r="M468"/>
          <cell r="N468"/>
          <cell r="O468"/>
          <cell r="P468"/>
        </row>
        <row r="469">
          <cell r="J469"/>
          <cell r="K469"/>
          <cell r="L469"/>
          <cell r="M469"/>
          <cell r="N469"/>
          <cell r="O469"/>
          <cell r="P469"/>
        </row>
        <row r="470">
          <cell r="J470"/>
          <cell r="K470"/>
          <cell r="L470"/>
          <cell r="M470"/>
          <cell r="N470"/>
          <cell r="O470"/>
          <cell r="P470"/>
        </row>
        <row r="471">
          <cell r="J471"/>
          <cell r="K471"/>
          <cell r="L471"/>
          <cell r="M471"/>
          <cell r="N471"/>
          <cell r="O471"/>
          <cell r="P471"/>
        </row>
        <row r="472">
          <cell r="J472"/>
          <cell r="K472"/>
          <cell r="L472"/>
          <cell r="M472"/>
          <cell r="N472"/>
          <cell r="O472"/>
          <cell r="P472"/>
        </row>
        <row r="473">
          <cell r="J473"/>
          <cell r="K473"/>
          <cell r="L473"/>
          <cell r="M473"/>
          <cell r="N473"/>
          <cell r="O473"/>
          <cell r="P473"/>
        </row>
        <row r="474">
          <cell r="J474"/>
          <cell r="K474"/>
          <cell r="L474"/>
          <cell r="M474"/>
          <cell r="N474"/>
          <cell r="O474"/>
          <cell r="P474"/>
        </row>
        <row r="475">
          <cell r="J475"/>
          <cell r="K475"/>
          <cell r="L475"/>
          <cell r="M475"/>
          <cell r="N475"/>
          <cell r="O475"/>
          <cell r="P475"/>
        </row>
        <row r="476">
          <cell r="J476"/>
          <cell r="K476"/>
          <cell r="L476"/>
          <cell r="M476"/>
          <cell r="N476"/>
          <cell r="O476"/>
          <cell r="P476"/>
        </row>
        <row r="477">
          <cell r="J477"/>
          <cell r="K477"/>
          <cell r="L477"/>
          <cell r="M477"/>
          <cell r="N477"/>
          <cell r="O477"/>
          <cell r="P477"/>
        </row>
        <row r="478">
          <cell r="J478"/>
          <cell r="K478"/>
          <cell r="L478"/>
          <cell r="M478"/>
          <cell r="N478"/>
          <cell r="O478"/>
          <cell r="P478"/>
        </row>
        <row r="479">
          <cell r="J479"/>
          <cell r="K479"/>
          <cell r="L479"/>
          <cell r="M479"/>
          <cell r="N479"/>
          <cell r="O479"/>
          <cell r="P479"/>
        </row>
        <row r="480">
          <cell r="J480"/>
          <cell r="K480"/>
          <cell r="L480"/>
          <cell r="M480"/>
          <cell r="N480"/>
          <cell r="O480"/>
          <cell r="P480"/>
        </row>
        <row r="481">
          <cell r="J481"/>
          <cell r="K481"/>
          <cell r="L481"/>
          <cell r="M481"/>
          <cell r="N481"/>
          <cell r="O481"/>
          <cell r="P481"/>
        </row>
        <row r="482">
          <cell r="J482"/>
          <cell r="K482"/>
          <cell r="L482"/>
          <cell r="M482"/>
          <cell r="N482"/>
          <cell r="O482"/>
          <cell r="P482"/>
        </row>
        <row r="483">
          <cell r="J483"/>
          <cell r="K483"/>
          <cell r="L483"/>
          <cell r="M483"/>
          <cell r="N483"/>
          <cell r="O483"/>
          <cell r="P483"/>
        </row>
        <row r="484">
          <cell r="J484"/>
          <cell r="K484"/>
          <cell r="L484"/>
          <cell r="M484"/>
          <cell r="N484"/>
          <cell r="O484"/>
          <cell r="P484"/>
        </row>
        <row r="485">
          <cell r="J485"/>
          <cell r="K485"/>
          <cell r="L485"/>
          <cell r="M485"/>
          <cell r="N485"/>
          <cell r="O485"/>
          <cell r="P485"/>
        </row>
        <row r="486">
          <cell r="J486"/>
          <cell r="K486"/>
          <cell r="L486"/>
          <cell r="M486"/>
          <cell r="N486"/>
          <cell r="O486"/>
          <cell r="P486"/>
        </row>
        <row r="487">
          <cell r="J487"/>
          <cell r="K487"/>
          <cell r="L487"/>
          <cell r="M487"/>
          <cell r="N487"/>
          <cell r="O487"/>
          <cell r="P487"/>
        </row>
        <row r="488">
          <cell r="J488"/>
          <cell r="K488"/>
          <cell r="L488"/>
          <cell r="M488"/>
          <cell r="N488"/>
          <cell r="O488"/>
          <cell r="P488"/>
        </row>
        <row r="489">
          <cell r="J489"/>
          <cell r="K489"/>
          <cell r="L489"/>
          <cell r="M489"/>
          <cell r="N489"/>
          <cell r="O489"/>
          <cell r="P489"/>
        </row>
        <row r="490">
          <cell r="J490"/>
          <cell r="K490">
            <v>8.0466628951733446E-12</v>
          </cell>
          <cell r="L490">
            <v>8.0466628951733446E-12</v>
          </cell>
          <cell r="M490">
            <v>8.0466628951733446E-12</v>
          </cell>
          <cell r="N490">
            <v>8.0466628951733446E-12</v>
          </cell>
          <cell r="O490">
            <v>8.0466628951733446E-12</v>
          </cell>
          <cell r="P490"/>
        </row>
        <row r="491">
          <cell r="J491"/>
          <cell r="K491">
            <v>8.8513291846906795E-11</v>
          </cell>
          <cell r="L491">
            <v>8.8513291846906795E-11</v>
          </cell>
          <cell r="M491">
            <v>8.8513291846906795E-11</v>
          </cell>
          <cell r="N491">
            <v>8.8513291846906795E-11</v>
          </cell>
          <cell r="O491">
            <v>8.8513291846906795E-11</v>
          </cell>
          <cell r="P491"/>
        </row>
        <row r="492">
          <cell r="J492"/>
          <cell r="K492">
            <v>3.1805376312332993E-9</v>
          </cell>
          <cell r="L492">
            <v>3.1805376312332993E-9</v>
          </cell>
          <cell r="M492">
            <v>3.1805376312332993E-9</v>
          </cell>
          <cell r="N492">
            <v>3.1805376312332993E-9</v>
          </cell>
          <cell r="O492">
            <v>3.1805376312332993E-9</v>
          </cell>
          <cell r="P492"/>
        </row>
        <row r="493">
          <cell r="J493"/>
          <cell r="K493">
            <v>5.4498456644981061E-11</v>
          </cell>
          <cell r="L493">
            <v>5.4498456644981061E-11</v>
          </cell>
          <cell r="M493">
            <v>5.4498456644981061E-11</v>
          </cell>
          <cell r="N493">
            <v>5.4498456644981061E-11</v>
          </cell>
          <cell r="O493">
            <v>5.4498456644981061E-11</v>
          </cell>
          <cell r="P493"/>
        </row>
        <row r="494">
          <cell r="J494"/>
          <cell r="K494">
            <v>1.2110768143329125E-10</v>
          </cell>
          <cell r="L494">
            <v>1.2110768143329125E-10</v>
          </cell>
          <cell r="M494">
            <v>1.2110768143329125E-10</v>
          </cell>
          <cell r="N494">
            <v>1.2110768143329125E-10</v>
          </cell>
          <cell r="O494">
            <v>1.2110768143329125E-10</v>
          </cell>
          <cell r="P494"/>
        </row>
        <row r="495">
          <cell r="J495"/>
          <cell r="K495">
            <v>2.0184613572215209E-11</v>
          </cell>
          <cell r="L495">
            <v>2.0184613572215209E-11</v>
          </cell>
          <cell r="M495">
            <v>2.0184613572215209E-11</v>
          </cell>
          <cell r="N495">
            <v>2.0184613572215209E-11</v>
          </cell>
          <cell r="O495">
            <v>2.0184613572215209E-11</v>
          </cell>
          <cell r="P495"/>
        </row>
        <row r="496">
          <cell r="J496"/>
          <cell r="K496"/>
          <cell r="L496"/>
          <cell r="M496"/>
          <cell r="N496"/>
          <cell r="O496"/>
          <cell r="P496"/>
        </row>
        <row r="497">
          <cell r="J497"/>
          <cell r="K497"/>
          <cell r="L497"/>
          <cell r="M497"/>
          <cell r="N497"/>
          <cell r="O497"/>
          <cell r="P497"/>
        </row>
        <row r="498">
          <cell r="J498"/>
          <cell r="K498"/>
          <cell r="L498"/>
          <cell r="M498"/>
          <cell r="N498"/>
          <cell r="O498"/>
          <cell r="P498"/>
        </row>
        <row r="499">
          <cell r="J499"/>
          <cell r="K499"/>
          <cell r="L499"/>
          <cell r="M499"/>
          <cell r="N499"/>
          <cell r="O499"/>
          <cell r="P499"/>
        </row>
        <row r="500">
          <cell r="J500"/>
          <cell r="K500"/>
          <cell r="L500"/>
          <cell r="M500"/>
          <cell r="N500"/>
          <cell r="O500"/>
          <cell r="P500"/>
        </row>
        <row r="501">
          <cell r="J501"/>
          <cell r="K501"/>
          <cell r="L501"/>
          <cell r="M501"/>
          <cell r="N501"/>
          <cell r="O501"/>
          <cell r="P501"/>
        </row>
        <row r="502">
          <cell r="J502"/>
          <cell r="K502"/>
          <cell r="L502"/>
          <cell r="M502"/>
          <cell r="N502"/>
          <cell r="O502"/>
          <cell r="P502"/>
        </row>
        <row r="503">
          <cell r="J503"/>
          <cell r="K503"/>
          <cell r="L503"/>
          <cell r="M503"/>
          <cell r="N503"/>
          <cell r="O503"/>
          <cell r="P503"/>
        </row>
        <row r="504">
          <cell r="J504"/>
          <cell r="K504"/>
          <cell r="L504"/>
          <cell r="M504"/>
          <cell r="N504"/>
          <cell r="O504"/>
          <cell r="P504"/>
        </row>
        <row r="505">
          <cell r="J505"/>
          <cell r="K505"/>
          <cell r="L505"/>
          <cell r="M505"/>
          <cell r="N505"/>
          <cell r="O505"/>
          <cell r="P505"/>
        </row>
        <row r="506">
          <cell r="J506"/>
          <cell r="K506"/>
          <cell r="L506"/>
          <cell r="M506"/>
          <cell r="N506"/>
          <cell r="O506"/>
          <cell r="P506"/>
        </row>
        <row r="507">
          <cell r="J507"/>
          <cell r="K507"/>
          <cell r="L507"/>
          <cell r="M507"/>
          <cell r="N507"/>
          <cell r="O507"/>
          <cell r="P507"/>
        </row>
        <row r="508">
          <cell r="J508"/>
          <cell r="K508">
            <v>1.947842112399692E-13</v>
          </cell>
          <cell r="L508">
            <v>1.947842112399692E-13</v>
          </cell>
          <cell r="M508">
            <v>1.947842112399692E-13</v>
          </cell>
          <cell r="N508">
            <v>1.947842112399692E-13</v>
          </cell>
          <cell r="O508">
            <v>1.947842112399692E-13</v>
          </cell>
          <cell r="P508"/>
        </row>
        <row r="509">
          <cell r="J509"/>
          <cell r="K509">
            <v>9.5286595007606512E-13</v>
          </cell>
          <cell r="L509">
            <v>9.5286595007606512E-13</v>
          </cell>
          <cell r="M509">
            <v>9.5286595007606512E-13</v>
          </cell>
          <cell r="N509">
            <v>9.5286595007606512E-13</v>
          </cell>
          <cell r="O509">
            <v>9.5286595007606512E-13</v>
          </cell>
          <cell r="P509"/>
        </row>
        <row r="510">
          <cell r="J510"/>
          <cell r="K510">
            <v>2.2036615715989516E-8</v>
          </cell>
          <cell r="L510">
            <v>2.2036615715989516E-8</v>
          </cell>
          <cell r="M510">
            <v>2.2036615715989516E-8</v>
          </cell>
          <cell r="N510">
            <v>2.2036615715989516E-8</v>
          </cell>
          <cell r="O510">
            <v>2.2036615715989516E-8</v>
          </cell>
          <cell r="P510"/>
        </row>
        <row r="511">
          <cell r="J511"/>
          <cell r="K511"/>
          <cell r="L511"/>
          <cell r="M511"/>
          <cell r="N511"/>
          <cell r="O511"/>
          <cell r="P511"/>
        </row>
        <row r="512">
          <cell r="J512"/>
          <cell r="K512"/>
          <cell r="L512"/>
          <cell r="M512"/>
          <cell r="N512"/>
          <cell r="O512"/>
          <cell r="P512"/>
        </row>
        <row r="513">
          <cell r="J513"/>
          <cell r="K513"/>
          <cell r="L513"/>
          <cell r="M513"/>
          <cell r="N513"/>
          <cell r="O513"/>
          <cell r="P513"/>
        </row>
        <row r="514">
          <cell r="J514"/>
          <cell r="K514"/>
          <cell r="L514"/>
          <cell r="M514"/>
          <cell r="N514"/>
          <cell r="O514"/>
          <cell r="P514"/>
        </row>
        <row r="515">
          <cell r="J515"/>
          <cell r="K515"/>
          <cell r="L515"/>
          <cell r="M515"/>
          <cell r="N515"/>
          <cell r="O515"/>
          <cell r="P515"/>
        </row>
        <row r="516">
          <cell r="J516"/>
          <cell r="K516"/>
          <cell r="L516"/>
          <cell r="M516"/>
          <cell r="N516"/>
          <cell r="O516"/>
          <cell r="P516"/>
        </row>
        <row r="517">
          <cell r="J517"/>
          <cell r="K517"/>
          <cell r="L517"/>
          <cell r="M517"/>
          <cell r="N517"/>
          <cell r="O517"/>
          <cell r="P517"/>
        </row>
        <row r="518">
          <cell r="J518"/>
          <cell r="K518"/>
          <cell r="L518"/>
          <cell r="M518"/>
          <cell r="N518"/>
          <cell r="O518"/>
          <cell r="P518"/>
        </row>
        <row r="519">
          <cell r="J519"/>
          <cell r="K519"/>
          <cell r="L519"/>
          <cell r="M519"/>
          <cell r="N519"/>
          <cell r="O519"/>
          <cell r="P519"/>
        </row>
        <row r="520">
          <cell r="J520"/>
          <cell r="K520"/>
          <cell r="L520"/>
          <cell r="M520"/>
          <cell r="N520"/>
          <cell r="O520"/>
          <cell r="P520"/>
        </row>
        <row r="521">
          <cell r="J521"/>
          <cell r="K521"/>
          <cell r="L521"/>
          <cell r="M521"/>
          <cell r="N521"/>
          <cell r="O521"/>
          <cell r="P521"/>
        </row>
        <row r="522">
          <cell r="J522"/>
          <cell r="K522"/>
          <cell r="L522"/>
          <cell r="M522"/>
          <cell r="N522"/>
          <cell r="O522"/>
          <cell r="P522"/>
        </row>
        <row r="523">
          <cell r="J523"/>
          <cell r="K523"/>
          <cell r="L523"/>
          <cell r="M523"/>
          <cell r="N523"/>
          <cell r="O523"/>
          <cell r="P523"/>
        </row>
        <row r="524">
          <cell r="J524"/>
          <cell r="K524">
            <v>1.1468924229780271E-8</v>
          </cell>
          <cell r="L524">
            <v>1.1468924229780271E-8</v>
          </cell>
          <cell r="M524">
            <v>1.1468924229780271E-8</v>
          </cell>
          <cell r="N524">
            <v>1.1468924229780271E-8</v>
          </cell>
          <cell r="O524"/>
          <cell r="P524">
            <v>1.1468924229780271E-8</v>
          </cell>
        </row>
        <row r="525">
          <cell r="J525"/>
          <cell r="K525">
            <v>1</v>
          </cell>
          <cell r="L525">
            <v>1</v>
          </cell>
          <cell r="M525">
            <v>1</v>
          </cell>
          <cell r="N525">
            <v>1</v>
          </cell>
          <cell r="O525"/>
          <cell r="P525">
            <v>1</v>
          </cell>
        </row>
        <row r="526">
          <cell r="J526"/>
          <cell r="K526">
            <v>1</v>
          </cell>
          <cell r="L526">
            <v>1</v>
          </cell>
          <cell r="M526">
            <v>1</v>
          </cell>
          <cell r="N526">
            <v>1</v>
          </cell>
          <cell r="O526"/>
          <cell r="P526">
            <v>1</v>
          </cell>
        </row>
        <row r="527">
          <cell r="J527"/>
          <cell r="K527">
            <v>1</v>
          </cell>
          <cell r="L527">
            <v>1</v>
          </cell>
          <cell r="M527">
            <v>1</v>
          </cell>
          <cell r="N527">
            <v>1</v>
          </cell>
          <cell r="O527"/>
          <cell r="P527">
            <v>1</v>
          </cell>
        </row>
        <row r="528">
          <cell r="J528"/>
          <cell r="K528"/>
          <cell r="L528"/>
          <cell r="M528"/>
          <cell r="N528"/>
          <cell r="O528"/>
          <cell r="P528"/>
        </row>
        <row r="529">
          <cell r="J529"/>
          <cell r="K529"/>
          <cell r="L529"/>
          <cell r="M529"/>
          <cell r="N529"/>
          <cell r="O529"/>
          <cell r="P529"/>
        </row>
        <row r="530">
          <cell r="J530"/>
          <cell r="K530"/>
          <cell r="L530"/>
          <cell r="M530"/>
          <cell r="N530"/>
          <cell r="O530"/>
          <cell r="P530"/>
        </row>
        <row r="531">
          <cell r="J531"/>
          <cell r="K531"/>
          <cell r="L531"/>
          <cell r="M531"/>
          <cell r="N531"/>
          <cell r="O531"/>
          <cell r="P531"/>
        </row>
        <row r="532">
          <cell r="J532"/>
          <cell r="K532"/>
          <cell r="L532"/>
          <cell r="M532"/>
          <cell r="N532"/>
          <cell r="O532"/>
          <cell r="P532"/>
        </row>
        <row r="533">
          <cell r="J533"/>
          <cell r="K533"/>
          <cell r="L533"/>
          <cell r="M533"/>
          <cell r="N533"/>
          <cell r="O533"/>
          <cell r="P533"/>
        </row>
        <row r="534">
          <cell r="J534"/>
          <cell r="K534"/>
          <cell r="L534"/>
          <cell r="M534"/>
          <cell r="N534"/>
          <cell r="O534"/>
          <cell r="P534"/>
        </row>
        <row r="535">
          <cell r="J535"/>
          <cell r="K535"/>
          <cell r="L535"/>
          <cell r="M535"/>
          <cell r="N535"/>
          <cell r="O535"/>
          <cell r="P535"/>
        </row>
        <row r="536">
          <cell r="J536"/>
          <cell r="K536"/>
          <cell r="L536"/>
          <cell r="M536"/>
          <cell r="N536"/>
          <cell r="O536"/>
          <cell r="P536"/>
        </row>
        <row r="537">
          <cell r="J537"/>
          <cell r="K537"/>
          <cell r="L537"/>
          <cell r="M537"/>
          <cell r="N537"/>
          <cell r="O537"/>
          <cell r="P537"/>
        </row>
        <row r="538">
          <cell r="J538"/>
          <cell r="K538"/>
          <cell r="L538"/>
          <cell r="M538"/>
          <cell r="N538"/>
          <cell r="O538"/>
          <cell r="P538"/>
        </row>
        <row r="539">
          <cell r="J539"/>
          <cell r="K539"/>
          <cell r="L539"/>
          <cell r="M539"/>
          <cell r="N539"/>
          <cell r="O539"/>
          <cell r="P539"/>
        </row>
        <row r="540">
          <cell r="J540"/>
          <cell r="K540"/>
          <cell r="L540"/>
          <cell r="M540"/>
          <cell r="N540"/>
          <cell r="O540"/>
          <cell r="P540"/>
        </row>
        <row r="541">
          <cell r="J541"/>
          <cell r="K541">
            <v>2.24071533297921E-13</v>
          </cell>
          <cell r="L541">
            <v>2.24071533297921E-13</v>
          </cell>
          <cell r="M541">
            <v>2.24071533297921E-13</v>
          </cell>
          <cell r="N541">
            <v>2.24071533297921E-13</v>
          </cell>
          <cell r="O541">
            <v>2.24071533297921E-13</v>
          </cell>
          <cell r="P541">
            <v>2.24071533297921E-13</v>
          </cell>
        </row>
        <row r="542">
          <cell r="J542"/>
          <cell r="K542"/>
          <cell r="L542"/>
          <cell r="M542"/>
          <cell r="N542"/>
          <cell r="O542"/>
          <cell r="P542"/>
        </row>
        <row r="543">
          <cell r="J543"/>
          <cell r="K543"/>
          <cell r="L543"/>
          <cell r="M543"/>
          <cell r="N543"/>
          <cell r="O543"/>
          <cell r="P543"/>
        </row>
        <row r="544">
          <cell r="J544"/>
          <cell r="K544"/>
          <cell r="L544"/>
          <cell r="M544"/>
          <cell r="N544"/>
          <cell r="O544"/>
          <cell r="P544"/>
        </row>
        <row r="545">
          <cell r="J545"/>
          <cell r="K545"/>
          <cell r="L545"/>
          <cell r="M545"/>
          <cell r="N545"/>
          <cell r="O545"/>
          <cell r="P545"/>
        </row>
        <row r="546">
          <cell r="J546"/>
          <cell r="K546"/>
          <cell r="L546"/>
          <cell r="M546"/>
          <cell r="N546"/>
          <cell r="O546"/>
          <cell r="P546"/>
        </row>
        <row r="547">
          <cell r="J547"/>
          <cell r="K547"/>
          <cell r="L547"/>
          <cell r="M547"/>
          <cell r="N547"/>
          <cell r="O547"/>
          <cell r="P547"/>
        </row>
        <row r="548">
          <cell r="J548"/>
          <cell r="K548"/>
          <cell r="L548"/>
          <cell r="M548"/>
          <cell r="N548"/>
          <cell r="O548"/>
          <cell r="P548"/>
        </row>
        <row r="549">
          <cell r="J549"/>
          <cell r="K549"/>
          <cell r="L549"/>
          <cell r="M549"/>
          <cell r="N549"/>
          <cell r="O549"/>
          <cell r="P549"/>
        </row>
        <row r="550">
          <cell r="J550"/>
          <cell r="K550"/>
          <cell r="L550"/>
          <cell r="M550"/>
          <cell r="N550"/>
          <cell r="O550"/>
          <cell r="P550"/>
        </row>
        <row r="551">
          <cell r="J551"/>
          <cell r="K551"/>
          <cell r="L551"/>
          <cell r="M551"/>
          <cell r="N551"/>
          <cell r="O551"/>
          <cell r="P551"/>
        </row>
        <row r="552">
          <cell r="J552"/>
          <cell r="K552"/>
          <cell r="L552"/>
          <cell r="M552"/>
          <cell r="N552"/>
          <cell r="O552"/>
          <cell r="P552"/>
        </row>
        <row r="553">
          <cell r="J553"/>
          <cell r="K553"/>
          <cell r="L553"/>
          <cell r="M553"/>
          <cell r="N553"/>
          <cell r="O553"/>
          <cell r="P553"/>
        </row>
        <row r="554">
          <cell r="J554"/>
          <cell r="K554"/>
          <cell r="L554"/>
          <cell r="M554"/>
          <cell r="N554"/>
          <cell r="O554"/>
          <cell r="P554"/>
        </row>
        <row r="555">
          <cell r="J555"/>
          <cell r="K555"/>
          <cell r="L555"/>
          <cell r="M555"/>
          <cell r="N555"/>
          <cell r="O555"/>
          <cell r="P555"/>
        </row>
        <row r="556">
          <cell r="J556"/>
          <cell r="K556"/>
          <cell r="L556"/>
          <cell r="M556"/>
          <cell r="N556"/>
          <cell r="O556"/>
          <cell r="P556"/>
        </row>
        <row r="557">
          <cell r="J557"/>
          <cell r="K557"/>
          <cell r="L557"/>
          <cell r="M557"/>
          <cell r="N557"/>
          <cell r="O557"/>
          <cell r="P557"/>
        </row>
        <row r="558">
          <cell r="J558"/>
          <cell r="K558"/>
          <cell r="L558"/>
          <cell r="M558"/>
          <cell r="N558"/>
          <cell r="O558"/>
          <cell r="P558"/>
        </row>
        <row r="559">
          <cell r="J559"/>
          <cell r="K559"/>
          <cell r="L559"/>
          <cell r="M559"/>
          <cell r="N559"/>
          <cell r="O559"/>
          <cell r="P559"/>
        </row>
        <row r="560">
          <cell r="J560"/>
          <cell r="K560">
            <v>1</v>
          </cell>
          <cell r="L560">
            <v>1</v>
          </cell>
          <cell r="M560">
            <v>1</v>
          </cell>
          <cell r="N560">
            <v>1</v>
          </cell>
          <cell r="O560"/>
          <cell r="P560">
            <v>1</v>
          </cell>
        </row>
        <row r="561">
          <cell r="J561"/>
          <cell r="K561">
            <v>1</v>
          </cell>
          <cell r="L561">
            <v>1</v>
          </cell>
          <cell r="M561">
            <v>1</v>
          </cell>
          <cell r="N561">
            <v>1</v>
          </cell>
          <cell r="O561"/>
          <cell r="P561">
            <v>1</v>
          </cell>
        </row>
        <row r="562">
          <cell r="J562"/>
          <cell r="K562">
            <v>1</v>
          </cell>
          <cell r="L562">
            <v>1</v>
          </cell>
          <cell r="M562">
            <v>1</v>
          </cell>
          <cell r="N562">
            <v>1</v>
          </cell>
          <cell r="O562"/>
          <cell r="P562">
            <v>1</v>
          </cell>
        </row>
        <row r="563">
          <cell r="J563"/>
          <cell r="K563"/>
          <cell r="L563"/>
          <cell r="M563"/>
          <cell r="N563"/>
          <cell r="O563"/>
          <cell r="P563"/>
        </row>
        <row r="564">
          <cell r="J564"/>
          <cell r="K564"/>
          <cell r="L564"/>
          <cell r="M564"/>
          <cell r="N564"/>
          <cell r="O564"/>
          <cell r="P564"/>
        </row>
        <row r="565">
          <cell r="J565"/>
          <cell r="K565"/>
          <cell r="L565"/>
          <cell r="M565"/>
          <cell r="N565"/>
          <cell r="O565"/>
          <cell r="P565"/>
        </row>
        <row r="566">
          <cell r="J566"/>
          <cell r="K566"/>
          <cell r="L566"/>
          <cell r="M566"/>
          <cell r="N566"/>
          <cell r="O566"/>
          <cell r="P566"/>
        </row>
        <row r="567">
          <cell r="J567"/>
          <cell r="K567"/>
          <cell r="L567"/>
          <cell r="M567"/>
          <cell r="N567"/>
          <cell r="O567"/>
          <cell r="P567"/>
        </row>
        <row r="568">
          <cell r="J568"/>
          <cell r="K568"/>
          <cell r="L568"/>
          <cell r="M568"/>
          <cell r="N568"/>
          <cell r="O568"/>
          <cell r="P568"/>
        </row>
        <row r="569">
          <cell r="J569"/>
          <cell r="K569"/>
          <cell r="L569"/>
          <cell r="M569"/>
          <cell r="N569"/>
          <cell r="O569"/>
          <cell r="P569"/>
        </row>
        <row r="570">
          <cell r="J570"/>
          <cell r="K570"/>
          <cell r="L570"/>
          <cell r="M570"/>
          <cell r="N570"/>
          <cell r="O570"/>
          <cell r="P570"/>
        </row>
        <row r="571">
          <cell r="J571"/>
          <cell r="K571"/>
          <cell r="L571"/>
          <cell r="M571"/>
          <cell r="N571"/>
          <cell r="O571"/>
          <cell r="P571"/>
        </row>
        <row r="572">
          <cell r="J572"/>
          <cell r="K572"/>
          <cell r="L572"/>
          <cell r="M572"/>
          <cell r="N572"/>
          <cell r="O572"/>
          <cell r="P572"/>
        </row>
        <row r="573">
          <cell r="J573"/>
          <cell r="K573"/>
          <cell r="L573"/>
          <cell r="M573"/>
          <cell r="N573"/>
          <cell r="O573"/>
          <cell r="P573"/>
        </row>
        <row r="574">
          <cell r="J574"/>
          <cell r="K574"/>
          <cell r="L574"/>
          <cell r="M574"/>
          <cell r="N574"/>
          <cell r="O574"/>
          <cell r="P574"/>
        </row>
        <row r="575">
          <cell r="J575"/>
          <cell r="K575"/>
          <cell r="L575"/>
          <cell r="M575"/>
          <cell r="N575"/>
          <cell r="O575"/>
          <cell r="P575"/>
        </row>
        <row r="576">
          <cell r="J576"/>
          <cell r="K576"/>
          <cell r="L576"/>
          <cell r="M576"/>
          <cell r="N576"/>
          <cell r="O576"/>
          <cell r="P576"/>
        </row>
        <row r="577">
          <cell r="J577"/>
          <cell r="K577"/>
          <cell r="L577"/>
          <cell r="M577"/>
          <cell r="N577"/>
          <cell r="O577"/>
          <cell r="P577"/>
        </row>
        <row r="578">
          <cell r="J578"/>
          <cell r="K578"/>
          <cell r="L578"/>
          <cell r="M578"/>
          <cell r="N578"/>
          <cell r="O578"/>
          <cell r="P578"/>
        </row>
        <row r="579">
          <cell r="J579"/>
          <cell r="K579"/>
          <cell r="L579"/>
          <cell r="M579"/>
          <cell r="N579"/>
          <cell r="O579"/>
          <cell r="P579"/>
        </row>
        <row r="580">
          <cell r="J580"/>
          <cell r="K580"/>
          <cell r="L580"/>
          <cell r="M580"/>
          <cell r="N580"/>
          <cell r="O580"/>
          <cell r="P580"/>
        </row>
        <row r="581">
          <cell r="J581"/>
          <cell r="K581"/>
          <cell r="L581"/>
          <cell r="M581"/>
          <cell r="N581"/>
          <cell r="O581"/>
          <cell r="P581"/>
        </row>
        <row r="582">
          <cell r="J582"/>
          <cell r="K582"/>
          <cell r="L582"/>
          <cell r="M582"/>
          <cell r="N582"/>
          <cell r="O582"/>
          <cell r="P582"/>
        </row>
        <row r="583">
          <cell r="J583"/>
          <cell r="K583"/>
          <cell r="L583"/>
          <cell r="M583"/>
          <cell r="N583"/>
          <cell r="O583"/>
          <cell r="P583"/>
        </row>
        <row r="584">
          <cell r="J584"/>
          <cell r="K584"/>
          <cell r="L584"/>
          <cell r="M584"/>
          <cell r="N584"/>
          <cell r="O584"/>
          <cell r="P584"/>
        </row>
        <row r="585">
          <cell r="J585"/>
          <cell r="K585"/>
          <cell r="L585"/>
          <cell r="M585"/>
          <cell r="N585"/>
          <cell r="O585"/>
          <cell r="P585"/>
        </row>
        <row r="586">
          <cell r="J586"/>
          <cell r="K586"/>
          <cell r="L586"/>
          <cell r="M586"/>
          <cell r="N586"/>
          <cell r="O586"/>
          <cell r="P586"/>
        </row>
        <row r="587">
          <cell r="J587"/>
          <cell r="K587"/>
          <cell r="L587"/>
          <cell r="M587"/>
          <cell r="N587"/>
          <cell r="O587"/>
          <cell r="P587"/>
        </row>
        <row r="588">
          <cell r="J588"/>
          <cell r="K588"/>
          <cell r="L588"/>
          <cell r="M588"/>
          <cell r="N588"/>
          <cell r="O588"/>
          <cell r="P588"/>
        </row>
        <row r="589">
          <cell r="J589"/>
          <cell r="K589"/>
          <cell r="L589"/>
          <cell r="M589"/>
          <cell r="N589"/>
          <cell r="O589"/>
          <cell r="P589"/>
        </row>
        <row r="590">
          <cell r="J590"/>
          <cell r="K590"/>
          <cell r="L590"/>
          <cell r="M590"/>
          <cell r="N590"/>
          <cell r="O590"/>
          <cell r="P590"/>
        </row>
        <row r="591">
          <cell r="J591"/>
          <cell r="K591"/>
          <cell r="L591"/>
          <cell r="M591"/>
          <cell r="N591"/>
          <cell r="O591"/>
          <cell r="P591"/>
        </row>
        <row r="592">
          <cell r="J592"/>
          <cell r="K592"/>
          <cell r="L592"/>
          <cell r="M592"/>
          <cell r="N592"/>
          <cell r="O592"/>
          <cell r="P592"/>
        </row>
        <row r="593">
          <cell r="J593"/>
          <cell r="K593"/>
          <cell r="L593"/>
          <cell r="M593"/>
          <cell r="N593"/>
          <cell r="O593"/>
          <cell r="P593"/>
        </row>
        <row r="594">
          <cell r="J594"/>
          <cell r="K594">
            <v>1</v>
          </cell>
          <cell r="L594">
            <v>1</v>
          </cell>
          <cell r="M594">
            <v>1</v>
          </cell>
          <cell r="N594">
            <v>1</v>
          </cell>
          <cell r="O594"/>
          <cell r="P594">
            <v>1</v>
          </cell>
        </row>
        <row r="595">
          <cell r="J595"/>
          <cell r="K595">
            <v>1</v>
          </cell>
          <cell r="L595">
            <v>1</v>
          </cell>
          <cell r="M595">
            <v>1</v>
          </cell>
          <cell r="N595">
            <v>1</v>
          </cell>
          <cell r="O595"/>
          <cell r="P595">
            <v>1</v>
          </cell>
        </row>
        <row r="596">
          <cell r="J596"/>
          <cell r="K596">
            <v>1</v>
          </cell>
          <cell r="L596">
            <v>1</v>
          </cell>
          <cell r="M596">
            <v>1</v>
          </cell>
          <cell r="N596">
            <v>1</v>
          </cell>
          <cell r="O596"/>
          <cell r="P596">
            <v>1</v>
          </cell>
        </row>
        <row r="597">
          <cell r="J597"/>
          <cell r="K597"/>
          <cell r="L597"/>
          <cell r="M597"/>
          <cell r="N597"/>
          <cell r="O597"/>
          <cell r="P597"/>
        </row>
        <row r="598">
          <cell r="J598"/>
          <cell r="K598"/>
          <cell r="L598"/>
          <cell r="M598"/>
          <cell r="N598"/>
          <cell r="O598"/>
          <cell r="P598"/>
        </row>
        <row r="599">
          <cell r="J599"/>
          <cell r="K599"/>
          <cell r="L599"/>
          <cell r="M599"/>
          <cell r="N599"/>
          <cell r="O599"/>
          <cell r="P599"/>
        </row>
        <row r="600">
          <cell r="J600"/>
          <cell r="K600"/>
          <cell r="L600"/>
          <cell r="M600"/>
          <cell r="N600"/>
          <cell r="O600"/>
          <cell r="P600"/>
        </row>
        <row r="601">
          <cell r="J601"/>
          <cell r="K601"/>
          <cell r="L601"/>
          <cell r="M601"/>
          <cell r="N601"/>
          <cell r="O601"/>
          <cell r="P601"/>
        </row>
        <row r="602">
          <cell r="J602"/>
          <cell r="K602"/>
          <cell r="L602"/>
          <cell r="M602"/>
          <cell r="N602"/>
          <cell r="O602"/>
          <cell r="P602"/>
        </row>
        <row r="603">
          <cell r="J603"/>
          <cell r="K603"/>
          <cell r="L603"/>
          <cell r="M603"/>
          <cell r="N603"/>
          <cell r="O603"/>
          <cell r="P603"/>
        </row>
        <row r="604">
          <cell r="J604"/>
          <cell r="K604"/>
          <cell r="L604"/>
          <cell r="M604"/>
          <cell r="N604"/>
          <cell r="O604"/>
          <cell r="P604"/>
        </row>
        <row r="605">
          <cell r="J605"/>
          <cell r="K605"/>
          <cell r="L605"/>
          <cell r="M605"/>
          <cell r="N605"/>
          <cell r="O605"/>
          <cell r="P605"/>
        </row>
        <row r="606">
          <cell r="J606"/>
          <cell r="K606"/>
          <cell r="L606"/>
          <cell r="M606"/>
          <cell r="N606"/>
          <cell r="O606"/>
          <cell r="P606"/>
        </row>
        <row r="607">
          <cell r="J607"/>
          <cell r="K607"/>
          <cell r="L607"/>
          <cell r="M607"/>
          <cell r="N607"/>
          <cell r="O607"/>
          <cell r="P607"/>
        </row>
        <row r="608">
          <cell r="J608"/>
          <cell r="K608"/>
          <cell r="L608"/>
          <cell r="M608"/>
          <cell r="N608"/>
          <cell r="O608"/>
          <cell r="P608"/>
        </row>
        <row r="609">
          <cell r="J609"/>
          <cell r="K609"/>
          <cell r="L609"/>
          <cell r="M609"/>
          <cell r="N609"/>
          <cell r="O609"/>
          <cell r="P609"/>
        </row>
        <row r="610">
          <cell r="J610"/>
          <cell r="K610"/>
          <cell r="L610"/>
          <cell r="M610"/>
          <cell r="N610"/>
          <cell r="O610"/>
          <cell r="P610"/>
        </row>
        <row r="611">
          <cell r="J611"/>
          <cell r="K611"/>
          <cell r="L611"/>
          <cell r="M611"/>
          <cell r="N611"/>
          <cell r="O611"/>
          <cell r="P611"/>
        </row>
        <row r="612">
          <cell r="J612"/>
          <cell r="K612">
            <v>990</v>
          </cell>
          <cell r="L612">
            <v>990</v>
          </cell>
          <cell r="M612"/>
          <cell r="N612">
            <v>990</v>
          </cell>
          <cell r="O612">
            <v>990</v>
          </cell>
          <cell r="P612">
            <v>990</v>
          </cell>
        </row>
        <row r="613">
          <cell r="J613"/>
          <cell r="K613">
            <v>10</v>
          </cell>
          <cell r="L613">
            <v>10</v>
          </cell>
          <cell r="M613"/>
          <cell r="N613">
            <v>10</v>
          </cell>
          <cell r="O613">
            <v>10</v>
          </cell>
          <cell r="P613">
            <v>10</v>
          </cell>
        </row>
        <row r="614">
          <cell r="J614"/>
          <cell r="K614"/>
          <cell r="L614"/>
          <cell r="M614"/>
          <cell r="N614"/>
          <cell r="O614"/>
          <cell r="P614"/>
        </row>
        <row r="615">
          <cell r="J615"/>
          <cell r="K615"/>
          <cell r="L615"/>
          <cell r="M615"/>
          <cell r="N615"/>
          <cell r="O615"/>
          <cell r="P615"/>
        </row>
        <row r="616">
          <cell r="J616"/>
          <cell r="K616">
            <v>4.9999999999999995E-11</v>
          </cell>
          <cell r="L616">
            <v>4.9999999999999995E-11</v>
          </cell>
          <cell r="M616">
            <v>4.9999999999999995E-11</v>
          </cell>
          <cell r="N616">
            <v>4.9999999999999995E-11</v>
          </cell>
          <cell r="O616">
            <v>4.9999999999999995E-11</v>
          </cell>
          <cell r="P616"/>
        </row>
        <row r="617">
          <cell r="J617"/>
          <cell r="K617">
            <v>9.9999999999999995E-21</v>
          </cell>
          <cell r="L617">
            <v>9.9999999999999995E-21</v>
          </cell>
          <cell r="M617">
            <v>9.9999999999999995E-21</v>
          </cell>
          <cell r="N617">
            <v>9.9999999999999995E-21</v>
          </cell>
          <cell r="O617">
            <v>9.9999999999999995E-21</v>
          </cell>
          <cell r="P617"/>
        </row>
        <row r="618">
          <cell r="J618"/>
          <cell r="K618"/>
          <cell r="L618"/>
          <cell r="M618"/>
          <cell r="N618"/>
          <cell r="O618"/>
          <cell r="P618"/>
        </row>
        <row r="619">
          <cell r="J619"/>
          <cell r="K619"/>
          <cell r="L619"/>
          <cell r="M619"/>
          <cell r="N619"/>
          <cell r="O619"/>
          <cell r="P619"/>
        </row>
        <row r="620">
          <cell r="J620"/>
          <cell r="K620"/>
          <cell r="L620"/>
          <cell r="M620"/>
          <cell r="N620"/>
          <cell r="O620"/>
          <cell r="P620"/>
        </row>
        <row r="621">
          <cell r="J621"/>
          <cell r="K621"/>
          <cell r="L621"/>
          <cell r="M621"/>
          <cell r="N621"/>
          <cell r="O621"/>
          <cell r="P621"/>
        </row>
        <row r="622">
          <cell r="J622"/>
          <cell r="K622"/>
          <cell r="L622"/>
          <cell r="M622"/>
          <cell r="N622"/>
          <cell r="O622"/>
          <cell r="P622"/>
        </row>
        <row r="623">
          <cell r="J623"/>
          <cell r="K623"/>
          <cell r="L623"/>
          <cell r="M623"/>
          <cell r="N623"/>
          <cell r="O623"/>
          <cell r="P623"/>
        </row>
        <row r="624">
          <cell r="J624"/>
          <cell r="K624"/>
          <cell r="L624"/>
          <cell r="M624"/>
          <cell r="N624"/>
          <cell r="O624"/>
          <cell r="P624"/>
        </row>
        <row r="625">
          <cell r="J625"/>
          <cell r="K625"/>
          <cell r="L625"/>
          <cell r="M625"/>
          <cell r="N625"/>
          <cell r="O625"/>
          <cell r="P625"/>
        </row>
        <row r="626">
          <cell r="J626"/>
          <cell r="K626"/>
          <cell r="L626"/>
          <cell r="M626"/>
          <cell r="N626"/>
          <cell r="O626"/>
          <cell r="P626"/>
        </row>
        <row r="627">
          <cell r="J627"/>
          <cell r="K627"/>
          <cell r="L627"/>
          <cell r="M627"/>
          <cell r="N627"/>
          <cell r="O627"/>
          <cell r="P627"/>
        </row>
        <row r="628">
          <cell r="J628"/>
          <cell r="K628"/>
          <cell r="L628"/>
          <cell r="M628"/>
          <cell r="N628"/>
          <cell r="O628"/>
          <cell r="P628"/>
        </row>
        <row r="629">
          <cell r="J629"/>
          <cell r="K629"/>
          <cell r="L629"/>
          <cell r="M629"/>
          <cell r="N629"/>
          <cell r="O629"/>
          <cell r="P629"/>
        </row>
        <row r="630">
          <cell r="J630"/>
          <cell r="K630"/>
          <cell r="L630"/>
          <cell r="M630"/>
          <cell r="N630"/>
          <cell r="O630"/>
          <cell r="P630"/>
        </row>
        <row r="631">
          <cell r="J631"/>
          <cell r="K631"/>
          <cell r="L631"/>
          <cell r="M631"/>
          <cell r="N631"/>
          <cell r="O631"/>
          <cell r="P631"/>
        </row>
        <row r="632">
          <cell r="J632"/>
          <cell r="K632">
            <v>9.9999999999999995E-21</v>
          </cell>
          <cell r="L632">
            <v>9.9999999999999995E-21</v>
          </cell>
          <cell r="M632"/>
          <cell r="N632">
            <v>9.9999999999999995E-21</v>
          </cell>
          <cell r="O632">
            <v>9.9999999999999995E-21</v>
          </cell>
          <cell r="P632">
            <v>9.9999999999999995E-21</v>
          </cell>
        </row>
        <row r="633">
          <cell r="J633"/>
          <cell r="K633"/>
          <cell r="L633"/>
          <cell r="M633"/>
          <cell r="N633"/>
          <cell r="O633"/>
          <cell r="P633"/>
        </row>
        <row r="634">
          <cell r="J634"/>
          <cell r="K634">
            <v>50497524.691810384</v>
          </cell>
          <cell r="L634">
            <v>50497524.691810384</v>
          </cell>
          <cell r="M634"/>
          <cell r="N634">
            <v>50497524.691810384</v>
          </cell>
          <cell r="O634">
            <v>50497524.691810384</v>
          </cell>
          <cell r="P634">
            <v>50497524.691810384</v>
          </cell>
        </row>
        <row r="635">
          <cell r="J635"/>
          <cell r="K635">
            <v>94472218.138455927</v>
          </cell>
          <cell r="L635">
            <v>94472218.138455927</v>
          </cell>
          <cell r="M635"/>
          <cell r="N635">
            <v>94472218.138455927</v>
          </cell>
          <cell r="O635">
            <v>94472218.138455927</v>
          </cell>
          <cell r="P635">
            <v>94472218.138455927</v>
          </cell>
        </row>
        <row r="636">
          <cell r="J636"/>
          <cell r="K636"/>
          <cell r="L636"/>
          <cell r="M636"/>
          <cell r="N636"/>
          <cell r="O636"/>
          <cell r="P636"/>
        </row>
        <row r="637">
          <cell r="J637"/>
          <cell r="K637"/>
          <cell r="L637"/>
          <cell r="M637"/>
          <cell r="N637"/>
          <cell r="O637"/>
          <cell r="P637"/>
        </row>
        <row r="638">
          <cell r="J638"/>
          <cell r="K638"/>
          <cell r="L638"/>
          <cell r="M638"/>
          <cell r="N638"/>
          <cell r="O638"/>
          <cell r="P638"/>
        </row>
        <row r="639">
          <cell r="J639"/>
          <cell r="K639"/>
          <cell r="L639"/>
          <cell r="M639"/>
          <cell r="N639"/>
          <cell r="O639"/>
          <cell r="P639"/>
        </row>
        <row r="640">
          <cell r="J640"/>
          <cell r="K640"/>
          <cell r="L640"/>
          <cell r="M640"/>
          <cell r="N640"/>
          <cell r="O640"/>
          <cell r="P640"/>
        </row>
        <row r="641">
          <cell r="J641"/>
          <cell r="K641"/>
          <cell r="L641"/>
          <cell r="M641"/>
          <cell r="N641"/>
          <cell r="O641"/>
          <cell r="P641"/>
        </row>
        <row r="642">
          <cell r="J642"/>
          <cell r="K642"/>
          <cell r="L642"/>
          <cell r="M642"/>
          <cell r="N642"/>
          <cell r="O642"/>
          <cell r="P642"/>
        </row>
        <row r="643">
          <cell r="J643"/>
          <cell r="K643"/>
          <cell r="L643"/>
          <cell r="M643"/>
          <cell r="N643"/>
          <cell r="O643"/>
          <cell r="P643"/>
        </row>
        <row r="644">
          <cell r="J644"/>
          <cell r="K644">
            <v>0.99999999620774216</v>
          </cell>
          <cell r="L644">
            <v>0.99999999620774216</v>
          </cell>
          <cell r="M644">
            <v>0.99999999620774216</v>
          </cell>
          <cell r="N644">
            <v>0.99999999620774216</v>
          </cell>
          <cell r="O644">
            <v>0.99999999620774216</v>
          </cell>
          <cell r="P644"/>
        </row>
        <row r="645">
          <cell r="J645"/>
          <cell r="K645"/>
          <cell r="L645"/>
          <cell r="M645"/>
          <cell r="N645"/>
          <cell r="O645"/>
          <cell r="P645"/>
        </row>
        <row r="646">
          <cell r="J646"/>
          <cell r="K646">
            <v>3.7922578411423006E-9</v>
          </cell>
          <cell r="L646">
            <v>3.7922578411423006E-9</v>
          </cell>
          <cell r="M646">
            <v>3.7922578411423006E-9</v>
          </cell>
          <cell r="N646">
            <v>3.7922578411423006E-9</v>
          </cell>
          <cell r="O646">
            <v>3.7922578411423006E-9</v>
          </cell>
          <cell r="P646"/>
        </row>
        <row r="647">
          <cell r="J647"/>
          <cell r="K647"/>
          <cell r="L647"/>
          <cell r="M647"/>
          <cell r="N647"/>
          <cell r="O647"/>
          <cell r="P647"/>
        </row>
        <row r="648">
          <cell r="J648"/>
          <cell r="K648"/>
          <cell r="L648"/>
          <cell r="M648"/>
          <cell r="N648"/>
          <cell r="O648"/>
          <cell r="P648"/>
        </row>
        <row r="649">
          <cell r="J649"/>
          <cell r="K649"/>
          <cell r="L649"/>
          <cell r="M649"/>
          <cell r="N649"/>
          <cell r="O649"/>
          <cell r="P649"/>
        </row>
        <row r="650">
          <cell r="J650"/>
          <cell r="K650"/>
          <cell r="L650"/>
          <cell r="M650"/>
          <cell r="N650"/>
          <cell r="O650"/>
          <cell r="P650"/>
        </row>
        <row r="651">
          <cell r="J651"/>
          <cell r="K651">
            <v>0.99995978797120633</v>
          </cell>
          <cell r="L651">
            <v>0.99995978797120633</v>
          </cell>
          <cell r="M651">
            <v>0.99995978797120633</v>
          </cell>
          <cell r="N651">
            <v>0.99995978797120633</v>
          </cell>
          <cell r="O651">
            <v>0.99995978797120633</v>
          </cell>
          <cell r="P651"/>
        </row>
        <row r="652">
          <cell r="J652"/>
          <cell r="K652">
            <v>0.99995978797120633</v>
          </cell>
          <cell r="L652">
            <v>0.99995978797120633</v>
          </cell>
          <cell r="M652">
            <v>0.99995978797120633</v>
          </cell>
          <cell r="N652">
            <v>0.99995978797120633</v>
          </cell>
          <cell r="O652">
            <v>0.99995978797120633</v>
          </cell>
          <cell r="P652"/>
        </row>
        <row r="653">
          <cell r="J653"/>
          <cell r="K653"/>
          <cell r="L653"/>
          <cell r="M653"/>
          <cell r="N653"/>
          <cell r="O653"/>
          <cell r="P653"/>
        </row>
        <row r="654">
          <cell r="J654"/>
          <cell r="K654"/>
          <cell r="L654"/>
          <cell r="M654"/>
          <cell r="N654"/>
          <cell r="O654"/>
          <cell r="P654"/>
        </row>
        <row r="655">
          <cell r="J655"/>
          <cell r="K655"/>
          <cell r="L655"/>
          <cell r="M655"/>
          <cell r="N655"/>
          <cell r="O655"/>
          <cell r="P655"/>
        </row>
        <row r="656">
          <cell r="J656"/>
          <cell r="K656"/>
          <cell r="L656"/>
          <cell r="M656"/>
          <cell r="N656"/>
          <cell r="O656"/>
          <cell r="P656"/>
        </row>
        <row r="657">
          <cell r="J657"/>
          <cell r="K657"/>
          <cell r="L657"/>
          <cell r="M657"/>
          <cell r="N657"/>
          <cell r="O657"/>
          <cell r="P657"/>
        </row>
        <row r="658">
          <cell r="J658"/>
          <cell r="K658"/>
          <cell r="L658"/>
          <cell r="M658"/>
          <cell r="N658"/>
          <cell r="O658"/>
          <cell r="P658"/>
        </row>
        <row r="659">
          <cell r="J659"/>
          <cell r="K659"/>
          <cell r="L659"/>
          <cell r="M659"/>
          <cell r="N659"/>
          <cell r="O659"/>
          <cell r="P659"/>
        </row>
        <row r="660">
          <cell r="J660"/>
          <cell r="K660"/>
          <cell r="L660"/>
          <cell r="M660"/>
          <cell r="N660"/>
          <cell r="O660"/>
          <cell r="P660"/>
        </row>
        <row r="661">
          <cell r="J661"/>
          <cell r="K661"/>
          <cell r="L661"/>
          <cell r="M661"/>
          <cell r="N661"/>
          <cell r="O661"/>
          <cell r="P661"/>
        </row>
        <row r="662">
          <cell r="J662"/>
          <cell r="K662"/>
          <cell r="L662"/>
          <cell r="M662"/>
          <cell r="N662"/>
          <cell r="O662"/>
          <cell r="P662"/>
        </row>
        <row r="663">
          <cell r="J663"/>
          <cell r="K663"/>
          <cell r="L663"/>
          <cell r="M663"/>
          <cell r="N663"/>
          <cell r="O663"/>
          <cell r="P663"/>
        </row>
        <row r="664">
          <cell r="J664"/>
          <cell r="K664"/>
          <cell r="L664"/>
          <cell r="M664"/>
          <cell r="N664"/>
          <cell r="O664"/>
          <cell r="P664"/>
        </row>
        <row r="665">
          <cell r="J665"/>
          <cell r="K665"/>
          <cell r="L665"/>
          <cell r="M665"/>
          <cell r="N665"/>
          <cell r="O665"/>
          <cell r="P665"/>
        </row>
        <row r="666">
          <cell r="J666"/>
          <cell r="K666"/>
          <cell r="L666"/>
          <cell r="M666"/>
          <cell r="N666"/>
          <cell r="O666"/>
          <cell r="P666"/>
        </row>
        <row r="667">
          <cell r="J667"/>
          <cell r="K667"/>
          <cell r="L667"/>
          <cell r="M667"/>
          <cell r="N667"/>
          <cell r="O667"/>
          <cell r="P667"/>
        </row>
        <row r="668">
          <cell r="J668"/>
          <cell r="K668"/>
          <cell r="L668"/>
          <cell r="M668"/>
          <cell r="N668"/>
          <cell r="O668"/>
          <cell r="P668"/>
        </row>
        <row r="669">
          <cell r="J669"/>
          <cell r="K669"/>
          <cell r="L669"/>
          <cell r="M669"/>
          <cell r="N669"/>
          <cell r="O669"/>
          <cell r="P669"/>
        </row>
        <row r="670">
          <cell r="J670"/>
          <cell r="K670"/>
          <cell r="L670"/>
          <cell r="M670"/>
          <cell r="N670"/>
          <cell r="O670"/>
          <cell r="P670"/>
        </row>
        <row r="671">
          <cell r="J671"/>
          <cell r="K671"/>
          <cell r="L671"/>
          <cell r="M671"/>
          <cell r="N671"/>
          <cell r="O671"/>
          <cell r="P671"/>
        </row>
        <row r="672">
          <cell r="J672"/>
          <cell r="K672"/>
          <cell r="L672"/>
          <cell r="M672"/>
          <cell r="N672"/>
          <cell r="O672"/>
          <cell r="P672"/>
        </row>
        <row r="673">
          <cell r="J673"/>
          <cell r="K673"/>
          <cell r="L673"/>
          <cell r="M673"/>
          <cell r="N673"/>
          <cell r="O673"/>
          <cell r="P673"/>
        </row>
        <row r="674">
          <cell r="J674"/>
          <cell r="K674">
            <v>3.1996013946513187E-9</v>
          </cell>
          <cell r="L674">
            <v>3.1996013946513187E-9</v>
          </cell>
          <cell r="M674">
            <v>3.1996013946513187E-9</v>
          </cell>
          <cell r="N674">
            <v>3.1996013946513187E-9</v>
          </cell>
          <cell r="O674">
            <v>3.1996013946513187E-9</v>
          </cell>
          <cell r="P674"/>
        </row>
        <row r="675">
          <cell r="J675"/>
          <cell r="K675">
            <v>2.0065062553725398E-10</v>
          </cell>
          <cell r="L675">
            <v>2.0065062553725398E-10</v>
          </cell>
          <cell r="M675">
            <v>2.0065062553725398E-10</v>
          </cell>
          <cell r="N675">
            <v>2.0065062553725398E-10</v>
          </cell>
          <cell r="O675">
            <v>2.0065062553725398E-10</v>
          </cell>
          <cell r="P675"/>
        </row>
        <row r="676">
          <cell r="J676"/>
          <cell r="K676"/>
          <cell r="L676"/>
          <cell r="M676"/>
          <cell r="N676"/>
          <cell r="O676"/>
          <cell r="P676"/>
        </row>
        <row r="677">
          <cell r="J677"/>
          <cell r="K677"/>
          <cell r="L677"/>
          <cell r="M677"/>
          <cell r="N677"/>
          <cell r="O677"/>
          <cell r="P677"/>
        </row>
        <row r="678">
          <cell r="J678"/>
          <cell r="K678"/>
          <cell r="L678"/>
          <cell r="M678"/>
          <cell r="N678"/>
          <cell r="O678"/>
          <cell r="P678"/>
        </row>
        <row r="679">
          <cell r="J679"/>
          <cell r="K679"/>
          <cell r="L679"/>
          <cell r="M679"/>
          <cell r="N679"/>
          <cell r="O679"/>
          <cell r="P679"/>
        </row>
        <row r="680">
          <cell r="J680"/>
          <cell r="K680"/>
          <cell r="L680"/>
          <cell r="M680"/>
          <cell r="N680"/>
          <cell r="O680"/>
          <cell r="P680"/>
        </row>
        <row r="681">
          <cell r="J681"/>
          <cell r="K681"/>
          <cell r="L681"/>
          <cell r="M681"/>
          <cell r="N681"/>
          <cell r="O681"/>
          <cell r="P681"/>
        </row>
        <row r="682">
          <cell r="J682"/>
          <cell r="K682"/>
          <cell r="L682"/>
          <cell r="M682"/>
          <cell r="N682"/>
          <cell r="O682"/>
          <cell r="P682"/>
        </row>
        <row r="683">
          <cell r="J683"/>
          <cell r="K683"/>
          <cell r="L683"/>
          <cell r="M683"/>
          <cell r="N683"/>
          <cell r="O683"/>
          <cell r="P683"/>
        </row>
        <row r="684">
          <cell r="J684"/>
          <cell r="K684">
            <v>1.947842112399692E-13</v>
          </cell>
          <cell r="L684">
            <v>1.947842112399692E-13</v>
          </cell>
          <cell r="M684">
            <v>1.947842112399692E-13</v>
          </cell>
          <cell r="N684">
            <v>1.947842112399692E-13</v>
          </cell>
          <cell r="O684">
            <v>1.947842112399692E-13</v>
          </cell>
          <cell r="P684"/>
        </row>
        <row r="685">
          <cell r="J685"/>
          <cell r="K685">
            <v>9.5286595007606512E-13</v>
          </cell>
          <cell r="L685">
            <v>9.5286595007606512E-13</v>
          </cell>
          <cell r="M685">
            <v>9.5286595007606512E-13</v>
          </cell>
          <cell r="N685">
            <v>9.5286595007606512E-13</v>
          </cell>
          <cell r="O685">
            <v>9.5286595007606512E-13</v>
          </cell>
          <cell r="P685"/>
        </row>
        <row r="686">
          <cell r="J686"/>
          <cell r="K686">
            <v>2.2036615715989516E-8</v>
          </cell>
          <cell r="L686">
            <v>2.2036615715989516E-8</v>
          </cell>
          <cell r="M686">
            <v>2.2036615715989516E-8</v>
          </cell>
          <cell r="N686">
            <v>2.2036615715989516E-8</v>
          </cell>
          <cell r="O686">
            <v>2.2036615715989516E-8</v>
          </cell>
          <cell r="P686"/>
        </row>
        <row r="687">
          <cell r="J687"/>
          <cell r="K687"/>
          <cell r="L687"/>
          <cell r="M687"/>
          <cell r="N687"/>
          <cell r="O687"/>
          <cell r="P687"/>
        </row>
        <row r="688">
          <cell r="J688"/>
          <cell r="K688"/>
          <cell r="L688"/>
          <cell r="M688"/>
          <cell r="N688"/>
          <cell r="O688"/>
          <cell r="P688"/>
        </row>
        <row r="689">
          <cell r="J689"/>
          <cell r="K689"/>
          <cell r="L689"/>
          <cell r="M689"/>
          <cell r="N689"/>
          <cell r="O689"/>
          <cell r="P689"/>
        </row>
        <row r="690">
          <cell r="J690"/>
          <cell r="K690"/>
          <cell r="L690"/>
          <cell r="M690"/>
          <cell r="N690"/>
          <cell r="O690"/>
          <cell r="P690"/>
        </row>
        <row r="691">
          <cell r="J691"/>
          <cell r="K691"/>
          <cell r="L691"/>
          <cell r="M691"/>
          <cell r="N691"/>
          <cell r="O691"/>
          <cell r="P691"/>
        </row>
        <row r="692">
          <cell r="J692"/>
          <cell r="K692"/>
          <cell r="L692"/>
          <cell r="M692"/>
          <cell r="N692"/>
          <cell r="O692"/>
          <cell r="P692"/>
        </row>
        <row r="693">
          <cell r="J693"/>
          <cell r="K693"/>
          <cell r="L693"/>
          <cell r="M693"/>
          <cell r="N693"/>
          <cell r="O693"/>
          <cell r="P693"/>
        </row>
        <row r="694">
          <cell r="J694"/>
          <cell r="K694"/>
          <cell r="L694"/>
          <cell r="M694"/>
          <cell r="N694"/>
          <cell r="O694"/>
          <cell r="P694"/>
        </row>
        <row r="695">
          <cell r="J695"/>
          <cell r="K695"/>
          <cell r="L695"/>
          <cell r="M695"/>
          <cell r="N695"/>
          <cell r="O695"/>
          <cell r="P695"/>
        </row>
        <row r="696">
          <cell r="J696"/>
          <cell r="K696"/>
          <cell r="L696"/>
          <cell r="M696"/>
          <cell r="N696"/>
          <cell r="O696"/>
          <cell r="P696"/>
        </row>
        <row r="697">
          <cell r="J697"/>
          <cell r="K697"/>
          <cell r="L697"/>
          <cell r="M697"/>
          <cell r="N697"/>
          <cell r="O697"/>
          <cell r="P697"/>
        </row>
        <row r="698">
          <cell r="J698"/>
          <cell r="K698">
            <v>1.1468924229780271E-8</v>
          </cell>
          <cell r="L698">
            <v>1.1468924229780271E-8</v>
          </cell>
          <cell r="M698">
            <v>1.1468924229780271E-8</v>
          </cell>
          <cell r="N698">
            <v>1.1468924229780271E-8</v>
          </cell>
          <cell r="O698"/>
          <cell r="P698">
            <v>1.1468924229780271E-8</v>
          </cell>
        </row>
        <row r="699">
          <cell r="J699"/>
          <cell r="K699">
            <v>1</v>
          </cell>
          <cell r="L699">
            <v>1</v>
          </cell>
          <cell r="M699">
            <v>1</v>
          </cell>
          <cell r="N699">
            <v>1</v>
          </cell>
          <cell r="O699"/>
          <cell r="P699">
            <v>1</v>
          </cell>
        </row>
        <row r="700">
          <cell r="J700"/>
          <cell r="K700"/>
          <cell r="L700"/>
          <cell r="M700"/>
          <cell r="N700"/>
          <cell r="O700"/>
          <cell r="P700"/>
        </row>
        <row r="701">
          <cell r="J701"/>
          <cell r="K701"/>
          <cell r="L701"/>
          <cell r="M701"/>
          <cell r="N701"/>
          <cell r="O701"/>
          <cell r="P701"/>
        </row>
        <row r="702">
          <cell r="J702"/>
          <cell r="K702"/>
          <cell r="L702"/>
          <cell r="M702"/>
          <cell r="N702"/>
          <cell r="O702"/>
          <cell r="P702"/>
        </row>
        <row r="703">
          <cell r="J703"/>
          <cell r="K703"/>
          <cell r="L703"/>
          <cell r="M703"/>
          <cell r="N703"/>
          <cell r="O703"/>
          <cell r="P703"/>
        </row>
        <row r="704">
          <cell r="J704"/>
          <cell r="K704"/>
          <cell r="L704"/>
          <cell r="M704"/>
          <cell r="N704"/>
          <cell r="O704"/>
          <cell r="P704"/>
        </row>
        <row r="705">
          <cell r="J705"/>
          <cell r="K705"/>
          <cell r="L705"/>
          <cell r="M705"/>
          <cell r="N705"/>
          <cell r="O705"/>
          <cell r="P705"/>
        </row>
        <row r="706">
          <cell r="J706"/>
          <cell r="K706"/>
          <cell r="L706"/>
          <cell r="M706"/>
          <cell r="N706"/>
          <cell r="O706"/>
          <cell r="P706"/>
        </row>
        <row r="707">
          <cell r="J707"/>
          <cell r="K707"/>
          <cell r="L707"/>
          <cell r="M707"/>
          <cell r="N707"/>
          <cell r="O707"/>
          <cell r="P707"/>
        </row>
        <row r="708">
          <cell r="J708"/>
          <cell r="K708"/>
          <cell r="L708"/>
          <cell r="M708"/>
          <cell r="N708"/>
          <cell r="O708"/>
          <cell r="P708"/>
        </row>
        <row r="709">
          <cell r="J709"/>
          <cell r="K709"/>
          <cell r="L709"/>
          <cell r="M709"/>
          <cell r="N709"/>
          <cell r="O709"/>
          <cell r="P709"/>
        </row>
        <row r="710">
          <cell r="J710"/>
          <cell r="K710"/>
          <cell r="L710"/>
          <cell r="M710"/>
          <cell r="N710"/>
          <cell r="O710"/>
          <cell r="P710"/>
        </row>
        <row r="711">
          <cell r="J711"/>
          <cell r="K711"/>
          <cell r="L711"/>
          <cell r="M711"/>
          <cell r="N711"/>
          <cell r="O711"/>
          <cell r="P711"/>
        </row>
        <row r="712">
          <cell r="J712"/>
          <cell r="K712"/>
          <cell r="L712"/>
          <cell r="M712"/>
          <cell r="N712"/>
          <cell r="O712"/>
          <cell r="P712"/>
        </row>
        <row r="713">
          <cell r="J713"/>
          <cell r="K713"/>
          <cell r="L713"/>
          <cell r="M713"/>
          <cell r="N713"/>
          <cell r="O713"/>
          <cell r="P713"/>
        </row>
        <row r="714">
          <cell r="J714"/>
          <cell r="K714"/>
          <cell r="L714"/>
          <cell r="M714"/>
          <cell r="N714"/>
          <cell r="O714"/>
          <cell r="P714"/>
        </row>
        <row r="715">
          <cell r="J715"/>
          <cell r="K715"/>
          <cell r="L715"/>
          <cell r="M715"/>
          <cell r="N715"/>
          <cell r="O715"/>
          <cell r="P715"/>
        </row>
        <row r="716">
          <cell r="J716"/>
          <cell r="K716"/>
          <cell r="L716"/>
          <cell r="M716"/>
          <cell r="N716"/>
          <cell r="O716"/>
          <cell r="P716"/>
        </row>
        <row r="717">
          <cell r="J717"/>
          <cell r="K717">
            <v>1</v>
          </cell>
          <cell r="L717">
            <v>1</v>
          </cell>
          <cell r="M717">
            <v>1</v>
          </cell>
          <cell r="N717">
            <v>1</v>
          </cell>
          <cell r="O717"/>
          <cell r="P717">
            <v>1</v>
          </cell>
        </row>
        <row r="718">
          <cell r="J718"/>
          <cell r="K718"/>
          <cell r="L718"/>
          <cell r="M718"/>
          <cell r="N718"/>
          <cell r="O718"/>
          <cell r="P718"/>
        </row>
        <row r="719">
          <cell r="J719"/>
          <cell r="K719"/>
          <cell r="L719"/>
          <cell r="M719"/>
          <cell r="N719"/>
          <cell r="O719"/>
          <cell r="P719"/>
        </row>
        <row r="720">
          <cell r="J720"/>
          <cell r="K720"/>
          <cell r="L720"/>
          <cell r="M720"/>
          <cell r="N720"/>
          <cell r="O720"/>
          <cell r="P720"/>
        </row>
        <row r="721">
          <cell r="J721"/>
          <cell r="K721"/>
          <cell r="L721"/>
          <cell r="M721"/>
          <cell r="N721"/>
          <cell r="O721"/>
          <cell r="P721"/>
        </row>
        <row r="722">
          <cell r="J722"/>
          <cell r="K722"/>
          <cell r="L722"/>
          <cell r="M722"/>
          <cell r="N722"/>
          <cell r="O722"/>
          <cell r="P722"/>
        </row>
        <row r="723">
          <cell r="J723"/>
          <cell r="K723"/>
          <cell r="L723"/>
          <cell r="M723"/>
          <cell r="N723"/>
          <cell r="O723"/>
          <cell r="P723"/>
        </row>
        <row r="724">
          <cell r="J724"/>
          <cell r="K724"/>
          <cell r="L724"/>
          <cell r="M724"/>
          <cell r="N724"/>
          <cell r="O724"/>
          <cell r="P724"/>
        </row>
        <row r="725">
          <cell r="J725"/>
          <cell r="K725"/>
          <cell r="L725"/>
          <cell r="M725"/>
          <cell r="N725"/>
          <cell r="O725"/>
          <cell r="P725"/>
        </row>
        <row r="726">
          <cell r="J726"/>
          <cell r="K726"/>
          <cell r="L726"/>
          <cell r="M726"/>
          <cell r="N726"/>
          <cell r="O726"/>
          <cell r="P726"/>
        </row>
        <row r="727">
          <cell r="J727"/>
          <cell r="K727"/>
          <cell r="L727"/>
          <cell r="M727"/>
          <cell r="N727"/>
          <cell r="O727"/>
          <cell r="P727"/>
        </row>
        <row r="728">
          <cell r="J728"/>
          <cell r="K728"/>
          <cell r="L728"/>
          <cell r="M728"/>
          <cell r="N728"/>
          <cell r="O728"/>
          <cell r="P728"/>
        </row>
        <row r="729">
          <cell r="J729"/>
          <cell r="K729"/>
          <cell r="L729"/>
          <cell r="M729"/>
          <cell r="N729"/>
          <cell r="O729"/>
          <cell r="P729"/>
        </row>
        <row r="730">
          <cell r="J730"/>
          <cell r="K730"/>
          <cell r="L730"/>
          <cell r="M730"/>
          <cell r="N730"/>
          <cell r="O730"/>
          <cell r="P730"/>
        </row>
        <row r="731">
          <cell r="J731"/>
          <cell r="K731"/>
          <cell r="L731"/>
          <cell r="M731"/>
          <cell r="N731"/>
          <cell r="O731"/>
          <cell r="P731"/>
        </row>
        <row r="732">
          <cell r="J732"/>
          <cell r="K732"/>
          <cell r="L732"/>
          <cell r="M732"/>
          <cell r="N732"/>
          <cell r="O732"/>
          <cell r="P732"/>
        </row>
        <row r="733">
          <cell r="J733"/>
          <cell r="K733"/>
          <cell r="L733"/>
          <cell r="M733"/>
          <cell r="N733"/>
          <cell r="O733"/>
          <cell r="P733"/>
        </row>
        <row r="734">
          <cell r="J734"/>
          <cell r="K734"/>
          <cell r="L734"/>
          <cell r="M734"/>
          <cell r="N734"/>
          <cell r="O734"/>
          <cell r="P734"/>
        </row>
        <row r="735">
          <cell r="J735"/>
          <cell r="K735"/>
          <cell r="L735"/>
          <cell r="M735"/>
          <cell r="N735"/>
          <cell r="O735"/>
          <cell r="P735"/>
        </row>
        <row r="736">
          <cell r="J736"/>
          <cell r="K736"/>
          <cell r="L736"/>
          <cell r="M736"/>
          <cell r="N736"/>
          <cell r="O736"/>
          <cell r="P736"/>
        </row>
        <row r="737">
          <cell r="J737"/>
          <cell r="K737"/>
          <cell r="L737"/>
          <cell r="M737"/>
          <cell r="N737"/>
          <cell r="O737"/>
          <cell r="P737"/>
        </row>
        <row r="738">
          <cell r="J738"/>
          <cell r="K738">
            <v>1</v>
          </cell>
          <cell r="L738">
            <v>1</v>
          </cell>
          <cell r="M738">
            <v>1</v>
          </cell>
          <cell r="N738">
            <v>1</v>
          </cell>
          <cell r="O738"/>
          <cell r="P738">
            <v>1</v>
          </cell>
        </row>
        <row r="739">
          <cell r="J739"/>
          <cell r="K739"/>
          <cell r="L739"/>
          <cell r="M739"/>
          <cell r="N739"/>
          <cell r="O739"/>
          <cell r="P739"/>
        </row>
        <row r="740">
          <cell r="J740"/>
          <cell r="K740"/>
          <cell r="L740"/>
          <cell r="M740"/>
          <cell r="N740"/>
          <cell r="O740"/>
          <cell r="P740"/>
        </row>
        <row r="741">
          <cell r="J741"/>
          <cell r="K741"/>
          <cell r="L741"/>
          <cell r="M741"/>
          <cell r="N741"/>
          <cell r="O741"/>
          <cell r="P741"/>
        </row>
        <row r="742">
          <cell r="J742"/>
          <cell r="K742"/>
          <cell r="L742"/>
          <cell r="M742"/>
          <cell r="N742"/>
          <cell r="O742"/>
          <cell r="P742"/>
        </row>
        <row r="743">
          <cell r="J743"/>
          <cell r="K743"/>
          <cell r="L743"/>
          <cell r="M743"/>
          <cell r="N743"/>
          <cell r="O743"/>
          <cell r="P743"/>
        </row>
        <row r="744">
          <cell r="J744"/>
          <cell r="K744"/>
          <cell r="L744"/>
          <cell r="M744"/>
          <cell r="N744"/>
          <cell r="O744"/>
          <cell r="P744"/>
        </row>
        <row r="745">
          <cell r="J745"/>
          <cell r="K745"/>
          <cell r="L745"/>
          <cell r="M745"/>
          <cell r="N745"/>
          <cell r="O745"/>
          <cell r="P745"/>
        </row>
        <row r="746">
          <cell r="J746"/>
          <cell r="K746"/>
          <cell r="L746"/>
          <cell r="M746"/>
          <cell r="N746"/>
          <cell r="O746"/>
          <cell r="P746"/>
        </row>
        <row r="747">
          <cell r="J747"/>
          <cell r="K747"/>
          <cell r="L747"/>
          <cell r="M747"/>
          <cell r="N747"/>
          <cell r="O747"/>
          <cell r="P747"/>
        </row>
        <row r="748">
          <cell r="J748"/>
          <cell r="K748"/>
          <cell r="L748"/>
          <cell r="M748"/>
          <cell r="N748"/>
          <cell r="O748"/>
          <cell r="P748"/>
        </row>
        <row r="749">
          <cell r="J749"/>
          <cell r="K749"/>
          <cell r="L749"/>
          <cell r="M749"/>
          <cell r="N749"/>
          <cell r="O749"/>
          <cell r="P749"/>
        </row>
        <row r="750">
          <cell r="J750"/>
          <cell r="K750"/>
          <cell r="L750"/>
          <cell r="M750"/>
          <cell r="N750"/>
          <cell r="O750"/>
          <cell r="P750"/>
        </row>
        <row r="751">
          <cell r="J751"/>
          <cell r="K751"/>
          <cell r="L751"/>
          <cell r="M751"/>
          <cell r="N751"/>
          <cell r="O751"/>
          <cell r="P751"/>
        </row>
        <row r="752">
          <cell r="J752"/>
          <cell r="K752"/>
          <cell r="L752"/>
          <cell r="M752"/>
          <cell r="N752"/>
          <cell r="O752"/>
          <cell r="P752"/>
        </row>
        <row r="753">
          <cell r="J753"/>
          <cell r="K753"/>
          <cell r="L753"/>
          <cell r="M753"/>
          <cell r="N753"/>
          <cell r="O753"/>
          <cell r="P753"/>
        </row>
        <row r="754">
          <cell r="J754"/>
          <cell r="K754"/>
          <cell r="L754"/>
          <cell r="M754"/>
          <cell r="N754"/>
          <cell r="O754"/>
          <cell r="P754"/>
        </row>
        <row r="755">
          <cell r="J755"/>
          <cell r="K755">
            <v>990</v>
          </cell>
          <cell r="L755">
            <v>990</v>
          </cell>
          <cell r="M755"/>
          <cell r="N755">
            <v>990</v>
          </cell>
          <cell r="O755">
            <v>990</v>
          </cell>
          <cell r="P755">
            <v>990</v>
          </cell>
        </row>
        <row r="756">
          <cell r="J756"/>
          <cell r="K756">
            <v>10</v>
          </cell>
          <cell r="L756">
            <v>10</v>
          </cell>
          <cell r="M756"/>
          <cell r="N756">
            <v>10</v>
          </cell>
          <cell r="O756">
            <v>10</v>
          </cell>
          <cell r="P756">
            <v>10</v>
          </cell>
        </row>
        <row r="757">
          <cell r="J757"/>
          <cell r="K757"/>
          <cell r="L757"/>
          <cell r="M757"/>
          <cell r="N757"/>
          <cell r="O757"/>
          <cell r="P757"/>
        </row>
        <row r="758">
          <cell r="J758"/>
          <cell r="K758"/>
          <cell r="L758"/>
          <cell r="M758"/>
          <cell r="N758"/>
          <cell r="O758"/>
          <cell r="P758"/>
        </row>
        <row r="759">
          <cell r="J759"/>
          <cell r="K759">
            <v>4.9999999999999995E-11</v>
          </cell>
          <cell r="L759">
            <v>4.9999999999999995E-11</v>
          </cell>
          <cell r="M759">
            <v>4.9999999999999995E-11</v>
          </cell>
          <cell r="N759">
            <v>4.9999999999999995E-11</v>
          </cell>
          <cell r="O759">
            <v>4.9999999999999995E-11</v>
          </cell>
          <cell r="P759"/>
        </row>
        <row r="760">
          <cell r="J760"/>
          <cell r="K760">
            <v>9.9999999999999995E-21</v>
          </cell>
          <cell r="L760">
            <v>9.9999999999999995E-21</v>
          </cell>
          <cell r="M760">
            <v>9.9999999999999995E-21</v>
          </cell>
          <cell r="N760">
            <v>9.9999999999999995E-21</v>
          </cell>
          <cell r="O760">
            <v>9.9999999999999995E-21</v>
          </cell>
          <cell r="P760"/>
        </row>
        <row r="761">
          <cell r="J761"/>
          <cell r="K761"/>
          <cell r="L761"/>
          <cell r="M761"/>
          <cell r="N761"/>
          <cell r="O761"/>
          <cell r="P761"/>
        </row>
        <row r="762">
          <cell r="J762"/>
          <cell r="K762"/>
          <cell r="L762"/>
          <cell r="M762"/>
          <cell r="N762"/>
          <cell r="O762"/>
          <cell r="P762"/>
        </row>
        <row r="763">
          <cell r="J763"/>
          <cell r="K763"/>
          <cell r="L763"/>
          <cell r="M763"/>
          <cell r="N763"/>
          <cell r="O763"/>
          <cell r="P763"/>
        </row>
        <row r="764">
          <cell r="J764"/>
          <cell r="K764"/>
          <cell r="L764"/>
          <cell r="M764"/>
          <cell r="N764"/>
          <cell r="O764"/>
          <cell r="P764"/>
        </row>
        <row r="765">
          <cell r="J765"/>
          <cell r="K765"/>
          <cell r="L765"/>
          <cell r="M765"/>
          <cell r="N765"/>
          <cell r="O765"/>
          <cell r="P765"/>
        </row>
        <row r="766">
          <cell r="J766"/>
          <cell r="K766"/>
          <cell r="L766"/>
          <cell r="M766"/>
          <cell r="N766"/>
          <cell r="O766"/>
          <cell r="P766"/>
        </row>
        <row r="767">
          <cell r="J767"/>
          <cell r="K767"/>
          <cell r="L767"/>
          <cell r="M767"/>
          <cell r="N767"/>
          <cell r="O767"/>
          <cell r="P767"/>
        </row>
        <row r="768">
          <cell r="J768"/>
          <cell r="K768"/>
          <cell r="L768"/>
          <cell r="M768"/>
          <cell r="N768"/>
          <cell r="O768"/>
          <cell r="P768"/>
        </row>
        <row r="769">
          <cell r="J769"/>
          <cell r="K769"/>
          <cell r="L769"/>
          <cell r="M769"/>
          <cell r="N769"/>
          <cell r="O769"/>
          <cell r="P769"/>
        </row>
        <row r="770">
          <cell r="J770"/>
          <cell r="K770"/>
          <cell r="L770"/>
          <cell r="M770"/>
          <cell r="N770"/>
          <cell r="O770"/>
          <cell r="P770"/>
        </row>
        <row r="771">
          <cell r="J771"/>
          <cell r="K771">
            <v>9.9999999999999995E-21</v>
          </cell>
          <cell r="L771">
            <v>9.9999999999999995E-21</v>
          </cell>
          <cell r="M771"/>
          <cell r="N771">
            <v>9.9999999999999995E-21</v>
          </cell>
          <cell r="O771">
            <v>9.9999999999999995E-21</v>
          </cell>
          <cell r="P771">
            <v>9.9999999999999995E-21</v>
          </cell>
        </row>
        <row r="772">
          <cell r="J772"/>
          <cell r="K772">
            <v>50497524.691810384</v>
          </cell>
          <cell r="L772">
            <v>50497524.691810384</v>
          </cell>
          <cell r="M772"/>
          <cell r="N772">
            <v>50497524.691810384</v>
          </cell>
          <cell r="O772">
            <v>50497524.691810384</v>
          </cell>
          <cell r="P772">
            <v>50497524.691810384</v>
          </cell>
        </row>
        <row r="773">
          <cell r="J773"/>
          <cell r="K773"/>
          <cell r="L773"/>
          <cell r="M773"/>
          <cell r="N773"/>
          <cell r="O773"/>
          <cell r="P773"/>
        </row>
        <row r="774">
          <cell r="J774"/>
          <cell r="K774"/>
          <cell r="L774"/>
          <cell r="M774"/>
          <cell r="N774"/>
          <cell r="O774"/>
          <cell r="P774"/>
        </row>
        <row r="775">
          <cell r="J775"/>
          <cell r="K775"/>
          <cell r="L775"/>
          <cell r="M775"/>
          <cell r="N775"/>
          <cell r="O775"/>
          <cell r="P775"/>
        </row>
        <row r="776">
          <cell r="J776"/>
          <cell r="K776"/>
          <cell r="L776"/>
          <cell r="M776"/>
          <cell r="N776"/>
          <cell r="O776"/>
          <cell r="P776"/>
        </row>
        <row r="777">
          <cell r="J777"/>
          <cell r="K777"/>
          <cell r="L777"/>
          <cell r="M777"/>
          <cell r="N777"/>
          <cell r="O777"/>
          <cell r="P777"/>
        </row>
        <row r="778">
          <cell r="J778"/>
          <cell r="K778"/>
          <cell r="L778"/>
          <cell r="M778"/>
          <cell r="N778"/>
          <cell r="O778"/>
          <cell r="P778"/>
        </row>
        <row r="779">
          <cell r="J779"/>
          <cell r="K779"/>
          <cell r="L779"/>
          <cell r="M779"/>
          <cell r="N779"/>
          <cell r="O779"/>
          <cell r="P779"/>
        </row>
        <row r="780">
          <cell r="J780"/>
          <cell r="K780">
            <v>0.99999998744829566</v>
          </cell>
          <cell r="L780">
            <v>0.99999998744829566</v>
          </cell>
          <cell r="M780">
            <v>0.99999998744829566</v>
          </cell>
          <cell r="N780">
            <v>0.99999998744829566</v>
          </cell>
          <cell r="O780">
            <v>0.99999998744829566</v>
          </cell>
          <cell r="P780"/>
        </row>
        <row r="781">
          <cell r="J781"/>
          <cell r="K781"/>
          <cell r="L781"/>
          <cell r="M781"/>
          <cell r="N781"/>
          <cell r="O781"/>
          <cell r="P781"/>
        </row>
        <row r="782">
          <cell r="J782"/>
          <cell r="K782">
            <v>1.2551704337278116E-8</v>
          </cell>
          <cell r="L782">
            <v>1.2551704337278116E-8</v>
          </cell>
          <cell r="M782">
            <v>1.2551704337278116E-8</v>
          </cell>
          <cell r="N782">
            <v>1.2551704337278116E-8</v>
          </cell>
          <cell r="O782">
            <v>1.2551704337278116E-8</v>
          </cell>
          <cell r="P782"/>
        </row>
        <row r="783">
          <cell r="J783"/>
          <cell r="K783"/>
          <cell r="L783"/>
          <cell r="M783"/>
          <cell r="N783"/>
          <cell r="O783"/>
          <cell r="P783"/>
        </row>
        <row r="784">
          <cell r="J784"/>
          <cell r="K784"/>
          <cell r="L784"/>
          <cell r="M784"/>
          <cell r="N784"/>
          <cell r="O784"/>
          <cell r="P784"/>
        </row>
        <row r="785">
          <cell r="J785"/>
          <cell r="K785"/>
          <cell r="L785"/>
          <cell r="M785"/>
          <cell r="N785"/>
          <cell r="O785"/>
          <cell r="P785"/>
        </row>
        <row r="786">
          <cell r="J786"/>
          <cell r="K786"/>
          <cell r="L786"/>
          <cell r="M786"/>
          <cell r="N786"/>
          <cell r="O786"/>
          <cell r="P786"/>
        </row>
        <row r="787">
          <cell r="J787"/>
          <cell r="K787">
            <v>0.99995978797120633</v>
          </cell>
          <cell r="L787">
            <v>0.99995978797120633</v>
          </cell>
          <cell r="M787">
            <v>0.99995978797120633</v>
          </cell>
          <cell r="N787">
            <v>0.99995978797120633</v>
          </cell>
          <cell r="O787">
            <v>0.99995978797120633</v>
          </cell>
          <cell r="P787"/>
        </row>
        <row r="788">
          <cell r="J788"/>
          <cell r="K788">
            <v>0.99995978797120633</v>
          </cell>
          <cell r="L788">
            <v>0.99995978797120633</v>
          </cell>
          <cell r="M788">
            <v>0.99995978797120633</v>
          </cell>
          <cell r="N788">
            <v>0.99995978797120633</v>
          </cell>
          <cell r="O788">
            <v>0.99995978797120633</v>
          </cell>
          <cell r="P788"/>
        </row>
        <row r="789">
          <cell r="J789"/>
          <cell r="K789"/>
          <cell r="L789"/>
          <cell r="M789"/>
          <cell r="N789"/>
          <cell r="O789"/>
          <cell r="P789"/>
        </row>
        <row r="790">
          <cell r="J790"/>
          <cell r="K790"/>
          <cell r="L790"/>
          <cell r="M790"/>
          <cell r="N790"/>
          <cell r="O790"/>
          <cell r="P790"/>
        </row>
        <row r="791">
          <cell r="J791"/>
          <cell r="K791"/>
          <cell r="L791"/>
          <cell r="M791"/>
          <cell r="N791"/>
          <cell r="O791"/>
          <cell r="P791"/>
        </row>
        <row r="792">
          <cell r="J792"/>
          <cell r="K792"/>
          <cell r="L792"/>
          <cell r="M792"/>
          <cell r="N792"/>
          <cell r="O792"/>
          <cell r="P792"/>
        </row>
        <row r="793">
          <cell r="J793"/>
          <cell r="K793"/>
          <cell r="L793"/>
          <cell r="M793"/>
          <cell r="N793"/>
          <cell r="O793"/>
          <cell r="P793"/>
        </row>
        <row r="794">
          <cell r="J794"/>
          <cell r="K794"/>
          <cell r="L794"/>
          <cell r="M794"/>
          <cell r="N794"/>
          <cell r="O794"/>
          <cell r="P794"/>
        </row>
        <row r="795">
          <cell r="J795"/>
          <cell r="K795"/>
          <cell r="L795"/>
          <cell r="M795"/>
          <cell r="N795"/>
          <cell r="O795"/>
          <cell r="P795"/>
        </row>
        <row r="796">
          <cell r="J796"/>
          <cell r="K796"/>
          <cell r="L796"/>
          <cell r="M796"/>
          <cell r="N796"/>
          <cell r="O796"/>
          <cell r="P796"/>
        </row>
        <row r="797">
          <cell r="J797"/>
          <cell r="K797"/>
          <cell r="L797"/>
          <cell r="M797"/>
          <cell r="N797"/>
          <cell r="O797"/>
          <cell r="P797"/>
        </row>
        <row r="798">
          <cell r="J798"/>
          <cell r="K798"/>
          <cell r="L798"/>
          <cell r="M798"/>
          <cell r="N798"/>
          <cell r="O798"/>
          <cell r="P798"/>
        </row>
        <row r="799">
          <cell r="J799"/>
          <cell r="K799"/>
          <cell r="L799"/>
          <cell r="M799"/>
          <cell r="N799"/>
          <cell r="O799"/>
          <cell r="P799"/>
        </row>
        <row r="800">
          <cell r="J800"/>
          <cell r="K800"/>
          <cell r="L800"/>
          <cell r="M800"/>
          <cell r="N800"/>
          <cell r="O800"/>
          <cell r="P800"/>
        </row>
        <row r="801">
          <cell r="J801"/>
          <cell r="K801"/>
          <cell r="L801"/>
          <cell r="M801"/>
          <cell r="N801"/>
          <cell r="O801"/>
          <cell r="P801"/>
        </row>
        <row r="802">
          <cell r="J802"/>
          <cell r="K802"/>
          <cell r="L802"/>
          <cell r="M802"/>
          <cell r="N802"/>
          <cell r="O802"/>
          <cell r="P802"/>
        </row>
        <row r="803">
          <cell r="J803"/>
          <cell r="K803"/>
          <cell r="L803"/>
          <cell r="M803"/>
          <cell r="N803"/>
          <cell r="O803"/>
          <cell r="P803"/>
        </row>
        <row r="804">
          <cell r="J804"/>
          <cell r="K804"/>
          <cell r="L804"/>
          <cell r="M804"/>
          <cell r="N804"/>
          <cell r="O804"/>
          <cell r="P804"/>
        </row>
        <row r="805">
          <cell r="J805"/>
          <cell r="K805"/>
          <cell r="L805"/>
          <cell r="M805"/>
          <cell r="N805"/>
          <cell r="O805"/>
          <cell r="P805"/>
        </row>
        <row r="806">
          <cell r="J806"/>
          <cell r="K806"/>
          <cell r="L806"/>
          <cell r="M806"/>
          <cell r="N806"/>
          <cell r="O806"/>
          <cell r="P806"/>
        </row>
        <row r="807">
          <cell r="J807"/>
          <cell r="K807"/>
          <cell r="L807"/>
          <cell r="M807"/>
          <cell r="N807"/>
          <cell r="O807"/>
          <cell r="P807"/>
        </row>
        <row r="808">
          <cell r="J808"/>
          <cell r="K808"/>
          <cell r="L808"/>
          <cell r="M808"/>
          <cell r="N808"/>
          <cell r="O808"/>
          <cell r="P808"/>
        </row>
        <row r="809">
          <cell r="J809"/>
          <cell r="K809"/>
          <cell r="L809"/>
          <cell r="M809"/>
          <cell r="N809"/>
          <cell r="O809"/>
          <cell r="P809"/>
        </row>
        <row r="810">
          <cell r="J810"/>
          <cell r="K810">
            <v>7.925247073333071E-9</v>
          </cell>
          <cell r="L810">
            <v>7.925247073333071E-9</v>
          </cell>
          <cell r="M810">
            <v>7.925247073333071E-9</v>
          </cell>
          <cell r="N810">
            <v>7.925247073333071E-9</v>
          </cell>
          <cell r="O810">
            <v>7.925247073333071E-9</v>
          </cell>
          <cell r="P810"/>
        </row>
        <row r="811">
          <cell r="J811"/>
          <cell r="K811">
            <v>1.1865986130648293E-10</v>
          </cell>
          <cell r="L811">
            <v>1.1865986130648293E-10</v>
          </cell>
          <cell r="M811">
            <v>1.1865986130648293E-10</v>
          </cell>
          <cell r="N811">
            <v>1.1865986130648293E-10</v>
          </cell>
          <cell r="O811">
            <v>1.1865986130648293E-10</v>
          </cell>
          <cell r="P811"/>
        </row>
        <row r="812">
          <cell r="J812"/>
          <cell r="K812"/>
          <cell r="L812"/>
          <cell r="M812"/>
          <cell r="N812"/>
          <cell r="O812"/>
          <cell r="P812"/>
        </row>
        <row r="813">
          <cell r="J813"/>
          <cell r="K813"/>
          <cell r="L813"/>
          <cell r="M813"/>
          <cell r="N813"/>
          <cell r="O813"/>
          <cell r="P813"/>
        </row>
        <row r="814">
          <cell r="J814"/>
          <cell r="K814"/>
          <cell r="L814"/>
          <cell r="M814"/>
          <cell r="N814"/>
          <cell r="O814"/>
          <cell r="P814"/>
        </row>
        <row r="815">
          <cell r="J815"/>
          <cell r="K815"/>
          <cell r="L815"/>
          <cell r="M815"/>
          <cell r="N815"/>
          <cell r="O815"/>
          <cell r="P815"/>
        </row>
        <row r="816">
          <cell r="J816"/>
          <cell r="K816"/>
          <cell r="L816"/>
          <cell r="M816"/>
          <cell r="N816"/>
          <cell r="O816"/>
          <cell r="P816"/>
        </row>
        <row r="817">
          <cell r="J817"/>
          <cell r="K817"/>
          <cell r="L817"/>
          <cell r="M817"/>
          <cell r="N817"/>
          <cell r="O817"/>
          <cell r="P817"/>
        </row>
        <row r="818">
          <cell r="J818"/>
          <cell r="K818"/>
          <cell r="L818"/>
          <cell r="M818"/>
          <cell r="N818"/>
          <cell r="O818"/>
          <cell r="P818"/>
        </row>
        <row r="819">
          <cell r="J819"/>
          <cell r="K819"/>
          <cell r="L819"/>
          <cell r="M819"/>
          <cell r="N819"/>
          <cell r="O819"/>
          <cell r="P819"/>
        </row>
        <row r="820">
          <cell r="J820"/>
          <cell r="K820">
            <v>1.947842112399692E-13</v>
          </cell>
          <cell r="L820">
            <v>1.947842112399692E-13</v>
          </cell>
          <cell r="M820">
            <v>1.947842112399692E-13</v>
          </cell>
          <cell r="N820">
            <v>1.947842112399692E-13</v>
          </cell>
          <cell r="O820">
            <v>1.947842112399692E-13</v>
          </cell>
          <cell r="P820"/>
        </row>
        <row r="821">
          <cell r="J821"/>
          <cell r="K821">
            <v>3.4030926788430896E-13</v>
          </cell>
          <cell r="L821">
            <v>3.4030926788430896E-13</v>
          </cell>
          <cell r="M821">
            <v>3.4030926788430896E-13</v>
          </cell>
          <cell r="N821">
            <v>3.4030926788430896E-13</v>
          </cell>
          <cell r="O821">
            <v>3.4030926788430896E-13</v>
          </cell>
          <cell r="P821"/>
        </row>
        <row r="822">
          <cell r="J822"/>
          <cell r="K822">
            <v>1.6888203978994044E-8</v>
          </cell>
          <cell r="L822">
            <v>1.6888203978994044E-8</v>
          </cell>
          <cell r="M822">
            <v>1.6888203978994044E-8</v>
          </cell>
          <cell r="N822">
            <v>1.6888203978994044E-8</v>
          </cell>
          <cell r="O822">
            <v>1.6888203978994044E-8</v>
          </cell>
          <cell r="P822"/>
        </row>
        <row r="823">
          <cell r="J823"/>
          <cell r="K823"/>
          <cell r="L823"/>
          <cell r="M823"/>
          <cell r="N823"/>
          <cell r="O823"/>
          <cell r="P823"/>
        </row>
        <row r="824">
          <cell r="J824"/>
          <cell r="K824"/>
          <cell r="L824"/>
          <cell r="M824"/>
          <cell r="N824"/>
          <cell r="O824"/>
          <cell r="P824"/>
        </row>
        <row r="825">
          <cell r="J825"/>
          <cell r="K825"/>
          <cell r="L825"/>
          <cell r="M825"/>
          <cell r="N825"/>
          <cell r="O825"/>
          <cell r="P825"/>
        </row>
        <row r="826">
          <cell r="J826"/>
          <cell r="K826"/>
          <cell r="L826"/>
          <cell r="M826"/>
          <cell r="N826"/>
          <cell r="O826"/>
          <cell r="P826"/>
        </row>
        <row r="827">
          <cell r="J827"/>
          <cell r="K827"/>
          <cell r="L827"/>
          <cell r="M827"/>
          <cell r="N827"/>
          <cell r="O827"/>
          <cell r="P827"/>
        </row>
        <row r="828">
          <cell r="J828"/>
          <cell r="K828"/>
          <cell r="L828"/>
          <cell r="M828"/>
          <cell r="N828"/>
          <cell r="O828"/>
          <cell r="P828"/>
        </row>
        <row r="829">
          <cell r="J829"/>
          <cell r="K829"/>
          <cell r="L829"/>
          <cell r="M829"/>
          <cell r="N829"/>
          <cell r="O829"/>
          <cell r="P829"/>
        </row>
        <row r="830">
          <cell r="J830"/>
          <cell r="K830"/>
          <cell r="L830"/>
          <cell r="M830"/>
          <cell r="N830"/>
          <cell r="O830"/>
          <cell r="P830"/>
        </row>
        <row r="831">
          <cell r="J831"/>
          <cell r="K831"/>
          <cell r="L831"/>
          <cell r="M831"/>
          <cell r="N831"/>
          <cell r="O831"/>
          <cell r="P831"/>
        </row>
        <row r="832">
          <cell r="J832"/>
          <cell r="K832"/>
          <cell r="L832"/>
          <cell r="M832"/>
          <cell r="N832"/>
          <cell r="O832"/>
          <cell r="P832"/>
        </row>
        <row r="833">
          <cell r="J833"/>
          <cell r="K833"/>
          <cell r="L833"/>
          <cell r="M833"/>
          <cell r="N833"/>
          <cell r="O833"/>
          <cell r="P833"/>
        </row>
        <row r="834">
          <cell r="J834"/>
          <cell r="K834">
            <v>2.799723603513301E-9</v>
          </cell>
          <cell r="L834">
            <v>2.799723603513301E-9</v>
          </cell>
          <cell r="M834">
            <v>2.799723603513301E-9</v>
          </cell>
          <cell r="N834">
            <v>2.799723603513301E-9</v>
          </cell>
          <cell r="O834"/>
          <cell r="P834">
            <v>2.799723603513301E-9</v>
          </cell>
        </row>
        <row r="835">
          <cell r="J835"/>
          <cell r="K835">
            <v>1</v>
          </cell>
          <cell r="L835">
            <v>1</v>
          </cell>
          <cell r="M835">
            <v>1</v>
          </cell>
          <cell r="N835">
            <v>1</v>
          </cell>
          <cell r="O835"/>
          <cell r="P835">
            <v>1</v>
          </cell>
        </row>
        <row r="836">
          <cell r="J836"/>
          <cell r="K836"/>
          <cell r="L836"/>
          <cell r="M836"/>
          <cell r="N836"/>
          <cell r="O836"/>
          <cell r="P836"/>
        </row>
        <row r="837">
          <cell r="J837"/>
          <cell r="K837"/>
          <cell r="L837"/>
          <cell r="M837"/>
          <cell r="N837"/>
          <cell r="O837"/>
          <cell r="P837"/>
        </row>
        <row r="838">
          <cell r="J838"/>
          <cell r="K838"/>
          <cell r="L838"/>
          <cell r="M838"/>
          <cell r="N838"/>
          <cell r="O838"/>
          <cell r="P838"/>
        </row>
        <row r="839">
          <cell r="J839"/>
          <cell r="K839"/>
          <cell r="L839"/>
          <cell r="M839"/>
          <cell r="N839"/>
          <cell r="O839"/>
          <cell r="P839"/>
        </row>
        <row r="840">
          <cell r="J840"/>
          <cell r="K840"/>
          <cell r="L840"/>
          <cell r="M840"/>
          <cell r="N840"/>
          <cell r="O840"/>
          <cell r="P840"/>
        </row>
        <row r="841">
          <cell r="J841"/>
          <cell r="K841"/>
          <cell r="L841"/>
          <cell r="M841"/>
          <cell r="N841"/>
          <cell r="O841"/>
          <cell r="P841"/>
        </row>
        <row r="842">
          <cell r="J842"/>
          <cell r="K842"/>
          <cell r="L842"/>
          <cell r="M842"/>
          <cell r="N842"/>
          <cell r="O842"/>
          <cell r="P842"/>
        </row>
        <row r="843">
          <cell r="J843"/>
          <cell r="K843"/>
          <cell r="L843"/>
          <cell r="M843"/>
          <cell r="N843"/>
          <cell r="O843"/>
          <cell r="P843"/>
        </row>
        <row r="844">
          <cell r="J844"/>
          <cell r="K844"/>
          <cell r="L844"/>
          <cell r="M844"/>
          <cell r="N844"/>
          <cell r="O844"/>
          <cell r="P844"/>
        </row>
        <row r="845">
          <cell r="J845"/>
          <cell r="K845"/>
          <cell r="L845"/>
          <cell r="M845"/>
          <cell r="N845"/>
          <cell r="O845"/>
          <cell r="P845"/>
        </row>
        <row r="846">
          <cell r="J846"/>
          <cell r="K846"/>
          <cell r="L846"/>
          <cell r="M846"/>
          <cell r="N846"/>
          <cell r="O846"/>
          <cell r="P846"/>
        </row>
        <row r="847">
          <cell r="J847"/>
          <cell r="K847"/>
          <cell r="L847"/>
          <cell r="M847"/>
          <cell r="N847"/>
          <cell r="O847"/>
          <cell r="P847"/>
        </row>
        <row r="848">
          <cell r="J848"/>
          <cell r="K848"/>
          <cell r="L848"/>
          <cell r="M848"/>
          <cell r="N848"/>
          <cell r="O848"/>
          <cell r="P848"/>
        </row>
        <row r="849">
          <cell r="J849"/>
          <cell r="K849"/>
          <cell r="L849"/>
          <cell r="M849"/>
          <cell r="N849"/>
          <cell r="O849"/>
          <cell r="P849"/>
        </row>
        <row r="850">
          <cell r="J850"/>
          <cell r="K850"/>
          <cell r="L850"/>
          <cell r="M850"/>
          <cell r="N850"/>
          <cell r="O850"/>
          <cell r="P850"/>
        </row>
        <row r="851">
          <cell r="J851"/>
          <cell r="K851"/>
          <cell r="L851"/>
          <cell r="M851"/>
          <cell r="N851"/>
          <cell r="O851"/>
          <cell r="P851"/>
        </row>
        <row r="852">
          <cell r="J852"/>
          <cell r="K852"/>
          <cell r="L852"/>
          <cell r="M852"/>
          <cell r="N852"/>
          <cell r="O852"/>
          <cell r="P852"/>
        </row>
        <row r="853">
          <cell r="J853"/>
          <cell r="K853">
            <v>1</v>
          </cell>
          <cell r="L853">
            <v>1</v>
          </cell>
          <cell r="M853">
            <v>1</v>
          </cell>
          <cell r="N853">
            <v>1</v>
          </cell>
          <cell r="O853"/>
          <cell r="P853">
            <v>1</v>
          </cell>
        </row>
        <row r="854">
          <cell r="J854"/>
          <cell r="K854"/>
          <cell r="L854"/>
          <cell r="M854"/>
          <cell r="N854"/>
          <cell r="O854"/>
          <cell r="P854"/>
        </row>
        <row r="855">
          <cell r="J855"/>
          <cell r="K855"/>
          <cell r="L855"/>
          <cell r="M855"/>
          <cell r="N855"/>
          <cell r="O855"/>
          <cell r="P855"/>
        </row>
        <row r="856">
          <cell r="J856"/>
          <cell r="K856"/>
          <cell r="L856"/>
          <cell r="M856"/>
          <cell r="N856"/>
          <cell r="O856"/>
          <cell r="P856"/>
        </row>
        <row r="857">
          <cell r="J857"/>
          <cell r="K857"/>
          <cell r="L857"/>
          <cell r="M857"/>
          <cell r="N857"/>
          <cell r="O857"/>
          <cell r="P857"/>
        </row>
        <row r="858">
          <cell r="J858"/>
          <cell r="K858"/>
          <cell r="L858"/>
          <cell r="M858"/>
          <cell r="N858"/>
          <cell r="O858"/>
          <cell r="P858"/>
        </row>
        <row r="859">
          <cell r="J859"/>
          <cell r="K859"/>
          <cell r="L859"/>
          <cell r="M859"/>
          <cell r="N859"/>
          <cell r="O859"/>
          <cell r="P859"/>
        </row>
        <row r="860">
          <cell r="J860"/>
          <cell r="K860"/>
          <cell r="L860"/>
          <cell r="M860"/>
          <cell r="N860"/>
          <cell r="O860"/>
          <cell r="P860"/>
        </row>
        <row r="861">
          <cell r="J861"/>
          <cell r="K861"/>
          <cell r="L861"/>
          <cell r="M861"/>
          <cell r="N861"/>
          <cell r="O861"/>
          <cell r="P861"/>
        </row>
        <row r="862">
          <cell r="J862"/>
          <cell r="K862"/>
          <cell r="L862"/>
          <cell r="M862"/>
          <cell r="N862"/>
          <cell r="O862"/>
          <cell r="P862"/>
        </row>
        <row r="863">
          <cell r="J863"/>
          <cell r="K863"/>
          <cell r="L863"/>
          <cell r="M863"/>
          <cell r="N863"/>
          <cell r="O863"/>
          <cell r="P863"/>
        </row>
        <row r="864">
          <cell r="J864"/>
          <cell r="K864"/>
          <cell r="L864"/>
          <cell r="M864"/>
          <cell r="N864"/>
          <cell r="O864"/>
          <cell r="P864"/>
        </row>
        <row r="865">
          <cell r="J865"/>
          <cell r="K865"/>
          <cell r="L865"/>
          <cell r="M865"/>
          <cell r="N865"/>
          <cell r="O865"/>
          <cell r="P865"/>
        </row>
        <row r="866">
          <cell r="J866"/>
          <cell r="K866"/>
          <cell r="L866"/>
          <cell r="M866"/>
          <cell r="N866"/>
          <cell r="O866"/>
          <cell r="P866"/>
        </row>
        <row r="867">
          <cell r="J867"/>
          <cell r="K867"/>
          <cell r="L867"/>
          <cell r="M867"/>
          <cell r="N867"/>
          <cell r="O867"/>
          <cell r="P867"/>
        </row>
        <row r="868">
          <cell r="J868"/>
          <cell r="K868"/>
          <cell r="L868"/>
          <cell r="M868"/>
          <cell r="N868"/>
          <cell r="O868"/>
          <cell r="P868"/>
        </row>
        <row r="869">
          <cell r="J869"/>
          <cell r="K869"/>
          <cell r="L869"/>
          <cell r="M869"/>
          <cell r="N869"/>
          <cell r="O869"/>
          <cell r="P869"/>
        </row>
        <row r="870">
          <cell r="J870"/>
          <cell r="K870"/>
          <cell r="L870"/>
          <cell r="M870"/>
          <cell r="N870"/>
          <cell r="O870"/>
          <cell r="P870"/>
        </row>
        <row r="871">
          <cell r="J871"/>
          <cell r="K871"/>
          <cell r="L871"/>
          <cell r="M871"/>
          <cell r="N871"/>
          <cell r="O871"/>
          <cell r="P871"/>
        </row>
        <row r="872">
          <cell r="J872"/>
          <cell r="K872"/>
          <cell r="L872"/>
          <cell r="M872"/>
          <cell r="N872"/>
          <cell r="O872"/>
          <cell r="P872"/>
        </row>
        <row r="873">
          <cell r="J873"/>
          <cell r="K873"/>
          <cell r="L873"/>
          <cell r="M873"/>
          <cell r="N873"/>
          <cell r="O873"/>
          <cell r="P873"/>
        </row>
        <row r="874">
          <cell r="J874"/>
          <cell r="K874">
            <v>1</v>
          </cell>
          <cell r="L874">
            <v>1</v>
          </cell>
          <cell r="M874">
            <v>1</v>
          </cell>
          <cell r="N874">
            <v>1</v>
          </cell>
          <cell r="O874"/>
          <cell r="P874">
            <v>1</v>
          </cell>
        </row>
        <row r="875">
          <cell r="J875"/>
          <cell r="K875"/>
          <cell r="L875"/>
          <cell r="M875"/>
          <cell r="N875"/>
          <cell r="O875"/>
          <cell r="P875"/>
        </row>
        <row r="876">
          <cell r="J876"/>
          <cell r="K876"/>
          <cell r="L876"/>
          <cell r="M876"/>
          <cell r="N876"/>
          <cell r="O876"/>
          <cell r="P876"/>
        </row>
        <row r="877">
          <cell r="J877"/>
          <cell r="K877"/>
          <cell r="L877"/>
          <cell r="M877"/>
          <cell r="N877"/>
          <cell r="O877"/>
          <cell r="P877"/>
        </row>
        <row r="878">
          <cell r="J878"/>
          <cell r="K878"/>
          <cell r="L878"/>
          <cell r="M878"/>
          <cell r="N878"/>
          <cell r="O878"/>
          <cell r="P878"/>
        </row>
        <row r="879">
          <cell r="J879"/>
          <cell r="K879"/>
          <cell r="L879"/>
          <cell r="M879"/>
          <cell r="N879"/>
          <cell r="O879"/>
          <cell r="P879"/>
        </row>
        <row r="880">
          <cell r="J880"/>
          <cell r="K880"/>
          <cell r="L880"/>
          <cell r="M880"/>
          <cell r="N880"/>
          <cell r="O880"/>
          <cell r="P880"/>
        </row>
        <row r="881">
          <cell r="J881"/>
          <cell r="K881"/>
          <cell r="L881"/>
          <cell r="M881"/>
          <cell r="N881"/>
          <cell r="O881"/>
          <cell r="P881"/>
        </row>
        <row r="882">
          <cell r="J882"/>
          <cell r="K882"/>
          <cell r="L882"/>
          <cell r="M882"/>
          <cell r="N882"/>
          <cell r="O882"/>
          <cell r="P882"/>
        </row>
        <row r="883">
          <cell r="J883"/>
          <cell r="K883"/>
          <cell r="L883"/>
          <cell r="M883"/>
          <cell r="N883"/>
          <cell r="O883"/>
          <cell r="P883"/>
        </row>
        <row r="884">
          <cell r="J884"/>
          <cell r="K884"/>
          <cell r="L884"/>
          <cell r="M884"/>
          <cell r="N884"/>
          <cell r="O884"/>
          <cell r="P884"/>
        </row>
        <row r="885">
          <cell r="J885"/>
          <cell r="K885"/>
          <cell r="L885"/>
          <cell r="M885"/>
          <cell r="N885"/>
          <cell r="O885"/>
          <cell r="P885"/>
        </row>
        <row r="886">
          <cell r="J886"/>
          <cell r="K886"/>
          <cell r="L886"/>
          <cell r="M886"/>
          <cell r="N886"/>
          <cell r="O886"/>
          <cell r="P886"/>
        </row>
        <row r="887">
          <cell r="J887"/>
          <cell r="K887"/>
          <cell r="L887"/>
          <cell r="M887"/>
          <cell r="N887"/>
          <cell r="O887"/>
          <cell r="P887"/>
        </row>
        <row r="888">
          <cell r="J888"/>
          <cell r="K888"/>
          <cell r="L888"/>
          <cell r="M888"/>
          <cell r="N888"/>
          <cell r="O888"/>
          <cell r="P888"/>
        </row>
        <row r="889">
          <cell r="J889"/>
          <cell r="K889"/>
          <cell r="L889"/>
          <cell r="M889"/>
          <cell r="N889"/>
          <cell r="O889"/>
          <cell r="P889"/>
        </row>
        <row r="890">
          <cell r="J890"/>
          <cell r="K890"/>
          <cell r="L890"/>
          <cell r="M890"/>
          <cell r="N890"/>
          <cell r="O890"/>
          <cell r="P890"/>
        </row>
        <row r="891">
          <cell r="J891"/>
          <cell r="K891">
            <v>990</v>
          </cell>
          <cell r="L891">
            <v>990</v>
          </cell>
          <cell r="M891"/>
          <cell r="N891">
            <v>990</v>
          </cell>
          <cell r="O891">
            <v>990</v>
          </cell>
          <cell r="P891">
            <v>990</v>
          </cell>
        </row>
        <row r="892">
          <cell r="J892"/>
          <cell r="K892">
            <v>10</v>
          </cell>
          <cell r="L892">
            <v>10</v>
          </cell>
          <cell r="M892"/>
          <cell r="N892">
            <v>10</v>
          </cell>
          <cell r="O892">
            <v>10</v>
          </cell>
          <cell r="P892">
            <v>10</v>
          </cell>
        </row>
        <row r="893">
          <cell r="J893"/>
          <cell r="K893"/>
          <cell r="L893"/>
          <cell r="M893"/>
          <cell r="N893"/>
          <cell r="O893"/>
          <cell r="P893"/>
        </row>
        <row r="894">
          <cell r="J894"/>
          <cell r="K894"/>
          <cell r="L894"/>
          <cell r="M894"/>
          <cell r="N894"/>
          <cell r="O894"/>
          <cell r="P894"/>
        </row>
        <row r="895">
          <cell r="J895"/>
          <cell r="K895">
            <v>4.9999999999999995E-11</v>
          </cell>
          <cell r="L895">
            <v>4.9999999999999995E-11</v>
          </cell>
          <cell r="M895">
            <v>4.9999999999999995E-11</v>
          </cell>
          <cell r="N895">
            <v>4.9999999999999995E-11</v>
          </cell>
          <cell r="O895">
            <v>4.9999999999999995E-11</v>
          </cell>
          <cell r="P895"/>
        </row>
        <row r="896">
          <cell r="J896"/>
          <cell r="K896">
            <v>9.9999999999999995E-21</v>
          </cell>
          <cell r="L896">
            <v>9.9999999999999995E-21</v>
          </cell>
          <cell r="M896">
            <v>9.9999999999999995E-21</v>
          </cell>
          <cell r="N896">
            <v>9.9999999999999995E-21</v>
          </cell>
          <cell r="O896">
            <v>9.9999999999999995E-21</v>
          </cell>
          <cell r="P896"/>
        </row>
        <row r="897">
          <cell r="J897"/>
          <cell r="K897"/>
          <cell r="L897"/>
          <cell r="M897"/>
          <cell r="N897"/>
          <cell r="O897"/>
          <cell r="P897"/>
        </row>
        <row r="898">
          <cell r="J898"/>
          <cell r="K898"/>
          <cell r="L898"/>
          <cell r="M898"/>
          <cell r="N898"/>
          <cell r="O898"/>
          <cell r="P898"/>
        </row>
        <row r="899">
          <cell r="J899"/>
          <cell r="K899"/>
          <cell r="L899"/>
          <cell r="M899"/>
          <cell r="N899"/>
          <cell r="O899"/>
          <cell r="P899"/>
        </row>
        <row r="900">
          <cell r="J900"/>
          <cell r="K900"/>
          <cell r="L900"/>
          <cell r="M900"/>
          <cell r="N900"/>
          <cell r="O900"/>
          <cell r="P900"/>
        </row>
        <row r="901">
          <cell r="J901"/>
          <cell r="K901"/>
          <cell r="L901"/>
          <cell r="M901"/>
          <cell r="N901"/>
          <cell r="O901"/>
          <cell r="P901"/>
        </row>
        <row r="902">
          <cell r="J902"/>
          <cell r="K902"/>
          <cell r="L902"/>
          <cell r="M902"/>
          <cell r="N902"/>
          <cell r="O902"/>
          <cell r="P902"/>
        </row>
        <row r="903">
          <cell r="J903"/>
          <cell r="K903"/>
          <cell r="L903"/>
          <cell r="M903"/>
          <cell r="N903"/>
          <cell r="O903"/>
          <cell r="P903"/>
        </row>
        <row r="904">
          <cell r="J904"/>
          <cell r="K904"/>
          <cell r="L904"/>
          <cell r="M904"/>
          <cell r="N904"/>
          <cell r="O904"/>
          <cell r="P904"/>
        </row>
        <row r="905">
          <cell r="J905"/>
          <cell r="K905"/>
          <cell r="L905"/>
          <cell r="M905"/>
          <cell r="N905"/>
          <cell r="O905"/>
          <cell r="P905"/>
        </row>
        <row r="906">
          <cell r="J906"/>
          <cell r="K906"/>
          <cell r="L906"/>
          <cell r="M906"/>
          <cell r="N906"/>
          <cell r="O906"/>
          <cell r="P906"/>
        </row>
        <row r="907">
          <cell r="J907"/>
          <cell r="K907">
            <v>9.9999999999999995E-21</v>
          </cell>
          <cell r="L907">
            <v>9.9999999999999995E-21</v>
          </cell>
          <cell r="M907"/>
          <cell r="N907">
            <v>9.9999999999999995E-21</v>
          </cell>
          <cell r="O907">
            <v>9.9999999999999995E-21</v>
          </cell>
          <cell r="P907">
            <v>9.9999999999999995E-21</v>
          </cell>
        </row>
        <row r="908">
          <cell r="J908"/>
          <cell r="K908">
            <v>94472218.138455927</v>
          </cell>
          <cell r="L908">
            <v>94472218.138455927</v>
          </cell>
          <cell r="M908"/>
          <cell r="N908">
            <v>94472218.138455927</v>
          </cell>
          <cell r="O908">
            <v>94472218.138455927</v>
          </cell>
          <cell r="P908">
            <v>94472218.138455927</v>
          </cell>
        </row>
        <row r="909">
          <cell r="J909"/>
          <cell r="K909"/>
          <cell r="L909"/>
          <cell r="M909"/>
          <cell r="N909"/>
          <cell r="O909"/>
          <cell r="P909"/>
        </row>
        <row r="910">
          <cell r="J910"/>
          <cell r="K910"/>
          <cell r="L910"/>
          <cell r="M910"/>
          <cell r="N910"/>
          <cell r="O910"/>
          <cell r="P910"/>
        </row>
        <row r="911">
          <cell r="J911"/>
          <cell r="K911"/>
          <cell r="L911"/>
          <cell r="M911"/>
          <cell r="N911"/>
          <cell r="O911"/>
          <cell r="P911"/>
        </row>
        <row r="912">
          <cell r="J912"/>
          <cell r="K912"/>
          <cell r="L912"/>
          <cell r="M912"/>
          <cell r="N912"/>
          <cell r="O912"/>
          <cell r="P912"/>
        </row>
        <row r="913">
          <cell r="J913"/>
          <cell r="K913"/>
          <cell r="L913"/>
          <cell r="M913"/>
          <cell r="N913"/>
          <cell r="O913"/>
          <cell r="P913"/>
        </row>
        <row r="914">
          <cell r="J914"/>
          <cell r="K914"/>
          <cell r="L914"/>
          <cell r="M914"/>
          <cell r="N914"/>
          <cell r="O914"/>
          <cell r="P914"/>
        </row>
        <row r="915">
          <cell r="J915"/>
          <cell r="K915"/>
          <cell r="L915"/>
          <cell r="M915"/>
          <cell r="N915"/>
          <cell r="O915"/>
          <cell r="P915"/>
        </row>
        <row r="916">
          <cell r="J916"/>
          <cell r="K916">
            <v>0.99999999796850392</v>
          </cell>
          <cell r="L916">
            <v>0.99999999796850392</v>
          </cell>
          <cell r="M916">
            <v>0.99999999796850392</v>
          </cell>
          <cell r="N916">
            <v>0.99999999796850392</v>
          </cell>
          <cell r="O916">
            <v>0.99999999796850392</v>
          </cell>
          <cell r="P916"/>
        </row>
        <row r="917">
          <cell r="J917"/>
          <cell r="K917"/>
          <cell r="L917"/>
          <cell r="M917"/>
          <cell r="N917"/>
          <cell r="O917"/>
          <cell r="P917"/>
        </row>
        <row r="918">
          <cell r="J918"/>
          <cell r="K918">
            <v>2.0314960588651497E-9</v>
          </cell>
          <cell r="L918">
            <v>2.0314960588651497E-9</v>
          </cell>
          <cell r="M918">
            <v>2.0314960588651497E-9</v>
          </cell>
          <cell r="N918">
            <v>2.0314960588651497E-9</v>
          </cell>
          <cell r="O918">
            <v>2.0314960588651497E-9</v>
          </cell>
          <cell r="P918"/>
        </row>
        <row r="919">
          <cell r="J919"/>
          <cell r="K919"/>
          <cell r="L919"/>
          <cell r="M919"/>
          <cell r="N919"/>
          <cell r="O919"/>
          <cell r="P919"/>
        </row>
        <row r="920">
          <cell r="J920"/>
          <cell r="K920"/>
          <cell r="L920"/>
          <cell r="M920"/>
          <cell r="N920"/>
          <cell r="O920"/>
          <cell r="P920"/>
        </row>
        <row r="921">
          <cell r="J921"/>
          <cell r="K921"/>
          <cell r="L921"/>
          <cell r="M921"/>
          <cell r="N921"/>
          <cell r="O921"/>
          <cell r="P921"/>
        </row>
        <row r="922">
          <cell r="J922"/>
          <cell r="K922"/>
          <cell r="L922"/>
          <cell r="M922"/>
          <cell r="N922"/>
          <cell r="O922"/>
          <cell r="P922"/>
        </row>
        <row r="923">
          <cell r="J923"/>
          <cell r="K923">
            <v>0.99995978797120633</v>
          </cell>
          <cell r="L923">
            <v>0.99995978797120633</v>
          </cell>
          <cell r="M923">
            <v>0.99995978797120633</v>
          </cell>
          <cell r="N923">
            <v>0.99995978797120633</v>
          </cell>
          <cell r="O923">
            <v>0.99995978797120633</v>
          </cell>
          <cell r="P923"/>
        </row>
        <row r="924">
          <cell r="J924"/>
          <cell r="K924">
            <v>0.99995978797120633</v>
          </cell>
          <cell r="L924">
            <v>0.99995978797120633</v>
          </cell>
          <cell r="M924">
            <v>0.99995978797120633</v>
          </cell>
          <cell r="N924">
            <v>0.99995978797120633</v>
          </cell>
          <cell r="O924">
            <v>0.99995978797120633</v>
          </cell>
          <cell r="P924"/>
        </row>
        <row r="925">
          <cell r="J925"/>
          <cell r="K925"/>
          <cell r="L925"/>
          <cell r="M925"/>
          <cell r="N925"/>
          <cell r="O925"/>
          <cell r="P925"/>
        </row>
        <row r="926">
          <cell r="J926"/>
          <cell r="K926"/>
          <cell r="L926"/>
          <cell r="M926"/>
          <cell r="N926"/>
          <cell r="O926"/>
          <cell r="P926"/>
        </row>
        <row r="927">
          <cell r="J927"/>
          <cell r="K927"/>
          <cell r="L927"/>
          <cell r="M927"/>
          <cell r="N927"/>
          <cell r="O927"/>
          <cell r="P927"/>
        </row>
        <row r="928">
          <cell r="J928"/>
          <cell r="K928"/>
          <cell r="L928"/>
          <cell r="M928"/>
          <cell r="N928"/>
          <cell r="O928"/>
          <cell r="P928"/>
        </row>
        <row r="929">
          <cell r="J929"/>
          <cell r="K929"/>
          <cell r="L929"/>
          <cell r="M929"/>
          <cell r="N929"/>
          <cell r="O929"/>
          <cell r="P929"/>
        </row>
        <row r="930">
          <cell r="J930"/>
          <cell r="K930"/>
          <cell r="L930"/>
          <cell r="M930"/>
          <cell r="N930"/>
          <cell r="O930"/>
          <cell r="P930"/>
        </row>
        <row r="931">
          <cell r="J931"/>
          <cell r="K931"/>
          <cell r="L931"/>
          <cell r="M931"/>
          <cell r="N931"/>
          <cell r="O931"/>
          <cell r="P931"/>
        </row>
        <row r="932">
          <cell r="J932"/>
          <cell r="K932"/>
          <cell r="L932"/>
          <cell r="M932"/>
          <cell r="N932"/>
          <cell r="O932"/>
          <cell r="P932"/>
        </row>
        <row r="933">
          <cell r="J933"/>
          <cell r="K933"/>
          <cell r="L933"/>
          <cell r="M933"/>
          <cell r="N933"/>
          <cell r="O933"/>
          <cell r="P933"/>
        </row>
        <row r="934">
          <cell r="J934"/>
          <cell r="K934"/>
          <cell r="L934"/>
          <cell r="M934"/>
          <cell r="N934"/>
          <cell r="O934"/>
          <cell r="P934"/>
        </row>
        <row r="935">
          <cell r="J935"/>
          <cell r="K935"/>
          <cell r="L935"/>
          <cell r="M935"/>
          <cell r="N935"/>
          <cell r="O935"/>
          <cell r="P935"/>
        </row>
        <row r="936">
          <cell r="J936"/>
          <cell r="K936"/>
          <cell r="L936"/>
          <cell r="M936"/>
          <cell r="N936"/>
          <cell r="O936"/>
          <cell r="P936"/>
        </row>
        <row r="937">
          <cell r="J937"/>
          <cell r="K937"/>
          <cell r="L937"/>
          <cell r="M937"/>
          <cell r="N937"/>
          <cell r="O937"/>
          <cell r="P937"/>
        </row>
        <row r="938">
          <cell r="J938"/>
          <cell r="K938"/>
          <cell r="L938"/>
          <cell r="M938"/>
          <cell r="N938"/>
          <cell r="O938"/>
          <cell r="P938"/>
        </row>
        <row r="939">
          <cell r="J939"/>
          <cell r="K939"/>
          <cell r="L939"/>
          <cell r="M939"/>
          <cell r="N939"/>
          <cell r="O939"/>
          <cell r="P939"/>
        </row>
        <row r="940">
          <cell r="J940"/>
          <cell r="K940"/>
          <cell r="L940"/>
          <cell r="M940"/>
          <cell r="N940"/>
          <cell r="O940"/>
          <cell r="P940"/>
        </row>
        <row r="941">
          <cell r="J941"/>
          <cell r="K941"/>
          <cell r="L941"/>
          <cell r="M941"/>
          <cell r="N941"/>
          <cell r="O941"/>
          <cell r="P941"/>
        </row>
        <row r="942">
          <cell r="J942"/>
          <cell r="K942"/>
          <cell r="L942"/>
          <cell r="M942"/>
          <cell r="N942"/>
          <cell r="O942"/>
          <cell r="P942"/>
        </row>
        <row r="943">
          <cell r="J943"/>
          <cell r="K943"/>
          <cell r="L943"/>
          <cell r="M943"/>
          <cell r="N943"/>
          <cell r="O943"/>
          <cell r="P943"/>
        </row>
        <row r="944">
          <cell r="J944"/>
          <cell r="K944"/>
          <cell r="L944"/>
          <cell r="M944"/>
          <cell r="N944"/>
          <cell r="O944"/>
          <cell r="P944"/>
        </row>
        <row r="945">
          <cell r="J945"/>
          <cell r="K945"/>
          <cell r="L945"/>
          <cell r="M945"/>
          <cell r="N945"/>
          <cell r="O945"/>
          <cell r="P945"/>
        </row>
        <row r="946">
          <cell r="J946"/>
          <cell r="K946">
            <v>3.165687973786097E-9</v>
          </cell>
          <cell r="L946">
            <v>3.165687973786097E-9</v>
          </cell>
          <cell r="M946">
            <v>3.165687973786097E-9</v>
          </cell>
          <cell r="N946">
            <v>3.165687973786097E-9</v>
          </cell>
          <cell r="O946">
            <v>3.165687973786097E-9</v>
          </cell>
          <cell r="P946"/>
        </row>
        <row r="947">
          <cell r="J947"/>
          <cell r="K947">
            <v>1.5539728621802599E-10</v>
          </cell>
          <cell r="L947">
            <v>1.5539728621802599E-10</v>
          </cell>
          <cell r="M947">
            <v>1.5539728621802599E-10</v>
          </cell>
          <cell r="N947">
            <v>1.5539728621802599E-10</v>
          </cell>
          <cell r="O947">
            <v>1.5539728621802599E-10</v>
          </cell>
          <cell r="P947"/>
        </row>
        <row r="948">
          <cell r="J948"/>
          <cell r="K948"/>
          <cell r="L948"/>
          <cell r="M948"/>
          <cell r="N948"/>
          <cell r="O948"/>
          <cell r="P948"/>
        </row>
        <row r="949">
          <cell r="J949"/>
          <cell r="K949"/>
          <cell r="L949"/>
          <cell r="M949"/>
          <cell r="N949"/>
          <cell r="O949"/>
          <cell r="P949"/>
        </row>
        <row r="950">
          <cell r="J950"/>
          <cell r="K950"/>
          <cell r="L950"/>
          <cell r="M950"/>
          <cell r="N950"/>
          <cell r="O950"/>
          <cell r="P950"/>
        </row>
        <row r="951">
          <cell r="J951"/>
          <cell r="K951"/>
          <cell r="L951"/>
          <cell r="M951"/>
          <cell r="N951"/>
          <cell r="O951"/>
          <cell r="P951"/>
        </row>
        <row r="952">
          <cell r="J952"/>
          <cell r="K952"/>
          <cell r="L952"/>
          <cell r="M952"/>
          <cell r="N952"/>
          <cell r="O952"/>
          <cell r="P952"/>
        </row>
        <row r="953">
          <cell r="J953"/>
          <cell r="K953"/>
          <cell r="L953"/>
          <cell r="M953"/>
          <cell r="N953"/>
          <cell r="O953"/>
          <cell r="P953"/>
        </row>
        <row r="954">
          <cell r="J954"/>
          <cell r="K954"/>
          <cell r="L954"/>
          <cell r="M954"/>
          <cell r="N954"/>
          <cell r="O954"/>
          <cell r="P954"/>
        </row>
        <row r="955">
          <cell r="J955"/>
          <cell r="K955"/>
          <cell r="L955"/>
          <cell r="M955"/>
          <cell r="N955"/>
          <cell r="O955"/>
          <cell r="P955"/>
        </row>
        <row r="956">
          <cell r="J956"/>
          <cell r="K956">
            <v>1.9478421124123251E-13</v>
          </cell>
          <cell r="L956">
            <v>1.9478421124123251E-13</v>
          </cell>
          <cell r="M956">
            <v>1.9478421124123251E-13</v>
          </cell>
          <cell r="N956">
            <v>1.9478421124123251E-13</v>
          </cell>
          <cell r="O956">
            <v>1.9478421124123251E-13</v>
          </cell>
          <cell r="P956"/>
        </row>
        <row r="957">
          <cell r="J957"/>
          <cell r="K957">
            <v>1.7161365344188037E-12</v>
          </cell>
          <cell r="L957">
            <v>1.7161365344188037E-12</v>
          </cell>
          <cell r="M957">
            <v>1.7161365344188037E-12</v>
          </cell>
          <cell r="N957">
            <v>1.7161365344188037E-12</v>
          </cell>
          <cell r="O957">
            <v>1.7161365344188037E-12</v>
          </cell>
          <cell r="P957"/>
        </row>
        <row r="958">
          <cell r="J958"/>
          <cell r="K958">
            <v>2.7557305147424253E-8</v>
          </cell>
          <cell r="L958">
            <v>2.7557305147424253E-8</v>
          </cell>
          <cell r="M958">
            <v>2.7557305147424253E-8</v>
          </cell>
          <cell r="N958">
            <v>2.7557305147424253E-8</v>
          </cell>
          <cell r="O958">
            <v>2.7557305147424253E-8</v>
          </cell>
          <cell r="P958"/>
        </row>
        <row r="959">
          <cell r="J959"/>
          <cell r="K959"/>
          <cell r="L959"/>
          <cell r="M959"/>
          <cell r="N959"/>
          <cell r="O959"/>
          <cell r="P959"/>
        </row>
        <row r="960">
          <cell r="J960"/>
          <cell r="K960"/>
          <cell r="L960"/>
          <cell r="M960"/>
          <cell r="N960"/>
          <cell r="O960"/>
          <cell r="P960"/>
        </row>
        <row r="961">
          <cell r="J961"/>
          <cell r="K961"/>
          <cell r="L961"/>
          <cell r="M961"/>
          <cell r="N961"/>
          <cell r="O961"/>
          <cell r="P961"/>
        </row>
        <row r="962">
          <cell r="J962"/>
          <cell r="K962"/>
          <cell r="L962"/>
          <cell r="M962"/>
          <cell r="N962"/>
          <cell r="O962"/>
          <cell r="P962"/>
        </row>
        <row r="963">
          <cell r="J963"/>
          <cell r="K963"/>
          <cell r="L963"/>
          <cell r="M963"/>
          <cell r="N963"/>
          <cell r="O963"/>
          <cell r="P963"/>
        </row>
        <row r="964">
          <cell r="J964"/>
          <cell r="K964"/>
          <cell r="L964"/>
          <cell r="M964"/>
          <cell r="N964"/>
          <cell r="O964"/>
          <cell r="P964"/>
        </row>
        <row r="965">
          <cell r="J965"/>
          <cell r="K965"/>
          <cell r="L965"/>
          <cell r="M965"/>
          <cell r="N965"/>
          <cell r="O965"/>
          <cell r="P965"/>
        </row>
        <row r="966">
          <cell r="J966"/>
          <cell r="K966"/>
          <cell r="L966"/>
          <cell r="M966"/>
          <cell r="N966"/>
          <cell r="O966"/>
          <cell r="P966"/>
        </row>
        <row r="967">
          <cell r="J967"/>
          <cell r="K967"/>
          <cell r="L967"/>
          <cell r="M967"/>
          <cell r="N967"/>
          <cell r="O967"/>
          <cell r="P967"/>
        </row>
        <row r="968">
          <cell r="J968"/>
          <cell r="K968"/>
          <cell r="L968"/>
          <cell r="M968"/>
          <cell r="N968"/>
          <cell r="O968"/>
          <cell r="P968"/>
        </row>
        <row r="969">
          <cell r="J969"/>
          <cell r="K969"/>
          <cell r="L969"/>
          <cell r="M969"/>
          <cell r="N969"/>
          <cell r="O969"/>
          <cell r="P969"/>
        </row>
        <row r="970">
          <cell r="J970"/>
          <cell r="K970">
            <v>2.5308522804345867E-8</v>
          </cell>
          <cell r="L970">
            <v>2.5308522804345867E-8</v>
          </cell>
          <cell r="M970">
            <v>2.5308522804345867E-8</v>
          </cell>
          <cell r="N970">
            <v>2.5308522804345867E-8</v>
          </cell>
          <cell r="O970"/>
          <cell r="P970">
            <v>2.5308522804345867E-8</v>
          </cell>
        </row>
        <row r="971">
          <cell r="J971"/>
          <cell r="K971">
            <v>1</v>
          </cell>
          <cell r="L971">
            <v>1</v>
          </cell>
          <cell r="M971">
            <v>1</v>
          </cell>
          <cell r="N971">
            <v>1</v>
          </cell>
          <cell r="O971"/>
          <cell r="P971">
            <v>1</v>
          </cell>
        </row>
        <row r="972">
          <cell r="J972"/>
          <cell r="K972"/>
          <cell r="L972"/>
          <cell r="M972"/>
          <cell r="N972"/>
          <cell r="O972"/>
          <cell r="P972"/>
        </row>
        <row r="973">
          <cell r="J973"/>
          <cell r="K973"/>
          <cell r="L973"/>
          <cell r="M973"/>
          <cell r="N973"/>
          <cell r="O973"/>
          <cell r="P973"/>
        </row>
        <row r="974">
          <cell r="J974"/>
          <cell r="K974"/>
          <cell r="L974"/>
          <cell r="M974"/>
          <cell r="N974"/>
          <cell r="O974"/>
          <cell r="P974"/>
        </row>
        <row r="975">
          <cell r="J975"/>
          <cell r="K975"/>
          <cell r="L975"/>
          <cell r="M975"/>
          <cell r="N975"/>
          <cell r="O975"/>
          <cell r="P975"/>
        </row>
        <row r="976">
          <cell r="J976"/>
          <cell r="K976"/>
          <cell r="L976"/>
          <cell r="M976"/>
          <cell r="N976"/>
          <cell r="O976"/>
          <cell r="P976"/>
        </row>
        <row r="977">
          <cell r="J977"/>
          <cell r="K977"/>
          <cell r="L977"/>
          <cell r="M977"/>
          <cell r="N977"/>
          <cell r="O977"/>
          <cell r="P977"/>
        </row>
        <row r="978">
          <cell r="J978"/>
          <cell r="K978"/>
          <cell r="L978"/>
          <cell r="M978"/>
          <cell r="N978"/>
          <cell r="O978"/>
          <cell r="P978"/>
        </row>
        <row r="979">
          <cell r="J979"/>
          <cell r="K979"/>
          <cell r="L979"/>
          <cell r="M979"/>
          <cell r="N979"/>
          <cell r="O979"/>
          <cell r="P979"/>
        </row>
        <row r="980">
          <cell r="J980"/>
          <cell r="K980"/>
          <cell r="L980"/>
          <cell r="M980"/>
          <cell r="N980"/>
          <cell r="O980"/>
          <cell r="P980"/>
        </row>
        <row r="981">
          <cell r="J981"/>
          <cell r="K981"/>
          <cell r="L981"/>
          <cell r="M981"/>
          <cell r="N981"/>
          <cell r="O981"/>
          <cell r="P981"/>
        </row>
        <row r="982">
          <cell r="J982"/>
          <cell r="K982"/>
          <cell r="L982"/>
          <cell r="M982"/>
          <cell r="N982"/>
          <cell r="O982"/>
          <cell r="P982"/>
        </row>
        <row r="983">
          <cell r="J983"/>
          <cell r="K983"/>
          <cell r="L983"/>
          <cell r="M983"/>
          <cell r="N983"/>
          <cell r="O983"/>
          <cell r="P983"/>
        </row>
        <row r="984">
          <cell r="J984"/>
          <cell r="K984"/>
          <cell r="L984"/>
          <cell r="M984"/>
          <cell r="N984"/>
          <cell r="O984"/>
          <cell r="P984"/>
        </row>
        <row r="985">
          <cell r="J985"/>
          <cell r="K985"/>
          <cell r="L985"/>
          <cell r="M985"/>
          <cell r="N985"/>
          <cell r="O985"/>
          <cell r="P985"/>
        </row>
        <row r="986">
          <cell r="J986"/>
          <cell r="K986"/>
          <cell r="L986"/>
          <cell r="M986"/>
          <cell r="N986"/>
          <cell r="O986"/>
          <cell r="P986"/>
        </row>
        <row r="987">
          <cell r="J987"/>
          <cell r="K987"/>
          <cell r="L987"/>
          <cell r="M987"/>
          <cell r="N987"/>
          <cell r="O987"/>
          <cell r="P987"/>
        </row>
        <row r="988">
          <cell r="J988"/>
          <cell r="K988"/>
          <cell r="L988"/>
          <cell r="M988"/>
          <cell r="N988"/>
          <cell r="O988"/>
          <cell r="P988"/>
        </row>
        <row r="989">
          <cell r="J989"/>
          <cell r="K989">
            <v>1</v>
          </cell>
          <cell r="L989">
            <v>1</v>
          </cell>
          <cell r="M989">
            <v>1</v>
          </cell>
          <cell r="N989">
            <v>1</v>
          </cell>
          <cell r="O989"/>
          <cell r="P989">
            <v>1</v>
          </cell>
        </row>
        <row r="990">
          <cell r="J990"/>
          <cell r="K990"/>
          <cell r="L990"/>
          <cell r="M990"/>
          <cell r="N990"/>
          <cell r="O990"/>
          <cell r="P990"/>
        </row>
        <row r="991">
          <cell r="J991"/>
          <cell r="K991"/>
          <cell r="L991"/>
          <cell r="M991"/>
          <cell r="N991"/>
          <cell r="O991"/>
          <cell r="P991"/>
        </row>
        <row r="992">
          <cell r="J992"/>
          <cell r="K992"/>
          <cell r="L992"/>
          <cell r="M992"/>
          <cell r="N992"/>
          <cell r="O992"/>
          <cell r="P992"/>
        </row>
        <row r="993">
          <cell r="J993"/>
          <cell r="K993"/>
          <cell r="L993"/>
          <cell r="M993"/>
          <cell r="N993"/>
          <cell r="O993"/>
          <cell r="P993"/>
        </row>
        <row r="994">
          <cell r="J994"/>
          <cell r="K994"/>
          <cell r="L994"/>
          <cell r="M994"/>
          <cell r="N994"/>
          <cell r="O994"/>
          <cell r="P994"/>
        </row>
        <row r="995">
          <cell r="J995"/>
          <cell r="K995"/>
          <cell r="L995"/>
          <cell r="M995"/>
          <cell r="N995"/>
          <cell r="O995"/>
          <cell r="P995"/>
        </row>
        <row r="996">
          <cell r="J996"/>
          <cell r="K996"/>
          <cell r="L996"/>
          <cell r="M996"/>
          <cell r="N996"/>
          <cell r="O996"/>
          <cell r="P996"/>
        </row>
        <row r="997">
          <cell r="J997"/>
          <cell r="K997"/>
          <cell r="L997"/>
          <cell r="M997"/>
          <cell r="N997"/>
          <cell r="O997"/>
          <cell r="P997"/>
        </row>
        <row r="998">
          <cell r="J998"/>
          <cell r="K998"/>
          <cell r="L998"/>
          <cell r="M998"/>
          <cell r="N998"/>
          <cell r="O998"/>
          <cell r="P998"/>
        </row>
        <row r="999">
          <cell r="J999"/>
          <cell r="K999"/>
          <cell r="L999"/>
          <cell r="M999"/>
          <cell r="N999"/>
          <cell r="O999"/>
          <cell r="P999"/>
        </row>
        <row r="1000">
          <cell r="J1000"/>
          <cell r="K1000"/>
          <cell r="L1000"/>
          <cell r="M1000"/>
          <cell r="N1000"/>
          <cell r="O1000"/>
          <cell r="P1000"/>
        </row>
        <row r="1001">
          <cell r="J1001"/>
          <cell r="K1001"/>
          <cell r="L1001"/>
          <cell r="M1001"/>
          <cell r="N1001"/>
          <cell r="O1001"/>
          <cell r="P1001"/>
        </row>
        <row r="1002">
          <cell r="J1002"/>
          <cell r="K1002"/>
          <cell r="L1002"/>
          <cell r="M1002"/>
          <cell r="N1002"/>
          <cell r="O1002"/>
          <cell r="P1002"/>
        </row>
        <row r="1003">
          <cell r="J1003"/>
          <cell r="K1003"/>
          <cell r="L1003"/>
          <cell r="M1003"/>
          <cell r="N1003"/>
          <cell r="O1003"/>
          <cell r="P1003"/>
        </row>
        <row r="1004">
          <cell r="J1004"/>
          <cell r="K1004"/>
          <cell r="L1004"/>
          <cell r="M1004"/>
          <cell r="N1004"/>
          <cell r="O1004"/>
          <cell r="P1004"/>
        </row>
        <row r="1005">
          <cell r="J1005"/>
          <cell r="K1005"/>
          <cell r="L1005"/>
          <cell r="M1005"/>
          <cell r="N1005"/>
          <cell r="O1005"/>
          <cell r="P1005"/>
        </row>
        <row r="1006">
          <cell r="J1006"/>
          <cell r="K1006"/>
          <cell r="L1006"/>
          <cell r="M1006"/>
          <cell r="N1006"/>
          <cell r="O1006"/>
          <cell r="P1006"/>
        </row>
        <row r="1007">
          <cell r="J1007"/>
          <cell r="K1007"/>
          <cell r="L1007"/>
          <cell r="M1007"/>
          <cell r="N1007"/>
          <cell r="O1007"/>
          <cell r="P1007"/>
        </row>
        <row r="1008">
          <cell r="J1008"/>
          <cell r="K1008"/>
          <cell r="L1008"/>
          <cell r="M1008"/>
          <cell r="N1008"/>
          <cell r="O1008"/>
          <cell r="P1008"/>
        </row>
        <row r="1009">
          <cell r="J1009"/>
          <cell r="K1009"/>
          <cell r="L1009"/>
          <cell r="M1009"/>
          <cell r="N1009"/>
          <cell r="O1009"/>
          <cell r="P1009"/>
        </row>
        <row r="1010">
          <cell r="J1010"/>
          <cell r="K1010">
            <v>1</v>
          </cell>
          <cell r="L1010">
            <v>1</v>
          </cell>
          <cell r="M1010">
            <v>1</v>
          </cell>
          <cell r="N1010">
            <v>1</v>
          </cell>
          <cell r="O1010"/>
          <cell r="P1010">
            <v>1</v>
          </cell>
        </row>
        <row r="1011">
          <cell r="J1011"/>
          <cell r="K1011"/>
          <cell r="L1011"/>
          <cell r="M1011"/>
          <cell r="N1011"/>
          <cell r="O1011"/>
          <cell r="P1011"/>
        </row>
      </sheetData>
      <sheetData sheetId="7">
        <row r="8">
          <cell r="L8">
            <v>40000000000.000038</v>
          </cell>
        </row>
        <row r="9">
          <cell r="L9">
            <v>36000000</v>
          </cell>
        </row>
        <row r="55">
          <cell r="L55">
            <v>1041.6666666666667</v>
          </cell>
        </row>
      </sheetData>
      <sheetData sheetId="8">
        <row r="60">
          <cell r="L60">
            <v>9375</v>
          </cell>
        </row>
      </sheetData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vel III"/>
      <sheetName val="raw"/>
      <sheetName val="Sheet2"/>
      <sheetName val="Matrix"/>
    </sheetNames>
    <sheetDataSet>
      <sheetData sheetId="0">
        <row r="20">
          <cell r="E20" t="str">
            <v>air</v>
          </cell>
          <cell r="F20">
            <v>3.0381871048061254E-5</v>
          </cell>
          <cell r="G20">
            <v>9.5461996827094914E-13</v>
          </cell>
          <cell r="I20">
            <v>42.003278603921764</v>
          </cell>
        </row>
        <row r="21">
          <cell r="E21" t="str">
            <v>natural soil</v>
          </cell>
          <cell r="F21">
            <v>4.1611626255611497E-8</v>
          </cell>
          <cell r="G21">
            <v>1.2938801215496945E-7</v>
          </cell>
          <cell r="I21">
            <v>155.26561458596333</v>
          </cell>
        </row>
        <row r="22">
          <cell r="E22" t="str">
            <v>agr.soil</v>
          </cell>
          <cell r="F22">
            <v>3.0757046218142034E-6</v>
          </cell>
          <cell r="G22">
            <v>8.4262962648075444E-6</v>
          </cell>
          <cell r="I22">
            <v>18200.799931984297</v>
          </cell>
        </row>
        <row r="23">
          <cell r="E23" t="str">
            <v>other soil</v>
          </cell>
          <cell r="F23">
            <v>4.6664926364871609E-8</v>
          </cell>
          <cell r="G23">
            <v>1.2846725002274383E-7</v>
          </cell>
          <cell r="I23">
            <v>25.693450004548765</v>
          </cell>
        </row>
        <row r="24">
          <cell r="E24" t="str">
            <v>freshwater</v>
          </cell>
          <cell r="F24">
            <v>1.3381055501731355E-7</v>
          </cell>
          <cell r="G24">
            <v>1.419220511277414E-7</v>
          </cell>
          <cell r="I24">
            <v>510.91938405986906</v>
          </cell>
        </row>
        <row r="25">
          <cell r="E25" t="str">
            <v>freshw. sedim.</v>
          </cell>
          <cell r="F25">
            <v>6.5707625155615237E-8</v>
          </cell>
          <cell r="G25">
            <v>1.7951750274249736E-7</v>
          </cell>
          <cell r="I25">
            <v>6.462630098729905</v>
          </cell>
        </row>
        <row r="26">
          <cell r="E26" t="str">
            <v>seawater</v>
          </cell>
          <cell r="F26">
            <v>8.0496337454713789E-9</v>
          </cell>
          <cell r="G26">
            <v>1.0911798547660233E-8</v>
          </cell>
          <cell r="I26">
            <v>436.47194190640931</v>
          </cell>
        </row>
        <row r="27">
          <cell r="E27" t="str">
            <v>seaw. sedim.</v>
          </cell>
          <cell r="F27">
            <v>3.3036415948394324E-9</v>
          </cell>
          <cell r="G27">
            <v>1.1532674773055441E-8</v>
          </cell>
          <cell r="I27">
            <v>1.3839209727666528</v>
          </cell>
        </row>
      </sheetData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vel III"/>
      <sheetName val="raw"/>
      <sheetName val="Sheet2"/>
      <sheetName val="Matrix"/>
    </sheetNames>
    <sheetDataSet>
      <sheetData sheetId="0">
        <row r="20">
          <cell r="E20" t="str">
            <v>air</v>
          </cell>
          <cell r="F20">
            <v>1.9626475849737704E-9</v>
          </cell>
          <cell r="G20">
            <v>2.9359072610166702E-9</v>
          </cell>
          <cell r="I20">
            <v>129179.91948473349</v>
          </cell>
        </row>
        <row r="21">
          <cell r="E21" t="str">
            <v>natural soil</v>
          </cell>
          <cell r="F21">
            <v>1.7744420200671257E-5</v>
          </cell>
          <cell r="G21">
            <v>4.3657339496831254E-5</v>
          </cell>
          <cell r="I21">
            <v>52388.807396197502</v>
          </cell>
        </row>
        <row r="22">
          <cell r="E22" t="str">
            <v>agr.soil</v>
          </cell>
          <cell r="F22">
            <v>1.8652681423792834E-9</v>
          </cell>
          <cell r="G22">
            <v>4.5891972588315747E-9</v>
          </cell>
          <cell r="I22">
            <v>9.9126660790762013</v>
          </cell>
        </row>
        <row r="23">
          <cell r="E23" t="str">
            <v>other soil</v>
          </cell>
          <cell r="F23">
            <v>1.8940827064566259E-9</v>
          </cell>
          <cell r="G23">
            <v>4.660090936514554E-9</v>
          </cell>
          <cell r="I23">
            <v>0.93201818730291075</v>
          </cell>
        </row>
        <row r="24">
          <cell r="E24" t="str">
            <v>freshwater</v>
          </cell>
          <cell r="F24">
            <v>1.8833643390498171E-7</v>
          </cell>
          <cell r="G24">
            <v>1.8797796836840902E-7</v>
          </cell>
          <cell r="I24">
            <v>676.72068612627243</v>
          </cell>
        </row>
        <row r="25">
          <cell r="E25" t="str">
            <v>freshw. sedim.</v>
          </cell>
          <cell r="F25">
            <v>1.6010780001936834E-7</v>
          </cell>
          <cell r="G25">
            <v>3.9496942993114209E-7</v>
          </cell>
          <cell r="I25">
            <v>14.218899477521115</v>
          </cell>
        </row>
        <row r="26">
          <cell r="E26" t="str">
            <v>seawater</v>
          </cell>
          <cell r="F26">
            <v>4.0634085168020682E-9</v>
          </cell>
          <cell r="G26">
            <v>2.8768653232410244E-9</v>
          </cell>
          <cell r="I26">
            <v>115.07461292964098</v>
          </cell>
        </row>
        <row r="27">
          <cell r="E27" t="str">
            <v>seaw. sedim.</v>
          </cell>
          <cell r="F27">
            <v>3.4550557469157129E-9</v>
          </cell>
          <cell r="G27">
            <v>6.0465277744347965E-9</v>
          </cell>
          <cell r="I27">
            <v>0.72558333293217558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07A31-23DD-484C-A830-5E2A5C93E178}">
  <dimension ref="A1:AF6910"/>
  <sheetViews>
    <sheetView topLeftCell="A4" workbookViewId="0">
      <selection activeCell="B29" sqref="B29"/>
    </sheetView>
  </sheetViews>
  <sheetFormatPr defaultColWidth="11.42578125" defaultRowHeight="12.75" x14ac:dyDescent="0.2"/>
  <cols>
    <col min="1" max="1" width="28.140625" style="67" bestFit="1" customWidth="1"/>
    <col min="2" max="2" width="19.140625" style="67" customWidth="1"/>
    <col min="3" max="3" width="12.140625" style="67" customWidth="1"/>
    <col min="4" max="4" width="12.42578125" style="67" customWidth="1"/>
    <col min="5" max="5" width="19.140625" style="67" customWidth="1"/>
    <col min="6" max="6" width="18.28515625" style="67" customWidth="1"/>
    <col min="7" max="7" width="14" style="67" customWidth="1"/>
    <col min="8" max="8" width="13.28515625" style="67" customWidth="1"/>
    <col min="9" max="9" width="14.42578125" style="67" customWidth="1"/>
    <col min="10" max="10" width="14.85546875" style="67" customWidth="1"/>
    <col min="11" max="11" width="12" style="67" customWidth="1"/>
    <col min="12" max="12" width="13.42578125" style="67" customWidth="1"/>
    <col min="13" max="13" width="11.28515625" style="67" customWidth="1"/>
    <col min="14" max="14" width="10.7109375" style="67" customWidth="1"/>
    <col min="15" max="15" width="11.42578125" style="67"/>
    <col min="16" max="16" width="12.85546875" style="67" customWidth="1"/>
    <col min="17" max="17" width="10.85546875" style="67" customWidth="1"/>
    <col min="18" max="18" width="12.7109375" style="67" customWidth="1"/>
    <col min="19" max="19" width="12.42578125" style="67" customWidth="1"/>
    <col min="20" max="20" width="12.85546875" style="67" customWidth="1"/>
    <col min="21" max="22" width="11" style="67" bestFit="1" customWidth="1"/>
    <col min="23" max="23" width="15.5703125" style="67" customWidth="1"/>
    <col min="24" max="26" width="11" style="67" bestFit="1" customWidth="1"/>
    <col min="27" max="28" width="11.140625" style="67" customWidth="1"/>
    <col min="29" max="29" width="11" style="67" customWidth="1"/>
    <col min="30" max="30" width="11.7109375" style="67" customWidth="1"/>
    <col min="31" max="31" width="12.28515625" style="67" customWidth="1"/>
    <col min="32" max="32" width="11" style="67" customWidth="1"/>
    <col min="33" max="33" width="11" style="67" bestFit="1" customWidth="1"/>
    <col min="34" max="34" width="11.42578125" style="67"/>
    <col min="35" max="35" width="9.42578125" style="67" bestFit="1" customWidth="1"/>
    <col min="36" max="256" width="11.42578125" style="67"/>
    <col min="257" max="257" width="28.140625" style="67" bestFit="1" customWidth="1"/>
    <col min="258" max="258" width="19.140625" style="67" customWidth="1"/>
    <col min="259" max="259" width="12.140625" style="67" customWidth="1"/>
    <col min="260" max="260" width="12.42578125" style="67" customWidth="1"/>
    <col min="261" max="261" width="19.140625" style="67" customWidth="1"/>
    <col min="262" max="262" width="18.28515625" style="67" customWidth="1"/>
    <col min="263" max="263" width="14" style="67" customWidth="1"/>
    <col min="264" max="264" width="13.28515625" style="67" customWidth="1"/>
    <col min="265" max="265" width="14.42578125" style="67" customWidth="1"/>
    <col min="266" max="266" width="14.85546875" style="67" customWidth="1"/>
    <col min="267" max="267" width="12" style="67" customWidth="1"/>
    <col min="268" max="268" width="13.42578125" style="67" customWidth="1"/>
    <col min="269" max="269" width="11.28515625" style="67" customWidth="1"/>
    <col min="270" max="270" width="10.7109375" style="67" customWidth="1"/>
    <col min="271" max="271" width="11.42578125" style="67"/>
    <col min="272" max="272" width="12.85546875" style="67" customWidth="1"/>
    <col min="273" max="273" width="10.85546875" style="67" customWidth="1"/>
    <col min="274" max="274" width="12.7109375" style="67" customWidth="1"/>
    <col min="275" max="275" width="12.42578125" style="67" customWidth="1"/>
    <col min="276" max="276" width="12.85546875" style="67" customWidth="1"/>
    <col min="277" max="278" width="11" style="67" bestFit="1" customWidth="1"/>
    <col min="279" max="279" width="15.5703125" style="67" customWidth="1"/>
    <col min="280" max="282" width="11" style="67" bestFit="1" customWidth="1"/>
    <col min="283" max="284" width="11.140625" style="67" customWidth="1"/>
    <col min="285" max="285" width="11" style="67" customWidth="1"/>
    <col min="286" max="286" width="11.7109375" style="67" customWidth="1"/>
    <col min="287" max="287" width="12.28515625" style="67" customWidth="1"/>
    <col min="288" max="288" width="11" style="67" customWidth="1"/>
    <col min="289" max="289" width="11" style="67" bestFit="1" customWidth="1"/>
    <col min="290" max="290" width="11.42578125" style="67"/>
    <col min="291" max="291" width="9.42578125" style="67" bestFit="1" customWidth="1"/>
    <col min="292" max="512" width="11.42578125" style="67"/>
    <col min="513" max="513" width="28.140625" style="67" bestFit="1" customWidth="1"/>
    <col min="514" max="514" width="19.140625" style="67" customWidth="1"/>
    <col min="515" max="515" width="12.140625" style="67" customWidth="1"/>
    <col min="516" max="516" width="12.42578125" style="67" customWidth="1"/>
    <col min="517" max="517" width="19.140625" style="67" customWidth="1"/>
    <col min="518" max="518" width="18.28515625" style="67" customWidth="1"/>
    <col min="519" max="519" width="14" style="67" customWidth="1"/>
    <col min="520" max="520" width="13.28515625" style="67" customWidth="1"/>
    <col min="521" max="521" width="14.42578125" style="67" customWidth="1"/>
    <col min="522" max="522" width="14.85546875" style="67" customWidth="1"/>
    <col min="523" max="523" width="12" style="67" customWidth="1"/>
    <col min="524" max="524" width="13.42578125" style="67" customWidth="1"/>
    <col min="525" max="525" width="11.28515625" style="67" customWidth="1"/>
    <col min="526" max="526" width="10.7109375" style="67" customWidth="1"/>
    <col min="527" max="527" width="11.42578125" style="67"/>
    <col min="528" max="528" width="12.85546875" style="67" customWidth="1"/>
    <col min="529" max="529" width="10.85546875" style="67" customWidth="1"/>
    <col min="530" max="530" width="12.7109375" style="67" customWidth="1"/>
    <col min="531" max="531" width="12.42578125" style="67" customWidth="1"/>
    <col min="532" max="532" width="12.85546875" style="67" customWidth="1"/>
    <col min="533" max="534" width="11" style="67" bestFit="1" customWidth="1"/>
    <col min="535" max="535" width="15.5703125" style="67" customWidth="1"/>
    <col min="536" max="538" width="11" style="67" bestFit="1" customWidth="1"/>
    <col min="539" max="540" width="11.140625" style="67" customWidth="1"/>
    <col min="541" max="541" width="11" style="67" customWidth="1"/>
    <col min="542" max="542" width="11.7109375" style="67" customWidth="1"/>
    <col min="543" max="543" width="12.28515625" style="67" customWidth="1"/>
    <col min="544" max="544" width="11" style="67" customWidth="1"/>
    <col min="545" max="545" width="11" style="67" bestFit="1" customWidth="1"/>
    <col min="546" max="546" width="11.42578125" style="67"/>
    <col min="547" max="547" width="9.42578125" style="67" bestFit="1" customWidth="1"/>
    <col min="548" max="768" width="11.42578125" style="67"/>
    <col min="769" max="769" width="28.140625" style="67" bestFit="1" customWidth="1"/>
    <col min="770" max="770" width="19.140625" style="67" customWidth="1"/>
    <col min="771" max="771" width="12.140625" style="67" customWidth="1"/>
    <col min="772" max="772" width="12.42578125" style="67" customWidth="1"/>
    <col min="773" max="773" width="19.140625" style="67" customWidth="1"/>
    <col min="774" max="774" width="18.28515625" style="67" customWidth="1"/>
    <col min="775" max="775" width="14" style="67" customWidth="1"/>
    <col min="776" max="776" width="13.28515625" style="67" customWidth="1"/>
    <col min="777" max="777" width="14.42578125" style="67" customWidth="1"/>
    <col min="778" max="778" width="14.85546875" style="67" customWidth="1"/>
    <col min="779" max="779" width="12" style="67" customWidth="1"/>
    <col min="780" max="780" width="13.42578125" style="67" customWidth="1"/>
    <col min="781" max="781" width="11.28515625" style="67" customWidth="1"/>
    <col min="782" max="782" width="10.7109375" style="67" customWidth="1"/>
    <col min="783" max="783" width="11.42578125" style="67"/>
    <col min="784" max="784" width="12.85546875" style="67" customWidth="1"/>
    <col min="785" max="785" width="10.85546875" style="67" customWidth="1"/>
    <col min="786" max="786" width="12.7109375" style="67" customWidth="1"/>
    <col min="787" max="787" width="12.42578125" style="67" customWidth="1"/>
    <col min="788" max="788" width="12.85546875" style="67" customWidth="1"/>
    <col min="789" max="790" width="11" style="67" bestFit="1" customWidth="1"/>
    <col min="791" max="791" width="15.5703125" style="67" customWidth="1"/>
    <col min="792" max="794" width="11" style="67" bestFit="1" customWidth="1"/>
    <col min="795" max="796" width="11.140625" style="67" customWidth="1"/>
    <col min="797" max="797" width="11" style="67" customWidth="1"/>
    <col min="798" max="798" width="11.7109375" style="67" customWidth="1"/>
    <col min="799" max="799" width="12.28515625" style="67" customWidth="1"/>
    <col min="800" max="800" width="11" style="67" customWidth="1"/>
    <col min="801" max="801" width="11" style="67" bestFit="1" customWidth="1"/>
    <col min="802" max="802" width="11.42578125" style="67"/>
    <col min="803" max="803" width="9.42578125" style="67" bestFit="1" customWidth="1"/>
    <col min="804" max="1024" width="11.42578125" style="67"/>
    <col min="1025" max="1025" width="28.140625" style="67" bestFit="1" customWidth="1"/>
    <col min="1026" max="1026" width="19.140625" style="67" customWidth="1"/>
    <col min="1027" max="1027" width="12.140625" style="67" customWidth="1"/>
    <col min="1028" max="1028" width="12.42578125" style="67" customWidth="1"/>
    <col min="1029" max="1029" width="19.140625" style="67" customWidth="1"/>
    <col min="1030" max="1030" width="18.28515625" style="67" customWidth="1"/>
    <col min="1031" max="1031" width="14" style="67" customWidth="1"/>
    <col min="1032" max="1032" width="13.28515625" style="67" customWidth="1"/>
    <col min="1033" max="1033" width="14.42578125" style="67" customWidth="1"/>
    <col min="1034" max="1034" width="14.85546875" style="67" customWidth="1"/>
    <col min="1035" max="1035" width="12" style="67" customWidth="1"/>
    <col min="1036" max="1036" width="13.42578125" style="67" customWidth="1"/>
    <col min="1037" max="1037" width="11.28515625" style="67" customWidth="1"/>
    <col min="1038" max="1038" width="10.7109375" style="67" customWidth="1"/>
    <col min="1039" max="1039" width="11.42578125" style="67"/>
    <col min="1040" max="1040" width="12.85546875" style="67" customWidth="1"/>
    <col min="1041" max="1041" width="10.85546875" style="67" customWidth="1"/>
    <col min="1042" max="1042" width="12.7109375" style="67" customWidth="1"/>
    <col min="1043" max="1043" width="12.42578125" style="67" customWidth="1"/>
    <col min="1044" max="1044" width="12.85546875" style="67" customWidth="1"/>
    <col min="1045" max="1046" width="11" style="67" bestFit="1" customWidth="1"/>
    <col min="1047" max="1047" width="15.5703125" style="67" customWidth="1"/>
    <col min="1048" max="1050" width="11" style="67" bestFit="1" customWidth="1"/>
    <col min="1051" max="1052" width="11.140625" style="67" customWidth="1"/>
    <col min="1053" max="1053" width="11" style="67" customWidth="1"/>
    <col min="1054" max="1054" width="11.7109375" style="67" customWidth="1"/>
    <col min="1055" max="1055" width="12.28515625" style="67" customWidth="1"/>
    <col min="1056" max="1056" width="11" style="67" customWidth="1"/>
    <col min="1057" max="1057" width="11" style="67" bestFit="1" customWidth="1"/>
    <col min="1058" max="1058" width="11.42578125" style="67"/>
    <col min="1059" max="1059" width="9.42578125" style="67" bestFit="1" customWidth="1"/>
    <col min="1060" max="1280" width="11.42578125" style="67"/>
    <col min="1281" max="1281" width="28.140625" style="67" bestFit="1" customWidth="1"/>
    <col min="1282" max="1282" width="19.140625" style="67" customWidth="1"/>
    <col min="1283" max="1283" width="12.140625" style="67" customWidth="1"/>
    <col min="1284" max="1284" width="12.42578125" style="67" customWidth="1"/>
    <col min="1285" max="1285" width="19.140625" style="67" customWidth="1"/>
    <col min="1286" max="1286" width="18.28515625" style="67" customWidth="1"/>
    <col min="1287" max="1287" width="14" style="67" customWidth="1"/>
    <col min="1288" max="1288" width="13.28515625" style="67" customWidth="1"/>
    <col min="1289" max="1289" width="14.42578125" style="67" customWidth="1"/>
    <col min="1290" max="1290" width="14.85546875" style="67" customWidth="1"/>
    <col min="1291" max="1291" width="12" style="67" customWidth="1"/>
    <col min="1292" max="1292" width="13.42578125" style="67" customWidth="1"/>
    <col min="1293" max="1293" width="11.28515625" style="67" customWidth="1"/>
    <col min="1294" max="1294" width="10.7109375" style="67" customWidth="1"/>
    <col min="1295" max="1295" width="11.42578125" style="67"/>
    <col min="1296" max="1296" width="12.85546875" style="67" customWidth="1"/>
    <col min="1297" max="1297" width="10.85546875" style="67" customWidth="1"/>
    <col min="1298" max="1298" width="12.7109375" style="67" customWidth="1"/>
    <col min="1299" max="1299" width="12.42578125" style="67" customWidth="1"/>
    <col min="1300" max="1300" width="12.85546875" style="67" customWidth="1"/>
    <col min="1301" max="1302" width="11" style="67" bestFit="1" customWidth="1"/>
    <col min="1303" max="1303" width="15.5703125" style="67" customWidth="1"/>
    <col min="1304" max="1306" width="11" style="67" bestFit="1" customWidth="1"/>
    <col min="1307" max="1308" width="11.140625" style="67" customWidth="1"/>
    <col min="1309" max="1309" width="11" style="67" customWidth="1"/>
    <col min="1310" max="1310" width="11.7109375" style="67" customWidth="1"/>
    <col min="1311" max="1311" width="12.28515625" style="67" customWidth="1"/>
    <col min="1312" max="1312" width="11" style="67" customWidth="1"/>
    <col min="1313" max="1313" width="11" style="67" bestFit="1" customWidth="1"/>
    <col min="1314" max="1314" width="11.42578125" style="67"/>
    <col min="1315" max="1315" width="9.42578125" style="67" bestFit="1" customWidth="1"/>
    <col min="1316" max="1536" width="11.42578125" style="67"/>
    <col min="1537" max="1537" width="28.140625" style="67" bestFit="1" customWidth="1"/>
    <col min="1538" max="1538" width="19.140625" style="67" customWidth="1"/>
    <col min="1539" max="1539" width="12.140625" style="67" customWidth="1"/>
    <col min="1540" max="1540" width="12.42578125" style="67" customWidth="1"/>
    <col min="1541" max="1541" width="19.140625" style="67" customWidth="1"/>
    <col min="1542" max="1542" width="18.28515625" style="67" customWidth="1"/>
    <col min="1543" max="1543" width="14" style="67" customWidth="1"/>
    <col min="1544" max="1544" width="13.28515625" style="67" customWidth="1"/>
    <col min="1545" max="1545" width="14.42578125" style="67" customWidth="1"/>
    <col min="1546" max="1546" width="14.85546875" style="67" customWidth="1"/>
    <col min="1547" max="1547" width="12" style="67" customWidth="1"/>
    <col min="1548" max="1548" width="13.42578125" style="67" customWidth="1"/>
    <col min="1549" max="1549" width="11.28515625" style="67" customWidth="1"/>
    <col min="1550" max="1550" width="10.7109375" style="67" customWidth="1"/>
    <col min="1551" max="1551" width="11.42578125" style="67"/>
    <col min="1552" max="1552" width="12.85546875" style="67" customWidth="1"/>
    <col min="1553" max="1553" width="10.85546875" style="67" customWidth="1"/>
    <col min="1554" max="1554" width="12.7109375" style="67" customWidth="1"/>
    <col min="1555" max="1555" width="12.42578125" style="67" customWidth="1"/>
    <col min="1556" max="1556" width="12.85546875" style="67" customWidth="1"/>
    <col min="1557" max="1558" width="11" style="67" bestFit="1" customWidth="1"/>
    <col min="1559" max="1559" width="15.5703125" style="67" customWidth="1"/>
    <col min="1560" max="1562" width="11" style="67" bestFit="1" customWidth="1"/>
    <col min="1563" max="1564" width="11.140625" style="67" customWidth="1"/>
    <col min="1565" max="1565" width="11" style="67" customWidth="1"/>
    <col min="1566" max="1566" width="11.7109375" style="67" customWidth="1"/>
    <col min="1567" max="1567" width="12.28515625" style="67" customWidth="1"/>
    <col min="1568" max="1568" width="11" style="67" customWidth="1"/>
    <col min="1569" max="1569" width="11" style="67" bestFit="1" customWidth="1"/>
    <col min="1570" max="1570" width="11.42578125" style="67"/>
    <col min="1571" max="1571" width="9.42578125" style="67" bestFit="1" customWidth="1"/>
    <col min="1572" max="1792" width="11.42578125" style="67"/>
    <col min="1793" max="1793" width="28.140625" style="67" bestFit="1" customWidth="1"/>
    <col min="1794" max="1794" width="19.140625" style="67" customWidth="1"/>
    <col min="1795" max="1795" width="12.140625" style="67" customWidth="1"/>
    <col min="1796" max="1796" width="12.42578125" style="67" customWidth="1"/>
    <col min="1797" max="1797" width="19.140625" style="67" customWidth="1"/>
    <col min="1798" max="1798" width="18.28515625" style="67" customWidth="1"/>
    <col min="1799" max="1799" width="14" style="67" customWidth="1"/>
    <col min="1800" max="1800" width="13.28515625" style="67" customWidth="1"/>
    <col min="1801" max="1801" width="14.42578125" style="67" customWidth="1"/>
    <col min="1802" max="1802" width="14.85546875" style="67" customWidth="1"/>
    <col min="1803" max="1803" width="12" style="67" customWidth="1"/>
    <col min="1804" max="1804" width="13.42578125" style="67" customWidth="1"/>
    <col min="1805" max="1805" width="11.28515625" style="67" customWidth="1"/>
    <col min="1806" max="1806" width="10.7109375" style="67" customWidth="1"/>
    <col min="1807" max="1807" width="11.42578125" style="67"/>
    <col min="1808" max="1808" width="12.85546875" style="67" customWidth="1"/>
    <col min="1809" max="1809" width="10.85546875" style="67" customWidth="1"/>
    <col min="1810" max="1810" width="12.7109375" style="67" customWidth="1"/>
    <col min="1811" max="1811" width="12.42578125" style="67" customWidth="1"/>
    <col min="1812" max="1812" width="12.85546875" style="67" customWidth="1"/>
    <col min="1813" max="1814" width="11" style="67" bestFit="1" customWidth="1"/>
    <col min="1815" max="1815" width="15.5703125" style="67" customWidth="1"/>
    <col min="1816" max="1818" width="11" style="67" bestFit="1" customWidth="1"/>
    <col min="1819" max="1820" width="11.140625" style="67" customWidth="1"/>
    <col min="1821" max="1821" width="11" style="67" customWidth="1"/>
    <col min="1822" max="1822" width="11.7109375" style="67" customWidth="1"/>
    <col min="1823" max="1823" width="12.28515625" style="67" customWidth="1"/>
    <col min="1824" max="1824" width="11" style="67" customWidth="1"/>
    <col min="1825" max="1825" width="11" style="67" bestFit="1" customWidth="1"/>
    <col min="1826" max="1826" width="11.42578125" style="67"/>
    <col min="1827" max="1827" width="9.42578125" style="67" bestFit="1" customWidth="1"/>
    <col min="1828" max="2048" width="11.42578125" style="67"/>
    <col min="2049" max="2049" width="28.140625" style="67" bestFit="1" customWidth="1"/>
    <col min="2050" max="2050" width="19.140625" style="67" customWidth="1"/>
    <col min="2051" max="2051" width="12.140625" style="67" customWidth="1"/>
    <col min="2052" max="2052" width="12.42578125" style="67" customWidth="1"/>
    <col min="2053" max="2053" width="19.140625" style="67" customWidth="1"/>
    <col min="2054" max="2054" width="18.28515625" style="67" customWidth="1"/>
    <col min="2055" max="2055" width="14" style="67" customWidth="1"/>
    <col min="2056" max="2056" width="13.28515625" style="67" customWidth="1"/>
    <col min="2057" max="2057" width="14.42578125" style="67" customWidth="1"/>
    <col min="2058" max="2058" width="14.85546875" style="67" customWidth="1"/>
    <col min="2059" max="2059" width="12" style="67" customWidth="1"/>
    <col min="2060" max="2060" width="13.42578125" style="67" customWidth="1"/>
    <col min="2061" max="2061" width="11.28515625" style="67" customWidth="1"/>
    <col min="2062" max="2062" width="10.7109375" style="67" customWidth="1"/>
    <col min="2063" max="2063" width="11.42578125" style="67"/>
    <col min="2064" max="2064" width="12.85546875" style="67" customWidth="1"/>
    <col min="2065" max="2065" width="10.85546875" style="67" customWidth="1"/>
    <col min="2066" max="2066" width="12.7109375" style="67" customWidth="1"/>
    <col min="2067" max="2067" width="12.42578125" style="67" customWidth="1"/>
    <col min="2068" max="2068" width="12.85546875" style="67" customWidth="1"/>
    <col min="2069" max="2070" width="11" style="67" bestFit="1" customWidth="1"/>
    <col min="2071" max="2071" width="15.5703125" style="67" customWidth="1"/>
    <col min="2072" max="2074" width="11" style="67" bestFit="1" customWidth="1"/>
    <col min="2075" max="2076" width="11.140625" style="67" customWidth="1"/>
    <col min="2077" max="2077" width="11" style="67" customWidth="1"/>
    <col min="2078" max="2078" width="11.7109375" style="67" customWidth="1"/>
    <col min="2079" max="2079" width="12.28515625" style="67" customWidth="1"/>
    <col min="2080" max="2080" width="11" style="67" customWidth="1"/>
    <col min="2081" max="2081" width="11" style="67" bestFit="1" customWidth="1"/>
    <col min="2082" max="2082" width="11.42578125" style="67"/>
    <col min="2083" max="2083" width="9.42578125" style="67" bestFit="1" customWidth="1"/>
    <col min="2084" max="2304" width="11.42578125" style="67"/>
    <col min="2305" max="2305" width="28.140625" style="67" bestFit="1" customWidth="1"/>
    <col min="2306" max="2306" width="19.140625" style="67" customWidth="1"/>
    <col min="2307" max="2307" width="12.140625" style="67" customWidth="1"/>
    <col min="2308" max="2308" width="12.42578125" style="67" customWidth="1"/>
    <col min="2309" max="2309" width="19.140625" style="67" customWidth="1"/>
    <col min="2310" max="2310" width="18.28515625" style="67" customWidth="1"/>
    <col min="2311" max="2311" width="14" style="67" customWidth="1"/>
    <col min="2312" max="2312" width="13.28515625" style="67" customWidth="1"/>
    <col min="2313" max="2313" width="14.42578125" style="67" customWidth="1"/>
    <col min="2314" max="2314" width="14.85546875" style="67" customWidth="1"/>
    <col min="2315" max="2315" width="12" style="67" customWidth="1"/>
    <col min="2316" max="2316" width="13.42578125" style="67" customWidth="1"/>
    <col min="2317" max="2317" width="11.28515625" style="67" customWidth="1"/>
    <col min="2318" max="2318" width="10.7109375" style="67" customWidth="1"/>
    <col min="2319" max="2319" width="11.42578125" style="67"/>
    <col min="2320" max="2320" width="12.85546875" style="67" customWidth="1"/>
    <col min="2321" max="2321" width="10.85546875" style="67" customWidth="1"/>
    <col min="2322" max="2322" width="12.7109375" style="67" customWidth="1"/>
    <col min="2323" max="2323" width="12.42578125" style="67" customWidth="1"/>
    <col min="2324" max="2324" width="12.85546875" style="67" customWidth="1"/>
    <col min="2325" max="2326" width="11" style="67" bestFit="1" customWidth="1"/>
    <col min="2327" max="2327" width="15.5703125" style="67" customWidth="1"/>
    <col min="2328" max="2330" width="11" style="67" bestFit="1" customWidth="1"/>
    <col min="2331" max="2332" width="11.140625" style="67" customWidth="1"/>
    <col min="2333" max="2333" width="11" style="67" customWidth="1"/>
    <col min="2334" max="2334" width="11.7109375" style="67" customWidth="1"/>
    <col min="2335" max="2335" width="12.28515625" style="67" customWidth="1"/>
    <col min="2336" max="2336" width="11" style="67" customWidth="1"/>
    <col min="2337" max="2337" width="11" style="67" bestFit="1" customWidth="1"/>
    <col min="2338" max="2338" width="11.42578125" style="67"/>
    <col min="2339" max="2339" width="9.42578125" style="67" bestFit="1" customWidth="1"/>
    <col min="2340" max="2560" width="11.42578125" style="67"/>
    <col min="2561" max="2561" width="28.140625" style="67" bestFit="1" customWidth="1"/>
    <col min="2562" max="2562" width="19.140625" style="67" customWidth="1"/>
    <col min="2563" max="2563" width="12.140625" style="67" customWidth="1"/>
    <col min="2564" max="2564" width="12.42578125" style="67" customWidth="1"/>
    <col min="2565" max="2565" width="19.140625" style="67" customWidth="1"/>
    <col min="2566" max="2566" width="18.28515625" style="67" customWidth="1"/>
    <col min="2567" max="2567" width="14" style="67" customWidth="1"/>
    <col min="2568" max="2568" width="13.28515625" style="67" customWidth="1"/>
    <col min="2569" max="2569" width="14.42578125" style="67" customWidth="1"/>
    <col min="2570" max="2570" width="14.85546875" style="67" customWidth="1"/>
    <col min="2571" max="2571" width="12" style="67" customWidth="1"/>
    <col min="2572" max="2572" width="13.42578125" style="67" customWidth="1"/>
    <col min="2573" max="2573" width="11.28515625" style="67" customWidth="1"/>
    <col min="2574" max="2574" width="10.7109375" style="67" customWidth="1"/>
    <col min="2575" max="2575" width="11.42578125" style="67"/>
    <col min="2576" max="2576" width="12.85546875" style="67" customWidth="1"/>
    <col min="2577" max="2577" width="10.85546875" style="67" customWidth="1"/>
    <col min="2578" max="2578" width="12.7109375" style="67" customWidth="1"/>
    <col min="2579" max="2579" width="12.42578125" style="67" customWidth="1"/>
    <col min="2580" max="2580" width="12.85546875" style="67" customWidth="1"/>
    <col min="2581" max="2582" width="11" style="67" bestFit="1" customWidth="1"/>
    <col min="2583" max="2583" width="15.5703125" style="67" customWidth="1"/>
    <col min="2584" max="2586" width="11" style="67" bestFit="1" customWidth="1"/>
    <col min="2587" max="2588" width="11.140625" style="67" customWidth="1"/>
    <col min="2589" max="2589" width="11" style="67" customWidth="1"/>
    <col min="2590" max="2590" width="11.7109375" style="67" customWidth="1"/>
    <col min="2591" max="2591" width="12.28515625" style="67" customWidth="1"/>
    <col min="2592" max="2592" width="11" style="67" customWidth="1"/>
    <col min="2593" max="2593" width="11" style="67" bestFit="1" customWidth="1"/>
    <col min="2594" max="2594" width="11.42578125" style="67"/>
    <col min="2595" max="2595" width="9.42578125" style="67" bestFit="1" customWidth="1"/>
    <col min="2596" max="2816" width="11.42578125" style="67"/>
    <col min="2817" max="2817" width="28.140625" style="67" bestFit="1" customWidth="1"/>
    <col min="2818" max="2818" width="19.140625" style="67" customWidth="1"/>
    <col min="2819" max="2819" width="12.140625" style="67" customWidth="1"/>
    <col min="2820" max="2820" width="12.42578125" style="67" customWidth="1"/>
    <col min="2821" max="2821" width="19.140625" style="67" customWidth="1"/>
    <col min="2822" max="2822" width="18.28515625" style="67" customWidth="1"/>
    <col min="2823" max="2823" width="14" style="67" customWidth="1"/>
    <col min="2824" max="2824" width="13.28515625" style="67" customWidth="1"/>
    <col min="2825" max="2825" width="14.42578125" style="67" customWidth="1"/>
    <col min="2826" max="2826" width="14.85546875" style="67" customWidth="1"/>
    <col min="2827" max="2827" width="12" style="67" customWidth="1"/>
    <col min="2828" max="2828" width="13.42578125" style="67" customWidth="1"/>
    <col min="2829" max="2829" width="11.28515625" style="67" customWidth="1"/>
    <col min="2830" max="2830" width="10.7109375" style="67" customWidth="1"/>
    <col min="2831" max="2831" width="11.42578125" style="67"/>
    <col min="2832" max="2832" width="12.85546875" style="67" customWidth="1"/>
    <col min="2833" max="2833" width="10.85546875" style="67" customWidth="1"/>
    <col min="2834" max="2834" width="12.7109375" style="67" customWidth="1"/>
    <col min="2835" max="2835" width="12.42578125" style="67" customWidth="1"/>
    <col min="2836" max="2836" width="12.85546875" style="67" customWidth="1"/>
    <col min="2837" max="2838" width="11" style="67" bestFit="1" customWidth="1"/>
    <col min="2839" max="2839" width="15.5703125" style="67" customWidth="1"/>
    <col min="2840" max="2842" width="11" style="67" bestFit="1" customWidth="1"/>
    <col min="2843" max="2844" width="11.140625" style="67" customWidth="1"/>
    <col min="2845" max="2845" width="11" style="67" customWidth="1"/>
    <col min="2846" max="2846" width="11.7109375" style="67" customWidth="1"/>
    <col min="2847" max="2847" width="12.28515625" style="67" customWidth="1"/>
    <col min="2848" max="2848" width="11" style="67" customWidth="1"/>
    <col min="2849" max="2849" width="11" style="67" bestFit="1" customWidth="1"/>
    <col min="2850" max="2850" width="11.42578125" style="67"/>
    <col min="2851" max="2851" width="9.42578125" style="67" bestFit="1" customWidth="1"/>
    <col min="2852" max="3072" width="11.42578125" style="67"/>
    <col min="3073" max="3073" width="28.140625" style="67" bestFit="1" customWidth="1"/>
    <col min="3074" max="3074" width="19.140625" style="67" customWidth="1"/>
    <col min="3075" max="3075" width="12.140625" style="67" customWidth="1"/>
    <col min="3076" max="3076" width="12.42578125" style="67" customWidth="1"/>
    <col min="3077" max="3077" width="19.140625" style="67" customWidth="1"/>
    <col min="3078" max="3078" width="18.28515625" style="67" customWidth="1"/>
    <col min="3079" max="3079" width="14" style="67" customWidth="1"/>
    <col min="3080" max="3080" width="13.28515625" style="67" customWidth="1"/>
    <col min="3081" max="3081" width="14.42578125" style="67" customWidth="1"/>
    <col min="3082" max="3082" width="14.85546875" style="67" customWidth="1"/>
    <col min="3083" max="3083" width="12" style="67" customWidth="1"/>
    <col min="3084" max="3084" width="13.42578125" style="67" customWidth="1"/>
    <col min="3085" max="3085" width="11.28515625" style="67" customWidth="1"/>
    <col min="3086" max="3086" width="10.7109375" style="67" customWidth="1"/>
    <col min="3087" max="3087" width="11.42578125" style="67"/>
    <col min="3088" max="3088" width="12.85546875" style="67" customWidth="1"/>
    <col min="3089" max="3089" width="10.85546875" style="67" customWidth="1"/>
    <col min="3090" max="3090" width="12.7109375" style="67" customWidth="1"/>
    <col min="3091" max="3091" width="12.42578125" style="67" customWidth="1"/>
    <col min="3092" max="3092" width="12.85546875" style="67" customWidth="1"/>
    <col min="3093" max="3094" width="11" style="67" bestFit="1" customWidth="1"/>
    <col min="3095" max="3095" width="15.5703125" style="67" customWidth="1"/>
    <col min="3096" max="3098" width="11" style="67" bestFit="1" customWidth="1"/>
    <col min="3099" max="3100" width="11.140625" style="67" customWidth="1"/>
    <col min="3101" max="3101" width="11" style="67" customWidth="1"/>
    <col min="3102" max="3102" width="11.7109375" style="67" customWidth="1"/>
    <col min="3103" max="3103" width="12.28515625" style="67" customWidth="1"/>
    <col min="3104" max="3104" width="11" style="67" customWidth="1"/>
    <col min="3105" max="3105" width="11" style="67" bestFit="1" customWidth="1"/>
    <col min="3106" max="3106" width="11.42578125" style="67"/>
    <col min="3107" max="3107" width="9.42578125" style="67" bestFit="1" customWidth="1"/>
    <col min="3108" max="3328" width="11.42578125" style="67"/>
    <col min="3329" max="3329" width="28.140625" style="67" bestFit="1" customWidth="1"/>
    <col min="3330" max="3330" width="19.140625" style="67" customWidth="1"/>
    <col min="3331" max="3331" width="12.140625" style="67" customWidth="1"/>
    <col min="3332" max="3332" width="12.42578125" style="67" customWidth="1"/>
    <col min="3333" max="3333" width="19.140625" style="67" customWidth="1"/>
    <col min="3334" max="3334" width="18.28515625" style="67" customWidth="1"/>
    <col min="3335" max="3335" width="14" style="67" customWidth="1"/>
    <col min="3336" max="3336" width="13.28515625" style="67" customWidth="1"/>
    <col min="3337" max="3337" width="14.42578125" style="67" customWidth="1"/>
    <col min="3338" max="3338" width="14.85546875" style="67" customWidth="1"/>
    <col min="3339" max="3339" width="12" style="67" customWidth="1"/>
    <col min="3340" max="3340" width="13.42578125" style="67" customWidth="1"/>
    <col min="3341" max="3341" width="11.28515625" style="67" customWidth="1"/>
    <col min="3342" max="3342" width="10.7109375" style="67" customWidth="1"/>
    <col min="3343" max="3343" width="11.42578125" style="67"/>
    <col min="3344" max="3344" width="12.85546875" style="67" customWidth="1"/>
    <col min="3345" max="3345" width="10.85546875" style="67" customWidth="1"/>
    <col min="3346" max="3346" width="12.7109375" style="67" customWidth="1"/>
    <col min="3347" max="3347" width="12.42578125" style="67" customWidth="1"/>
    <col min="3348" max="3348" width="12.85546875" style="67" customWidth="1"/>
    <col min="3349" max="3350" width="11" style="67" bestFit="1" customWidth="1"/>
    <col min="3351" max="3351" width="15.5703125" style="67" customWidth="1"/>
    <col min="3352" max="3354" width="11" style="67" bestFit="1" customWidth="1"/>
    <col min="3355" max="3356" width="11.140625" style="67" customWidth="1"/>
    <col min="3357" max="3357" width="11" style="67" customWidth="1"/>
    <col min="3358" max="3358" width="11.7109375" style="67" customWidth="1"/>
    <col min="3359" max="3359" width="12.28515625" style="67" customWidth="1"/>
    <col min="3360" max="3360" width="11" style="67" customWidth="1"/>
    <col min="3361" max="3361" width="11" style="67" bestFit="1" customWidth="1"/>
    <col min="3362" max="3362" width="11.42578125" style="67"/>
    <col min="3363" max="3363" width="9.42578125" style="67" bestFit="1" customWidth="1"/>
    <col min="3364" max="3584" width="11.42578125" style="67"/>
    <col min="3585" max="3585" width="28.140625" style="67" bestFit="1" customWidth="1"/>
    <col min="3586" max="3586" width="19.140625" style="67" customWidth="1"/>
    <col min="3587" max="3587" width="12.140625" style="67" customWidth="1"/>
    <col min="3588" max="3588" width="12.42578125" style="67" customWidth="1"/>
    <col min="3589" max="3589" width="19.140625" style="67" customWidth="1"/>
    <col min="3590" max="3590" width="18.28515625" style="67" customWidth="1"/>
    <col min="3591" max="3591" width="14" style="67" customWidth="1"/>
    <col min="3592" max="3592" width="13.28515625" style="67" customWidth="1"/>
    <col min="3593" max="3593" width="14.42578125" style="67" customWidth="1"/>
    <col min="3594" max="3594" width="14.85546875" style="67" customWidth="1"/>
    <col min="3595" max="3595" width="12" style="67" customWidth="1"/>
    <col min="3596" max="3596" width="13.42578125" style="67" customWidth="1"/>
    <col min="3597" max="3597" width="11.28515625" style="67" customWidth="1"/>
    <col min="3598" max="3598" width="10.7109375" style="67" customWidth="1"/>
    <col min="3599" max="3599" width="11.42578125" style="67"/>
    <col min="3600" max="3600" width="12.85546875" style="67" customWidth="1"/>
    <col min="3601" max="3601" width="10.85546875" style="67" customWidth="1"/>
    <col min="3602" max="3602" width="12.7109375" style="67" customWidth="1"/>
    <col min="3603" max="3603" width="12.42578125" style="67" customWidth="1"/>
    <col min="3604" max="3604" width="12.85546875" style="67" customWidth="1"/>
    <col min="3605" max="3606" width="11" style="67" bestFit="1" customWidth="1"/>
    <col min="3607" max="3607" width="15.5703125" style="67" customWidth="1"/>
    <col min="3608" max="3610" width="11" style="67" bestFit="1" customWidth="1"/>
    <col min="3611" max="3612" width="11.140625" style="67" customWidth="1"/>
    <col min="3613" max="3613" width="11" style="67" customWidth="1"/>
    <col min="3614" max="3614" width="11.7109375" style="67" customWidth="1"/>
    <col min="3615" max="3615" width="12.28515625" style="67" customWidth="1"/>
    <col min="3616" max="3616" width="11" style="67" customWidth="1"/>
    <col min="3617" max="3617" width="11" style="67" bestFit="1" customWidth="1"/>
    <col min="3618" max="3618" width="11.42578125" style="67"/>
    <col min="3619" max="3619" width="9.42578125" style="67" bestFit="1" customWidth="1"/>
    <col min="3620" max="3840" width="11.42578125" style="67"/>
    <col min="3841" max="3841" width="28.140625" style="67" bestFit="1" customWidth="1"/>
    <col min="3842" max="3842" width="19.140625" style="67" customWidth="1"/>
    <col min="3843" max="3843" width="12.140625" style="67" customWidth="1"/>
    <col min="3844" max="3844" width="12.42578125" style="67" customWidth="1"/>
    <col min="3845" max="3845" width="19.140625" style="67" customWidth="1"/>
    <col min="3846" max="3846" width="18.28515625" style="67" customWidth="1"/>
    <col min="3847" max="3847" width="14" style="67" customWidth="1"/>
    <col min="3848" max="3848" width="13.28515625" style="67" customWidth="1"/>
    <col min="3849" max="3849" width="14.42578125" style="67" customWidth="1"/>
    <col min="3850" max="3850" width="14.85546875" style="67" customWidth="1"/>
    <col min="3851" max="3851" width="12" style="67" customWidth="1"/>
    <col min="3852" max="3852" width="13.42578125" style="67" customWidth="1"/>
    <col min="3853" max="3853" width="11.28515625" style="67" customWidth="1"/>
    <col min="3854" max="3854" width="10.7109375" style="67" customWidth="1"/>
    <col min="3855" max="3855" width="11.42578125" style="67"/>
    <col min="3856" max="3856" width="12.85546875" style="67" customWidth="1"/>
    <col min="3857" max="3857" width="10.85546875" style="67" customWidth="1"/>
    <col min="3858" max="3858" width="12.7109375" style="67" customWidth="1"/>
    <col min="3859" max="3859" width="12.42578125" style="67" customWidth="1"/>
    <col min="3860" max="3860" width="12.85546875" style="67" customWidth="1"/>
    <col min="3861" max="3862" width="11" style="67" bestFit="1" customWidth="1"/>
    <col min="3863" max="3863" width="15.5703125" style="67" customWidth="1"/>
    <col min="3864" max="3866" width="11" style="67" bestFit="1" customWidth="1"/>
    <col min="3867" max="3868" width="11.140625" style="67" customWidth="1"/>
    <col min="3869" max="3869" width="11" style="67" customWidth="1"/>
    <col min="3870" max="3870" width="11.7109375" style="67" customWidth="1"/>
    <col min="3871" max="3871" width="12.28515625" style="67" customWidth="1"/>
    <col min="3872" max="3872" width="11" style="67" customWidth="1"/>
    <col min="3873" max="3873" width="11" style="67" bestFit="1" customWidth="1"/>
    <col min="3874" max="3874" width="11.42578125" style="67"/>
    <col min="3875" max="3875" width="9.42578125" style="67" bestFit="1" customWidth="1"/>
    <col min="3876" max="4096" width="11.42578125" style="67"/>
    <col min="4097" max="4097" width="28.140625" style="67" bestFit="1" customWidth="1"/>
    <col min="4098" max="4098" width="19.140625" style="67" customWidth="1"/>
    <col min="4099" max="4099" width="12.140625" style="67" customWidth="1"/>
    <col min="4100" max="4100" width="12.42578125" style="67" customWidth="1"/>
    <col min="4101" max="4101" width="19.140625" style="67" customWidth="1"/>
    <col min="4102" max="4102" width="18.28515625" style="67" customWidth="1"/>
    <col min="4103" max="4103" width="14" style="67" customWidth="1"/>
    <col min="4104" max="4104" width="13.28515625" style="67" customWidth="1"/>
    <col min="4105" max="4105" width="14.42578125" style="67" customWidth="1"/>
    <col min="4106" max="4106" width="14.85546875" style="67" customWidth="1"/>
    <col min="4107" max="4107" width="12" style="67" customWidth="1"/>
    <col min="4108" max="4108" width="13.42578125" style="67" customWidth="1"/>
    <col min="4109" max="4109" width="11.28515625" style="67" customWidth="1"/>
    <col min="4110" max="4110" width="10.7109375" style="67" customWidth="1"/>
    <col min="4111" max="4111" width="11.42578125" style="67"/>
    <col min="4112" max="4112" width="12.85546875" style="67" customWidth="1"/>
    <col min="4113" max="4113" width="10.85546875" style="67" customWidth="1"/>
    <col min="4114" max="4114" width="12.7109375" style="67" customWidth="1"/>
    <col min="4115" max="4115" width="12.42578125" style="67" customWidth="1"/>
    <col min="4116" max="4116" width="12.85546875" style="67" customWidth="1"/>
    <col min="4117" max="4118" width="11" style="67" bestFit="1" customWidth="1"/>
    <col min="4119" max="4119" width="15.5703125" style="67" customWidth="1"/>
    <col min="4120" max="4122" width="11" style="67" bestFit="1" customWidth="1"/>
    <col min="4123" max="4124" width="11.140625" style="67" customWidth="1"/>
    <col min="4125" max="4125" width="11" style="67" customWidth="1"/>
    <col min="4126" max="4126" width="11.7109375" style="67" customWidth="1"/>
    <col min="4127" max="4127" width="12.28515625" style="67" customWidth="1"/>
    <col min="4128" max="4128" width="11" style="67" customWidth="1"/>
    <col min="4129" max="4129" width="11" style="67" bestFit="1" customWidth="1"/>
    <col min="4130" max="4130" width="11.42578125" style="67"/>
    <col min="4131" max="4131" width="9.42578125" style="67" bestFit="1" customWidth="1"/>
    <col min="4132" max="4352" width="11.42578125" style="67"/>
    <col min="4353" max="4353" width="28.140625" style="67" bestFit="1" customWidth="1"/>
    <col min="4354" max="4354" width="19.140625" style="67" customWidth="1"/>
    <col min="4355" max="4355" width="12.140625" style="67" customWidth="1"/>
    <col min="4356" max="4356" width="12.42578125" style="67" customWidth="1"/>
    <col min="4357" max="4357" width="19.140625" style="67" customWidth="1"/>
    <col min="4358" max="4358" width="18.28515625" style="67" customWidth="1"/>
    <col min="4359" max="4359" width="14" style="67" customWidth="1"/>
    <col min="4360" max="4360" width="13.28515625" style="67" customWidth="1"/>
    <col min="4361" max="4361" width="14.42578125" style="67" customWidth="1"/>
    <col min="4362" max="4362" width="14.85546875" style="67" customWidth="1"/>
    <col min="4363" max="4363" width="12" style="67" customWidth="1"/>
    <col min="4364" max="4364" width="13.42578125" style="67" customWidth="1"/>
    <col min="4365" max="4365" width="11.28515625" style="67" customWidth="1"/>
    <col min="4366" max="4366" width="10.7109375" style="67" customWidth="1"/>
    <col min="4367" max="4367" width="11.42578125" style="67"/>
    <col min="4368" max="4368" width="12.85546875" style="67" customWidth="1"/>
    <col min="4369" max="4369" width="10.85546875" style="67" customWidth="1"/>
    <col min="4370" max="4370" width="12.7109375" style="67" customWidth="1"/>
    <col min="4371" max="4371" width="12.42578125" style="67" customWidth="1"/>
    <col min="4372" max="4372" width="12.85546875" style="67" customWidth="1"/>
    <col min="4373" max="4374" width="11" style="67" bestFit="1" customWidth="1"/>
    <col min="4375" max="4375" width="15.5703125" style="67" customWidth="1"/>
    <col min="4376" max="4378" width="11" style="67" bestFit="1" customWidth="1"/>
    <col min="4379" max="4380" width="11.140625" style="67" customWidth="1"/>
    <col min="4381" max="4381" width="11" style="67" customWidth="1"/>
    <col min="4382" max="4382" width="11.7109375" style="67" customWidth="1"/>
    <col min="4383" max="4383" width="12.28515625" style="67" customWidth="1"/>
    <col min="4384" max="4384" width="11" style="67" customWidth="1"/>
    <col min="4385" max="4385" width="11" style="67" bestFit="1" customWidth="1"/>
    <col min="4386" max="4386" width="11.42578125" style="67"/>
    <col min="4387" max="4387" width="9.42578125" style="67" bestFit="1" customWidth="1"/>
    <col min="4388" max="4608" width="11.42578125" style="67"/>
    <col min="4609" max="4609" width="28.140625" style="67" bestFit="1" customWidth="1"/>
    <col min="4610" max="4610" width="19.140625" style="67" customWidth="1"/>
    <col min="4611" max="4611" width="12.140625" style="67" customWidth="1"/>
    <col min="4612" max="4612" width="12.42578125" style="67" customWidth="1"/>
    <col min="4613" max="4613" width="19.140625" style="67" customWidth="1"/>
    <col min="4614" max="4614" width="18.28515625" style="67" customWidth="1"/>
    <col min="4615" max="4615" width="14" style="67" customWidth="1"/>
    <col min="4616" max="4616" width="13.28515625" style="67" customWidth="1"/>
    <col min="4617" max="4617" width="14.42578125" style="67" customWidth="1"/>
    <col min="4618" max="4618" width="14.85546875" style="67" customWidth="1"/>
    <col min="4619" max="4619" width="12" style="67" customWidth="1"/>
    <col min="4620" max="4620" width="13.42578125" style="67" customWidth="1"/>
    <col min="4621" max="4621" width="11.28515625" style="67" customWidth="1"/>
    <col min="4622" max="4622" width="10.7109375" style="67" customWidth="1"/>
    <col min="4623" max="4623" width="11.42578125" style="67"/>
    <col min="4624" max="4624" width="12.85546875" style="67" customWidth="1"/>
    <col min="4625" max="4625" width="10.85546875" style="67" customWidth="1"/>
    <col min="4626" max="4626" width="12.7109375" style="67" customWidth="1"/>
    <col min="4627" max="4627" width="12.42578125" style="67" customWidth="1"/>
    <col min="4628" max="4628" width="12.85546875" style="67" customWidth="1"/>
    <col min="4629" max="4630" width="11" style="67" bestFit="1" customWidth="1"/>
    <col min="4631" max="4631" width="15.5703125" style="67" customWidth="1"/>
    <col min="4632" max="4634" width="11" style="67" bestFit="1" customWidth="1"/>
    <col min="4635" max="4636" width="11.140625" style="67" customWidth="1"/>
    <col min="4637" max="4637" width="11" style="67" customWidth="1"/>
    <col min="4638" max="4638" width="11.7109375" style="67" customWidth="1"/>
    <col min="4639" max="4639" width="12.28515625" style="67" customWidth="1"/>
    <col min="4640" max="4640" width="11" style="67" customWidth="1"/>
    <col min="4641" max="4641" width="11" style="67" bestFit="1" customWidth="1"/>
    <col min="4642" max="4642" width="11.42578125" style="67"/>
    <col min="4643" max="4643" width="9.42578125" style="67" bestFit="1" customWidth="1"/>
    <col min="4644" max="4864" width="11.42578125" style="67"/>
    <col min="4865" max="4865" width="28.140625" style="67" bestFit="1" customWidth="1"/>
    <col min="4866" max="4866" width="19.140625" style="67" customWidth="1"/>
    <col min="4867" max="4867" width="12.140625" style="67" customWidth="1"/>
    <col min="4868" max="4868" width="12.42578125" style="67" customWidth="1"/>
    <col min="4869" max="4869" width="19.140625" style="67" customWidth="1"/>
    <col min="4870" max="4870" width="18.28515625" style="67" customWidth="1"/>
    <col min="4871" max="4871" width="14" style="67" customWidth="1"/>
    <col min="4872" max="4872" width="13.28515625" style="67" customWidth="1"/>
    <col min="4873" max="4873" width="14.42578125" style="67" customWidth="1"/>
    <col min="4874" max="4874" width="14.85546875" style="67" customWidth="1"/>
    <col min="4875" max="4875" width="12" style="67" customWidth="1"/>
    <col min="4876" max="4876" width="13.42578125" style="67" customWidth="1"/>
    <col min="4877" max="4877" width="11.28515625" style="67" customWidth="1"/>
    <col min="4878" max="4878" width="10.7109375" style="67" customWidth="1"/>
    <col min="4879" max="4879" width="11.42578125" style="67"/>
    <col min="4880" max="4880" width="12.85546875" style="67" customWidth="1"/>
    <col min="4881" max="4881" width="10.85546875" style="67" customWidth="1"/>
    <col min="4882" max="4882" width="12.7109375" style="67" customWidth="1"/>
    <col min="4883" max="4883" width="12.42578125" style="67" customWidth="1"/>
    <col min="4884" max="4884" width="12.85546875" style="67" customWidth="1"/>
    <col min="4885" max="4886" width="11" style="67" bestFit="1" customWidth="1"/>
    <col min="4887" max="4887" width="15.5703125" style="67" customWidth="1"/>
    <col min="4888" max="4890" width="11" style="67" bestFit="1" customWidth="1"/>
    <col min="4891" max="4892" width="11.140625" style="67" customWidth="1"/>
    <col min="4893" max="4893" width="11" style="67" customWidth="1"/>
    <col min="4894" max="4894" width="11.7109375" style="67" customWidth="1"/>
    <col min="4895" max="4895" width="12.28515625" style="67" customWidth="1"/>
    <col min="4896" max="4896" width="11" style="67" customWidth="1"/>
    <col min="4897" max="4897" width="11" style="67" bestFit="1" customWidth="1"/>
    <col min="4898" max="4898" width="11.42578125" style="67"/>
    <col min="4899" max="4899" width="9.42578125" style="67" bestFit="1" customWidth="1"/>
    <col min="4900" max="5120" width="11.42578125" style="67"/>
    <col min="5121" max="5121" width="28.140625" style="67" bestFit="1" customWidth="1"/>
    <col min="5122" max="5122" width="19.140625" style="67" customWidth="1"/>
    <col min="5123" max="5123" width="12.140625" style="67" customWidth="1"/>
    <col min="5124" max="5124" width="12.42578125" style="67" customWidth="1"/>
    <col min="5125" max="5125" width="19.140625" style="67" customWidth="1"/>
    <col min="5126" max="5126" width="18.28515625" style="67" customWidth="1"/>
    <col min="5127" max="5127" width="14" style="67" customWidth="1"/>
    <col min="5128" max="5128" width="13.28515625" style="67" customWidth="1"/>
    <col min="5129" max="5129" width="14.42578125" style="67" customWidth="1"/>
    <col min="5130" max="5130" width="14.85546875" style="67" customWidth="1"/>
    <col min="5131" max="5131" width="12" style="67" customWidth="1"/>
    <col min="5132" max="5132" width="13.42578125" style="67" customWidth="1"/>
    <col min="5133" max="5133" width="11.28515625" style="67" customWidth="1"/>
    <col min="5134" max="5134" width="10.7109375" style="67" customWidth="1"/>
    <col min="5135" max="5135" width="11.42578125" style="67"/>
    <col min="5136" max="5136" width="12.85546875" style="67" customWidth="1"/>
    <col min="5137" max="5137" width="10.85546875" style="67" customWidth="1"/>
    <col min="5138" max="5138" width="12.7109375" style="67" customWidth="1"/>
    <col min="5139" max="5139" width="12.42578125" style="67" customWidth="1"/>
    <col min="5140" max="5140" width="12.85546875" style="67" customWidth="1"/>
    <col min="5141" max="5142" width="11" style="67" bestFit="1" customWidth="1"/>
    <col min="5143" max="5143" width="15.5703125" style="67" customWidth="1"/>
    <col min="5144" max="5146" width="11" style="67" bestFit="1" customWidth="1"/>
    <col min="5147" max="5148" width="11.140625" style="67" customWidth="1"/>
    <col min="5149" max="5149" width="11" style="67" customWidth="1"/>
    <col min="5150" max="5150" width="11.7109375" style="67" customWidth="1"/>
    <col min="5151" max="5151" width="12.28515625" style="67" customWidth="1"/>
    <col min="5152" max="5152" width="11" style="67" customWidth="1"/>
    <col min="5153" max="5153" width="11" style="67" bestFit="1" customWidth="1"/>
    <col min="5154" max="5154" width="11.42578125" style="67"/>
    <col min="5155" max="5155" width="9.42578125" style="67" bestFit="1" customWidth="1"/>
    <col min="5156" max="5376" width="11.42578125" style="67"/>
    <col min="5377" max="5377" width="28.140625" style="67" bestFit="1" customWidth="1"/>
    <col min="5378" max="5378" width="19.140625" style="67" customWidth="1"/>
    <col min="5379" max="5379" width="12.140625" style="67" customWidth="1"/>
    <col min="5380" max="5380" width="12.42578125" style="67" customWidth="1"/>
    <col min="5381" max="5381" width="19.140625" style="67" customWidth="1"/>
    <col min="5382" max="5382" width="18.28515625" style="67" customWidth="1"/>
    <col min="5383" max="5383" width="14" style="67" customWidth="1"/>
    <col min="5384" max="5384" width="13.28515625" style="67" customWidth="1"/>
    <col min="5385" max="5385" width="14.42578125" style="67" customWidth="1"/>
    <col min="5386" max="5386" width="14.85546875" style="67" customWidth="1"/>
    <col min="5387" max="5387" width="12" style="67" customWidth="1"/>
    <col min="5388" max="5388" width="13.42578125" style="67" customWidth="1"/>
    <col min="5389" max="5389" width="11.28515625" style="67" customWidth="1"/>
    <col min="5390" max="5390" width="10.7109375" style="67" customWidth="1"/>
    <col min="5391" max="5391" width="11.42578125" style="67"/>
    <col min="5392" max="5392" width="12.85546875" style="67" customWidth="1"/>
    <col min="5393" max="5393" width="10.85546875" style="67" customWidth="1"/>
    <col min="5394" max="5394" width="12.7109375" style="67" customWidth="1"/>
    <col min="5395" max="5395" width="12.42578125" style="67" customWidth="1"/>
    <col min="5396" max="5396" width="12.85546875" style="67" customWidth="1"/>
    <col min="5397" max="5398" width="11" style="67" bestFit="1" customWidth="1"/>
    <col min="5399" max="5399" width="15.5703125" style="67" customWidth="1"/>
    <col min="5400" max="5402" width="11" style="67" bestFit="1" customWidth="1"/>
    <col min="5403" max="5404" width="11.140625" style="67" customWidth="1"/>
    <col min="5405" max="5405" width="11" style="67" customWidth="1"/>
    <col min="5406" max="5406" width="11.7109375" style="67" customWidth="1"/>
    <col min="5407" max="5407" width="12.28515625" style="67" customWidth="1"/>
    <col min="5408" max="5408" width="11" style="67" customWidth="1"/>
    <col min="5409" max="5409" width="11" style="67" bestFit="1" customWidth="1"/>
    <col min="5410" max="5410" width="11.42578125" style="67"/>
    <col min="5411" max="5411" width="9.42578125" style="67" bestFit="1" customWidth="1"/>
    <col min="5412" max="5632" width="11.42578125" style="67"/>
    <col min="5633" max="5633" width="28.140625" style="67" bestFit="1" customWidth="1"/>
    <col min="5634" max="5634" width="19.140625" style="67" customWidth="1"/>
    <col min="5635" max="5635" width="12.140625" style="67" customWidth="1"/>
    <col min="5636" max="5636" width="12.42578125" style="67" customWidth="1"/>
    <col min="5637" max="5637" width="19.140625" style="67" customWidth="1"/>
    <col min="5638" max="5638" width="18.28515625" style="67" customWidth="1"/>
    <col min="5639" max="5639" width="14" style="67" customWidth="1"/>
    <col min="5640" max="5640" width="13.28515625" style="67" customWidth="1"/>
    <col min="5641" max="5641" width="14.42578125" style="67" customWidth="1"/>
    <col min="5642" max="5642" width="14.85546875" style="67" customWidth="1"/>
    <col min="5643" max="5643" width="12" style="67" customWidth="1"/>
    <col min="5644" max="5644" width="13.42578125" style="67" customWidth="1"/>
    <col min="5645" max="5645" width="11.28515625" style="67" customWidth="1"/>
    <col min="5646" max="5646" width="10.7109375" style="67" customWidth="1"/>
    <col min="5647" max="5647" width="11.42578125" style="67"/>
    <col min="5648" max="5648" width="12.85546875" style="67" customWidth="1"/>
    <col min="5649" max="5649" width="10.85546875" style="67" customWidth="1"/>
    <col min="5650" max="5650" width="12.7109375" style="67" customWidth="1"/>
    <col min="5651" max="5651" width="12.42578125" style="67" customWidth="1"/>
    <col min="5652" max="5652" width="12.85546875" style="67" customWidth="1"/>
    <col min="5653" max="5654" width="11" style="67" bestFit="1" customWidth="1"/>
    <col min="5655" max="5655" width="15.5703125" style="67" customWidth="1"/>
    <col min="5656" max="5658" width="11" style="67" bestFit="1" customWidth="1"/>
    <col min="5659" max="5660" width="11.140625" style="67" customWidth="1"/>
    <col min="5661" max="5661" width="11" style="67" customWidth="1"/>
    <col min="5662" max="5662" width="11.7109375" style="67" customWidth="1"/>
    <col min="5663" max="5663" width="12.28515625" style="67" customWidth="1"/>
    <col min="5664" max="5664" width="11" style="67" customWidth="1"/>
    <col min="5665" max="5665" width="11" style="67" bestFit="1" customWidth="1"/>
    <col min="5666" max="5666" width="11.42578125" style="67"/>
    <col min="5667" max="5667" width="9.42578125" style="67" bestFit="1" customWidth="1"/>
    <col min="5668" max="5888" width="11.42578125" style="67"/>
    <col min="5889" max="5889" width="28.140625" style="67" bestFit="1" customWidth="1"/>
    <col min="5890" max="5890" width="19.140625" style="67" customWidth="1"/>
    <col min="5891" max="5891" width="12.140625" style="67" customWidth="1"/>
    <col min="5892" max="5892" width="12.42578125" style="67" customWidth="1"/>
    <col min="5893" max="5893" width="19.140625" style="67" customWidth="1"/>
    <col min="5894" max="5894" width="18.28515625" style="67" customWidth="1"/>
    <col min="5895" max="5895" width="14" style="67" customWidth="1"/>
    <col min="5896" max="5896" width="13.28515625" style="67" customWidth="1"/>
    <col min="5897" max="5897" width="14.42578125" style="67" customWidth="1"/>
    <col min="5898" max="5898" width="14.85546875" style="67" customWidth="1"/>
    <col min="5899" max="5899" width="12" style="67" customWidth="1"/>
    <col min="5900" max="5900" width="13.42578125" style="67" customWidth="1"/>
    <col min="5901" max="5901" width="11.28515625" style="67" customWidth="1"/>
    <col min="5902" max="5902" width="10.7109375" style="67" customWidth="1"/>
    <col min="5903" max="5903" width="11.42578125" style="67"/>
    <col min="5904" max="5904" width="12.85546875" style="67" customWidth="1"/>
    <col min="5905" max="5905" width="10.85546875" style="67" customWidth="1"/>
    <col min="5906" max="5906" width="12.7109375" style="67" customWidth="1"/>
    <col min="5907" max="5907" width="12.42578125" style="67" customWidth="1"/>
    <col min="5908" max="5908" width="12.85546875" style="67" customWidth="1"/>
    <col min="5909" max="5910" width="11" style="67" bestFit="1" customWidth="1"/>
    <col min="5911" max="5911" width="15.5703125" style="67" customWidth="1"/>
    <col min="5912" max="5914" width="11" style="67" bestFit="1" customWidth="1"/>
    <col min="5915" max="5916" width="11.140625" style="67" customWidth="1"/>
    <col min="5917" max="5917" width="11" style="67" customWidth="1"/>
    <col min="5918" max="5918" width="11.7109375" style="67" customWidth="1"/>
    <col min="5919" max="5919" width="12.28515625" style="67" customWidth="1"/>
    <col min="5920" max="5920" width="11" style="67" customWidth="1"/>
    <col min="5921" max="5921" width="11" style="67" bestFit="1" customWidth="1"/>
    <col min="5922" max="5922" width="11.42578125" style="67"/>
    <col min="5923" max="5923" width="9.42578125" style="67" bestFit="1" customWidth="1"/>
    <col min="5924" max="6144" width="11.42578125" style="67"/>
    <col min="6145" max="6145" width="28.140625" style="67" bestFit="1" customWidth="1"/>
    <col min="6146" max="6146" width="19.140625" style="67" customWidth="1"/>
    <col min="6147" max="6147" width="12.140625" style="67" customWidth="1"/>
    <col min="6148" max="6148" width="12.42578125" style="67" customWidth="1"/>
    <col min="6149" max="6149" width="19.140625" style="67" customWidth="1"/>
    <col min="6150" max="6150" width="18.28515625" style="67" customWidth="1"/>
    <col min="6151" max="6151" width="14" style="67" customWidth="1"/>
    <col min="6152" max="6152" width="13.28515625" style="67" customWidth="1"/>
    <col min="6153" max="6153" width="14.42578125" style="67" customWidth="1"/>
    <col min="6154" max="6154" width="14.85546875" style="67" customWidth="1"/>
    <col min="6155" max="6155" width="12" style="67" customWidth="1"/>
    <col min="6156" max="6156" width="13.42578125" style="67" customWidth="1"/>
    <col min="6157" max="6157" width="11.28515625" style="67" customWidth="1"/>
    <col min="6158" max="6158" width="10.7109375" style="67" customWidth="1"/>
    <col min="6159" max="6159" width="11.42578125" style="67"/>
    <col min="6160" max="6160" width="12.85546875" style="67" customWidth="1"/>
    <col min="6161" max="6161" width="10.85546875" style="67" customWidth="1"/>
    <col min="6162" max="6162" width="12.7109375" style="67" customWidth="1"/>
    <col min="6163" max="6163" width="12.42578125" style="67" customWidth="1"/>
    <col min="6164" max="6164" width="12.85546875" style="67" customWidth="1"/>
    <col min="6165" max="6166" width="11" style="67" bestFit="1" customWidth="1"/>
    <col min="6167" max="6167" width="15.5703125" style="67" customWidth="1"/>
    <col min="6168" max="6170" width="11" style="67" bestFit="1" customWidth="1"/>
    <col min="6171" max="6172" width="11.140625" style="67" customWidth="1"/>
    <col min="6173" max="6173" width="11" style="67" customWidth="1"/>
    <col min="6174" max="6174" width="11.7109375" style="67" customWidth="1"/>
    <col min="6175" max="6175" width="12.28515625" style="67" customWidth="1"/>
    <col min="6176" max="6176" width="11" style="67" customWidth="1"/>
    <col min="6177" max="6177" width="11" style="67" bestFit="1" customWidth="1"/>
    <col min="6178" max="6178" width="11.42578125" style="67"/>
    <col min="6179" max="6179" width="9.42578125" style="67" bestFit="1" customWidth="1"/>
    <col min="6180" max="6400" width="11.42578125" style="67"/>
    <col min="6401" max="6401" width="28.140625" style="67" bestFit="1" customWidth="1"/>
    <col min="6402" max="6402" width="19.140625" style="67" customWidth="1"/>
    <col min="6403" max="6403" width="12.140625" style="67" customWidth="1"/>
    <col min="6404" max="6404" width="12.42578125" style="67" customWidth="1"/>
    <col min="6405" max="6405" width="19.140625" style="67" customWidth="1"/>
    <col min="6406" max="6406" width="18.28515625" style="67" customWidth="1"/>
    <col min="6407" max="6407" width="14" style="67" customWidth="1"/>
    <col min="6408" max="6408" width="13.28515625" style="67" customWidth="1"/>
    <col min="6409" max="6409" width="14.42578125" style="67" customWidth="1"/>
    <col min="6410" max="6410" width="14.85546875" style="67" customWidth="1"/>
    <col min="6411" max="6411" width="12" style="67" customWidth="1"/>
    <col min="6412" max="6412" width="13.42578125" style="67" customWidth="1"/>
    <col min="6413" max="6413" width="11.28515625" style="67" customWidth="1"/>
    <col min="6414" max="6414" width="10.7109375" style="67" customWidth="1"/>
    <col min="6415" max="6415" width="11.42578125" style="67"/>
    <col min="6416" max="6416" width="12.85546875" style="67" customWidth="1"/>
    <col min="6417" max="6417" width="10.85546875" style="67" customWidth="1"/>
    <col min="6418" max="6418" width="12.7109375" style="67" customWidth="1"/>
    <col min="6419" max="6419" width="12.42578125" style="67" customWidth="1"/>
    <col min="6420" max="6420" width="12.85546875" style="67" customWidth="1"/>
    <col min="6421" max="6422" width="11" style="67" bestFit="1" customWidth="1"/>
    <col min="6423" max="6423" width="15.5703125" style="67" customWidth="1"/>
    <col min="6424" max="6426" width="11" style="67" bestFit="1" customWidth="1"/>
    <col min="6427" max="6428" width="11.140625" style="67" customWidth="1"/>
    <col min="6429" max="6429" width="11" style="67" customWidth="1"/>
    <col min="6430" max="6430" width="11.7109375" style="67" customWidth="1"/>
    <col min="6431" max="6431" width="12.28515625" style="67" customWidth="1"/>
    <col min="6432" max="6432" width="11" style="67" customWidth="1"/>
    <col min="6433" max="6433" width="11" style="67" bestFit="1" customWidth="1"/>
    <col min="6434" max="6434" width="11.42578125" style="67"/>
    <col min="6435" max="6435" width="9.42578125" style="67" bestFit="1" customWidth="1"/>
    <col min="6436" max="6656" width="11.42578125" style="67"/>
    <col min="6657" max="6657" width="28.140625" style="67" bestFit="1" customWidth="1"/>
    <col min="6658" max="6658" width="19.140625" style="67" customWidth="1"/>
    <col min="6659" max="6659" width="12.140625" style="67" customWidth="1"/>
    <col min="6660" max="6660" width="12.42578125" style="67" customWidth="1"/>
    <col min="6661" max="6661" width="19.140625" style="67" customWidth="1"/>
    <col min="6662" max="6662" width="18.28515625" style="67" customWidth="1"/>
    <col min="6663" max="6663" width="14" style="67" customWidth="1"/>
    <col min="6664" max="6664" width="13.28515625" style="67" customWidth="1"/>
    <col min="6665" max="6665" width="14.42578125" style="67" customWidth="1"/>
    <col min="6666" max="6666" width="14.85546875" style="67" customWidth="1"/>
    <col min="6667" max="6667" width="12" style="67" customWidth="1"/>
    <col min="6668" max="6668" width="13.42578125" style="67" customWidth="1"/>
    <col min="6669" max="6669" width="11.28515625" style="67" customWidth="1"/>
    <col min="6670" max="6670" width="10.7109375" style="67" customWidth="1"/>
    <col min="6671" max="6671" width="11.42578125" style="67"/>
    <col min="6672" max="6672" width="12.85546875" style="67" customWidth="1"/>
    <col min="6673" max="6673" width="10.85546875" style="67" customWidth="1"/>
    <col min="6674" max="6674" width="12.7109375" style="67" customWidth="1"/>
    <col min="6675" max="6675" width="12.42578125" style="67" customWidth="1"/>
    <col min="6676" max="6676" width="12.85546875" style="67" customWidth="1"/>
    <col min="6677" max="6678" width="11" style="67" bestFit="1" customWidth="1"/>
    <col min="6679" max="6679" width="15.5703125" style="67" customWidth="1"/>
    <col min="6680" max="6682" width="11" style="67" bestFit="1" customWidth="1"/>
    <col min="6683" max="6684" width="11.140625" style="67" customWidth="1"/>
    <col min="6685" max="6685" width="11" style="67" customWidth="1"/>
    <col min="6686" max="6686" width="11.7109375" style="67" customWidth="1"/>
    <col min="6687" max="6687" width="12.28515625" style="67" customWidth="1"/>
    <col min="6688" max="6688" width="11" style="67" customWidth="1"/>
    <col min="6689" max="6689" width="11" style="67" bestFit="1" customWidth="1"/>
    <col min="6690" max="6690" width="11.42578125" style="67"/>
    <col min="6691" max="6691" width="9.42578125" style="67" bestFit="1" customWidth="1"/>
    <col min="6692" max="6912" width="11.42578125" style="67"/>
    <col min="6913" max="6913" width="28.140625" style="67" bestFit="1" customWidth="1"/>
    <col min="6914" max="6914" width="19.140625" style="67" customWidth="1"/>
    <col min="6915" max="6915" width="12.140625" style="67" customWidth="1"/>
    <col min="6916" max="6916" width="12.42578125" style="67" customWidth="1"/>
    <col min="6917" max="6917" width="19.140625" style="67" customWidth="1"/>
    <col min="6918" max="6918" width="18.28515625" style="67" customWidth="1"/>
    <col min="6919" max="6919" width="14" style="67" customWidth="1"/>
    <col min="6920" max="6920" width="13.28515625" style="67" customWidth="1"/>
    <col min="6921" max="6921" width="14.42578125" style="67" customWidth="1"/>
    <col min="6922" max="6922" width="14.85546875" style="67" customWidth="1"/>
    <col min="6923" max="6923" width="12" style="67" customWidth="1"/>
    <col min="6924" max="6924" width="13.42578125" style="67" customWidth="1"/>
    <col min="6925" max="6925" width="11.28515625" style="67" customWidth="1"/>
    <col min="6926" max="6926" width="10.7109375" style="67" customWidth="1"/>
    <col min="6927" max="6927" width="11.42578125" style="67"/>
    <col min="6928" max="6928" width="12.85546875" style="67" customWidth="1"/>
    <col min="6929" max="6929" width="10.85546875" style="67" customWidth="1"/>
    <col min="6930" max="6930" width="12.7109375" style="67" customWidth="1"/>
    <col min="6931" max="6931" width="12.42578125" style="67" customWidth="1"/>
    <col min="6932" max="6932" width="12.85546875" style="67" customWidth="1"/>
    <col min="6933" max="6934" width="11" style="67" bestFit="1" customWidth="1"/>
    <col min="6935" max="6935" width="15.5703125" style="67" customWidth="1"/>
    <col min="6936" max="6938" width="11" style="67" bestFit="1" customWidth="1"/>
    <col min="6939" max="6940" width="11.140625" style="67" customWidth="1"/>
    <col min="6941" max="6941" width="11" style="67" customWidth="1"/>
    <col min="6942" max="6942" width="11.7109375" style="67" customWidth="1"/>
    <col min="6943" max="6943" width="12.28515625" style="67" customWidth="1"/>
    <col min="6944" max="6944" width="11" style="67" customWidth="1"/>
    <col min="6945" max="6945" width="11" style="67" bestFit="1" customWidth="1"/>
    <col min="6946" max="6946" width="11.42578125" style="67"/>
    <col min="6947" max="6947" width="9.42578125" style="67" bestFit="1" customWidth="1"/>
    <col min="6948" max="7168" width="11.42578125" style="67"/>
    <col min="7169" max="7169" width="28.140625" style="67" bestFit="1" customWidth="1"/>
    <col min="7170" max="7170" width="19.140625" style="67" customWidth="1"/>
    <col min="7171" max="7171" width="12.140625" style="67" customWidth="1"/>
    <col min="7172" max="7172" width="12.42578125" style="67" customWidth="1"/>
    <col min="7173" max="7173" width="19.140625" style="67" customWidth="1"/>
    <col min="7174" max="7174" width="18.28515625" style="67" customWidth="1"/>
    <col min="7175" max="7175" width="14" style="67" customWidth="1"/>
    <col min="7176" max="7176" width="13.28515625" style="67" customWidth="1"/>
    <col min="7177" max="7177" width="14.42578125" style="67" customWidth="1"/>
    <col min="7178" max="7178" width="14.85546875" style="67" customWidth="1"/>
    <col min="7179" max="7179" width="12" style="67" customWidth="1"/>
    <col min="7180" max="7180" width="13.42578125" style="67" customWidth="1"/>
    <col min="7181" max="7181" width="11.28515625" style="67" customWidth="1"/>
    <col min="7182" max="7182" width="10.7109375" style="67" customWidth="1"/>
    <col min="7183" max="7183" width="11.42578125" style="67"/>
    <col min="7184" max="7184" width="12.85546875" style="67" customWidth="1"/>
    <col min="7185" max="7185" width="10.85546875" style="67" customWidth="1"/>
    <col min="7186" max="7186" width="12.7109375" style="67" customWidth="1"/>
    <col min="7187" max="7187" width="12.42578125" style="67" customWidth="1"/>
    <col min="7188" max="7188" width="12.85546875" style="67" customWidth="1"/>
    <col min="7189" max="7190" width="11" style="67" bestFit="1" customWidth="1"/>
    <col min="7191" max="7191" width="15.5703125" style="67" customWidth="1"/>
    <col min="7192" max="7194" width="11" style="67" bestFit="1" customWidth="1"/>
    <col min="7195" max="7196" width="11.140625" style="67" customWidth="1"/>
    <col min="7197" max="7197" width="11" style="67" customWidth="1"/>
    <col min="7198" max="7198" width="11.7109375" style="67" customWidth="1"/>
    <col min="7199" max="7199" width="12.28515625" style="67" customWidth="1"/>
    <col min="7200" max="7200" width="11" style="67" customWidth="1"/>
    <col min="7201" max="7201" width="11" style="67" bestFit="1" customWidth="1"/>
    <col min="7202" max="7202" width="11.42578125" style="67"/>
    <col min="7203" max="7203" width="9.42578125" style="67" bestFit="1" customWidth="1"/>
    <col min="7204" max="7424" width="11.42578125" style="67"/>
    <col min="7425" max="7425" width="28.140625" style="67" bestFit="1" customWidth="1"/>
    <col min="7426" max="7426" width="19.140625" style="67" customWidth="1"/>
    <col min="7427" max="7427" width="12.140625" style="67" customWidth="1"/>
    <col min="7428" max="7428" width="12.42578125" style="67" customWidth="1"/>
    <col min="7429" max="7429" width="19.140625" style="67" customWidth="1"/>
    <col min="7430" max="7430" width="18.28515625" style="67" customWidth="1"/>
    <col min="7431" max="7431" width="14" style="67" customWidth="1"/>
    <col min="7432" max="7432" width="13.28515625" style="67" customWidth="1"/>
    <col min="7433" max="7433" width="14.42578125" style="67" customWidth="1"/>
    <col min="7434" max="7434" width="14.85546875" style="67" customWidth="1"/>
    <col min="7435" max="7435" width="12" style="67" customWidth="1"/>
    <col min="7436" max="7436" width="13.42578125" style="67" customWidth="1"/>
    <col min="7437" max="7437" width="11.28515625" style="67" customWidth="1"/>
    <col min="7438" max="7438" width="10.7109375" style="67" customWidth="1"/>
    <col min="7439" max="7439" width="11.42578125" style="67"/>
    <col min="7440" max="7440" width="12.85546875" style="67" customWidth="1"/>
    <col min="7441" max="7441" width="10.85546875" style="67" customWidth="1"/>
    <col min="7442" max="7442" width="12.7109375" style="67" customWidth="1"/>
    <col min="7443" max="7443" width="12.42578125" style="67" customWidth="1"/>
    <col min="7444" max="7444" width="12.85546875" style="67" customWidth="1"/>
    <col min="7445" max="7446" width="11" style="67" bestFit="1" customWidth="1"/>
    <col min="7447" max="7447" width="15.5703125" style="67" customWidth="1"/>
    <col min="7448" max="7450" width="11" style="67" bestFit="1" customWidth="1"/>
    <col min="7451" max="7452" width="11.140625" style="67" customWidth="1"/>
    <col min="7453" max="7453" width="11" style="67" customWidth="1"/>
    <col min="7454" max="7454" width="11.7109375" style="67" customWidth="1"/>
    <col min="7455" max="7455" width="12.28515625" style="67" customWidth="1"/>
    <col min="7456" max="7456" width="11" style="67" customWidth="1"/>
    <col min="7457" max="7457" width="11" style="67" bestFit="1" customWidth="1"/>
    <col min="7458" max="7458" width="11.42578125" style="67"/>
    <col min="7459" max="7459" width="9.42578125" style="67" bestFit="1" customWidth="1"/>
    <col min="7460" max="7680" width="11.42578125" style="67"/>
    <col min="7681" max="7681" width="28.140625" style="67" bestFit="1" customWidth="1"/>
    <col min="7682" max="7682" width="19.140625" style="67" customWidth="1"/>
    <col min="7683" max="7683" width="12.140625" style="67" customWidth="1"/>
    <col min="7684" max="7684" width="12.42578125" style="67" customWidth="1"/>
    <col min="7685" max="7685" width="19.140625" style="67" customWidth="1"/>
    <col min="7686" max="7686" width="18.28515625" style="67" customWidth="1"/>
    <col min="7687" max="7687" width="14" style="67" customWidth="1"/>
    <col min="7688" max="7688" width="13.28515625" style="67" customWidth="1"/>
    <col min="7689" max="7689" width="14.42578125" style="67" customWidth="1"/>
    <col min="7690" max="7690" width="14.85546875" style="67" customWidth="1"/>
    <col min="7691" max="7691" width="12" style="67" customWidth="1"/>
    <col min="7692" max="7692" width="13.42578125" style="67" customWidth="1"/>
    <col min="7693" max="7693" width="11.28515625" style="67" customWidth="1"/>
    <col min="7694" max="7694" width="10.7109375" style="67" customWidth="1"/>
    <col min="7695" max="7695" width="11.42578125" style="67"/>
    <col min="7696" max="7696" width="12.85546875" style="67" customWidth="1"/>
    <col min="7697" max="7697" width="10.85546875" style="67" customWidth="1"/>
    <col min="7698" max="7698" width="12.7109375" style="67" customWidth="1"/>
    <col min="7699" max="7699" width="12.42578125" style="67" customWidth="1"/>
    <col min="7700" max="7700" width="12.85546875" style="67" customWidth="1"/>
    <col min="7701" max="7702" width="11" style="67" bestFit="1" customWidth="1"/>
    <col min="7703" max="7703" width="15.5703125" style="67" customWidth="1"/>
    <col min="7704" max="7706" width="11" style="67" bestFit="1" customWidth="1"/>
    <col min="7707" max="7708" width="11.140625" style="67" customWidth="1"/>
    <col min="7709" max="7709" width="11" style="67" customWidth="1"/>
    <col min="7710" max="7710" width="11.7109375" style="67" customWidth="1"/>
    <col min="7711" max="7711" width="12.28515625" style="67" customWidth="1"/>
    <col min="7712" max="7712" width="11" style="67" customWidth="1"/>
    <col min="7713" max="7713" width="11" style="67" bestFit="1" customWidth="1"/>
    <col min="7714" max="7714" width="11.42578125" style="67"/>
    <col min="7715" max="7715" width="9.42578125" style="67" bestFit="1" customWidth="1"/>
    <col min="7716" max="7936" width="11.42578125" style="67"/>
    <col min="7937" max="7937" width="28.140625" style="67" bestFit="1" customWidth="1"/>
    <col min="7938" max="7938" width="19.140625" style="67" customWidth="1"/>
    <col min="7939" max="7939" width="12.140625" style="67" customWidth="1"/>
    <col min="7940" max="7940" width="12.42578125" style="67" customWidth="1"/>
    <col min="7941" max="7941" width="19.140625" style="67" customWidth="1"/>
    <col min="7942" max="7942" width="18.28515625" style="67" customWidth="1"/>
    <col min="7943" max="7943" width="14" style="67" customWidth="1"/>
    <col min="7944" max="7944" width="13.28515625" style="67" customWidth="1"/>
    <col min="7945" max="7945" width="14.42578125" style="67" customWidth="1"/>
    <col min="7946" max="7946" width="14.85546875" style="67" customWidth="1"/>
    <col min="7947" max="7947" width="12" style="67" customWidth="1"/>
    <col min="7948" max="7948" width="13.42578125" style="67" customWidth="1"/>
    <col min="7949" max="7949" width="11.28515625" style="67" customWidth="1"/>
    <col min="7950" max="7950" width="10.7109375" style="67" customWidth="1"/>
    <col min="7951" max="7951" width="11.42578125" style="67"/>
    <col min="7952" max="7952" width="12.85546875" style="67" customWidth="1"/>
    <col min="7953" max="7953" width="10.85546875" style="67" customWidth="1"/>
    <col min="7954" max="7954" width="12.7109375" style="67" customWidth="1"/>
    <col min="7955" max="7955" width="12.42578125" style="67" customWidth="1"/>
    <col min="7956" max="7956" width="12.85546875" style="67" customWidth="1"/>
    <col min="7957" max="7958" width="11" style="67" bestFit="1" customWidth="1"/>
    <col min="7959" max="7959" width="15.5703125" style="67" customWidth="1"/>
    <col min="7960" max="7962" width="11" style="67" bestFit="1" customWidth="1"/>
    <col min="7963" max="7964" width="11.140625" style="67" customWidth="1"/>
    <col min="7965" max="7965" width="11" style="67" customWidth="1"/>
    <col min="7966" max="7966" width="11.7109375" style="67" customWidth="1"/>
    <col min="7967" max="7967" width="12.28515625" style="67" customWidth="1"/>
    <col min="7968" max="7968" width="11" style="67" customWidth="1"/>
    <col min="7969" max="7969" width="11" style="67" bestFit="1" customWidth="1"/>
    <col min="7970" max="7970" width="11.42578125" style="67"/>
    <col min="7971" max="7971" width="9.42578125" style="67" bestFit="1" customWidth="1"/>
    <col min="7972" max="8192" width="11.42578125" style="67"/>
    <col min="8193" max="8193" width="28.140625" style="67" bestFit="1" customWidth="1"/>
    <col min="8194" max="8194" width="19.140625" style="67" customWidth="1"/>
    <col min="8195" max="8195" width="12.140625" style="67" customWidth="1"/>
    <col min="8196" max="8196" width="12.42578125" style="67" customWidth="1"/>
    <col min="8197" max="8197" width="19.140625" style="67" customWidth="1"/>
    <col min="8198" max="8198" width="18.28515625" style="67" customWidth="1"/>
    <col min="8199" max="8199" width="14" style="67" customWidth="1"/>
    <col min="8200" max="8200" width="13.28515625" style="67" customWidth="1"/>
    <col min="8201" max="8201" width="14.42578125" style="67" customWidth="1"/>
    <col min="8202" max="8202" width="14.85546875" style="67" customWidth="1"/>
    <col min="8203" max="8203" width="12" style="67" customWidth="1"/>
    <col min="8204" max="8204" width="13.42578125" style="67" customWidth="1"/>
    <col min="8205" max="8205" width="11.28515625" style="67" customWidth="1"/>
    <col min="8206" max="8206" width="10.7109375" style="67" customWidth="1"/>
    <col min="8207" max="8207" width="11.42578125" style="67"/>
    <col min="8208" max="8208" width="12.85546875" style="67" customWidth="1"/>
    <col min="8209" max="8209" width="10.85546875" style="67" customWidth="1"/>
    <col min="8210" max="8210" width="12.7109375" style="67" customWidth="1"/>
    <col min="8211" max="8211" width="12.42578125" style="67" customWidth="1"/>
    <col min="8212" max="8212" width="12.85546875" style="67" customWidth="1"/>
    <col min="8213" max="8214" width="11" style="67" bestFit="1" customWidth="1"/>
    <col min="8215" max="8215" width="15.5703125" style="67" customWidth="1"/>
    <col min="8216" max="8218" width="11" style="67" bestFit="1" customWidth="1"/>
    <col min="8219" max="8220" width="11.140625" style="67" customWidth="1"/>
    <col min="8221" max="8221" width="11" style="67" customWidth="1"/>
    <col min="8222" max="8222" width="11.7109375" style="67" customWidth="1"/>
    <col min="8223" max="8223" width="12.28515625" style="67" customWidth="1"/>
    <col min="8224" max="8224" width="11" style="67" customWidth="1"/>
    <col min="8225" max="8225" width="11" style="67" bestFit="1" customWidth="1"/>
    <col min="8226" max="8226" width="11.42578125" style="67"/>
    <col min="8227" max="8227" width="9.42578125" style="67" bestFit="1" customWidth="1"/>
    <col min="8228" max="8448" width="11.42578125" style="67"/>
    <col min="8449" max="8449" width="28.140625" style="67" bestFit="1" customWidth="1"/>
    <col min="8450" max="8450" width="19.140625" style="67" customWidth="1"/>
    <col min="8451" max="8451" width="12.140625" style="67" customWidth="1"/>
    <col min="8452" max="8452" width="12.42578125" style="67" customWidth="1"/>
    <col min="8453" max="8453" width="19.140625" style="67" customWidth="1"/>
    <col min="8454" max="8454" width="18.28515625" style="67" customWidth="1"/>
    <col min="8455" max="8455" width="14" style="67" customWidth="1"/>
    <col min="8456" max="8456" width="13.28515625" style="67" customWidth="1"/>
    <col min="8457" max="8457" width="14.42578125" style="67" customWidth="1"/>
    <col min="8458" max="8458" width="14.85546875" style="67" customWidth="1"/>
    <col min="8459" max="8459" width="12" style="67" customWidth="1"/>
    <col min="8460" max="8460" width="13.42578125" style="67" customWidth="1"/>
    <col min="8461" max="8461" width="11.28515625" style="67" customWidth="1"/>
    <col min="8462" max="8462" width="10.7109375" style="67" customWidth="1"/>
    <col min="8463" max="8463" width="11.42578125" style="67"/>
    <col min="8464" max="8464" width="12.85546875" style="67" customWidth="1"/>
    <col min="8465" max="8465" width="10.85546875" style="67" customWidth="1"/>
    <col min="8466" max="8466" width="12.7109375" style="67" customWidth="1"/>
    <col min="8467" max="8467" width="12.42578125" style="67" customWidth="1"/>
    <col min="8468" max="8468" width="12.85546875" style="67" customWidth="1"/>
    <col min="8469" max="8470" width="11" style="67" bestFit="1" customWidth="1"/>
    <col min="8471" max="8471" width="15.5703125" style="67" customWidth="1"/>
    <col min="8472" max="8474" width="11" style="67" bestFit="1" customWidth="1"/>
    <col min="8475" max="8476" width="11.140625" style="67" customWidth="1"/>
    <col min="8477" max="8477" width="11" style="67" customWidth="1"/>
    <col min="8478" max="8478" width="11.7109375" style="67" customWidth="1"/>
    <col min="8479" max="8479" width="12.28515625" style="67" customWidth="1"/>
    <col min="8480" max="8480" width="11" style="67" customWidth="1"/>
    <col min="8481" max="8481" width="11" style="67" bestFit="1" customWidth="1"/>
    <col min="8482" max="8482" width="11.42578125" style="67"/>
    <col min="8483" max="8483" width="9.42578125" style="67" bestFit="1" customWidth="1"/>
    <col min="8484" max="8704" width="11.42578125" style="67"/>
    <col min="8705" max="8705" width="28.140625" style="67" bestFit="1" customWidth="1"/>
    <col min="8706" max="8706" width="19.140625" style="67" customWidth="1"/>
    <col min="8707" max="8707" width="12.140625" style="67" customWidth="1"/>
    <col min="8708" max="8708" width="12.42578125" style="67" customWidth="1"/>
    <col min="8709" max="8709" width="19.140625" style="67" customWidth="1"/>
    <col min="8710" max="8710" width="18.28515625" style="67" customWidth="1"/>
    <col min="8711" max="8711" width="14" style="67" customWidth="1"/>
    <col min="8712" max="8712" width="13.28515625" style="67" customWidth="1"/>
    <col min="8713" max="8713" width="14.42578125" style="67" customWidth="1"/>
    <col min="8714" max="8714" width="14.85546875" style="67" customWidth="1"/>
    <col min="8715" max="8715" width="12" style="67" customWidth="1"/>
    <col min="8716" max="8716" width="13.42578125" style="67" customWidth="1"/>
    <col min="8717" max="8717" width="11.28515625" style="67" customWidth="1"/>
    <col min="8718" max="8718" width="10.7109375" style="67" customWidth="1"/>
    <col min="8719" max="8719" width="11.42578125" style="67"/>
    <col min="8720" max="8720" width="12.85546875" style="67" customWidth="1"/>
    <col min="8721" max="8721" width="10.85546875" style="67" customWidth="1"/>
    <col min="8722" max="8722" width="12.7109375" style="67" customWidth="1"/>
    <col min="8723" max="8723" width="12.42578125" style="67" customWidth="1"/>
    <col min="8724" max="8724" width="12.85546875" style="67" customWidth="1"/>
    <col min="8725" max="8726" width="11" style="67" bestFit="1" customWidth="1"/>
    <col min="8727" max="8727" width="15.5703125" style="67" customWidth="1"/>
    <col min="8728" max="8730" width="11" style="67" bestFit="1" customWidth="1"/>
    <col min="8731" max="8732" width="11.140625" style="67" customWidth="1"/>
    <col min="8733" max="8733" width="11" style="67" customWidth="1"/>
    <col min="8734" max="8734" width="11.7109375" style="67" customWidth="1"/>
    <col min="8735" max="8735" width="12.28515625" style="67" customWidth="1"/>
    <col min="8736" max="8736" width="11" style="67" customWidth="1"/>
    <col min="8737" max="8737" width="11" style="67" bestFit="1" customWidth="1"/>
    <col min="8738" max="8738" width="11.42578125" style="67"/>
    <col min="8739" max="8739" width="9.42578125" style="67" bestFit="1" customWidth="1"/>
    <col min="8740" max="8960" width="11.42578125" style="67"/>
    <col min="8961" max="8961" width="28.140625" style="67" bestFit="1" customWidth="1"/>
    <col min="8962" max="8962" width="19.140625" style="67" customWidth="1"/>
    <col min="8963" max="8963" width="12.140625" style="67" customWidth="1"/>
    <col min="8964" max="8964" width="12.42578125" style="67" customWidth="1"/>
    <col min="8965" max="8965" width="19.140625" style="67" customWidth="1"/>
    <col min="8966" max="8966" width="18.28515625" style="67" customWidth="1"/>
    <col min="8967" max="8967" width="14" style="67" customWidth="1"/>
    <col min="8968" max="8968" width="13.28515625" style="67" customWidth="1"/>
    <col min="8969" max="8969" width="14.42578125" style="67" customWidth="1"/>
    <col min="8970" max="8970" width="14.85546875" style="67" customWidth="1"/>
    <col min="8971" max="8971" width="12" style="67" customWidth="1"/>
    <col min="8972" max="8972" width="13.42578125" style="67" customWidth="1"/>
    <col min="8973" max="8973" width="11.28515625" style="67" customWidth="1"/>
    <col min="8974" max="8974" width="10.7109375" style="67" customWidth="1"/>
    <col min="8975" max="8975" width="11.42578125" style="67"/>
    <col min="8976" max="8976" width="12.85546875" style="67" customWidth="1"/>
    <col min="8977" max="8977" width="10.85546875" style="67" customWidth="1"/>
    <col min="8978" max="8978" width="12.7109375" style="67" customWidth="1"/>
    <col min="8979" max="8979" width="12.42578125" style="67" customWidth="1"/>
    <col min="8980" max="8980" width="12.85546875" style="67" customWidth="1"/>
    <col min="8981" max="8982" width="11" style="67" bestFit="1" customWidth="1"/>
    <col min="8983" max="8983" width="15.5703125" style="67" customWidth="1"/>
    <col min="8984" max="8986" width="11" style="67" bestFit="1" customWidth="1"/>
    <col min="8987" max="8988" width="11.140625" style="67" customWidth="1"/>
    <col min="8989" max="8989" width="11" style="67" customWidth="1"/>
    <col min="8990" max="8990" width="11.7109375" style="67" customWidth="1"/>
    <col min="8991" max="8991" width="12.28515625" style="67" customWidth="1"/>
    <col min="8992" max="8992" width="11" style="67" customWidth="1"/>
    <col min="8993" max="8993" width="11" style="67" bestFit="1" customWidth="1"/>
    <col min="8994" max="8994" width="11.42578125" style="67"/>
    <col min="8995" max="8995" width="9.42578125" style="67" bestFit="1" customWidth="1"/>
    <col min="8996" max="9216" width="11.42578125" style="67"/>
    <col min="9217" max="9217" width="28.140625" style="67" bestFit="1" customWidth="1"/>
    <col min="9218" max="9218" width="19.140625" style="67" customWidth="1"/>
    <col min="9219" max="9219" width="12.140625" style="67" customWidth="1"/>
    <col min="9220" max="9220" width="12.42578125" style="67" customWidth="1"/>
    <col min="9221" max="9221" width="19.140625" style="67" customWidth="1"/>
    <col min="9222" max="9222" width="18.28515625" style="67" customWidth="1"/>
    <col min="9223" max="9223" width="14" style="67" customWidth="1"/>
    <col min="9224" max="9224" width="13.28515625" style="67" customWidth="1"/>
    <col min="9225" max="9225" width="14.42578125" style="67" customWidth="1"/>
    <col min="9226" max="9226" width="14.85546875" style="67" customWidth="1"/>
    <col min="9227" max="9227" width="12" style="67" customWidth="1"/>
    <col min="9228" max="9228" width="13.42578125" style="67" customWidth="1"/>
    <col min="9229" max="9229" width="11.28515625" style="67" customWidth="1"/>
    <col min="9230" max="9230" width="10.7109375" style="67" customWidth="1"/>
    <col min="9231" max="9231" width="11.42578125" style="67"/>
    <col min="9232" max="9232" width="12.85546875" style="67" customWidth="1"/>
    <col min="9233" max="9233" width="10.85546875" style="67" customWidth="1"/>
    <col min="9234" max="9234" width="12.7109375" style="67" customWidth="1"/>
    <col min="9235" max="9235" width="12.42578125" style="67" customWidth="1"/>
    <col min="9236" max="9236" width="12.85546875" style="67" customWidth="1"/>
    <col min="9237" max="9238" width="11" style="67" bestFit="1" customWidth="1"/>
    <col min="9239" max="9239" width="15.5703125" style="67" customWidth="1"/>
    <col min="9240" max="9242" width="11" style="67" bestFit="1" customWidth="1"/>
    <col min="9243" max="9244" width="11.140625" style="67" customWidth="1"/>
    <col min="9245" max="9245" width="11" style="67" customWidth="1"/>
    <col min="9246" max="9246" width="11.7109375" style="67" customWidth="1"/>
    <col min="9247" max="9247" width="12.28515625" style="67" customWidth="1"/>
    <col min="9248" max="9248" width="11" style="67" customWidth="1"/>
    <col min="9249" max="9249" width="11" style="67" bestFit="1" customWidth="1"/>
    <col min="9250" max="9250" width="11.42578125" style="67"/>
    <col min="9251" max="9251" width="9.42578125" style="67" bestFit="1" customWidth="1"/>
    <col min="9252" max="9472" width="11.42578125" style="67"/>
    <col min="9473" max="9473" width="28.140625" style="67" bestFit="1" customWidth="1"/>
    <col min="9474" max="9474" width="19.140625" style="67" customWidth="1"/>
    <col min="9475" max="9475" width="12.140625" style="67" customWidth="1"/>
    <col min="9476" max="9476" width="12.42578125" style="67" customWidth="1"/>
    <col min="9477" max="9477" width="19.140625" style="67" customWidth="1"/>
    <col min="9478" max="9478" width="18.28515625" style="67" customWidth="1"/>
    <col min="9479" max="9479" width="14" style="67" customWidth="1"/>
    <col min="9480" max="9480" width="13.28515625" style="67" customWidth="1"/>
    <col min="9481" max="9481" width="14.42578125" style="67" customWidth="1"/>
    <col min="9482" max="9482" width="14.85546875" style="67" customWidth="1"/>
    <col min="9483" max="9483" width="12" style="67" customWidth="1"/>
    <col min="9484" max="9484" width="13.42578125" style="67" customWidth="1"/>
    <col min="9485" max="9485" width="11.28515625" style="67" customWidth="1"/>
    <col min="9486" max="9486" width="10.7109375" style="67" customWidth="1"/>
    <col min="9487" max="9487" width="11.42578125" style="67"/>
    <col min="9488" max="9488" width="12.85546875" style="67" customWidth="1"/>
    <col min="9489" max="9489" width="10.85546875" style="67" customWidth="1"/>
    <col min="9490" max="9490" width="12.7109375" style="67" customWidth="1"/>
    <col min="9491" max="9491" width="12.42578125" style="67" customWidth="1"/>
    <col min="9492" max="9492" width="12.85546875" style="67" customWidth="1"/>
    <col min="9493" max="9494" width="11" style="67" bestFit="1" customWidth="1"/>
    <col min="9495" max="9495" width="15.5703125" style="67" customWidth="1"/>
    <col min="9496" max="9498" width="11" style="67" bestFit="1" customWidth="1"/>
    <col min="9499" max="9500" width="11.140625" style="67" customWidth="1"/>
    <col min="9501" max="9501" width="11" style="67" customWidth="1"/>
    <col min="9502" max="9502" width="11.7109375" style="67" customWidth="1"/>
    <col min="9503" max="9503" width="12.28515625" style="67" customWidth="1"/>
    <col min="9504" max="9504" width="11" style="67" customWidth="1"/>
    <col min="9505" max="9505" width="11" style="67" bestFit="1" customWidth="1"/>
    <col min="9506" max="9506" width="11.42578125" style="67"/>
    <col min="9507" max="9507" width="9.42578125" style="67" bestFit="1" customWidth="1"/>
    <col min="9508" max="9728" width="11.42578125" style="67"/>
    <col min="9729" max="9729" width="28.140625" style="67" bestFit="1" customWidth="1"/>
    <col min="9730" max="9730" width="19.140625" style="67" customWidth="1"/>
    <col min="9731" max="9731" width="12.140625" style="67" customWidth="1"/>
    <col min="9732" max="9732" width="12.42578125" style="67" customWidth="1"/>
    <col min="9733" max="9733" width="19.140625" style="67" customWidth="1"/>
    <col min="9734" max="9734" width="18.28515625" style="67" customWidth="1"/>
    <col min="9735" max="9735" width="14" style="67" customWidth="1"/>
    <col min="9736" max="9736" width="13.28515625" style="67" customWidth="1"/>
    <col min="9737" max="9737" width="14.42578125" style="67" customWidth="1"/>
    <col min="9738" max="9738" width="14.85546875" style="67" customWidth="1"/>
    <col min="9739" max="9739" width="12" style="67" customWidth="1"/>
    <col min="9740" max="9740" width="13.42578125" style="67" customWidth="1"/>
    <col min="9741" max="9741" width="11.28515625" style="67" customWidth="1"/>
    <col min="9742" max="9742" width="10.7109375" style="67" customWidth="1"/>
    <col min="9743" max="9743" width="11.42578125" style="67"/>
    <col min="9744" max="9744" width="12.85546875" style="67" customWidth="1"/>
    <col min="9745" max="9745" width="10.85546875" style="67" customWidth="1"/>
    <col min="9746" max="9746" width="12.7109375" style="67" customWidth="1"/>
    <col min="9747" max="9747" width="12.42578125" style="67" customWidth="1"/>
    <col min="9748" max="9748" width="12.85546875" style="67" customWidth="1"/>
    <col min="9749" max="9750" width="11" style="67" bestFit="1" customWidth="1"/>
    <col min="9751" max="9751" width="15.5703125" style="67" customWidth="1"/>
    <col min="9752" max="9754" width="11" style="67" bestFit="1" customWidth="1"/>
    <col min="9755" max="9756" width="11.140625" style="67" customWidth="1"/>
    <col min="9757" max="9757" width="11" style="67" customWidth="1"/>
    <col min="9758" max="9758" width="11.7109375" style="67" customWidth="1"/>
    <col min="9759" max="9759" width="12.28515625" style="67" customWidth="1"/>
    <col min="9760" max="9760" width="11" style="67" customWidth="1"/>
    <col min="9761" max="9761" width="11" style="67" bestFit="1" customWidth="1"/>
    <col min="9762" max="9762" width="11.42578125" style="67"/>
    <col min="9763" max="9763" width="9.42578125" style="67" bestFit="1" customWidth="1"/>
    <col min="9764" max="9984" width="11.42578125" style="67"/>
    <col min="9985" max="9985" width="28.140625" style="67" bestFit="1" customWidth="1"/>
    <col min="9986" max="9986" width="19.140625" style="67" customWidth="1"/>
    <col min="9987" max="9987" width="12.140625" style="67" customWidth="1"/>
    <col min="9988" max="9988" width="12.42578125" style="67" customWidth="1"/>
    <col min="9989" max="9989" width="19.140625" style="67" customWidth="1"/>
    <col min="9990" max="9990" width="18.28515625" style="67" customWidth="1"/>
    <col min="9991" max="9991" width="14" style="67" customWidth="1"/>
    <col min="9992" max="9992" width="13.28515625" style="67" customWidth="1"/>
    <col min="9993" max="9993" width="14.42578125" style="67" customWidth="1"/>
    <col min="9994" max="9994" width="14.85546875" style="67" customWidth="1"/>
    <col min="9995" max="9995" width="12" style="67" customWidth="1"/>
    <col min="9996" max="9996" width="13.42578125" style="67" customWidth="1"/>
    <col min="9997" max="9997" width="11.28515625" style="67" customWidth="1"/>
    <col min="9998" max="9998" width="10.7109375" style="67" customWidth="1"/>
    <col min="9999" max="9999" width="11.42578125" style="67"/>
    <col min="10000" max="10000" width="12.85546875" style="67" customWidth="1"/>
    <col min="10001" max="10001" width="10.85546875" style="67" customWidth="1"/>
    <col min="10002" max="10002" width="12.7109375" style="67" customWidth="1"/>
    <col min="10003" max="10003" width="12.42578125" style="67" customWidth="1"/>
    <col min="10004" max="10004" width="12.85546875" style="67" customWidth="1"/>
    <col min="10005" max="10006" width="11" style="67" bestFit="1" customWidth="1"/>
    <col min="10007" max="10007" width="15.5703125" style="67" customWidth="1"/>
    <col min="10008" max="10010" width="11" style="67" bestFit="1" customWidth="1"/>
    <col min="10011" max="10012" width="11.140625" style="67" customWidth="1"/>
    <col min="10013" max="10013" width="11" style="67" customWidth="1"/>
    <col min="10014" max="10014" width="11.7109375" style="67" customWidth="1"/>
    <col min="10015" max="10015" width="12.28515625" style="67" customWidth="1"/>
    <col min="10016" max="10016" width="11" style="67" customWidth="1"/>
    <col min="10017" max="10017" width="11" style="67" bestFit="1" customWidth="1"/>
    <col min="10018" max="10018" width="11.42578125" style="67"/>
    <col min="10019" max="10019" width="9.42578125" style="67" bestFit="1" customWidth="1"/>
    <col min="10020" max="10240" width="11.42578125" style="67"/>
    <col min="10241" max="10241" width="28.140625" style="67" bestFit="1" customWidth="1"/>
    <col min="10242" max="10242" width="19.140625" style="67" customWidth="1"/>
    <col min="10243" max="10243" width="12.140625" style="67" customWidth="1"/>
    <col min="10244" max="10244" width="12.42578125" style="67" customWidth="1"/>
    <col min="10245" max="10245" width="19.140625" style="67" customWidth="1"/>
    <col min="10246" max="10246" width="18.28515625" style="67" customWidth="1"/>
    <col min="10247" max="10247" width="14" style="67" customWidth="1"/>
    <col min="10248" max="10248" width="13.28515625" style="67" customWidth="1"/>
    <col min="10249" max="10249" width="14.42578125" style="67" customWidth="1"/>
    <col min="10250" max="10250" width="14.85546875" style="67" customWidth="1"/>
    <col min="10251" max="10251" width="12" style="67" customWidth="1"/>
    <col min="10252" max="10252" width="13.42578125" style="67" customWidth="1"/>
    <col min="10253" max="10253" width="11.28515625" style="67" customWidth="1"/>
    <col min="10254" max="10254" width="10.7109375" style="67" customWidth="1"/>
    <col min="10255" max="10255" width="11.42578125" style="67"/>
    <col min="10256" max="10256" width="12.85546875" style="67" customWidth="1"/>
    <col min="10257" max="10257" width="10.85546875" style="67" customWidth="1"/>
    <col min="10258" max="10258" width="12.7109375" style="67" customWidth="1"/>
    <col min="10259" max="10259" width="12.42578125" style="67" customWidth="1"/>
    <col min="10260" max="10260" width="12.85546875" style="67" customWidth="1"/>
    <col min="10261" max="10262" width="11" style="67" bestFit="1" customWidth="1"/>
    <col min="10263" max="10263" width="15.5703125" style="67" customWidth="1"/>
    <col min="10264" max="10266" width="11" style="67" bestFit="1" customWidth="1"/>
    <col min="10267" max="10268" width="11.140625" style="67" customWidth="1"/>
    <col min="10269" max="10269" width="11" style="67" customWidth="1"/>
    <col min="10270" max="10270" width="11.7109375" style="67" customWidth="1"/>
    <col min="10271" max="10271" width="12.28515625" style="67" customWidth="1"/>
    <col min="10272" max="10272" width="11" style="67" customWidth="1"/>
    <col min="10273" max="10273" width="11" style="67" bestFit="1" customWidth="1"/>
    <col min="10274" max="10274" width="11.42578125" style="67"/>
    <col min="10275" max="10275" width="9.42578125" style="67" bestFit="1" customWidth="1"/>
    <col min="10276" max="10496" width="11.42578125" style="67"/>
    <col min="10497" max="10497" width="28.140625" style="67" bestFit="1" customWidth="1"/>
    <col min="10498" max="10498" width="19.140625" style="67" customWidth="1"/>
    <col min="10499" max="10499" width="12.140625" style="67" customWidth="1"/>
    <col min="10500" max="10500" width="12.42578125" style="67" customWidth="1"/>
    <col min="10501" max="10501" width="19.140625" style="67" customWidth="1"/>
    <col min="10502" max="10502" width="18.28515625" style="67" customWidth="1"/>
    <col min="10503" max="10503" width="14" style="67" customWidth="1"/>
    <col min="10504" max="10504" width="13.28515625" style="67" customWidth="1"/>
    <col min="10505" max="10505" width="14.42578125" style="67" customWidth="1"/>
    <col min="10506" max="10506" width="14.85546875" style="67" customWidth="1"/>
    <col min="10507" max="10507" width="12" style="67" customWidth="1"/>
    <col min="10508" max="10508" width="13.42578125" style="67" customWidth="1"/>
    <col min="10509" max="10509" width="11.28515625" style="67" customWidth="1"/>
    <col min="10510" max="10510" width="10.7109375" style="67" customWidth="1"/>
    <col min="10511" max="10511" width="11.42578125" style="67"/>
    <col min="10512" max="10512" width="12.85546875" style="67" customWidth="1"/>
    <col min="10513" max="10513" width="10.85546875" style="67" customWidth="1"/>
    <col min="10514" max="10514" width="12.7109375" style="67" customWidth="1"/>
    <col min="10515" max="10515" width="12.42578125" style="67" customWidth="1"/>
    <col min="10516" max="10516" width="12.85546875" style="67" customWidth="1"/>
    <col min="10517" max="10518" width="11" style="67" bestFit="1" customWidth="1"/>
    <col min="10519" max="10519" width="15.5703125" style="67" customWidth="1"/>
    <col min="10520" max="10522" width="11" style="67" bestFit="1" customWidth="1"/>
    <col min="10523" max="10524" width="11.140625" style="67" customWidth="1"/>
    <col min="10525" max="10525" width="11" style="67" customWidth="1"/>
    <col min="10526" max="10526" width="11.7109375" style="67" customWidth="1"/>
    <col min="10527" max="10527" width="12.28515625" style="67" customWidth="1"/>
    <col min="10528" max="10528" width="11" style="67" customWidth="1"/>
    <col min="10529" max="10529" width="11" style="67" bestFit="1" customWidth="1"/>
    <col min="10530" max="10530" width="11.42578125" style="67"/>
    <col min="10531" max="10531" width="9.42578125" style="67" bestFit="1" customWidth="1"/>
    <col min="10532" max="10752" width="11.42578125" style="67"/>
    <col min="10753" max="10753" width="28.140625" style="67" bestFit="1" customWidth="1"/>
    <col min="10754" max="10754" width="19.140625" style="67" customWidth="1"/>
    <col min="10755" max="10755" width="12.140625" style="67" customWidth="1"/>
    <col min="10756" max="10756" width="12.42578125" style="67" customWidth="1"/>
    <col min="10757" max="10757" width="19.140625" style="67" customWidth="1"/>
    <col min="10758" max="10758" width="18.28515625" style="67" customWidth="1"/>
    <col min="10759" max="10759" width="14" style="67" customWidth="1"/>
    <col min="10760" max="10760" width="13.28515625" style="67" customWidth="1"/>
    <col min="10761" max="10761" width="14.42578125" style="67" customWidth="1"/>
    <col min="10762" max="10762" width="14.85546875" style="67" customWidth="1"/>
    <col min="10763" max="10763" width="12" style="67" customWidth="1"/>
    <col min="10764" max="10764" width="13.42578125" style="67" customWidth="1"/>
    <col min="10765" max="10765" width="11.28515625" style="67" customWidth="1"/>
    <col min="10766" max="10766" width="10.7109375" style="67" customWidth="1"/>
    <col min="10767" max="10767" width="11.42578125" style="67"/>
    <col min="10768" max="10768" width="12.85546875" style="67" customWidth="1"/>
    <col min="10769" max="10769" width="10.85546875" style="67" customWidth="1"/>
    <col min="10770" max="10770" width="12.7109375" style="67" customWidth="1"/>
    <col min="10771" max="10771" width="12.42578125" style="67" customWidth="1"/>
    <col min="10772" max="10772" width="12.85546875" style="67" customWidth="1"/>
    <col min="10773" max="10774" width="11" style="67" bestFit="1" customWidth="1"/>
    <col min="10775" max="10775" width="15.5703125" style="67" customWidth="1"/>
    <col min="10776" max="10778" width="11" style="67" bestFit="1" customWidth="1"/>
    <col min="10779" max="10780" width="11.140625" style="67" customWidth="1"/>
    <col min="10781" max="10781" width="11" style="67" customWidth="1"/>
    <col min="10782" max="10782" width="11.7109375" style="67" customWidth="1"/>
    <col min="10783" max="10783" width="12.28515625" style="67" customWidth="1"/>
    <col min="10784" max="10784" width="11" style="67" customWidth="1"/>
    <col min="10785" max="10785" width="11" style="67" bestFit="1" customWidth="1"/>
    <col min="10786" max="10786" width="11.42578125" style="67"/>
    <col min="10787" max="10787" width="9.42578125" style="67" bestFit="1" customWidth="1"/>
    <col min="10788" max="11008" width="11.42578125" style="67"/>
    <col min="11009" max="11009" width="28.140625" style="67" bestFit="1" customWidth="1"/>
    <col min="11010" max="11010" width="19.140625" style="67" customWidth="1"/>
    <col min="11011" max="11011" width="12.140625" style="67" customWidth="1"/>
    <col min="11012" max="11012" width="12.42578125" style="67" customWidth="1"/>
    <col min="11013" max="11013" width="19.140625" style="67" customWidth="1"/>
    <col min="11014" max="11014" width="18.28515625" style="67" customWidth="1"/>
    <col min="11015" max="11015" width="14" style="67" customWidth="1"/>
    <col min="11016" max="11016" width="13.28515625" style="67" customWidth="1"/>
    <col min="11017" max="11017" width="14.42578125" style="67" customWidth="1"/>
    <col min="11018" max="11018" width="14.85546875" style="67" customWidth="1"/>
    <col min="11019" max="11019" width="12" style="67" customWidth="1"/>
    <col min="11020" max="11020" width="13.42578125" style="67" customWidth="1"/>
    <col min="11021" max="11021" width="11.28515625" style="67" customWidth="1"/>
    <col min="11022" max="11022" width="10.7109375" style="67" customWidth="1"/>
    <col min="11023" max="11023" width="11.42578125" style="67"/>
    <col min="11024" max="11024" width="12.85546875" style="67" customWidth="1"/>
    <col min="11025" max="11025" width="10.85546875" style="67" customWidth="1"/>
    <col min="11026" max="11026" width="12.7109375" style="67" customWidth="1"/>
    <col min="11027" max="11027" width="12.42578125" style="67" customWidth="1"/>
    <col min="11028" max="11028" width="12.85546875" style="67" customWidth="1"/>
    <col min="11029" max="11030" width="11" style="67" bestFit="1" customWidth="1"/>
    <col min="11031" max="11031" width="15.5703125" style="67" customWidth="1"/>
    <col min="11032" max="11034" width="11" style="67" bestFit="1" customWidth="1"/>
    <col min="11035" max="11036" width="11.140625" style="67" customWidth="1"/>
    <col min="11037" max="11037" width="11" style="67" customWidth="1"/>
    <col min="11038" max="11038" width="11.7109375" style="67" customWidth="1"/>
    <col min="11039" max="11039" width="12.28515625" style="67" customWidth="1"/>
    <col min="11040" max="11040" width="11" style="67" customWidth="1"/>
    <col min="11041" max="11041" width="11" style="67" bestFit="1" customWidth="1"/>
    <col min="11042" max="11042" width="11.42578125" style="67"/>
    <col min="11043" max="11043" width="9.42578125" style="67" bestFit="1" customWidth="1"/>
    <col min="11044" max="11264" width="11.42578125" style="67"/>
    <col min="11265" max="11265" width="28.140625" style="67" bestFit="1" customWidth="1"/>
    <col min="11266" max="11266" width="19.140625" style="67" customWidth="1"/>
    <col min="11267" max="11267" width="12.140625" style="67" customWidth="1"/>
    <col min="11268" max="11268" width="12.42578125" style="67" customWidth="1"/>
    <col min="11269" max="11269" width="19.140625" style="67" customWidth="1"/>
    <col min="11270" max="11270" width="18.28515625" style="67" customWidth="1"/>
    <col min="11271" max="11271" width="14" style="67" customWidth="1"/>
    <col min="11272" max="11272" width="13.28515625" style="67" customWidth="1"/>
    <col min="11273" max="11273" width="14.42578125" style="67" customWidth="1"/>
    <col min="11274" max="11274" width="14.85546875" style="67" customWidth="1"/>
    <col min="11275" max="11275" width="12" style="67" customWidth="1"/>
    <col min="11276" max="11276" width="13.42578125" style="67" customWidth="1"/>
    <col min="11277" max="11277" width="11.28515625" style="67" customWidth="1"/>
    <col min="11278" max="11278" width="10.7109375" style="67" customWidth="1"/>
    <col min="11279" max="11279" width="11.42578125" style="67"/>
    <col min="11280" max="11280" width="12.85546875" style="67" customWidth="1"/>
    <col min="11281" max="11281" width="10.85546875" style="67" customWidth="1"/>
    <col min="11282" max="11282" width="12.7109375" style="67" customWidth="1"/>
    <col min="11283" max="11283" width="12.42578125" style="67" customWidth="1"/>
    <col min="11284" max="11284" width="12.85546875" style="67" customWidth="1"/>
    <col min="11285" max="11286" width="11" style="67" bestFit="1" customWidth="1"/>
    <col min="11287" max="11287" width="15.5703125" style="67" customWidth="1"/>
    <col min="11288" max="11290" width="11" style="67" bestFit="1" customWidth="1"/>
    <col min="11291" max="11292" width="11.140625" style="67" customWidth="1"/>
    <col min="11293" max="11293" width="11" style="67" customWidth="1"/>
    <col min="11294" max="11294" width="11.7109375" style="67" customWidth="1"/>
    <col min="11295" max="11295" width="12.28515625" style="67" customWidth="1"/>
    <col min="11296" max="11296" width="11" style="67" customWidth="1"/>
    <col min="11297" max="11297" width="11" style="67" bestFit="1" customWidth="1"/>
    <col min="11298" max="11298" width="11.42578125" style="67"/>
    <col min="11299" max="11299" width="9.42578125" style="67" bestFit="1" customWidth="1"/>
    <col min="11300" max="11520" width="11.42578125" style="67"/>
    <col min="11521" max="11521" width="28.140625" style="67" bestFit="1" customWidth="1"/>
    <col min="11522" max="11522" width="19.140625" style="67" customWidth="1"/>
    <col min="11523" max="11523" width="12.140625" style="67" customWidth="1"/>
    <col min="11524" max="11524" width="12.42578125" style="67" customWidth="1"/>
    <col min="11525" max="11525" width="19.140625" style="67" customWidth="1"/>
    <col min="11526" max="11526" width="18.28515625" style="67" customWidth="1"/>
    <col min="11527" max="11527" width="14" style="67" customWidth="1"/>
    <col min="11528" max="11528" width="13.28515625" style="67" customWidth="1"/>
    <col min="11529" max="11529" width="14.42578125" style="67" customWidth="1"/>
    <col min="11530" max="11530" width="14.85546875" style="67" customWidth="1"/>
    <col min="11531" max="11531" width="12" style="67" customWidth="1"/>
    <col min="11532" max="11532" width="13.42578125" style="67" customWidth="1"/>
    <col min="11533" max="11533" width="11.28515625" style="67" customWidth="1"/>
    <col min="11534" max="11534" width="10.7109375" style="67" customWidth="1"/>
    <col min="11535" max="11535" width="11.42578125" style="67"/>
    <col min="11536" max="11536" width="12.85546875" style="67" customWidth="1"/>
    <col min="11537" max="11537" width="10.85546875" style="67" customWidth="1"/>
    <col min="11538" max="11538" width="12.7109375" style="67" customWidth="1"/>
    <col min="11539" max="11539" width="12.42578125" style="67" customWidth="1"/>
    <col min="11540" max="11540" width="12.85546875" style="67" customWidth="1"/>
    <col min="11541" max="11542" width="11" style="67" bestFit="1" customWidth="1"/>
    <col min="11543" max="11543" width="15.5703125" style="67" customWidth="1"/>
    <col min="11544" max="11546" width="11" style="67" bestFit="1" customWidth="1"/>
    <col min="11547" max="11548" width="11.140625" style="67" customWidth="1"/>
    <col min="11549" max="11549" width="11" style="67" customWidth="1"/>
    <col min="11550" max="11550" width="11.7109375" style="67" customWidth="1"/>
    <col min="11551" max="11551" width="12.28515625" style="67" customWidth="1"/>
    <col min="11552" max="11552" width="11" style="67" customWidth="1"/>
    <col min="11553" max="11553" width="11" style="67" bestFit="1" customWidth="1"/>
    <col min="11554" max="11554" width="11.42578125" style="67"/>
    <col min="11555" max="11555" width="9.42578125" style="67" bestFit="1" customWidth="1"/>
    <col min="11556" max="11776" width="11.42578125" style="67"/>
    <col min="11777" max="11777" width="28.140625" style="67" bestFit="1" customWidth="1"/>
    <col min="11778" max="11778" width="19.140625" style="67" customWidth="1"/>
    <col min="11779" max="11779" width="12.140625" style="67" customWidth="1"/>
    <col min="11780" max="11780" width="12.42578125" style="67" customWidth="1"/>
    <col min="11781" max="11781" width="19.140625" style="67" customWidth="1"/>
    <col min="11782" max="11782" width="18.28515625" style="67" customWidth="1"/>
    <col min="11783" max="11783" width="14" style="67" customWidth="1"/>
    <col min="11784" max="11784" width="13.28515625" style="67" customWidth="1"/>
    <col min="11785" max="11785" width="14.42578125" style="67" customWidth="1"/>
    <col min="11786" max="11786" width="14.85546875" style="67" customWidth="1"/>
    <col min="11787" max="11787" width="12" style="67" customWidth="1"/>
    <col min="11788" max="11788" width="13.42578125" style="67" customWidth="1"/>
    <col min="11789" max="11789" width="11.28515625" style="67" customWidth="1"/>
    <col min="11790" max="11790" width="10.7109375" style="67" customWidth="1"/>
    <col min="11791" max="11791" width="11.42578125" style="67"/>
    <col min="11792" max="11792" width="12.85546875" style="67" customWidth="1"/>
    <col min="11793" max="11793" width="10.85546875" style="67" customWidth="1"/>
    <col min="11794" max="11794" width="12.7109375" style="67" customWidth="1"/>
    <col min="11795" max="11795" width="12.42578125" style="67" customWidth="1"/>
    <col min="11796" max="11796" width="12.85546875" style="67" customWidth="1"/>
    <col min="11797" max="11798" width="11" style="67" bestFit="1" customWidth="1"/>
    <col min="11799" max="11799" width="15.5703125" style="67" customWidth="1"/>
    <col min="11800" max="11802" width="11" style="67" bestFit="1" customWidth="1"/>
    <col min="11803" max="11804" width="11.140625" style="67" customWidth="1"/>
    <col min="11805" max="11805" width="11" style="67" customWidth="1"/>
    <col min="11806" max="11806" width="11.7109375" style="67" customWidth="1"/>
    <col min="11807" max="11807" width="12.28515625" style="67" customWidth="1"/>
    <col min="11808" max="11808" width="11" style="67" customWidth="1"/>
    <col min="11809" max="11809" width="11" style="67" bestFit="1" customWidth="1"/>
    <col min="11810" max="11810" width="11.42578125" style="67"/>
    <col min="11811" max="11811" width="9.42578125" style="67" bestFit="1" customWidth="1"/>
    <col min="11812" max="12032" width="11.42578125" style="67"/>
    <col min="12033" max="12033" width="28.140625" style="67" bestFit="1" customWidth="1"/>
    <col min="12034" max="12034" width="19.140625" style="67" customWidth="1"/>
    <col min="12035" max="12035" width="12.140625" style="67" customWidth="1"/>
    <col min="12036" max="12036" width="12.42578125" style="67" customWidth="1"/>
    <col min="12037" max="12037" width="19.140625" style="67" customWidth="1"/>
    <col min="12038" max="12038" width="18.28515625" style="67" customWidth="1"/>
    <col min="12039" max="12039" width="14" style="67" customWidth="1"/>
    <col min="12040" max="12040" width="13.28515625" style="67" customWidth="1"/>
    <col min="12041" max="12041" width="14.42578125" style="67" customWidth="1"/>
    <col min="12042" max="12042" width="14.85546875" style="67" customWidth="1"/>
    <col min="12043" max="12043" width="12" style="67" customWidth="1"/>
    <col min="12044" max="12044" width="13.42578125" style="67" customWidth="1"/>
    <col min="12045" max="12045" width="11.28515625" style="67" customWidth="1"/>
    <col min="12046" max="12046" width="10.7109375" style="67" customWidth="1"/>
    <col min="12047" max="12047" width="11.42578125" style="67"/>
    <col min="12048" max="12048" width="12.85546875" style="67" customWidth="1"/>
    <col min="12049" max="12049" width="10.85546875" style="67" customWidth="1"/>
    <col min="12050" max="12050" width="12.7109375" style="67" customWidth="1"/>
    <col min="12051" max="12051" width="12.42578125" style="67" customWidth="1"/>
    <col min="12052" max="12052" width="12.85546875" style="67" customWidth="1"/>
    <col min="12053" max="12054" width="11" style="67" bestFit="1" customWidth="1"/>
    <col min="12055" max="12055" width="15.5703125" style="67" customWidth="1"/>
    <col min="12056" max="12058" width="11" style="67" bestFit="1" customWidth="1"/>
    <col min="12059" max="12060" width="11.140625" style="67" customWidth="1"/>
    <col min="12061" max="12061" width="11" style="67" customWidth="1"/>
    <col min="12062" max="12062" width="11.7109375" style="67" customWidth="1"/>
    <col min="12063" max="12063" width="12.28515625" style="67" customWidth="1"/>
    <col min="12064" max="12064" width="11" style="67" customWidth="1"/>
    <col min="12065" max="12065" width="11" style="67" bestFit="1" customWidth="1"/>
    <col min="12066" max="12066" width="11.42578125" style="67"/>
    <col min="12067" max="12067" width="9.42578125" style="67" bestFit="1" customWidth="1"/>
    <col min="12068" max="12288" width="11.42578125" style="67"/>
    <col min="12289" max="12289" width="28.140625" style="67" bestFit="1" customWidth="1"/>
    <col min="12290" max="12290" width="19.140625" style="67" customWidth="1"/>
    <col min="12291" max="12291" width="12.140625" style="67" customWidth="1"/>
    <col min="12292" max="12292" width="12.42578125" style="67" customWidth="1"/>
    <col min="12293" max="12293" width="19.140625" style="67" customWidth="1"/>
    <col min="12294" max="12294" width="18.28515625" style="67" customWidth="1"/>
    <col min="12295" max="12295" width="14" style="67" customWidth="1"/>
    <col min="12296" max="12296" width="13.28515625" style="67" customWidth="1"/>
    <col min="12297" max="12297" width="14.42578125" style="67" customWidth="1"/>
    <col min="12298" max="12298" width="14.85546875" style="67" customWidth="1"/>
    <col min="12299" max="12299" width="12" style="67" customWidth="1"/>
    <col min="12300" max="12300" width="13.42578125" style="67" customWidth="1"/>
    <col min="12301" max="12301" width="11.28515625" style="67" customWidth="1"/>
    <col min="12302" max="12302" width="10.7109375" style="67" customWidth="1"/>
    <col min="12303" max="12303" width="11.42578125" style="67"/>
    <col min="12304" max="12304" width="12.85546875" style="67" customWidth="1"/>
    <col min="12305" max="12305" width="10.85546875" style="67" customWidth="1"/>
    <col min="12306" max="12306" width="12.7109375" style="67" customWidth="1"/>
    <col min="12307" max="12307" width="12.42578125" style="67" customWidth="1"/>
    <col min="12308" max="12308" width="12.85546875" style="67" customWidth="1"/>
    <col min="12309" max="12310" width="11" style="67" bestFit="1" customWidth="1"/>
    <col min="12311" max="12311" width="15.5703125" style="67" customWidth="1"/>
    <col min="12312" max="12314" width="11" style="67" bestFit="1" customWidth="1"/>
    <col min="12315" max="12316" width="11.140625" style="67" customWidth="1"/>
    <col min="12317" max="12317" width="11" style="67" customWidth="1"/>
    <col min="12318" max="12318" width="11.7109375" style="67" customWidth="1"/>
    <col min="12319" max="12319" width="12.28515625" style="67" customWidth="1"/>
    <col min="12320" max="12320" width="11" style="67" customWidth="1"/>
    <col min="12321" max="12321" width="11" style="67" bestFit="1" customWidth="1"/>
    <col min="12322" max="12322" width="11.42578125" style="67"/>
    <col min="12323" max="12323" width="9.42578125" style="67" bestFit="1" customWidth="1"/>
    <col min="12324" max="12544" width="11.42578125" style="67"/>
    <col min="12545" max="12545" width="28.140625" style="67" bestFit="1" customWidth="1"/>
    <col min="12546" max="12546" width="19.140625" style="67" customWidth="1"/>
    <col min="12547" max="12547" width="12.140625" style="67" customWidth="1"/>
    <col min="12548" max="12548" width="12.42578125" style="67" customWidth="1"/>
    <col min="12549" max="12549" width="19.140625" style="67" customWidth="1"/>
    <col min="12550" max="12550" width="18.28515625" style="67" customWidth="1"/>
    <col min="12551" max="12551" width="14" style="67" customWidth="1"/>
    <col min="12552" max="12552" width="13.28515625" style="67" customWidth="1"/>
    <col min="12553" max="12553" width="14.42578125" style="67" customWidth="1"/>
    <col min="12554" max="12554" width="14.85546875" style="67" customWidth="1"/>
    <col min="12555" max="12555" width="12" style="67" customWidth="1"/>
    <col min="12556" max="12556" width="13.42578125" style="67" customWidth="1"/>
    <col min="12557" max="12557" width="11.28515625" style="67" customWidth="1"/>
    <col min="12558" max="12558" width="10.7109375" style="67" customWidth="1"/>
    <col min="12559" max="12559" width="11.42578125" style="67"/>
    <col min="12560" max="12560" width="12.85546875" style="67" customWidth="1"/>
    <col min="12561" max="12561" width="10.85546875" style="67" customWidth="1"/>
    <col min="12562" max="12562" width="12.7109375" style="67" customWidth="1"/>
    <col min="12563" max="12563" width="12.42578125" style="67" customWidth="1"/>
    <col min="12564" max="12564" width="12.85546875" style="67" customWidth="1"/>
    <col min="12565" max="12566" width="11" style="67" bestFit="1" customWidth="1"/>
    <col min="12567" max="12567" width="15.5703125" style="67" customWidth="1"/>
    <col min="12568" max="12570" width="11" style="67" bestFit="1" customWidth="1"/>
    <col min="12571" max="12572" width="11.140625" style="67" customWidth="1"/>
    <col min="12573" max="12573" width="11" style="67" customWidth="1"/>
    <col min="12574" max="12574" width="11.7109375" style="67" customWidth="1"/>
    <col min="12575" max="12575" width="12.28515625" style="67" customWidth="1"/>
    <col min="12576" max="12576" width="11" style="67" customWidth="1"/>
    <col min="12577" max="12577" width="11" style="67" bestFit="1" customWidth="1"/>
    <col min="12578" max="12578" width="11.42578125" style="67"/>
    <col min="12579" max="12579" width="9.42578125" style="67" bestFit="1" customWidth="1"/>
    <col min="12580" max="12800" width="11.42578125" style="67"/>
    <col min="12801" max="12801" width="28.140625" style="67" bestFit="1" customWidth="1"/>
    <col min="12802" max="12802" width="19.140625" style="67" customWidth="1"/>
    <col min="12803" max="12803" width="12.140625" style="67" customWidth="1"/>
    <col min="12804" max="12804" width="12.42578125" style="67" customWidth="1"/>
    <col min="12805" max="12805" width="19.140625" style="67" customWidth="1"/>
    <col min="12806" max="12806" width="18.28515625" style="67" customWidth="1"/>
    <col min="12807" max="12807" width="14" style="67" customWidth="1"/>
    <col min="12808" max="12808" width="13.28515625" style="67" customWidth="1"/>
    <col min="12809" max="12809" width="14.42578125" style="67" customWidth="1"/>
    <col min="12810" max="12810" width="14.85546875" style="67" customWidth="1"/>
    <col min="12811" max="12811" width="12" style="67" customWidth="1"/>
    <col min="12812" max="12812" width="13.42578125" style="67" customWidth="1"/>
    <col min="12813" max="12813" width="11.28515625" style="67" customWidth="1"/>
    <col min="12814" max="12814" width="10.7109375" style="67" customWidth="1"/>
    <col min="12815" max="12815" width="11.42578125" style="67"/>
    <col min="12816" max="12816" width="12.85546875" style="67" customWidth="1"/>
    <col min="12817" max="12817" width="10.85546875" style="67" customWidth="1"/>
    <col min="12818" max="12818" width="12.7109375" style="67" customWidth="1"/>
    <col min="12819" max="12819" width="12.42578125" style="67" customWidth="1"/>
    <col min="12820" max="12820" width="12.85546875" style="67" customWidth="1"/>
    <col min="12821" max="12822" width="11" style="67" bestFit="1" customWidth="1"/>
    <col min="12823" max="12823" width="15.5703125" style="67" customWidth="1"/>
    <col min="12824" max="12826" width="11" style="67" bestFit="1" customWidth="1"/>
    <col min="12827" max="12828" width="11.140625" style="67" customWidth="1"/>
    <col min="12829" max="12829" width="11" style="67" customWidth="1"/>
    <col min="12830" max="12830" width="11.7109375" style="67" customWidth="1"/>
    <col min="12831" max="12831" width="12.28515625" style="67" customWidth="1"/>
    <col min="12832" max="12832" width="11" style="67" customWidth="1"/>
    <col min="12833" max="12833" width="11" style="67" bestFit="1" customWidth="1"/>
    <col min="12834" max="12834" width="11.42578125" style="67"/>
    <col min="12835" max="12835" width="9.42578125" style="67" bestFit="1" customWidth="1"/>
    <col min="12836" max="13056" width="11.42578125" style="67"/>
    <col min="13057" max="13057" width="28.140625" style="67" bestFit="1" customWidth="1"/>
    <col min="13058" max="13058" width="19.140625" style="67" customWidth="1"/>
    <col min="13059" max="13059" width="12.140625" style="67" customWidth="1"/>
    <col min="13060" max="13060" width="12.42578125" style="67" customWidth="1"/>
    <col min="13061" max="13061" width="19.140625" style="67" customWidth="1"/>
    <col min="13062" max="13062" width="18.28515625" style="67" customWidth="1"/>
    <col min="13063" max="13063" width="14" style="67" customWidth="1"/>
    <col min="13064" max="13064" width="13.28515625" style="67" customWidth="1"/>
    <col min="13065" max="13065" width="14.42578125" style="67" customWidth="1"/>
    <col min="13066" max="13066" width="14.85546875" style="67" customWidth="1"/>
    <col min="13067" max="13067" width="12" style="67" customWidth="1"/>
    <col min="13068" max="13068" width="13.42578125" style="67" customWidth="1"/>
    <col min="13069" max="13069" width="11.28515625" style="67" customWidth="1"/>
    <col min="13070" max="13070" width="10.7109375" style="67" customWidth="1"/>
    <col min="13071" max="13071" width="11.42578125" style="67"/>
    <col min="13072" max="13072" width="12.85546875" style="67" customWidth="1"/>
    <col min="13073" max="13073" width="10.85546875" style="67" customWidth="1"/>
    <col min="13074" max="13074" width="12.7109375" style="67" customWidth="1"/>
    <col min="13075" max="13075" width="12.42578125" style="67" customWidth="1"/>
    <col min="13076" max="13076" width="12.85546875" style="67" customWidth="1"/>
    <col min="13077" max="13078" width="11" style="67" bestFit="1" customWidth="1"/>
    <col min="13079" max="13079" width="15.5703125" style="67" customWidth="1"/>
    <col min="13080" max="13082" width="11" style="67" bestFit="1" customWidth="1"/>
    <col min="13083" max="13084" width="11.140625" style="67" customWidth="1"/>
    <col min="13085" max="13085" width="11" style="67" customWidth="1"/>
    <col min="13086" max="13086" width="11.7109375" style="67" customWidth="1"/>
    <col min="13087" max="13087" width="12.28515625" style="67" customWidth="1"/>
    <col min="13088" max="13088" width="11" style="67" customWidth="1"/>
    <col min="13089" max="13089" width="11" style="67" bestFit="1" customWidth="1"/>
    <col min="13090" max="13090" width="11.42578125" style="67"/>
    <col min="13091" max="13091" width="9.42578125" style="67" bestFit="1" customWidth="1"/>
    <col min="13092" max="13312" width="11.42578125" style="67"/>
    <col min="13313" max="13313" width="28.140625" style="67" bestFit="1" customWidth="1"/>
    <col min="13314" max="13314" width="19.140625" style="67" customWidth="1"/>
    <col min="13315" max="13315" width="12.140625" style="67" customWidth="1"/>
    <col min="13316" max="13316" width="12.42578125" style="67" customWidth="1"/>
    <col min="13317" max="13317" width="19.140625" style="67" customWidth="1"/>
    <col min="13318" max="13318" width="18.28515625" style="67" customWidth="1"/>
    <col min="13319" max="13319" width="14" style="67" customWidth="1"/>
    <col min="13320" max="13320" width="13.28515625" style="67" customWidth="1"/>
    <col min="13321" max="13321" width="14.42578125" style="67" customWidth="1"/>
    <col min="13322" max="13322" width="14.85546875" style="67" customWidth="1"/>
    <col min="13323" max="13323" width="12" style="67" customWidth="1"/>
    <col min="13324" max="13324" width="13.42578125" style="67" customWidth="1"/>
    <col min="13325" max="13325" width="11.28515625" style="67" customWidth="1"/>
    <col min="13326" max="13326" width="10.7109375" style="67" customWidth="1"/>
    <col min="13327" max="13327" width="11.42578125" style="67"/>
    <col min="13328" max="13328" width="12.85546875" style="67" customWidth="1"/>
    <col min="13329" max="13329" width="10.85546875" style="67" customWidth="1"/>
    <col min="13330" max="13330" width="12.7109375" style="67" customWidth="1"/>
    <col min="13331" max="13331" width="12.42578125" style="67" customWidth="1"/>
    <col min="13332" max="13332" width="12.85546875" style="67" customWidth="1"/>
    <col min="13333" max="13334" width="11" style="67" bestFit="1" customWidth="1"/>
    <col min="13335" max="13335" width="15.5703125" style="67" customWidth="1"/>
    <col min="13336" max="13338" width="11" style="67" bestFit="1" customWidth="1"/>
    <col min="13339" max="13340" width="11.140625" style="67" customWidth="1"/>
    <col min="13341" max="13341" width="11" style="67" customWidth="1"/>
    <col min="13342" max="13342" width="11.7109375" style="67" customWidth="1"/>
    <col min="13343" max="13343" width="12.28515625" style="67" customWidth="1"/>
    <col min="13344" max="13344" width="11" style="67" customWidth="1"/>
    <col min="13345" max="13345" width="11" style="67" bestFit="1" customWidth="1"/>
    <col min="13346" max="13346" width="11.42578125" style="67"/>
    <col min="13347" max="13347" width="9.42578125" style="67" bestFit="1" customWidth="1"/>
    <col min="13348" max="13568" width="11.42578125" style="67"/>
    <col min="13569" max="13569" width="28.140625" style="67" bestFit="1" customWidth="1"/>
    <col min="13570" max="13570" width="19.140625" style="67" customWidth="1"/>
    <col min="13571" max="13571" width="12.140625" style="67" customWidth="1"/>
    <col min="13572" max="13572" width="12.42578125" style="67" customWidth="1"/>
    <col min="13573" max="13573" width="19.140625" style="67" customWidth="1"/>
    <col min="13574" max="13574" width="18.28515625" style="67" customWidth="1"/>
    <col min="13575" max="13575" width="14" style="67" customWidth="1"/>
    <col min="13576" max="13576" width="13.28515625" style="67" customWidth="1"/>
    <col min="13577" max="13577" width="14.42578125" style="67" customWidth="1"/>
    <col min="13578" max="13578" width="14.85546875" style="67" customWidth="1"/>
    <col min="13579" max="13579" width="12" style="67" customWidth="1"/>
    <col min="13580" max="13580" width="13.42578125" style="67" customWidth="1"/>
    <col min="13581" max="13581" width="11.28515625" style="67" customWidth="1"/>
    <col min="13582" max="13582" width="10.7109375" style="67" customWidth="1"/>
    <col min="13583" max="13583" width="11.42578125" style="67"/>
    <col min="13584" max="13584" width="12.85546875" style="67" customWidth="1"/>
    <col min="13585" max="13585" width="10.85546875" style="67" customWidth="1"/>
    <col min="13586" max="13586" width="12.7109375" style="67" customWidth="1"/>
    <col min="13587" max="13587" width="12.42578125" style="67" customWidth="1"/>
    <col min="13588" max="13588" width="12.85546875" style="67" customWidth="1"/>
    <col min="13589" max="13590" width="11" style="67" bestFit="1" customWidth="1"/>
    <col min="13591" max="13591" width="15.5703125" style="67" customWidth="1"/>
    <col min="13592" max="13594" width="11" style="67" bestFit="1" customWidth="1"/>
    <col min="13595" max="13596" width="11.140625" style="67" customWidth="1"/>
    <col min="13597" max="13597" width="11" style="67" customWidth="1"/>
    <col min="13598" max="13598" width="11.7109375" style="67" customWidth="1"/>
    <col min="13599" max="13599" width="12.28515625" style="67" customWidth="1"/>
    <col min="13600" max="13600" width="11" style="67" customWidth="1"/>
    <col min="13601" max="13601" width="11" style="67" bestFit="1" customWidth="1"/>
    <col min="13602" max="13602" width="11.42578125" style="67"/>
    <col min="13603" max="13603" width="9.42578125" style="67" bestFit="1" customWidth="1"/>
    <col min="13604" max="13824" width="11.42578125" style="67"/>
    <col min="13825" max="13825" width="28.140625" style="67" bestFit="1" customWidth="1"/>
    <col min="13826" max="13826" width="19.140625" style="67" customWidth="1"/>
    <col min="13827" max="13827" width="12.140625" style="67" customWidth="1"/>
    <col min="13828" max="13828" width="12.42578125" style="67" customWidth="1"/>
    <col min="13829" max="13829" width="19.140625" style="67" customWidth="1"/>
    <col min="13830" max="13830" width="18.28515625" style="67" customWidth="1"/>
    <col min="13831" max="13831" width="14" style="67" customWidth="1"/>
    <col min="13832" max="13832" width="13.28515625" style="67" customWidth="1"/>
    <col min="13833" max="13833" width="14.42578125" style="67" customWidth="1"/>
    <col min="13834" max="13834" width="14.85546875" style="67" customWidth="1"/>
    <col min="13835" max="13835" width="12" style="67" customWidth="1"/>
    <col min="13836" max="13836" width="13.42578125" style="67" customWidth="1"/>
    <col min="13837" max="13837" width="11.28515625" style="67" customWidth="1"/>
    <col min="13838" max="13838" width="10.7109375" style="67" customWidth="1"/>
    <col min="13839" max="13839" width="11.42578125" style="67"/>
    <col min="13840" max="13840" width="12.85546875" style="67" customWidth="1"/>
    <col min="13841" max="13841" width="10.85546875" style="67" customWidth="1"/>
    <col min="13842" max="13842" width="12.7109375" style="67" customWidth="1"/>
    <col min="13843" max="13843" width="12.42578125" style="67" customWidth="1"/>
    <col min="13844" max="13844" width="12.85546875" style="67" customWidth="1"/>
    <col min="13845" max="13846" width="11" style="67" bestFit="1" customWidth="1"/>
    <col min="13847" max="13847" width="15.5703125" style="67" customWidth="1"/>
    <col min="13848" max="13850" width="11" style="67" bestFit="1" customWidth="1"/>
    <col min="13851" max="13852" width="11.140625" style="67" customWidth="1"/>
    <col min="13853" max="13853" width="11" style="67" customWidth="1"/>
    <col min="13854" max="13854" width="11.7109375" style="67" customWidth="1"/>
    <col min="13855" max="13855" width="12.28515625" style="67" customWidth="1"/>
    <col min="13856" max="13856" width="11" style="67" customWidth="1"/>
    <col min="13857" max="13857" width="11" style="67" bestFit="1" customWidth="1"/>
    <col min="13858" max="13858" width="11.42578125" style="67"/>
    <col min="13859" max="13859" width="9.42578125" style="67" bestFit="1" customWidth="1"/>
    <col min="13860" max="14080" width="11.42578125" style="67"/>
    <col min="14081" max="14081" width="28.140625" style="67" bestFit="1" customWidth="1"/>
    <col min="14082" max="14082" width="19.140625" style="67" customWidth="1"/>
    <col min="14083" max="14083" width="12.140625" style="67" customWidth="1"/>
    <col min="14084" max="14084" width="12.42578125" style="67" customWidth="1"/>
    <col min="14085" max="14085" width="19.140625" style="67" customWidth="1"/>
    <col min="14086" max="14086" width="18.28515625" style="67" customWidth="1"/>
    <col min="14087" max="14087" width="14" style="67" customWidth="1"/>
    <col min="14088" max="14088" width="13.28515625" style="67" customWidth="1"/>
    <col min="14089" max="14089" width="14.42578125" style="67" customWidth="1"/>
    <col min="14090" max="14090" width="14.85546875" style="67" customWidth="1"/>
    <col min="14091" max="14091" width="12" style="67" customWidth="1"/>
    <col min="14092" max="14092" width="13.42578125" style="67" customWidth="1"/>
    <col min="14093" max="14093" width="11.28515625" style="67" customWidth="1"/>
    <col min="14094" max="14094" width="10.7109375" style="67" customWidth="1"/>
    <col min="14095" max="14095" width="11.42578125" style="67"/>
    <col min="14096" max="14096" width="12.85546875" style="67" customWidth="1"/>
    <col min="14097" max="14097" width="10.85546875" style="67" customWidth="1"/>
    <col min="14098" max="14098" width="12.7109375" style="67" customWidth="1"/>
    <col min="14099" max="14099" width="12.42578125" style="67" customWidth="1"/>
    <col min="14100" max="14100" width="12.85546875" style="67" customWidth="1"/>
    <col min="14101" max="14102" width="11" style="67" bestFit="1" customWidth="1"/>
    <col min="14103" max="14103" width="15.5703125" style="67" customWidth="1"/>
    <col min="14104" max="14106" width="11" style="67" bestFit="1" customWidth="1"/>
    <col min="14107" max="14108" width="11.140625" style="67" customWidth="1"/>
    <col min="14109" max="14109" width="11" style="67" customWidth="1"/>
    <col min="14110" max="14110" width="11.7109375" style="67" customWidth="1"/>
    <col min="14111" max="14111" width="12.28515625" style="67" customWidth="1"/>
    <col min="14112" max="14112" width="11" style="67" customWidth="1"/>
    <col min="14113" max="14113" width="11" style="67" bestFit="1" customWidth="1"/>
    <col min="14114" max="14114" width="11.42578125" style="67"/>
    <col min="14115" max="14115" width="9.42578125" style="67" bestFit="1" customWidth="1"/>
    <col min="14116" max="14336" width="11.42578125" style="67"/>
    <col min="14337" max="14337" width="28.140625" style="67" bestFit="1" customWidth="1"/>
    <col min="14338" max="14338" width="19.140625" style="67" customWidth="1"/>
    <col min="14339" max="14339" width="12.140625" style="67" customWidth="1"/>
    <col min="14340" max="14340" width="12.42578125" style="67" customWidth="1"/>
    <col min="14341" max="14341" width="19.140625" style="67" customWidth="1"/>
    <col min="14342" max="14342" width="18.28515625" style="67" customWidth="1"/>
    <col min="14343" max="14343" width="14" style="67" customWidth="1"/>
    <col min="14344" max="14344" width="13.28515625" style="67" customWidth="1"/>
    <col min="14345" max="14345" width="14.42578125" style="67" customWidth="1"/>
    <col min="14346" max="14346" width="14.85546875" style="67" customWidth="1"/>
    <col min="14347" max="14347" width="12" style="67" customWidth="1"/>
    <col min="14348" max="14348" width="13.42578125" style="67" customWidth="1"/>
    <col min="14349" max="14349" width="11.28515625" style="67" customWidth="1"/>
    <col min="14350" max="14350" width="10.7109375" style="67" customWidth="1"/>
    <col min="14351" max="14351" width="11.42578125" style="67"/>
    <col min="14352" max="14352" width="12.85546875" style="67" customWidth="1"/>
    <col min="14353" max="14353" width="10.85546875" style="67" customWidth="1"/>
    <col min="14354" max="14354" width="12.7109375" style="67" customWidth="1"/>
    <col min="14355" max="14355" width="12.42578125" style="67" customWidth="1"/>
    <col min="14356" max="14356" width="12.85546875" style="67" customWidth="1"/>
    <col min="14357" max="14358" width="11" style="67" bestFit="1" customWidth="1"/>
    <col min="14359" max="14359" width="15.5703125" style="67" customWidth="1"/>
    <col min="14360" max="14362" width="11" style="67" bestFit="1" customWidth="1"/>
    <col min="14363" max="14364" width="11.140625" style="67" customWidth="1"/>
    <col min="14365" max="14365" width="11" style="67" customWidth="1"/>
    <col min="14366" max="14366" width="11.7109375" style="67" customWidth="1"/>
    <col min="14367" max="14367" width="12.28515625" style="67" customWidth="1"/>
    <col min="14368" max="14368" width="11" style="67" customWidth="1"/>
    <col min="14369" max="14369" width="11" style="67" bestFit="1" customWidth="1"/>
    <col min="14370" max="14370" width="11.42578125" style="67"/>
    <col min="14371" max="14371" width="9.42578125" style="67" bestFit="1" customWidth="1"/>
    <col min="14372" max="14592" width="11.42578125" style="67"/>
    <col min="14593" max="14593" width="28.140625" style="67" bestFit="1" customWidth="1"/>
    <col min="14594" max="14594" width="19.140625" style="67" customWidth="1"/>
    <col min="14595" max="14595" width="12.140625" style="67" customWidth="1"/>
    <col min="14596" max="14596" width="12.42578125" style="67" customWidth="1"/>
    <col min="14597" max="14597" width="19.140625" style="67" customWidth="1"/>
    <col min="14598" max="14598" width="18.28515625" style="67" customWidth="1"/>
    <col min="14599" max="14599" width="14" style="67" customWidth="1"/>
    <col min="14600" max="14600" width="13.28515625" style="67" customWidth="1"/>
    <col min="14601" max="14601" width="14.42578125" style="67" customWidth="1"/>
    <col min="14602" max="14602" width="14.85546875" style="67" customWidth="1"/>
    <col min="14603" max="14603" width="12" style="67" customWidth="1"/>
    <col min="14604" max="14604" width="13.42578125" style="67" customWidth="1"/>
    <col min="14605" max="14605" width="11.28515625" style="67" customWidth="1"/>
    <col min="14606" max="14606" width="10.7109375" style="67" customWidth="1"/>
    <col min="14607" max="14607" width="11.42578125" style="67"/>
    <col min="14608" max="14608" width="12.85546875" style="67" customWidth="1"/>
    <col min="14609" max="14609" width="10.85546875" style="67" customWidth="1"/>
    <col min="14610" max="14610" width="12.7109375" style="67" customWidth="1"/>
    <col min="14611" max="14611" width="12.42578125" style="67" customWidth="1"/>
    <col min="14612" max="14612" width="12.85546875" style="67" customWidth="1"/>
    <col min="14613" max="14614" width="11" style="67" bestFit="1" customWidth="1"/>
    <col min="14615" max="14615" width="15.5703125" style="67" customWidth="1"/>
    <col min="14616" max="14618" width="11" style="67" bestFit="1" customWidth="1"/>
    <col min="14619" max="14620" width="11.140625" style="67" customWidth="1"/>
    <col min="14621" max="14621" width="11" style="67" customWidth="1"/>
    <col min="14622" max="14622" width="11.7109375" style="67" customWidth="1"/>
    <col min="14623" max="14623" width="12.28515625" style="67" customWidth="1"/>
    <col min="14624" max="14624" width="11" style="67" customWidth="1"/>
    <col min="14625" max="14625" width="11" style="67" bestFit="1" customWidth="1"/>
    <col min="14626" max="14626" width="11.42578125" style="67"/>
    <col min="14627" max="14627" width="9.42578125" style="67" bestFit="1" customWidth="1"/>
    <col min="14628" max="14848" width="11.42578125" style="67"/>
    <col min="14849" max="14849" width="28.140625" style="67" bestFit="1" customWidth="1"/>
    <col min="14850" max="14850" width="19.140625" style="67" customWidth="1"/>
    <col min="14851" max="14851" width="12.140625" style="67" customWidth="1"/>
    <col min="14852" max="14852" width="12.42578125" style="67" customWidth="1"/>
    <col min="14853" max="14853" width="19.140625" style="67" customWidth="1"/>
    <col min="14854" max="14854" width="18.28515625" style="67" customWidth="1"/>
    <col min="14855" max="14855" width="14" style="67" customWidth="1"/>
    <col min="14856" max="14856" width="13.28515625" style="67" customWidth="1"/>
    <col min="14857" max="14857" width="14.42578125" style="67" customWidth="1"/>
    <col min="14858" max="14858" width="14.85546875" style="67" customWidth="1"/>
    <col min="14859" max="14859" width="12" style="67" customWidth="1"/>
    <col min="14860" max="14860" width="13.42578125" style="67" customWidth="1"/>
    <col min="14861" max="14861" width="11.28515625" style="67" customWidth="1"/>
    <col min="14862" max="14862" width="10.7109375" style="67" customWidth="1"/>
    <col min="14863" max="14863" width="11.42578125" style="67"/>
    <col min="14864" max="14864" width="12.85546875" style="67" customWidth="1"/>
    <col min="14865" max="14865" width="10.85546875" style="67" customWidth="1"/>
    <col min="14866" max="14866" width="12.7109375" style="67" customWidth="1"/>
    <col min="14867" max="14867" width="12.42578125" style="67" customWidth="1"/>
    <col min="14868" max="14868" width="12.85546875" style="67" customWidth="1"/>
    <col min="14869" max="14870" width="11" style="67" bestFit="1" customWidth="1"/>
    <col min="14871" max="14871" width="15.5703125" style="67" customWidth="1"/>
    <col min="14872" max="14874" width="11" style="67" bestFit="1" customWidth="1"/>
    <col min="14875" max="14876" width="11.140625" style="67" customWidth="1"/>
    <col min="14877" max="14877" width="11" style="67" customWidth="1"/>
    <col min="14878" max="14878" width="11.7109375" style="67" customWidth="1"/>
    <col min="14879" max="14879" width="12.28515625" style="67" customWidth="1"/>
    <col min="14880" max="14880" width="11" style="67" customWidth="1"/>
    <col min="14881" max="14881" width="11" style="67" bestFit="1" customWidth="1"/>
    <col min="14882" max="14882" width="11.42578125" style="67"/>
    <col min="14883" max="14883" width="9.42578125" style="67" bestFit="1" customWidth="1"/>
    <col min="14884" max="15104" width="11.42578125" style="67"/>
    <col min="15105" max="15105" width="28.140625" style="67" bestFit="1" customWidth="1"/>
    <col min="15106" max="15106" width="19.140625" style="67" customWidth="1"/>
    <col min="15107" max="15107" width="12.140625" style="67" customWidth="1"/>
    <col min="15108" max="15108" width="12.42578125" style="67" customWidth="1"/>
    <col min="15109" max="15109" width="19.140625" style="67" customWidth="1"/>
    <col min="15110" max="15110" width="18.28515625" style="67" customWidth="1"/>
    <col min="15111" max="15111" width="14" style="67" customWidth="1"/>
    <col min="15112" max="15112" width="13.28515625" style="67" customWidth="1"/>
    <col min="15113" max="15113" width="14.42578125" style="67" customWidth="1"/>
    <col min="15114" max="15114" width="14.85546875" style="67" customWidth="1"/>
    <col min="15115" max="15115" width="12" style="67" customWidth="1"/>
    <col min="15116" max="15116" width="13.42578125" style="67" customWidth="1"/>
    <col min="15117" max="15117" width="11.28515625" style="67" customWidth="1"/>
    <col min="15118" max="15118" width="10.7109375" style="67" customWidth="1"/>
    <col min="15119" max="15119" width="11.42578125" style="67"/>
    <col min="15120" max="15120" width="12.85546875" style="67" customWidth="1"/>
    <col min="15121" max="15121" width="10.85546875" style="67" customWidth="1"/>
    <col min="15122" max="15122" width="12.7109375" style="67" customWidth="1"/>
    <col min="15123" max="15123" width="12.42578125" style="67" customWidth="1"/>
    <col min="15124" max="15124" width="12.85546875" style="67" customWidth="1"/>
    <col min="15125" max="15126" width="11" style="67" bestFit="1" customWidth="1"/>
    <col min="15127" max="15127" width="15.5703125" style="67" customWidth="1"/>
    <col min="15128" max="15130" width="11" style="67" bestFit="1" customWidth="1"/>
    <col min="15131" max="15132" width="11.140625" style="67" customWidth="1"/>
    <col min="15133" max="15133" width="11" style="67" customWidth="1"/>
    <col min="15134" max="15134" width="11.7109375" style="67" customWidth="1"/>
    <col min="15135" max="15135" width="12.28515625" style="67" customWidth="1"/>
    <col min="15136" max="15136" width="11" style="67" customWidth="1"/>
    <col min="15137" max="15137" width="11" style="67" bestFit="1" customWidth="1"/>
    <col min="15138" max="15138" width="11.42578125" style="67"/>
    <col min="15139" max="15139" width="9.42578125" style="67" bestFit="1" customWidth="1"/>
    <col min="15140" max="15360" width="11.42578125" style="67"/>
    <col min="15361" max="15361" width="28.140625" style="67" bestFit="1" customWidth="1"/>
    <col min="15362" max="15362" width="19.140625" style="67" customWidth="1"/>
    <col min="15363" max="15363" width="12.140625" style="67" customWidth="1"/>
    <col min="15364" max="15364" width="12.42578125" style="67" customWidth="1"/>
    <col min="15365" max="15365" width="19.140625" style="67" customWidth="1"/>
    <col min="15366" max="15366" width="18.28515625" style="67" customWidth="1"/>
    <col min="15367" max="15367" width="14" style="67" customWidth="1"/>
    <col min="15368" max="15368" width="13.28515625" style="67" customWidth="1"/>
    <col min="15369" max="15369" width="14.42578125" style="67" customWidth="1"/>
    <col min="15370" max="15370" width="14.85546875" style="67" customWidth="1"/>
    <col min="15371" max="15371" width="12" style="67" customWidth="1"/>
    <col min="15372" max="15372" width="13.42578125" style="67" customWidth="1"/>
    <col min="15373" max="15373" width="11.28515625" style="67" customWidth="1"/>
    <col min="15374" max="15374" width="10.7109375" style="67" customWidth="1"/>
    <col min="15375" max="15375" width="11.42578125" style="67"/>
    <col min="15376" max="15376" width="12.85546875" style="67" customWidth="1"/>
    <col min="15377" max="15377" width="10.85546875" style="67" customWidth="1"/>
    <col min="15378" max="15378" width="12.7109375" style="67" customWidth="1"/>
    <col min="15379" max="15379" width="12.42578125" style="67" customWidth="1"/>
    <col min="15380" max="15380" width="12.85546875" style="67" customWidth="1"/>
    <col min="15381" max="15382" width="11" style="67" bestFit="1" customWidth="1"/>
    <col min="15383" max="15383" width="15.5703125" style="67" customWidth="1"/>
    <col min="15384" max="15386" width="11" style="67" bestFit="1" customWidth="1"/>
    <col min="15387" max="15388" width="11.140625" style="67" customWidth="1"/>
    <col min="15389" max="15389" width="11" style="67" customWidth="1"/>
    <col min="15390" max="15390" width="11.7109375" style="67" customWidth="1"/>
    <col min="15391" max="15391" width="12.28515625" style="67" customWidth="1"/>
    <col min="15392" max="15392" width="11" style="67" customWidth="1"/>
    <col min="15393" max="15393" width="11" style="67" bestFit="1" customWidth="1"/>
    <col min="15394" max="15394" width="11.42578125" style="67"/>
    <col min="15395" max="15395" width="9.42578125" style="67" bestFit="1" customWidth="1"/>
    <col min="15396" max="15616" width="11.42578125" style="67"/>
    <col min="15617" max="15617" width="28.140625" style="67" bestFit="1" customWidth="1"/>
    <col min="15618" max="15618" width="19.140625" style="67" customWidth="1"/>
    <col min="15619" max="15619" width="12.140625" style="67" customWidth="1"/>
    <col min="15620" max="15620" width="12.42578125" style="67" customWidth="1"/>
    <col min="15621" max="15621" width="19.140625" style="67" customWidth="1"/>
    <col min="15622" max="15622" width="18.28515625" style="67" customWidth="1"/>
    <col min="15623" max="15623" width="14" style="67" customWidth="1"/>
    <col min="15624" max="15624" width="13.28515625" style="67" customWidth="1"/>
    <col min="15625" max="15625" width="14.42578125" style="67" customWidth="1"/>
    <col min="15626" max="15626" width="14.85546875" style="67" customWidth="1"/>
    <col min="15627" max="15627" width="12" style="67" customWidth="1"/>
    <col min="15628" max="15628" width="13.42578125" style="67" customWidth="1"/>
    <col min="15629" max="15629" width="11.28515625" style="67" customWidth="1"/>
    <col min="15630" max="15630" width="10.7109375" style="67" customWidth="1"/>
    <col min="15631" max="15631" width="11.42578125" style="67"/>
    <col min="15632" max="15632" width="12.85546875" style="67" customWidth="1"/>
    <col min="15633" max="15633" width="10.85546875" style="67" customWidth="1"/>
    <col min="15634" max="15634" width="12.7109375" style="67" customWidth="1"/>
    <col min="15635" max="15635" width="12.42578125" style="67" customWidth="1"/>
    <col min="15636" max="15636" width="12.85546875" style="67" customWidth="1"/>
    <col min="15637" max="15638" width="11" style="67" bestFit="1" customWidth="1"/>
    <col min="15639" max="15639" width="15.5703125" style="67" customWidth="1"/>
    <col min="15640" max="15642" width="11" style="67" bestFit="1" customWidth="1"/>
    <col min="15643" max="15644" width="11.140625" style="67" customWidth="1"/>
    <col min="15645" max="15645" width="11" style="67" customWidth="1"/>
    <col min="15646" max="15646" width="11.7109375" style="67" customWidth="1"/>
    <col min="15647" max="15647" width="12.28515625" style="67" customWidth="1"/>
    <col min="15648" max="15648" width="11" style="67" customWidth="1"/>
    <col min="15649" max="15649" width="11" style="67" bestFit="1" customWidth="1"/>
    <col min="15650" max="15650" width="11.42578125" style="67"/>
    <col min="15651" max="15651" width="9.42578125" style="67" bestFit="1" customWidth="1"/>
    <col min="15652" max="15872" width="11.42578125" style="67"/>
    <col min="15873" max="15873" width="28.140625" style="67" bestFit="1" customWidth="1"/>
    <col min="15874" max="15874" width="19.140625" style="67" customWidth="1"/>
    <col min="15875" max="15875" width="12.140625" style="67" customWidth="1"/>
    <col min="15876" max="15876" width="12.42578125" style="67" customWidth="1"/>
    <col min="15877" max="15877" width="19.140625" style="67" customWidth="1"/>
    <col min="15878" max="15878" width="18.28515625" style="67" customWidth="1"/>
    <col min="15879" max="15879" width="14" style="67" customWidth="1"/>
    <col min="15880" max="15880" width="13.28515625" style="67" customWidth="1"/>
    <col min="15881" max="15881" width="14.42578125" style="67" customWidth="1"/>
    <col min="15882" max="15882" width="14.85546875" style="67" customWidth="1"/>
    <col min="15883" max="15883" width="12" style="67" customWidth="1"/>
    <col min="15884" max="15884" width="13.42578125" style="67" customWidth="1"/>
    <col min="15885" max="15885" width="11.28515625" style="67" customWidth="1"/>
    <col min="15886" max="15886" width="10.7109375" style="67" customWidth="1"/>
    <col min="15887" max="15887" width="11.42578125" style="67"/>
    <col min="15888" max="15888" width="12.85546875" style="67" customWidth="1"/>
    <col min="15889" max="15889" width="10.85546875" style="67" customWidth="1"/>
    <col min="15890" max="15890" width="12.7109375" style="67" customWidth="1"/>
    <col min="15891" max="15891" width="12.42578125" style="67" customWidth="1"/>
    <col min="15892" max="15892" width="12.85546875" style="67" customWidth="1"/>
    <col min="15893" max="15894" width="11" style="67" bestFit="1" customWidth="1"/>
    <col min="15895" max="15895" width="15.5703125" style="67" customWidth="1"/>
    <col min="15896" max="15898" width="11" style="67" bestFit="1" customWidth="1"/>
    <col min="15899" max="15900" width="11.140625" style="67" customWidth="1"/>
    <col min="15901" max="15901" width="11" style="67" customWidth="1"/>
    <col min="15902" max="15902" width="11.7109375" style="67" customWidth="1"/>
    <col min="15903" max="15903" width="12.28515625" style="67" customWidth="1"/>
    <col min="15904" max="15904" width="11" style="67" customWidth="1"/>
    <col min="15905" max="15905" width="11" style="67" bestFit="1" customWidth="1"/>
    <col min="15906" max="15906" width="11.42578125" style="67"/>
    <col min="15907" max="15907" width="9.42578125" style="67" bestFit="1" customWidth="1"/>
    <col min="15908" max="16128" width="11.42578125" style="67"/>
    <col min="16129" max="16129" width="28.140625" style="67" bestFit="1" customWidth="1"/>
    <col min="16130" max="16130" width="19.140625" style="67" customWidth="1"/>
    <col min="16131" max="16131" width="12.140625" style="67" customWidth="1"/>
    <col min="16132" max="16132" width="12.42578125" style="67" customWidth="1"/>
    <col min="16133" max="16133" width="19.140625" style="67" customWidth="1"/>
    <col min="16134" max="16134" width="18.28515625" style="67" customWidth="1"/>
    <col min="16135" max="16135" width="14" style="67" customWidth="1"/>
    <col min="16136" max="16136" width="13.28515625" style="67" customWidth="1"/>
    <col min="16137" max="16137" width="14.42578125" style="67" customWidth="1"/>
    <col min="16138" max="16138" width="14.85546875" style="67" customWidth="1"/>
    <col min="16139" max="16139" width="12" style="67" customWidth="1"/>
    <col min="16140" max="16140" width="13.42578125" style="67" customWidth="1"/>
    <col min="16141" max="16141" width="11.28515625" style="67" customWidth="1"/>
    <col min="16142" max="16142" width="10.7109375" style="67" customWidth="1"/>
    <col min="16143" max="16143" width="11.42578125" style="67"/>
    <col min="16144" max="16144" width="12.85546875" style="67" customWidth="1"/>
    <col min="16145" max="16145" width="10.85546875" style="67" customWidth="1"/>
    <col min="16146" max="16146" width="12.7109375" style="67" customWidth="1"/>
    <col min="16147" max="16147" width="12.42578125" style="67" customWidth="1"/>
    <col min="16148" max="16148" width="12.85546875" style="67" customWidth="1"/>
    <col min="16149" max="16150" width="11" style="67" bestFit="1" customWidth="1"/>
    <col min="16151" max="16151" width="15.5703125" style="67" customWidth="1"/>
    <col min="16152" max="16154" width="11" style="67" bestFit="1" customWidth="1"/>
    <col min="16155" max="16156" width="11.140625" style="67" customWidth="1"/>
    <col min="16157" max="16157" width="11" style="67" customWidth="1"/>
    <col min="16158" max="16158" width="11.7109375" style="67" customWidth="1"/>
    <col min="16159" max="16159" width="12.28515625" style="67" customWidth="1"/>
    <col min="16160" max="16160" width="11" style="67" customWidth="1"/>
    <col min="16161" max="16161" width="11" style="67" bestFit="1" customWidth="1"/>
    <col min="16162" max="16162" width="11.42578125" style="67"/>
    <col min="16163" max="16163" width="9.42578125" style="67" bestFit="1" customWidth="1"/>
    <col min="16164" max="16384" width="11.42578125" style="67"/>
  </cols>
  <sheetData>
    <row r="1" spans="1:11" ht="18" x14ac:dyDescent="0.25">
      <c r="A1" s="71" t="s">
        <v>64</v>
      </c>
      <c r="B1" s="67" t="s">
        <v>65</v>
      </c>
    </row>
    <row r="3" spans="1:11" x14ac:dyDescent="0.2">
      <c r="A3" s="175"/>
    </row>
    <row r="4" spans="1:11" x14ac:dyDescent="0.2">
      <c r="A4" s="175"/>
    </row>
    <row r="5" spans="1:11" x14ac:dyDescent="0.2">
      <c r="A5" s="67" t="s">
        <v>66</v>
      </c>
      <c r="B5" s="72" t="s">
        <v>575</v>
      </c>
    </row>
    <row r="6" spans="1:11" ht="13.5" customHeight="1" x14ac:dyDescent="0.2">
      <c r="J6" s="73"/>
      <c r="K6" s="73"/>
    </row>
    <row r="7" spans="1:11" ht="41.25" customHeight="1" x14ac:dyDescent="0.2">
      <c r="A7" s="74" t="s">
        <v>67</v>
      </c>
      <c r="B7" s="75" t="s">
        <v>68</v>
      </c>
      <c r="C7" s="63"/>
      <c r="J7" s="73"/>
      <c r="K7" s="73"/>
    </row>
    <row r="8" spans="1:11" ht="41.25" customHeight="1" x14ac:dyDescent="0.2">
      <c r="A8" s="76" t="s">
        <v>69</v>
      </c>
      <c r="B8" s="77"/>
      <c r="C8" s="78" t="s">
        <v>576</v>
      </c>
      <c r="J8" s="73"/>
      <c r="K8" s="73"/>
    </row>
    <row r="9" spans="1:11" ht="27.75" customHeight="1" x14ac:dyDescent="0.2">
      <c r="A9" s="79" t="s">
        <v>71</v>
      </c>
      <c r="B9" s="80" t="s">
        <v>72</v>
      </c>
      <c r="C9" s="61">
        <v>221.04</v>
      </c>
      <c r="J9" s="73"/>
      <c r="K9" s="73"/>
    </row>
    <row r="10" spans="1:11" ht="15.75" x14ac:dyDescent="0.3">
      <c r="A10" s="79" t="s">
        <v>73</v>
      </c>
      <c r="B10" s="81"/>
      <c r="C10" s="61">
        <v>2.98</v>
      </c>
    </row>
    <row r="11" spans="1:11" ht="27" customHeight="1" x14ac:dyDescent="0.3">
      <c r="A11" s="82" t="s">
        <v>75</v>
      </c>
      <c r="B11" s="81"/>
      <c r="C11" s="61"/>
    </row>
    <row r="12" spans="1:11" s="84" customFormat="1" ht="27.75" customHeight="1" x14ac:dyDescent="0.3">
      <c r="A12" s="79" t="s">
        <v>76</v>
      </c>
      <c r="B12" s="81"/>
      <c r="C12" s="61">
        <v>2.83</v>
      </c>
    </row>
    <row r="13" spans="1:11" ht="15.75" x14ac:dyDescent="0.3">
      <c r="A13" s="82" t="s">
        <v>77</v>
      </c>
      <c r="B13" s="81"/>
      <c r="C13" s="62">
        <v>-7.62</v>
      </c>
      <c r="D13" s="83"/>
    </row>
    <row r="14" spans="1:11" x14ac:dyDescent="0.2">
      <c r="A14" s="85" t="s">
        <v>79</v>
      </c>
      <c r="B14" s="75"/>
      <c r="C14" s="63"/>
    </row>
    <row r="15" spans="1:11" ht="15.75" x14ac:dyDescent="0.3">
      <c r="A15" s="79" t="s">
        <v>80</v>
      </c>
      <c r="B15" s="80" t="s">
        <v>81</v>
      </c>
      <c r="C15" s="62">
        <v>5.3800000000000002E-3</v>
      </c>
      <c r="D15" s="67">
        <f>C15*24</f>
        <v>0.12912000000000001</v>
      </c>
    </row>
    <row r="16" spans="1:11" ht="14.25" customHeight="1" x14ac:dyDescent="0.3">
      <c r="A16" s="86" t="s">
        <v>82</v>
      </c>
      <c r="B16" s="80" t="s">
        <v>81</v>
      </c>
      <c r="C16" s="62">
        <v>5.2100000000000002E-3</v>
      </c>
    </row>
    <row r="17" spans="1:14" ht="15.75" x14ac:dyDescent="0.3">
      <c r="A17" s="86" t="s">
        <v>83</v>
      </c>
      <c r="B17" s="80" t="s">
        <v>81</v>
      </c>
      <c r="C17" s="62">
        <v>6.0400000000000004E-4</v>
      </c>
      <c r="E17" s="87" t="s">
        <v>84</v>
      </c>
      <c r="F17" s="88" t="s">
        <v>85</v>
      </c>
      <c r="G17" s="183" t="s">
        <v>86</v>
      </c>
      <c r="H17" s="183"/>
      <c r="I17" s="183" t="s">
        <v>87</v>
      </c>
      <c r="J17" s="183"/>
      <c r="K17" s="68" t="s">
        <v>88</v>
      </c>
    </row>
    <row r="18" spans="1:14" ht="15.75" x14ac:dyDescent="0.3">
      <c r="A18" s="89" t="s">
        <v>89</v>
      </c>
      <c r="B18" s="90" t="s">
        <v>81</v>
      </c>
      <c r="C18" s="115">
        <v>1.4400000000000001E-3</v>
      </c>
      <c r="E18" s="82"/>
      <c r="F18" s="91" t="s">
        <v>90</v>
      </c>
      <c r="G18" s="92" t="s">
        <v>91</v>
      </c>
      <c r="H18" s="92" t="s">
        <v>91</v>
      </c>
      <c r="I18" s="93" t="s">
        <v>92</v>
      </c>
      <c r="J18" s="93" t="s">
        <v>92</v>
      </c>
      <c r="K18" s="94"/>
      <c r="M18" s="67" t="s">
        <v>93</v>
      </c>
      <c r="N18" s="67" t="s">
        <v>94</v>
      </c>
    </row>
    <row r="19" spans="1:14" ht="12.75" customHeight="1" x14ac:dyDescent="0.3">
      <c r="A19" s="82" t="s">
        <v>95</v>
      </c>
      <c r="B19" s="81"/>
      <c r="C19" s="64"/>
      <c r="E19" s="82"/>
      <c r="F19" s="67" t="s">
        <v>96</v>
      </c>
      <c r="G19" s="67" t="s">
        <v>96</v>
      </c>
      <c r="H19" s="67" t="s">
        <v>93</v>
      </c>
      <c r="I19" s="67" t="s">
        <v>97</v>
      </c>
      <c r="J19" s="67" t="s">
        <v>98</v>
      </c>
      <c r="K19" s="95" t="s">
        <v>99</v>
      </c>
    </row>
    <row r="20" spans="1:14" x14ac:dyDescent="0.2">
      <c r="A20" s="82" t="s">
        <v>100</v>
      </c>
      <c r="B20" s="96" t="s">
        <v>101</v>
      </c>
      <c r="C20" s="65">
        <v>4</v>
      </c>
      <c r="E20" s="82" t="s">
        <v>100</v>
      </c>
      <c r="F20" s="67">
        <f t="array" ref="F20:F27">MMULT(MINVERSE(MT),MatI)</f>
        <v>1.9626475849737704E-9</v>
      </c>
      <c r="G20" s="67">
        <f>F20*D66</f>
        <v>6.1667781168937385E-17</v>
      </c>
      <c r="H20" s="67">
        <f t="shared" ref="H20:H27" si="0">G20*$C$9</f>
        <v>1.363104634958192E-14</v>
      </c>
      <c r="I20" s="67">
        <f>G20*D48</f>
        <v>2.7133823714332451E-3</v>
      </c>
      <c r="J20" s="67">
        <f t="shared" ref="J20:J27" si="1">I20*$C$9</f>
        <v>0.59976603938160444</v>
      </c>
      <c r="K20" s="95"/>
      <c r="M20" s="67">
        <f>H20</f>
        <v>1.363104634958192E-14</v>
      </c>
      <c r="N20" s="67">
        <f>M20/1000</f>
        <v>1.363104634958192E-17</v>
      </c>
    </row>
    <row r="21" spans="1:14" x14ac:dyDescent="0.2">
      <c r="A21" s="82" t="s">
        <v>102</v>
      </c>
      <c r="B21" s="96" t="s">
        <v>101</v>
      </c>
      <c r="C21" s="65">
        <v>0</v>
      </c>
      <c r="E21" s="82" t="s">
        <v>102</v>
      </c>
      <c r="F21" s="67">
        <v>1.7744420200671257E-5</v>
      </c>
      <c r="G21" s="67">
        <f>F21*I66</f>
        <v>5.51748504733752E-5</v>
      </c>
      <c r="H21" s="67">
        <f t="shared" si="0"/>
        <v>1.2195848948634853E-2</v>
      </c>
      <c r="I21" s="67">
        <f>G21*I48</f>
        <v>66209.820568050243</v>
      </c>
      <c r="J21" s="67">
        <f t="shared" si="1"/>
        <v>14635018.738361826</v>
      </c>
      <c r="K21" s="95"/>
      <c r="M21" s="67">
        <f t="shared" ref="M21:M27" si="2">H21</f>
        <v>1.2195848948634853E-2</v>
      </c>
      <c r="N21" s="67">
        <f t="shared" ref="N21:N27" si="3">M21/1000</f>
        <v>1.2195848948634853E-5</v>
      </c>
    </row>
    <row r="22" spans="1:14" x14ac:dyDescent="0.2">
      <c r="A22" s="82" t="s">
        <v>103</v>
      </c>
      <c r="B22" s="96" t="s">
        <v>101</v>
      </c>
      <c r="C22" s="65">
        <v>96</v>
      </c>
      <c r="E22" s="82" t="s">
        <v>104</v>
      </c>
      <c r="F22" s="67">
        <v>1.8652681423792834E-9</v>
      </c>
      <c r="G22" s="67">
        <f>F22*M66</f>
        <v>5.1101467512586483E-9</v>
      </c>
      <c r="H22" s="67">
        <f t="shared" si="0"/>
        <v>1.1295468378982116E-6</v>
      </c>
      <c r="I22" s="67">
        <f>G22*M48</f>
        <v>11.037916982718681</v>
      </c>
      <c r="J22" s="67">
        <f t="shared" si="1"/>
        <v>2439.8211698601372</v>
      </c>
      <c r="K22" s="95"/>
      <c r="M22" s="67">
        <f t="shared" si="2"/>
        <v>1.1295468378982116E-6</v>
      </c>
      <c r="N22" s="67">
        <f t="shared" si="3"/>
        <v>1.1295468378982117E-9</v>
      </c>
    </row>
    <row r="23" spans="1:14" x14ac:dyDescent="0.2">
      <c r="A23" s="82" t="s">
        <v>105</v>
      </c>
      <c r="B23" s="96" t="s">
        <v>101</v>
      </c>
      <c r="C23" s="65">
        <v>0</v>
      </c>
      <c r="E23" s="82" t="s">
        <v>105</v>
      </c>
      <c r="F23" s="67">
        <v>1.8940827064566259E-9</v>
      </c>
      <c r="G23" s="67">
        <f>F23*Q66</f>
        <v>5.2143572393439071E-9</v>
      </c>
      <c r="H23" s="67">
        <f t="shared" si="0"/>
        <v>1.1525815241845773E-6</v>
      </c>
      <c r="I23" s="67">
        <f>G23*Q48</f>
        <v>1.0428714478687815</v>
      </c>
      <c r="J23" s="67">
        <f t="shared" si="1"/>
        <v>230.51630483691545</v>
      </c>
      <c r="K23" s="95"/>
      <c r="M23" s="67">
        <f t="shared" si="2"/>
        <v>1.1525815241845773E-6</v>
      </c>
      <c r="N23" s="67">
        <f t="shared" si="3"/>
        <v>1.1525815241845772E-9</v>
      </c>
    </row>
    <row r="24" spans="1:14" x14ac:dyDescent="0.2">
      <c r="A24" s="82" t="s">
        <v>106</v>
      </c>
      <c r="B24" s="96" t="s">
        <v>101</v>
      </c>
      <c r="C24" s="65">
        <v>0</v>
      </c>
      <c r="E24" s="82" t="s">
        <v>106</v>
      </c>
      <c r="F24" s="67">
        <v>1.8833643390498171E-7</v>
      </c>
      <c r="G24" s="67">
        <f>F24*U66</f>
        <v>1.9975324815311367E-7</v>
      </c>
      <c r="H24" s="67">
        <f t="shared" si="0"/>
        <v>4.4153457971764247E-5</v>
      </c>
      <c r="I24" s="67">
        <f>G24*U48</f>
        <v>719.11169335120928</v>
      </c>
      <c r="J24" s="67">
        <f t="shared" si="1"/>
        <v>158952.44869835131</v>
      </c>
      <c r="K24" s="95"/>
      <c r="M24" s="67">
        <f t="shared" si="2"/>
        <v>4.4153457971764247E-5</v>
      </c>
      <c r="N24" s="67">
        <f t="shared" si="3"/>
        <v>4.4153457971764248E-8</v>
      </c>
    </row>
    <row r="25" spans="1:14" x14ac:dyDescent="0.2">
      <c r="A25" s="82" t="s">
        <v>107</v>
      </c>
      <c r="B25" s="96" t="s">
        <v>101</v>
      </c>
      <c r="C25" s="65">
        <v>0</v>
      </c>
      <c r="E25" s="82" t="s">
        <v>108</v>
      </c>
      <c r="F25" s="67">
        <v>1.6010780001936834E-7</v>
      </c>
      <c r="G25" s="67">
        <f>F25*X66</f>
        <v>4.3742491622550945E-7</v>
      </c>
      <c r="H25" s="67">
        <f t="shared" si="0"/>
        <v>9.6688403482486605E-5</v>
      </c>
      <c r="I25" s="67">
        <f>G25*X48</f>
        <v>15.747296984118339</v>
      </c>
      <c r="J25" s="67">
        <f t="shared" si="1"/>
        <v>3480.7825253695178</v>
      </c>
      <c r="K25" s="95"/>
      <c r="M25" s="67">
        <f t="shared" si="2"/>
        <v>9.6688403482486605E-5</v>
      </c>
      <c r="N25" s="67">
        <f t="shared" si="3"/>
        <v>9.6688403482486608E-8</v>
      </c>
    </row>
    <row r="26" spans="1:14" x14ac:dyDescent="0.2">
      <c r="A26" s="82" t="s">
        <v>109</v>
      </c>
      <c r="B26" s="96" t="s">
        <v>101</v>
      </c>
      <c r="C26" s="65">
        <v>0</v>
      </c>
      <c r="E26" s="82" t="s">
        <v>109</v>
      </c>
      <c r="F26" s="67">
        <v>4.0634085168020682E-9</v>
      </c>
      <c r="G26" s="67">
        <f>F26*AA66</f>
        <v>5.5082127403791057E-9</v>
      </c>
      <c r="H26" s="67">
        <f t="shared" si="0"/>
        <v>1.2175353441333974E-6</v>
      </c>
      <c r="I26" s="67">
        <f>G26*AA48</f>
        <v>220.32850961516422</v>
      </c>
      <c r="J26" s="67">
        <f t="shared" si="1"/>
        <v>48701.413765335899</v>
      </c>
      <c r="K26" s="95"/>
      <c r="M26" s="67">
        <f t="shared" si="2"/>
        <v>1.2175353441333974E-6</v>
      </c>
      <c r="N26" s="67">
        <f t="shared" si="3"/>
        <v>1.2175353441333974E-9</v>
      </c>
    </row>
    <row r="27" spans="1:14" x14ac:dyDescent="0.2">
      <c r="A27" s="97" t="s">
        <v>110</v>
      </c>
      <c r="B27" s="98" t="s">
        <v>101</v>
      </c>
      <c r="C27" s="66">
        <v>0</v>
      </c>
      <c r="E27" s="82" t="s">
        <v>111</v>
      </c>
      <c r="F27" s="67">
        <v>3.4550557469157129E-9</v>
      </c>
      <c r="G27" s="67">
        <f>F27*AD66</f>
        <v>1.206124608498632E-8</v>
      </c>
      <c r="H27" s="67">
        <f t="shared" si="0"/>
        <v>2.6660178346253759E-6</v>
      </c>
      <c r="I27" s="67">
        <f>G27*AD48</f>
        <v>1.4473495301983583</v>
      </c>
      <c r="J27" s="67">
        <f t="shared" si="1"/>
        <v>319.9221401550451</v>
      </c>
      <c r="K27" s="95"/>
      <c r="M27" s="67">
        <f t="shared" si="2"/>
        <v>2.6660178346253759E-6</v>
      </c>
      <c r="N27" s="67">
        <f t="shared" si="3"/>
        <v>2.6660178346253759E-9</v>
      </c>
    </row>
    <row r="28" spans="1:14" x14ac:dyDescent="0.2">
      <c r="E28" s="97" t="s">
        <v>112</v>
      </c>
      <c r="F28" s="99"/>
      <c r="G28" s="99"/>
      <c r="H28" s="99"/>
      <c r="I28" s="99">
        <f>SUM(I20:I27)</f>
        <v>67178.53891934389</v>
      </c>
      <c r="J28" s="99">
        <f>SUM(J20:J27)</f>
        <v>14849144.242731776</v>
      </c>
      <c r="K28" s="100">
        <f>SUM(I20:I27)/SUM(MatI)</f>
        <v>5.2399260357088231</v>
      </c>
    </row>
    <row r="31" spans="1:14" x14ac:dyDescent="0.2">
      <c r="A31" s="85" t="s">
        <v>113</v>
      </c>
      <c r="B31" s="101"/>
      <c r="C31" s="68"/>
      <c r="I31" s="102"/>
      <c r="J31" s="103"/>
      <c r="K31" s="104"/>
    </row>
    <row r="32" spans="1:14" ht="15" x14ac:dyDescent="0.25">
      <c r="A32" s="86" t="s">
        <v>114</v>
      </c>
      <c r="B32" s="73" t="s">
        <v>115</v>
      </c>
      <c r="C32" s="69">
        <v>285</v>
      </c>
      <c r="D32" s="176">
        <f>285-273.15</f>
        <v>11.850000000000023</v>
      </c>
      <c r="I32" s="102"/>
      <c r="J32" s="103"/>
      <c r="K32" s="104"/>
    </row>
    <row r="33" spans="1:32" x14ac:dyDescent="0.2">
      <c r="A33" s="105" t="s">
        <v>116</v>
      </c>
      <c r="B33" s="106" t="s">
        <v>117</v>
      </c>
      <c r="C33" s="70">
        <v>8.3140000000000001</v>
      </c>
      <c r="K33" s="93"/>
    </row>
    <row r="34" spans="1:32" x14ac:dyDescent="0.2">
      <c r="A34" s="79"/>
      <c r="B34" s="73"/>
      <c r="K34" s="93"/>
    </row>
    <row r="35" spans="1:32" x14ac:dyDescent="0.2">
      <c r="A35" s="74" t="s">
        <v>118</v>
      </c>
      <c r="B35" s="88"/>
      <c r="C35" s="88"/>
      <c r="D35" s="107" t="s">
        <v>119</v>
      </c>
      <c r="E35" s="107" t="s">
        <v>120</v>
      </c>
      <c r="F35" s="68" t="s">
        <v>121</v>
      </c>
      <c r="K35" s="93"/>
    </row>
    <row r="36" spans="1:32" ht="15.75" x14ac:dyDescent="0.3">
      <c r="A36" s="86" t="s">
        <v>122</v>
      </c>
      <c r="B36" s="67" t="s">
        <v>123</v>
      </c>
      <c r="C36" s="81"/>
      <c r="D36" s="81">
        <f>10^C13</f>
        <v>2.3988329190194864E-8</v>
      </c>
      <c r="E36" s="81"/>
      <c r="F36" s="62"/>
    </row>
    <row r="37" spans="1:32" ht="15.75" x14ac:dyDescent="0.3">
      <c r="A37" s="108" t="s">
        <v>124</v>
      </c>
      <c r="B37" s="67" t="s">
        <v>123</v>
      </c>
      <c r="C37" s="81"/>
      <c r="D37" s="81">
        <f>10^C12/D36</f>
        <v>28183829312.6446</v>
      </c>
      <c r="E37" s="109"/>
      <c r="F37" s="65"/>
      <c r="R37" s="73"/>
    </row>
    <row r="38" spans="1:32" ht="15.75" x14ac:dyDescent="0.3">
      <c r="A38" s="82" t="s">
        <v>125</v>
      </c>
      <c r="C38" s="80">
        <f>C12-3.5</f>
        <v>-0.66999999999999993</v>
      </c>
      <c r="D38" s="81"/>
      <c r="E38" s="81"/>
      <c r="F38" s="62"/>
      <c r="R38" s="73"/>
    </row>
    <row r="39" spans="1:32" x14ac:dyDescent="0.2">
      <c r="A39" s="86" t="s">
        <v>126</v>
      </c>
      <c r="B39" s="67" t="s">
        <v>123</v>
      </c>
      <c r="C39" s="81">
        <f>C40*10^C12+(1-C40)*10^C38</f>
        <v>0.27833505106266931</v>
      </c>
      <c r="D39" s="81"/>
      <c r="E39" s="80"/>
      <c r="F39" s="62"/>
      <c r="R39" s="73"/>
    </row>
    <row r="40" spans="1:32" ht="15.75" x14ac:dyDescent="0.3">
      <c r="A40" s="79" t="s">
        <v>127</v>
      </c>
      <c r="B40" s="73"/>
      <c r="C40" s="81">
        <f>IF(C8="neutral",1,IF(C8="acid",1/(1+10^(7-C10)),IF(C8="base",1/(1+10^(C11-7)),IF(C8="amphoter",1/(1+10^(7-C10)+10^(C11-7))))))</f>
        <v>9.5490139364630386E-5</v>
      </c>
      <c r="D40" s="81"/>
      <c r="E40" s="81"/>
      <c r="F40" s="62"/>
      <c r="R40" s="73"/>
    </row>
    <row r="41" spans="1:32" ht="15.75" x14ac:dyDescent="0.3">
      <c r="A41" s="82" t="s">
        <v>128</v>
      </c>
      <c r="C41" s="81"/>
      <c r="D41" s="110">
        <f>IF($C$8="neutral",0.81*C12+0.1,IF($C$8="acid",0.54*C12+1.11,IF($C$8="base",0.37*C12+1.7,IF(C8="amphoter",0.5*C12+1.13))))</f>
        <v>2.6382000000000003</v>
      </c>
      <c r="E41" s="110">
        <f>(0.11*C12+1.54)</f>
        <v>1.8513000000000002</v>
      </c>
      <c r="F41" s="111">
        <f>(C11^0.65*(C39/(1+C39))^0.14)</f>
        <v>0</v>
      </c>
      <c r="H41" s="102"/>
      <c r="R41" s="73"/>
      <c r="S41" s="93"/>
      <c r="T41" s="93"/>
      <c r="V41" s="93"/>
      <c r="W41" s="93"/>
      <c r="X41" s="93"/>
      <c r="Y41" s="93"/>
    </row>
    <row r="42" spans="1:32" ht="15.75" x14ac:dyDescent="0.3">
      <c r="A42" s="112" t="s">
        <v>130</v>
      </c>
      <c r="B42" s="113" t="s">
        <v>131</v>
      </c>
      <c r="C42" s="114"/>
      <c r="D42" s="114">
        <f>10^D41</f>
        <v>434.71036960621046</v>
      </c>
      <c r="E42" s="114">
        <f>10^E41</f>
        <v>71.006809625453371</v>
      </c>
      <c r="F42" s="115">
        <f>10^F41</f>
        <v>1</v>
      </c>
      <c r="H42" s="102"/>
      <c r="R42" s="73"/>
      <c r="U42" s="73"/>
    </row>
    <row r="43" spans="1:32" x14ac:dyDescent="0.2">
      <c r="B43" s="102"/>
      <c r="D43" s="116"/>
      <c r="G43" s="116"/>
      <c r="R43" s="73"/>
      <c r="V43" s="73"/>
    </row>
    <row r="44" spans="1:32" x14ac:dyDescent="0.2">
      <c r="A44" s="73"/>
      <c r="B44" s="73"/>
      <c r="C44" s="73"/>
      <c r="D44" s="73">
        <v>1</v>
      </c>
      <c r="E44" s="73"/>
      <c r="F44" s="73"/>
      <c r="G44" s="73"/>
      <c r="H44" s="73"/>
      <c r="I44" s="73">
        <v>2</v>
      </c>
      <c r="J44" s="73"/>
      <c r="K44" s="73"/>
      <c r="L44" s="73">
        <v>3</v>
      </c>
      <c r="M44" s="73"/>
      <c r="N44" s="73"/>
      <c r="O44" s="73">
        <v>4</v>
      </c>
      <c r="P44" s="73"/>
      <c r="Q44" s="73"/>
      <c r="R44" s="73"/>
      <c r="S44" s="73">
        <v>5</v>
      </c>
      <c r="T44" s="73"/>
      <c r="U44" s="73"/>
      <c r="W44" s="73">
        <v>6</v>
      </c>
      <c r="X44" s="73"/>
      <c r="Y44" s="73"/>
      <c r="Z44" s="73"/>
      <c r="AA44" s="73">
        <v>7</v>
      </c>
      <c r="AB44" s="73"/>
      <c r="AC44" s="73"/>
      <c r="AD44" s="73">
        <v>8</v>
      </c>
    </row>
    <row r="45" spans="1:32" s="84" customFormat="1" ht="25.5" x14ac:dyDescent="0.2">
      <c r="A45" s="74" t="s">
        <v>132</v>
      </c>
      <c r="B45" s="117" t="s">
        <v>133</v>
      </c>
      <c r="C45" s="118" t="s">
        <v>68</v>
      </c>
      <c r="D45" s="119" t="s">
        <v>134</v>
      </c>
      <c r="E45" s="120" t="s">
        <v>100</v>
      </c>
      <c r="F45" s="120" t="s">
        <v>135</v>
      </c>
      <c r="G45" s="120" t="s">
        <v>136</v>
      </c>
      <c r="H45" s="118" t="s">
        <v>137</v>
      </c>
      <c r="I45" s="119" t="s">
        <v>102</v>
      </c>
      <c r="J45" s="120" t="s">
        <v>100</v>
      </c>
      <c r="K45" s="120" t="s">
        <v>138</v>
      </c>
      <c r="L45" s="118" t="s">
        <v>139</v>
      </c>
      <c r="M45" s="119" t="s">
        <v>103</v>
      </c>
      <c r="N45" s="120" t="s">
        <v>100</v>
      </c>
      <c r="O45" s="120" t="s">
        <v>138</v>
      </c>
      <c r="P45" s="118" t="s">
        <v>139</v>
      </c>
      <c r="Q45" s="119" t="s">
        <v>105</v>
      </c>
      <c r="R45" s="120" t="s">
        <v>100</v>
      </c>
      <c r="S45" s="120" t="s">
        <v>138</v>
      </c>
      <c r="T45" s="118" t="s">
        <v>139</v>
      </c>
      <c r="U45" s="119" t="s">
        <v>106</v>
      </c>
      <c r="V45" s="120" t="s">
        <v>138</v>
      </c>
      <c r="W45" s="118" t="s">
        <v>140</v>
      </c>
      <c r="X45" s="119" t="s">
        <v>141</v>
      </c>
      <c r="Y45" s="120" t="s">
        <v>138</v>
      </c>
      <c r="Z45" s="118" t="s">
        <v>139</v>
      </c>
      <c r="AA45" s="119" t="s">
        <v>109</v>
      </c>
      <c r="AB45" s="120" t="s">
        <v>138</v>
      </c>
      <c r="AC45" s="118" t="s">
        <v>140</v>
      </c>
      <c r="AD45" s="119" t="s">
        <v>142</v>
      </c>
      <c r="AE45" s="120" t="s">
        <v>138</v>
      </c>
      <c r="AF45" s="118" t="s">
        <v>139</v>
      </c>
    </row>
    <row r="46" spans="1:32" x14ac:dyDescent="0.2">
      <c r="A46" s="79" t="s">
        <v>143</v>
      </c>
      <c r="B46" s="108" t="s">
        <v>144</v>
      </c>
      <c r="C46" s="121" t="s">
        <v>145</v>
      </c>
      <c r="D46" s="108">
        <v>44000000000</v>
      </c>
      <c r="H46" s="95"/>
      <c r="I46" s="108">
        <v>24000000000</v>
      </c>
      <c r="L46" s="95"/>
      <c r="M46" s="108">
        <v>10800000000</v>
      </c>
      <c r="P46" s="95"/>
      <c r="Q46" s="108">
        <v>4000000000</v>
      </c>
      <c r="T46" s="95"/>
      <c r="U46" s="108">
        <v>1200000000</v>
      </c>
      <c r="W46" s="95"/>
      <c r="X46" s="82">
        <f>U46</f>
        <v>1200000000</v>
      </c>
      <c r="Z46" s="121"/>
      <c r="AA46" s="108">
        <v>4000000000</v>
      </c>
      <c r="AC46" s="95"/>
      <c r="AD46" s="82">
        <v>4000000000</v>
      </c>
      <c r="AF46" s="121"/>
    </row>
    <row r="47" spans="1:32" x14ac:dyDescent="0.2">
      <c r="A47" s="79" t="s">
        <v>146</v>
      </c>
      <c r="B47" s="108" t="s">
        <v>147</v>
      </c>
      <c r="C47" s="121" t="s">
        <v>92</v>
      </c>
      <c r="D47" s="86">
        <v>1000</v>
      </c>
      <c r="E47" s="73"/>
      <c r="H47" s="121"/>
      <c r="I47" s="86">
        <v>0.05</v>
      </c>
      <c r="J47" s="73"/>
      <c r="K47" s="73"/>
      <c r="L47" s="121"/>
      <c r="M47" s="86">
        <v>0.2</v>
      </c>
      <c r="N47" s="73"/>
      <c r="O47" s="73"/>
      <c r="P47" s="121"/>
      <c r="Q47" s="86">
        <v>0.05</v>
      </c>
      <c r="R47" s="73"/>
      <c r="S47" s="73"/>
      <c r="T47" s="121"/>
      <c r="U47" s="86">
        <v>3</v>
      </c>
      <c r="V47" s="73"/>
      <c r="W47" s="121"/>
      <c r="X47" s="108">
        <v>0.03</v>
      </c>
      <c r="Y47" s="73"/>
      <c r="Z47" s="121"/>
      <c r="AA47" s="86">
        <v>10</v>
      </c>
      <c r="AB47" s="73"/>
      <c r="AC47" s="121"/>
      <c r="AD47" s="108">
        <v>0.03</v>
      </c>
      <c r="AE47" s="73"/>
      <c r="AF47" s="121"/>
    </row>
    <row r="48" spans="1:32" x14ac:dyDescent="0.2">
      <c r="A48" s="79" t="s">
        <v>148</v>
      </c>
      <c r="B48" s="108" t="s">
        <v>149</v>
      </c>
      <c r="C48" s="121" t="s">
        <v>150</v>
      </c>
      <c r="D48" s="82">
        <f>D47*D46</f>
        <v>44000000000000</v>
      </c>
      <c r="H48" s="95"/>
      <c r="I48" s="82">
        <f>I47*I46</f>
        <v>1200000000</v>
      </c>
      <c r="L48" s="95"/>
      <c r="M48" s="82">
        <f>M47*M46</f>
        <v>2160000000</v>
      </c>
      <c r="P48" s="95"/>
      <c r="Q48" s="82">
        <f>Q47*Q46</f>
        <v>200000000</v>
      </c>
      <c r="T48" s="95"/>
      <c r="U48" s="82">
        <f>U47*U46</f>
        <v>3600000000</v>
      </c>
      <c r="W48" s="95"/>
      <c r="X48" s="82">
        <f>X47*X46</f>
        <v>36000000</v>
      </c>
      <c r="Z48" s="95"/>
      <c r="AA48" s="82">
        <f>AA47*AA46</f>
        <v>40000000000</v>
      </c>
      <c r="AC48" s="95"/>
      <c r="AD48" s="82">
        <f>AD47*AD46</f>
        <v>120000000</v>
      </c>
      <c r="AF48" s="95"/>
    </row>
    <row r="49" spans="1:32" ht="15.75" x14ac:dyDescent="0.3">
      <c r="A49" s="79" t="s">
        <v>151</v>
      </c>
      <c r="B49" s="108" t="s">
        <v>152</v>
      </c>
      <c r="C49" s="121"/>
      <c r="D49" s="82"/>
      <c r="E49" s="67">
        <v>1</v>
      </c>
      <c r="F49" s="93">
        <v>2.9999999999999997E-8</v>
      </c>
      <c r="G49" s="67">
        <v>1.9999999999999999E-11</v>
      </c>
      <c r="H49" s="95">
        <v>1.9999999999999999E-11</v>
      </c>
      <c r="I49" s="82"/>
      <c r="J49" s="104">
        <v>0.2</v>
      </c>
      <c r="K49" s="104">
        <v>0.2</v>
      </c>
      <c r="L49" s="69">
        <v>0.6</v>
      </c>
      <c r="M49" s="82"/>
      <c r="N49" s="104">
        <v>0.2</v>
      </c>
      <c r="O49" s="104">
        <v>0.2</v>
      </c>
      <c r="P49" s="69">
        <v>0.6</v>
      </c>
      <c r="Q49" s="82"/>
      <c r="R49" s="104">
        <v>0.2</v>
      </c>
      <c r="S49" s="104">
        <v>0.2</v>
      </c>
      <c r="T49" s="69">
        <v>0.6</v>
      </c>
      <c r="U49" s="79"/>
      <c r="V49" s="73"/>
      <c r="W49" s="122">
        <v>6.0000000000000002E-6</v>
      </c>
      <c r="X49" s="82"/>
      <c r="Y49" s="123">
        <v>0.8</v>
      </c>
      <c r="Z49" s="124">
        <v>0.2</v>
      </c>
      <c r="AA49" s="79"/>
      <c r="AB49" s="73"/>
      <c r="AC49" s="122">
        <v>1.9999999999999999E-6</v>
      </c>
      <c r="AD49" s="82"/>
      <c r="AE49" s="104">
        <v>0.8</v>
      </c>
      <c r="AF49" s="69">
        <v>0.2</v>
      </c>
    </row>
    <row r="50" spans="1:32" x14ac:dyDescent="0.2">
      <c r="A50" s="79" t="s">
        <v>153</v>
      </c>
      <c r="B50" s="108" t="s">
        <v>154</v>
      </c>
      <c r="C50" s="121" t="s">
        <v>147</v>
      </c>
      <c r="D50" s="125">
        <v>0.72</v>
      </c>
      <c r="H50" s="95"/>
      <c r="I50" s="82"/>
      <c r="L50" s="95"/>
      <c r="M50" s="82"/>
      <c r="P50" s="95"/>
      <c r="Q50" s="82"/>
      <c r="T50" s="95"/>
      <c r="U50" s="126">
        <v>40</v>
      </c>
      <c r="V50" s="73"/>
      <c r="W50" s="95"/>
      <c r="X50" s="82"/>
      <c r="Z50" s="95"/>
      <c r="AA50" s="79"/>
      <c r="AB50" s="73"/>
      <c r="AC50" s="95"/>
      <c r="AD50" s="82"/>
      <c r="AF50" s="95"/>
    </row>
    <row r="51" spans="1:32" x14ac:dyDescent="0.2">
      <c r="A51" s="79" t="s">
        <v>155</v>
      </c>
      <c r="B51" s="108" t="s">
        <v>156</v>
      </c>
      <c r="C51" s="121" t="s">
        <v>157</v>
      </c>
      <c r="D51" s="82">
        <f>D48/D50/24</f>
        <v>2546296296296.2964</v>
      </c>
      <c r="H51" s="95"/>
      <c r="I51" s="79"/>
      <c r="J51" s="73"/>
      <c r="K51" s="73"/>
      <c r="L51" s="121"/>
      <c r="M51" s="79"/>
      <c r="N51" s="73"/>
      <c r="O51" s="73"/>
      <c r="P51" s="121"/>
      <c r="Q51" s="79"/>
      <c r="R51" s="73"/>
      <c r="S51" s="73"/>
      <c r="T51" s="121"/>
      <c r="U51" s="82">
        <f>U48/U50/24</f>
        <v>3750000</v>
      </c>
      <c r="W51" s="121"/>
      <c r="X51" s="79"/>
      <c r="Y51" s="73"/>
      <c r="Z51" s="121"/>
      <c r="AA51" s="108">
        <f>10*U51</f>
        <v>37500000</v>
      </c>
      <c r="AC51" s="121"/>
      <c r="AD51" s="79"/>
      <c r="AE51" s="73"/>
      <c r="AF51" s="121"/>
    </row>
    <row r="52" spans="1:32" x14ac:dyDescent="0.2">
      <c r="A52" s="82" t="s">
        <v>158</v>
      </c>
      <c r="B52" s="79" t="s">
        <v>159</v>
      </c>
      <c r="C52" s="121"/>
      <c r="D52" s="79"/>
      <c r="E52" s="73"/>
      <c r="F52" s="73"/>
      <c r="G52" s="73"/>
      <c r="H52" s="69">
        <v>0.1</v>
      </c>
      <c r="I52" s="79"/>
      <c r="J52" s="73"/>
      <c r="K52" s="73"/>
      <c r="L52" s="69">
        <v>0.02</v>
      </c>
      <c r="M52" s="79"/>
      <c r="N52" s="73"/>
      <c r="O52" s="73"/>
      <c r="P52" s="69">
        <v>0.02</v>
      </c>
      <c r="Q52" s="79"/>
      <c r="R52" s="73"/>
      <c r="S52" s="73"/>
      <c r="T52" s="69">
        <v>0.02</v>
      </c>
      <c r="U52" s="79"/>
      <c r="V52" s="73"/>
      <c r="W52" s="69">
        <v>0.1</v>
      </c>
      <c r="X52" s="79"/>
      <c r="Y52" s="73"/>
      <c r="Z52" s="69">
        <v>0.05</v>
      </c>
      <c r="AA52" s="79"/>
      <c r="AB52" s="73"/>
      <c r="AC52" s="69">
        <v>0.1</v>
      </c>
      <c r="AD52" s="79"/>
      <c r="AE52" s="73"/>
      <c r="AF52" s="69">
        <v>0.05</v>
      </c>
    </row>
    <row r="53" spans="1:32" x14ac:dyDescent="0.2">
      <c r="A53" s="82" t="s">
        <v>160</v>
      </c>
      <c r="B53" s="86" t="s">
        <v>161</v>
      </c>
      <c r="C53" s="121" t="s">
        <v>162</v>
      </c>
      <c r="D53" s="79"/>
      <c r="E53" s="73"/>
      <c r="F53" s="102"/>
      <c r="G53" s="102"/>
      <c r="H53" s="127">
        <v>2</v>
      </c>
      <c r="I53" s="128"/>
      <c r="J53" s="116"/>
      <c r="K53" s="129"/>
      <c r="L53" s="124">
        <v>2.5</v>
      </c>
      <c r="M53" s="128"/>
      <c r="N53" s="116"/>
      <c r="O53" s="129"/>
      <c r="P53" s="124">
        <v>2.5</v>
      </c>
      <c r="Q53" s="128"/>
      <c r="R53" s="116"/>
      <c r="S53" s="129"/>
      <c r="T53" s="124">
        <v>2.5</v>
      </c>
      <c r="U53" s="130"/>
      <c r="V53" s="129"/>
      <c r="W53" s="124">
        <v>2.5</v>
      </c>
      <c r="X53" s="82"/>
      <c r="Y53" s="73"/>
      <c r="Z53" s="69">
        <v>2.5</v>
      </c>
      <c r="AA53" s="130">
        <v>1</v>
      </c>
      <c r="AB53" s="129"/>
      <c r="AC53" s="124">
        <v>2.5</v>
      </c>
      <c r="AD53" s="82"/>
      <c r="AE53" s="73">
        <v>1</v>
      </c>
      <c r="AF53" s="69">
        <v>2.5</v>
      </c>
    </row>
    <row r="54" spans="1:32" x14ac:dyDescent="0.2">
      <c r="A54" s="82" t="s">
        <v>163</v>
      </c>
      <c r="B54" s="82" t="s">
        <v>163</v>
      </c>
      <c r="C54" s="121"/>
      <c r="D54" s="82"/>
      <c r="F54" s="123">
        <v>5.6</v>
      </c>
      <c r="G54" s="123">
        <v>3</v>
      </c>
      <c r="H54" s="131">
        <v>3</v>
      </c>
      <c r="I54" s="128"/>
      <c r="J54" s="116"/>
      <c r="K54" s="123">
        <v>5</v>
      </c>
      <c r="L54" s="131">
        <f>IF($C$8="acid",K54-0.6,IF($C$8="base",4.5,IF($C$8="amphoter",5)))</f>
        <v>4.4000000000000004</v>
      </c>
      <c r="M54" s="128"/>
      <c r="N54" s="116"/>
      <c r="O54" s="123">
        <v>6.8</v>
      </c>
      <c r="P54" s="131">
        <f>IF($C$8="acid",O54-0.6,IF($C$8="base",4.5,IF($C$8="amphoter",5)))</f>
        <v>6.2</v>
      </c>
      <c r="Q54" s="128"/>
      <c r="R54" s="116"/>
      <c r="S54" s="123">
        <v>6.3</v>
      </c>
      <c r="T54" s="131">
        <f>IF($C$8="acid",S54-0.6,IF($C$8="base",4.5,IF($C$8="amphoter",5)))</f>
        <v>5.7</v>
      </c>
      <c r="U54" s="128"/>
      <c r="V54" s="123">
        <v>7.5</v>
      </c>
      <c r="W54" s="131">
        <f>V54</f>
        <v>7.5</v>
      </c>
      <c r="X54" s="128"/>
      <c r="Y54" s="123">
        <v>7.5</v>
      </c>
      <c r="Z54" s="131">
        <f>IF($C$8="acid",Y54-0.6,IF($C$8="base",4.5,IF($C$8="amphoter",5)))</f>
        <v>6.9</v>
      </c>
      <c r="AA54" s="128"/>
      <c r="AB54" s="123">
        <v>8</v>
      </c>
      <c r="AC54" s="131">
        <f>AB54</f>
        <v>8</v>
      </c>
      <c r="AD54" s="128"/>
      <c r="AE54" s="123">
        <v>8</v>
      </c>
      <c r="AF54" s="131">
        <f>IF($C$8="acid",AE54-0.6,IF($C$8="base",4.5,IF($C$8="amphoter",5)))</f>
        <v>7.4</v>
      </c>
    </row>
    <row r="55" spans="1:32" x14ac:dyDescent="0.2">
      <c r="A55" s="67" t="s">
        <v>164</v>
      </c>
      <c r="B55" s="108" t="s">
        <v>165</v>
      </c>
      <c r="C55" s="95" t="s">
        <v>166</v>
      </c>
      <c r="D55" s="108">
        <v>2.0000000000000001E-4</v>
      </c>
      <c r="H55" s="95"/>
      <c r="I55" s="108">
        <v>0.03</v>
      </c>
      <c r="L55" s="95"/>
      <c r="M55" s="108">
        <v>0.03</v>
      </c>
      <c r="P55" s="95"/>
      <c r="Q55" s="108">
        <v>0.03</v>
      </c>
      <c r="T55" s="95"/>
      <c r="U55" s="108">
        <v>3.0000000000000001E-3</v>
      </c>
      <c r="W55" s="95"/>
      <c r="X55" s="108">
        <v>3.0000000000000001E-3</v>
      </c>
      <c r="Z55" s="95"/>
      <c r="AA55" s="125">
        <v>0.5</v>
      </c>
      <c r="AC55" s="95"/>
      <c r="AD55" s="125">
        <v>0.5</v>
      </c>
      <c r="AF55" s="95"/>
    </row>
    <row r="56" spans="1:32" x14ac:dyDescent="0.2">
      <c r="A56" s="87" t="s">
        <v>167</v>
      </c>
      <c r="B56" s="132"/>
      <c r="C56" s="68"/>
      <c r="D56" s="132"/>
      <c r="E56" s="107"/>
      <c r="F56" s="107"/>
      <c r="G56" s="107"/>
      <c r="H56" s="68"/>
      <c r="I56" s="132"/>
      <c r="J56" s="107"/>
      <c r="K56" s="107"/>
      <c r="L56" s="68"/>
      <c r="M56" s="132"/>
      <c r="N56" s="107"/>
      <c r="O56" s="107"/>
      <c r="P56" s="68"/>
      <c r="Q56" s="132"/>
      <c r="R56" s="107"/>
      <c r="S56" s="107"/>
      <c r="T56" s="68"/>
      <c r="U56" s="132"/>
      <c r="V56" s="107"/>
      <c r="W56" s="68"/>
      <c r="X56" s="132"/>
      <c r="Y56" s="107"/>
      <c r="Z56" s="68"/>
      <c r="AA56" s="133"/>
      <c r="AB56" s="107"/>
      <c r="AC56" s="68"/>
      <c r="AD56" s="133"/>
      <c r="AE56" s="107"/>
      <c r="AF56" s="68"/>
    </row>
    <row r="57" spans="1:32" ht="15.75" x14ac:dyDescent="0.3">
      <c r="A57" s="82" t="s">
        <v>168</v>
      </c>
      <c r="B57" s="108" t="s">
        <v>169</v>
      </c>
      <c r="C57" s="95"/>
      <c r="D57" s="134">
        <f>10^(0.3*D55)</f>
        <v>1.0001381646494358</v>
      </c>
      <c r="E57" s="102"/>
      <c r="F57" s="102"/>
      <c r="G57" s="102"/>
      <c r="H57" s="135"/>
      <c r="I57" s="134">
        <f>10^(0.3*I55)</f>
        <v>1.02093948370768</v>
      </c>
      <c r="J57" s="102"/>
      <c r="K57" s="102"/>
      <c r="L57" s="135"/>
      <c r="M57" s="134">
        <f>10^(0.3*M55)</f>
        <v>1.02093948370768</v>
      </c>
      <c r="N57" s="102"/>
      <c r="O57" s="102"/>
      <c r="P57" s="135"/>
      <c r="Q57" s="134">
        <f>10^(0.3*Q55)</f>
        <v>1.02093948370768</v>
      </c>
      <c r="R57" s="102"/>
      <c r="S57" s="102"/>
      <c r="T57" s="135"/>
      <c r="U57" s="134">
        <f>10^(0.3*U55)</f>
        <v>1.0020744753364788</v>
      </c>
      <c r="V57" s="102"/>
      <c r="W57" s="135"/>
      <c r="X57" s="134">
        <f>10^(0.3*X55)</f>
        <v>1.0020744753364788</v>
      </c>
      <c r="Y57" s="102"/>
      <c r="Z57" s="135"/>
      <c r="AA57" s="134">
        <f>10^(0.3*AA55)</f>
        <v>1.4125375446227544</v>
      </c>
      <c r="AB57" s="102"/>
      <c r="AC57" s="135"/>
      <c r="AD57" s="134">
        <f>10^(0.3*AD55)</f>
        <v>1.4125375446227544</v>
      </c>
      <c r="AE57" s="102"/>
      <c r="AF57" s="135"/>
    </row>
    <row r="58" spans="1:32" ht="15.75" x14ac:dyDescent="0.3">
      <c r="A58" s="82" t="s">
        <v>170</v>
      </c>
      <c r="B58" s="108" t="s">
        <v>171</v>
      </c>
      <c r="C58" s="95"/>
      <c r="D58" s="134">
        <f>10^(-0.5*1*(SQRT(D55)/(1+SQRT(D55))-0.3*D55))</f>
        <v>0.98414148154203906</v>
      </c>
      <c r="E58" s="102"/>
      <c r="F58" s="102"/>
      <c r="G58" s="102"/>
      <c r="H58" s="135"/>
      <c r="I58" s="134">
        <f>10^(-0.5*1*(SQRT(I55)/(1+SQRT(I55))-0.3*I55))</f>
        <v>0.85247754488743499</v>
      </c>
      <c r="J58" s="102"/>
      <c r="K58" s="102"/>
      <c r="L58" s="135"/>
      <c r="M58" s="134">
        <f>10^(-0.5*1*(SQRT(M55)/(1+SQRT(M55))-0.3*M55))</f>
        <v>0.85247754488743499</v>
      </c>
      <c r="N58" s="102"/>
      <c r="O58" s="102"/>
      <c r="P58" s="135"/>
      <c r="Q58" s="134">
        <f>10^(-0.5*1*(SQRT(Q55)/(1+SQRT(Q55))-0.3*Q55))</f>
        <v>0.85247754488743499</v>
      </c>
      <c r="R58" s="102"/>
      <c r="S58" s="102"/>
      <c r="T58" s="135"/>
      <c r="U58" s="134">
        <f>10^(-0.5*1*(SQRT(U55)/(1+SQRT(U55))-0.3*U55))</f>
        <v>0.94294417075668868</v>
      </c>
      <c r="V58" s="102"/>
      <c r="W58" s="135"/>
      <c r="X58" s="134">
        <f>10^(-0.5*1*(SQRT(X55)/(1+SQRT(X55))-0.3*X55))</f>
        <v>0.94294417075668868</v>
      </c>
      <c r="Y58" s="102"/>
      <c r="Z58" s="135"/>
      <c r="AA58" s="134">
        <f>10^(-0.5*1*(SQRT(AA55)/(1+SQRT(AA55))-0.3*AA55))</f>
        <v>0.73772282187584559</v>
      </c>
      <c r="AB58" s="102"/>
      <c r="AC58" s="135"/>
      <c r="AD58" s="134">
        <f>10^(-0.5*1*(SQRT(AD55)/(1+SQRT(AD55))-0.3*AD55))</f>
        <v>0.73772282187584559</v>
      </c>
      <c r="AE58" s="102"/>
      <c r="AF58" s="135"/>
    </row>
    <row r="59" spans="1:32" x14ac:dyDescent="0.2">
      <c r="A59" s="82" t="s">
        <v>172</v>
      </c>
      <c r="B59" s="82" t="s">
        <v>173</v>
      </c>
      <c r="C59" s="95"/>
      <c r="D59" s="82"/>
      <c r="E59" s="67">
        <v>1</v>
      </c>
      <c r="F59" s="67">
        <f>IF($C$8="neutral",1,IF($C$8="acid",1/(1+10^(F54-$C$10)),IF($C$8="base",1/(1+10^($C$11-F54)),IF($C$8="amphoter",1/(1+10^(F54-$C$10)+10^($C$11-F54))))))</f>
        <v>2.3930922904548961E-3</v>
      </c>
      <c r="G59" s="67">
        <f>IF($C$8="neutral",1,IF($C$8="acid",1/(1+10^(G54-$C$10)),IF($C$8="base",1/(1+10^($C$11-G54)),IF($C$8="amphoter",1/(1+10^(G54-$C$10)+10^($C$11-G54))))))</f>
        <v>0.4884891087822083</v>
      </c>
      <c r="H59" s="95">
        <f>IF($C$8="neutral",1,IF($C$8="acid",1/(1+10^(H54-$C$10)),IF($C$8="base",1/(1+10^($C$11-H54)),IF($C$8="amphoter",1/(1+10^(H54-$C$10)+10^($C$11-H54))))))</f>
        <v>0.4884891087822083</v>
      </c>
      <c r="I59" s="82"/>
      <c r="J59" s="67">
        <v>1</v>
      </c>
      <c r="K59" s="67">
        <f>IF($C$8="neutral",1,IF($C$8="acid",1/(1+10^(K54-$C$10)),IF($C$8="base",1/(1+10^($C$11-K54)),IF($C$8="amphoter",1/(1+10^(K54-$C$10)+10^($C$11-K54))))))</f>
        <v>9.4595875009124333E-3</v>
      </c>
      <c r="L59" s="95">
        <f>IF($C$8="neutral",1,IF($C$8="acid",1/(1+10^(L54-$C$10)),IF($C$8="base",1/(1+10^($C$11-L54)),IF($C$8="amphoter",1/(1+10^(L54-$C$10)+10^($C$11-L54))))))</f>
        <v>3.6626441176046895E-2</v>
      </c>
      <c r="M59" s="82"/>
      <c r="N59" s="67">
        <v>1</v>
      </c>
      <c r="O59" s="67">
        <f>IF($C$8="neutral",1,IF($C$8="acid",1/(1+10^(O54-$C$10)),IF($C$8="base",1/(1+10^($C$11-O54)),IF($C$8="amphoter",1/(1+10^(O54-$C$10)+10^($C$11-O54))))))</f>
        <v>1.5133321963393679E-4</v>
      </c>
      <c r="P59" s="95">
        <f>IF($C$8="neutral",1,IF($C$8="acid",1/(1+10^(P54-$C$10)),IF($C$8="base",1/(1+10^($C$11-P54)),IF($C$8="amphoter",1/(1+10^(P54-$C$10)+10^($C$11-P54))))))</f>
        <v>6.021967266640031E-4</v>
      </c>
      <c r="Q59" s="82"/>
      <c r="R59" s="67">
        <v>1</v>
      </c>
      <c r="S59" s="67">
        <f>IF($C$8="neutral",1,IF($C$8="acid",1/(1+10^(S54-$C$10)),IF($C$8="base",1/(1+10^($C$11-S54)),IF($C$8="amphoter",1/(1+10^(S54-$C$10)+10^($C$11-S54))))))</f>
        <v>4.7840111515272545E-4</v>
      </c>
      <c r="T59" s="95">
        <f>IF($C$8="neutral",1,IF($C$8="acid",1/(1+10^(T54-$C$10)),IF($C$8="base",1/(1+10^($C$11-T54)),IF($C$8="amphoter",1/(1+10^(T54-$C$10)+10^($C$11-T54))))))</f>
        <v>1.9018368425677578E-3</v>
      </c>
      <c r="U59" s="82"/>
      <c r="V59" s="67">
        <f>IF($C$8="neutral",1,IF($C$8="acid",1/(1+10^(V54-$C$10)),IF($C$8="base",1/(1+10^($C$11-V54)),IF($C$8="amphoter",1/(1+10^(V54-$C$10)+10^($C$11-V54))))))</f>
        <v>3.0198605220722281E-5</v>
      </c>
      <c r="W59" s="95">
        <f>IF($C$8="neutral",1,IF($C$8="acid",1/(1+10^(W54-$C$10)),IF($C$8="base",1/(1+10^($C$11-W54)),IF($C$8="amphoter",1/(1+10^(W54-$C$10)+10^($C$11-W54))))))</f>
        <v>3.0198605220722281E-5</v>
      </c>
      <c r="X59" s="82"/>
      <c r="Y59" s="67">
        <f>IF($C$8="neutral",1,IF($C$8="acid",1/(1+10^(Y54-$C$10)),IF($C$8="base",1/(1+10^($C$11-Y54)),IF($C$8="amphoter",1/(1+10^(Y54-$C$10)+10^($C$11-Y54))))))</f>
        <v>3.0198605220722281E-5</v>
      </c>
      <c r="Z59" s="95">
        <f>IF($C$8="neutral",1,IF($C$8="acid",1/(1+10^(Z54-$C$10)),IF($C$8="base",1/(1+10^($C$11-Z54)),IF($C$8="amphoter",1/(1+10^(Z54-$C$10)+10^($C$11-Z54))))))</f>
        <v>1.2021199080162555E-4</v>
      </c>
      <c r="AA59" s="82"/>
      <c r="AB59" s="67">
        <f>IF($C$8="neutral",1,IF($C$8="acid",1/(1+10^(AB54-$C$10)),IF($C$8="base",1/(1+10^($C$11-AB54)),IF($C$8="amphoter",1/(1+10^(AB54-$C$10)+10^($C$11-AB54))))))</f>
        <v>9.5498346600013785E-6</v>
      </c>
      <c r="AC59" s="95">
        <f>IF($C$8="neutral",1,IF($C$8="acid",1/(1+10^(AC54-$C$10)),IF($C$8="base",1/(1+10^($C$11-AC54)),IF($C$8="amphoter",1/(1+10^(AC54-$C$10)+10^($C$11-AC54))))))</f>
        <v>9.5498346600013785E-6</v>
      </c>
      <c r="AD59" s="82"/>
      <c r="AE59" s="67">
        <f>IF($C$8="neutral",1,IF($C$8="acid",1/(1+10^(AE54-$C$10)),IF($C$8="base",1/(1+10^($C$11-AE54)),IF($C$8="amphoter",1/(1+10^(AE54-$C$10)+10^($C$11-AE54))))))</f>
        <v>9.5498346600013785E-6</v>
      </c>
      <c r="AF59" s="95">
        <f>IF($C$8="neutral",1,IF($C$8="acid",1/(1+10^(AF54-$C$10)),IF($C$8="base",1/(1+10^($C$11-AF54)),IF($C$8="amphoter",1/(1+10^(AF54-$C$10)+10^($C$11-AF54))))))</f>
        <v>3.801749424723736E-5</v>
      </c>
    </row>
    <row r="60" spans="1:32" x14ac:dyDescent="0.2">
      <c r="A60" s="82" t="s">
        <v>174</v>
      </c>
      <c r="B60" s="82" t="s">
        <v>175</v>
      </c>
      <c r="C60" s="95"/>
      <c r="D60" s="82"/>
      <c r="F60" s="67">
        <f>IF($C$8="neutral",0,IF($C$8="acid",1-F59,IF($C$8="base",0,IF($C$8="amphoter",F59*10^(F54-$C$10)))))</f>
        <v>0.99760690770954508</v>
      </c>
      <c r="G60" s="67">
        <f>IF($C$8="neutral",0,IF($C$8="acid",1-G59,IF($C$8="base",0,IF($C$8="amphoter",G59*10^(G54-$C$10)))))</f>
        <v>0.5115108912177917</v>
      </c>
      <c r="H60" s="95">
        <f>IF($C$8="neutral",0,IF($C$8="acid",1-H59,IF($C$8="base",0,IF($C$8="amphoter",H59*10^(H54-$C$10)))))</f>
        <v>0.5115108912177917</v>
      </c>
      <c r="I60" s="82"/>
      <c r="K60" s="67">
        <f>IF($C$8="neutral",0,IF($C$8="acid",1-K59,IF($C$8="base",0,IF($C$8="amphoter",K59*10^(K54-$C$10)))))</f>
        <v>0.99054041249908753</v>
      </c>
      <c r="L60" s="95">
        <f>IF($C$8="neutral",0,IF($C$8="acid",1-L59,IF($C$8="base",0,IF($C$8="amphoter",L59*10^(L54-$C$10)))))</f>
        <v>0.96337355882395315</v>
      </c>
      <c r="M60" s="82"/>
      <c r="O60" s="67">
        <f>IF($C$8="neutral",0,IF($C$8="acid",1-O59,IF($C$8="base",0,IF($C$8="amphoter",O59*10^(O54-$C$10)))))</f>
        <v>0.9998486667803661</v>
      </c>
      <c r="P60" s="95">
        <f>IF($C$8="neutral",0,IF($C$8="acid",1-P59,IF($C$8="base",0,IF($C$8="amphoter",P59*10^(P54-$C$10)))))</f>
        <v>0.99939780327333605</v>
      </c>
      <c r="Q60" s="82"/>
      <c r="S60" s="67">
        <f>IF($C$8="neutral",0,IF($C$8="acid",1-S59,IF($C$8="base",0,IF($C$8="amphoter",S59*10^(S54-$C$10)))))</f>
        <v>0.99952159888484726</v>
      </c>
      <c r="T60" s="95">
        <f>IF($C$8="neutral",0,IF($C$8="acid",1-T59,IF($C$8="base",0,IF($C$8="amphoter",T59*10^(T54-$C$10)))))</f>
        <v>0.99809816315743227</v>
      </c>
      <c r="U60" s="82"/>
      <c r="V60" s="67">
        <f>IF($C$8="neutral",0,IF($C$8="acid",1-V59,IF($C$8="base",0,IF($C$8="amphoter",V59*10^(V54-$C$10)))))</f>
        <v>0.99996980139477931</v>
      </c>
      <c r="W60" s="95">
        <f>IF($C$8="neutral",0,IF($C$8="acid",1-W59,IF($C$8="base",0,IF($C$8="amphoter",W59*10^(W54-$C$10)))))</f>
        <v>0.99996980139477931</v>
      </c>
      <c r="X60" s="82"/>
      <c r="Y60" s="67">
        <f>IF($C$8="neutral",0,IF($C$8="acid",1-Y59,IF($C$8="base",0,IF($C$8="amphoter",Y59*10^(Y54-$C$10)))))</f>
        <v>0.99996980139477931</v>
      </c>
      <c r="Z60" s="95">
        <f>IF($C$8="neutral",0,IF($C$8="acid",1-Z59,IF($C$8="base",0,IF($C$8="amphoter",Z59*10^(Z54-$C$10)))))</f>
        <v>0.99987978800919841</v>
      </c>
      <c r="AA60" s="82"/>
      <c r="AB60" s="67">
        <f>IF($C$8="neutral",0,IF($C$8="acid",1-AB59,IF($C$8="base",0,IF($C$8="amphoter",AB59*10^(AB54-$C$10)))))</f>
        <v>0.99999045016534005</v>
      </c>
      <c r="AC60" s="95">
        <f>IF($C$8="neutral",0,IF($C$8="acid",1-AC59,IF($C$8="base",0,IF($C$8="amphoter",AC59*10^(AC54-$C$10)))))</f>
        <v>0.99999045016534005</v>
      </c>
      <c r="AD60" s="82"/>
      <c r="AE60" s="67">
        <f>IF($C$8="neutral",0,IF($C$8="acid",1-AE59,IF($C$8="base",0,IF($C$8="amphoter",AE59*10^(AE54-$C$10)))))</f>
        <v>0.99999045016534005</v>
      </c>
      <c r="AF60" s="95">
        <f>IF($C$8="neutral",0,IF($C$8="acid",1-AF59,IF($C$8="base",0,IF($C$8="amphoter",AF59*10^(AF54-$C$10)))))</f>
        <v>0.99996198250575274</v>
      </c>
    </row>
    <row r="61" spans="1:32" x14ac:dyDescent="0.2">
      <c r="A61" s="82" t="s">
        <v>176</v>
      </c>
      <c r="B61" s="82" t="s">
        <v>177</v>
      </c>
      <c r="C61" s="95"/>
      <c r="D61" s="82"/>
      <c r="F61" s="67">
        <f>IF($C$8="neutral",0,IF($C$8="acid",0,IF($C$8="base",1-F59,IF($C$8="amphoter",F59*10^($C$11-F54)))))</f>
        <v>0</v>
      </c>
      <c r="G61" s="67">
        <f>IF($C$8="neutral",0,IF($C$8="acid",0,IF($C$8="base",1-G59,IF($C$8="amphoter",G59*10^($C$11-G54)))))</f>
        <v>0</v>
      </c>
      <c r="H61" s="95">
        <f>IF($C$8="neutral",0,IF($C$8="acid",0,IF($C$8="base",1-H59,IF($C$8="amphoter",H59*10^($C$11-H54)))))</f>
        <v>0</v>
      </c>
      <c r="I61" s="82"/>
      <c r="K61" s="67">
        <f>IF($C$8="neutral",0,IF($C$8="acid",0,IF($C$8="base",1-K59,IF($C$8="amphoter",K59*10^($C$11-K54)))))</f>
        <v>0</v>
      </c>
      <c r="L61" s="95">
        <f>IF($C$8="neutral",0,IF($C$8="acid",0,IF($C$8="base",1-L59,IF($C$8="amphoter",L59*10^($C$11-L54)))))</f>
        <v>0</v>
      </c>
      <c r="M61" s="82"/>
      <c r="O61" s="67">
        <f>IF($C$8="neutral",0,IF($C$8="acid",0,IF($C$8="base",1-O59,IF($C$8="amphoter",O59*10^($C$11-O54)))))</f>
        <v>0</v>
      </c>
      <c r="P61" s="95">
        <f>IF($C$8="neutral",0,IF($C$8="acid",0,IF($C$8="base",1-P59,IF($C$8="amphoter",P59*10^($C$11-P54)))))</f>
        <v>0</v>
      </c>
      <c r="Q61" s="82"/>
      <c r="R61" s="67">
        <v>0</v>
      </c>
      <c r="S61" s="67">
        <f>IF($C$8="neutral",0,IF($C$8="acid",0,IF($C$8="base",1-S59,IF($C$8="amphoter",S59*10^($C$11-S54)))))</f>
        <v>0</v>
      </c>
      <c r="T61" s="95">
        <f>IF($C$8="neutral",0,IF($C$8="acid",0,IF($C$8="base",1-T59,IF($C$8="amphoter",T59*10^($C$11-T54)))))</f>
        <v>0</v>
      </c>
      <c r="U61" s="82"/>
      <c r="V61" s="67">
        <f>IF($C$8="neutral",0,IF($C$8="acid",0,IF($C$8="base",1-V59,IF($C$8="amphoter",V59*10^($C$11-V54)))))</f>
        <v>0</v>
      </c>
      <c r="W61" s="95">
        <f>IF($C$8="neutral",0,IF($C$8="acid",0,IF($C$8="base",1-W59,IF($C$8="amphoter",W59*10^($C$11-W54)))))</f>
        <v>0</v>
      </c>
      <c r="X61" s="82"/>
      <c r="Y61" s="67">
        <f>IF($C$8="neutral",0,IF($C$8="acid",0,IF($C$8="base",1-Y59,IF($C$8="amphoter",Y59*10^($C$11-Y54)))))</f>
        <v>0</v>
      </c>
      <c r="Z61" s="95">
        <f>IF($C$8="neutral",0,IF($C$8="acid",0,IF($C$8="base",1-Z59,IF($C$8="amphoter",Z59*10^($C$11-Z54)))))</f>
        <v>0</v>
      </c>
      <c r="AA61" s="82"/>
      <c r="AB61" s="67">
        <f>IF($C$8="neutral",0,IF($C$8="acid",0,IF($C$8="base",1-AB59,IF($C$8="amphoter",AB59*10^($C$11-AB54)))))</f>
        <v>0</v>
      </c>
      <c r="AC61" s="95">
        <f>IF($C$8="neutral",0,IF($C$8="acid",0,IF($C$8="base",1-AC59,IF($C$8="amphoter",AC59*10^($C$11-AC54)))))</f>
        <v>0</v>
      </c>
      <c r="AD61" s="82"/>
      <c r="AE61" s="67">
        <f>IF($C$8="neutral",0,IF($C$8="acid",0,IF($C$8="base",1-AE59,IF($C$8="amphoter",AE59*10^($C$11-AE54)))))</f>
        <v>0</v>
      </c>
      <c r="AF61" s="95">
        <f>IF($C$8="neutral",0,IF($C$8="acid",0,IF($C$8="base",1-AF59,IF($C$8="amphoter",AF59*10^($C$11-AF54)))))</f>
        <v>0</v>
      </c>
    </row>
    <row r="62" spans="1:32" x14ac:dyDescent="0.2">
      <c r="A62" s="82" t="s">
        <v>178</v>
      </c>
      <c r="B62" s="82" t="s">
        <v>179</v>
      </c>
      <c r="C62" s="95" t="s">
        <v>123</v>
      </c>
      <c r="D62" s="136"/>
      <c r="E62" s="103"/>
      <c r="F62" s="103"/>
      <c r="G62" s="103"/>
      <c r="H62" s="95">
        <f>0.54*D37*H52*H53*D36</f>
        <v>73.016961342334085</v>
      </c>
      <c r="I62" s="134"/>
      <c r="J62" s="102"/>
      <c r="K62" s="102"/>
      <c r="L62" s="135">
        <f>$D$42*L52*L53</f>
        <v>21.735518480310525</v>
      </c>
      <c r="M62" s="134"/>
      <c r="N62" s="102"/>
      <c r="O62" s="102"/>
      <c r="P62" s="135">
        <f>$D$42*P52*P53</f>
        <v>21.735518480310525</v>
      </c>
      <c r="Q62" s="134"/>
      <c r="R62" s="102"/>
      <c r="S62" s="102"/>
      <c r="T62" s="135">
        <f>$D$42*T52*T53</f>
        <v>21.735518480310525</v>
      </c>
      <c r="U62" s="134"/>
      <c r="V62" s="102"/>
      <c r="W62" s="135">
        <f>$D$42*W52*W53</f>
        <v>108.67759240155263</v>
      </c>
      <c r="X62" s="134"/>
      <c r="Y62" s="102"/>
      <c r="Z62" s="135">
        <f>$D$42*Z52*Z53</f>
        <v>54.338796200776315</v>
      </c>
      <c r="AA62" s="134"/>
      <c r="AB62" s="102"/>
      <c r="AC62" s="135">
        <f>$D$42*AC52*AC53</f>
        <v>108.67759240155263</v>
      </c>
      <c r="AD62" s="134"/>
      <c r="AE62" s="102"/>
      <c r="AF62" s="135">
        <f>$D$42*AF52*AF53</f>
        <v>54.338796200776315</v>
      </c>
    </row>
    <row r="63" spans="1:32" x14ac:dyDescent="0.2">
      <c r="A63" s="82" t="s">
        <v>180</v>
      </c>
      <c r="B63" s="82" t="s">
        <v>181</v>
      </c>
      <c r="C63" s="95" t="s">
        <v>123</v>
      </c>
      <c r="D63" s="136"/>
      <c r="E63" s="103"/>
      <c r="F63" s="103"/>
      <c r="G63" s="103"/>
      <c r="H63" s="137">
        <f>IF(H60=0,0,$E$42*H52*H53)</f>
        <v>14.201361925090675</v>
      </c>
      <c r="I63" s="134"/>
      <c r="J63" s="102"/>
      <c r="K63" s="102"/>
      <c r="L63" s="135">
        <f>IF(L60=0,0,$E$42*L52*L53)</f>
        <v>3.5503404812726687</v>
      </c>
      <c r="M63" s="134"/>
      <c r="N63" s="102"/>
      <c r="O63" s="102"/>
      <c r="P63" s="135">
        <f>IF(P60=0,0,$E$42*P52*P53)</f>
        <v>3.5503404812726687</v>
      </c>
      <c r="Q63" s="134"/>
      <c r="R63" s="102"/>
      <c r="S63" s="102"/>
      <c r="T63" s="135">
        <f>IF(T60=0,0,$E$42*T52*T53)</f>
        <v>3.5503404812726687</v>
      </c>
      <c r="U63" s="134"/>
      <c r="V63" s="102"/>
      <c r="W63" s="135">
        <f>IF(W60=0,0,$E$42*W52*W53)</f>
        <v>17.751702406363343</v>
      </c>
      <c r="X63" s="134"/>
      <c r="Y63" s="102"/>
      <c r="Z63" s="135">
        <f>IF(Z60=0,0,$E$42*Z52*Z53)</f>
        <v>8.8758512031816714</v>
      </c>
      <c r="AA63" s="134"/>
      <c r="AB63" s="102"/>
      <c r="AC63" s="135">
        <f>IF(AC60=0,0,$E$42*AC52*AC53)</f>
        <v>17.751702406363343</v>
      </c>
      <c r="AD63" s="134"/>
      <c r="AE63" s="102"/>
      <c r="AF63" s="135">
        <f>IF(AF60=0,0,$E$42*AF52*AF53)</f>
        <v>8.8758512031816714</v>
      </c>
    </row>
    <row r="64" spans="1:32" x14ac:dyDescent="0.2">
      <c r="A64" s="82" t="s">
        <v>182</v>
      </c>
      <c r="B64" s="82" t="s">
        <v>183</v>
      </c>
      <c r="C64" s="95" t="s">
        <v>123</v>
      </c>
      <c r="D64" s="136"/>
      <c r="E64" s="103"/>
      <c r="F64" s="103"/>
      <c r="G64" s="103"/>
      <c r="H64" s="135">
        <f>IF(H61=0,0,$F$42*H52*H53)</f>
        <v>0</v>
      </c>
      <c r="I64" s="134"/>
      <c r="J64" s="102"/>
      <c r="K64" s="102"/>
      <c r="L64" s="135">
        <f>IF(L61=0,0,$F$42*L52*L53)</f>
        <v>0</v>
      </c>
      <c r="M64" s="134"/>
      <c r="N64" s="102"/>
      <c r="O64" s="102"/>
      <c r="P64" s="135">
        <f>IF(P61=0,0,$F$42*P52*P53)</f>
        <v>0</v>
      </c>
      <c r="Q64" s="134"/>
      <c r="R64" s="102"/>
      <c r="S64" s="102"/>
      <c r="T64" s="135">
        <f>IF(T61=0,0,$F$42*T52*T53)</f>
        <v>0</v>
      </c>
      <c r="U64" s="134"/>
      <c r="V64" s="102"/>
      <c r="W64" s="135">
        <f>IF(W61=0,0,$F$42*W52*W53)</f>
        <v>0</v>
      </c>
      <c r="X64" s="134"/>
      <c r="Y64" s="102"/>
      <c r="Z64" s="135">
        <f>IF(Z61=0,0,$F$42*Z52*Z53)</f>
        <v>0</v>
      </c>
      <c r="AA64" s="134"/>
      <c r="AB64" s="102"/>
      <c r="AC64" s="135">
        <f>IF(AC61=0,0,$F$42*AC52*AC53)</f>
        <v>0</v>
      </c>
      <c r="AD64" s="134"/>
      <c r="AE64" s="102"/>
      <c r="AF64" s="135">
        <f>IF(AF61=0,0,$F$42*AF52*AF53)</f>
        <v>0</v>
      </c>
    </row>
    <row r="65" spans="1:32" x14ac:dyDescent="0.2">
      <c r="A65" s="82" t="s">
        <v>184</v>
      </c>
      <c r="B65" s="108" t="s">
        <v>185</v>
      </c>
      <c r="C65" s="95"/>
      <c r="D65" s="138"/>
      <c r="E65" s="83">
        <f>D36*F59</f>
        <v>5.7406285645949469E-11</v>
      </c>
      <c r="F65" s="83">
        <f>F59/D57+F60/D58+F61/D58</f>
        <v>1.0160751705969957</v>
      </c>
      <c r="G65" s="83">
        <f>G59/D57+G60/D58+G61/D58</f>
        <v>1.008175036447567</v>
      </c>
      <c r="H65" s="139">
        <f>H59*H62/D57+H60*H63/D58+H61*H64/D58</f>
        <v>43.044269288522543</v>
      </c>
      <c r="I65" s="138"/>
      <c r="J65" s="83">
        <f>$D$36*K59</f>
        <v>2.2691969897534021E-10</v>
      </c>
      <c r="K65" s="83">
        <f>K59/I57+K60/I58+K61/I58</f>
        <v>1.171220415007288</v>
      </c>
      <c r="L65" s="139">
        <f>L59*L62/I57+L60*L63/I58+L61*L64/I58</f>
        <v>4.7919594307493094</v>
      </c>
      <c r="M65" s="138"/>
      <c r="N65" s="83">
        <f>$D$36*O59</f>
        <v>3.6302310899909367E-12</v>
      </c>
      <c r="O65" s="83">
        <f>O59/M57+O60/M58+O61/M58</f>
        <v>1.1730221341190403</v>
      </c>
      <c r="P65" s="139">
        <f>P59*P62/M57+P60*P63/M58+P61*P64/M58</f>
        <v>4.1750445790969275</v>
      </c>
      <c r="Q65" s="138"/>
      <c r="R65" s="83">
        <f>$D$36*S59</f>
        <v>1.1476043435239898E-11</v>
      </c>
      <c r="S65" s="83">
        <f>S59/Q57+S60/Q58+S61/Q58</f>
        <v>1.1729588263858834</v>
      </c>
      <c r="T65" s="139">
        <f>T59*T62/Q57+T60*T63/Q58+T61*T64/Q58</f>
        <v>4.197300904012522</v>
      </c>
      <c r="U65" s="138"/>
      <c r="V65" s="83">
        <f>V59/U57+V60/U58+V61/U58</f>
        <v>1.0605062834647212</v>
      </c>
      <c r="W65" s="139">
        <f>W59*W62/U57+W60*W63/U58+W61*W64/U58</f>
        <v>18.828532094825441</v>
      </c>
      <c r="X65" s="138"/>
      <c r="Y65" s="83">
        <f>Y59/X57+Y60/X58+Y61/X58</f>
        <v>1.0605062834647212</v>
      </c>
      <c r="Z65" s="139">
        <f>Z59*Z62/X57+Z60*Z63/X58+Z61*Z64/X58</f>
        <v>9.4182998525750641</v>
      </c>
      <c r="AA65" s="138"/>
      <c r="AB65" s="83">
        <f>AB59/AA57+AB60/AA58+AB61/AA58</f>
        <v>1.3555164732377043</v>
      </c>
      <c r="AC65" s="139">
        <f>AC59*AC62/AA57+AC60*AC63/AA58+AC61*AC64/AA58</f>
        <v>24.063339768430779</v>
      </c>
      <c r="AD65" s="138"/>
      <c r="AE65" s="83">
        <f>AE59/AD57+AE60/AD58+AE61/AD58</f>
        <v>1.3555164732377043</v>
      </c>
      <c r="AF65" s="139">
        <f>AF59*AF62/AD57+AF60*AF63/AD58+AF61*AF64/AD58</f>
        <v>12.032422498087806</v>
      </c>
    </row>
    <row r="66" spans="1:32" x14ac:dyDescent="0.2">
      <c r="A66" s="97" t="s">
        <v>186</v>
      </c>
      <c r="B66" s="112" t="s">
        <v>187</v>
      </c>
      <c r="C66" s="140"/>
      <c r="D66" s="141">
        <f>E66+F66+H66+G66</f>
        <v>3.1420710290055224E-8</v>
      </c>
      <c r="E66" s="142">
        <f>E65</f>
        <v>5.7406285645949469E-11</v>
      </c>
      <c r="F66" s="142">
        <f>F49*F65</f>
        <v>3.0482255117909871E-8</v>
      </c>
      <c r="G66" s="142">
        <f>G49*G65</f>
        <v>2.016350072895134E-11</v>
      </c>
      <c r="H66" s="143">
        <f>H49*H65</f>
        <v>8.6088538577045084E-10</v>
      </c>
      <c r="I66" s="141">
        <f>J66+K66+L66</f>
        <v>3.1094197414964273</v>
      </c>
      <c r="J66" s="142">
        <f>J49*J65</f>
        <v>4.5383939795068048E-11</v>
      </c>
      <c r="K66" s="142">
        <f>K49*K65</f>
        <v>0.2342440830014576</v>
      </c>
      <c r="L66" s="143">
        <f>L49*L65</f>
        <v>2.8751756584495856</v>
      </c>
      <c r="M66" s="141">
        <f>N66+O66+P66</f>
        <v>2.7396311742826902</v>
      </c>
      <c r="N66" s="142">
        <f>N49*N65</f>
        <v>7.260462179981874E-13</v>
      </c>
      <c r="O66" s="142">
        <f>O49*O65</f>
        <v>0.23460442682380808</v>
      </c>
      <c r="P66" s="143">
        <f>P49*P65</f>
        <v>2.5050267474581562</v>
      </c>
      <c r="Q66" s="141">
        <f>R66+S66+T66</f>
        <v>2.752972307686985</v>
      </c>
      <c r="R66" s="142">
        <f>R49*R65</f>
        <v>2.2952086870479796E-12</v>
      </c>
      <c r="S66" s="142">
        <f>S49*S65</f>
        <v>0.23459176527717671</v>
      </c>
      <c r="T66" s="143">
        <f>T49*T65</f>
        <v>2.5183805424075132</v>
      </c>
      <c r="U66" s="141">
        <f>V66+W66</f>
        <v>1.0606192546572901</v>
      </c>
      <c r="V66" s="142">
        <f>V65</f>
        <v>1.0605062834647212</v>
      </c>
      <c r="W66" s="143">
        <f>W49*W65</f>
        <v>1.1297119256895265E-4</v>
      </c>
      <c r="X66" s="141">
        <f>Y66+Z66</f>
        <v>2.7320649972867899</v>
      </c>
      <c r="Y66" s="142">
        <f>Y49*Y65</f>
        <v>0.84840502677177698</v>
      </c>
      <c r="Z66" s="143">
        <f>Z49*Z65</f>
        <v>1.883659970515013</v>
      </c>
      <c r="AA66" s="141">
        <f>AB66+AC66</f>
        <v>1.3555645999172412</v>
      </c>
      <c r="AB66" s="142">
        <f>AB65</f>
        <v>1.3555164732377043</v>
      </c>
      <c r="AC66" s="143">
        <f>AC49*AC65</f>
        <v>4.8126679536861554E-5</v>
      </c>
      <c r="AD66" s="141">
        <f>AE66+AF66</f>
        <v>3.490897678207725</v>
      </c>
      <c r="AE66" s="142">
        <f>AE49*AE65</f>
        <v>1.0844131785901634</v>
      </c>
      <c r="AF66" s="143">
        <f>AF49*AF65</f>
        <v>2.4064844996175614</v>
      </c>
    </row>
    <row r="67" spans="1:32" x14ac:dyDescent="0.2">
      <c r="B67" s="93"/>
      <c r="C67" s="144"/>
      <c r="D67" s="83"/>
      <c r="E67" s="83"/>
      <c r="F67" s="83"/>
      <c r="G67" s="83"/>
      <c r="H67" s="83"/>
    </row>
    <row r="68" spans="1:32" ht="15" x14ac:dyDescent="0.25">
      <c r="A68" s="184" t="s">
        <v>188</v>
      </c>
      <c r="B68" s="185"/>
      <c r="C68" s="185"/>
      <c r="D68" s="186"/>
      <c r="E68" s="87" t="s">
        <v>189</v>
      </c>
      <c r="F68" s="107"/>
      <c r="G68" s="107"/>
      <c r="H68" s="68"/>
      <c r="I68" s="87" t="s">
        <v>190</v>
      </c>
      <c r="J68" s="107"/>
      <c r="K68" s="107"/>
      <c r="L68" s="68"/>
    </row>
    <row r="69" spans="1:32" ht="15" x14ac:dyDescent="0.25">
      <c r="A69" s="82"/>
      <c r="B69" s="177"/>
      <c r="C69" s="177" t="s">
        <v>191</v>
      </c>
      <c r="D69" s="178" t="s">
        <v>192</v>
      </c>
      <c r="E69" s="82"/>
      <c r="G69" s="177" t="s">
        <v>191</v>
      </c>
      <c r="H69" s="178" t="s">
        <v>192</v>
      </c>
      <c r="I69" s="82"/>
      <c r="L69" s="95"/>
    </row>
    <row r="70" spans="1:32" ht="27" x14ac:dyDescent="0.3">
      <c r="A70" s="145" t="s">
        <v>193</v>
      </c>
      <c r="B70" s="81" t="s">
        <v>194</v>
      </c>
      <c r="C70" s="81">
        <f>0.01*(0.3+0.2*3)*(18/C9)^0.335</f>
        <v>3.8847319419395084E-3</v>
      </c>
      <c r="D70" s="62">
        <f>C70*3600</f>
        <v>13.98503499098223</v>
      </c>
      <c r="E70" s="145" t="s">
        <v>195</v>
      </c>
      <c r="F70" s="146" t="s">
        <v>196</v>
      </c>
      <c r="G70" s="81">
        <v>1E-3</v>
      </c>
      <c r="H70" s="62">
        <f>G70*3600</f>
        <v>3.6</v>
      </c>
      <c r="I70" s="145" t="s">
        <v>197</v>
      </c>
      <c r="J70" s="146" t="s">
        <v>198</v>
      </c>
      <c r="K70" s="81" t="s">
        <v>99</v>
      </c>
      <c r="L70" s="62">
        <v>79</v>
      </c>
    </row>
    <row r="71" spans="1:32" ht="27" x14ac:dyDescent="0.3">
      <c r="A71" s="145" t="s">
        <v>199</v>
      </c>
      <c r="B71" s="81" t="s">
        <v>200</v>
      </c>
      <c r="C71" s="81">
        <f>0.01*(0.0004+0.00004*9)*(32/C9)^0.25</f>
        <v>4.6879542948654977E-6</v>
      </c>
      <c r="D71" s="62">
        <f>C71*3600</f>
        <v>1.6876635461515792E-2</v>
      </c>
      <c r="E71" s="147" t="s">
        <v>201</v>
      </c>
      <c r="F71" s="146" t="s">
        <v>202</v>
      </c>
      <c r="G71" s="81">
        <v>3.5999999999999999E-7</v>
      </c>
      <c r="H71" s="148">
        <v>1.2999999999999999E-3</v>
      </c>
      <c r="I71" s="145" t="s">
        <v>203</v>
      </c>
      <c r="J71" s="146" t="s">
        <v>204</v>
      </c>
      <c r="K71" s="81" t="s">
        <v>99</v>
      </c>
      <c r="L71" s="62">
        <v>6</v>
      </c>
    </row>
    <row r="72" spans="1:32" ht="39.75" x14ac:dyDescent="0.3">
      <c r="A72" s="145" t="s">
        <v>205</v>
      </c>
      <c r="B72" s="81" t="s">
        <v>206</v>
      </c>
      <c r="C72" s="81">
        <v>5.5600000000000004E-10</v>
      </c>
      <c r="D72" s="62">
        <f>C72*3600</f>
        <v>2.0016E-6</v>
      </c>
      <c r="E72" s="145" t="s">
        <v>207</v>
      </c>
      <c r="F72" s="146" t="s">
        <v>208</v>
      </c>
      <c r="G72" s="81"/>
      <c r="H72" s="62">
        <v>8.0000000000000007E-5</v>
      </c>
      <c r="I72" s="145" t="s">
        <v>209</v>
      </c>
      <c r="J72" s="179" t="s">
        <v>210</v>
      </c>
      <c r="K72" s="81" t="s">
        <v>17</v>
      </c>
      <c r="L72" s="62">
        <v>200000</v>
      </c>
    </row>
    <row r="73" spans="1:32" ht="39.75" x14ac:dyDescent="0.3">
      <c r="A73" s="145" t="s">
        <v>211</v>
      </c>
      <c r="B73" s="81" t="s">
        <v>212</v>
      </c>
      <c r="C73" s="81">
        <v>5.5600000000000001E-6</v>
      </c>
      <c r="D73" s="62">
        <f>C73*3600</f>
        <v>2.0015999999999999E-2</v>
      </c>
      <c r="E73" s="145" t="s">
        <v>213</v>
      </c>
      <c r="F73" s="146" t="s">
        <v>214</v>
      </c>
      <c r="G73" s="81">
        <v>2.8900000000000001E-5</v>
      </c>
      <c r="H73" s="62">
        <f>G73*3600</f>
        <v>0.10404000000000001</v>
      </c>
      <c r="I73" s="145" t="s">
        <v>215</v>
      </c>
      <c r="J73" s="179" t="s">
        <v>216</v>
      </c>
      <c r="K73" s="81" t="s">
        <v>17</v>
      </c>
      <c r="L73" s="62">
        <v>0.25</v>
      </c>
    </row>
    <row r="74" spans="1:32" ht="27" x14ac:dyDescent="0.3">
      <c r="A74" s="145" t="s">
        <v>217</v>
      </c>
      <c r="B74" s="81" t="s">
        <v>218</v>
      </c>
      <c r="C74" s="81">
        <v>2.7800000000000001E-6</v>
      </c>
      <c r="D74" s="62">
        <v>0.01</v>
      </c>
      <c r="E74" s="145" t="s">
        <v>219</v>
      </c>
      <c r="F74" s="146" t="s">
        <v>220</v>
      </c>
      <c r="G74" s="81">
        <v>2.8900000000000001E-5</v>
      </c>
      <c r="H74" s="62">
        <f>G74*3600</f>
        <v>0.10404000000000001</v>
      </c>
      <c r="I74" s="149" t="s">
        <v>221</v>
      </c>
      <c r="J74" s="180" t="s">
        <v>222</v>
      </c>
      <c r="K74" s="114" t="s">
        <v>17</v>
      </c>
      <c r="L74" s="115">
        <v>0.25</v>
      </c>
    </row>
    <row r="75" spans="1:32" s="84" customFormat="1" ht="27" x14ac:dyDescent="0.3">
      <c r="A75" s="145" t="s">
        <v>223</v>
      </c>
      <c r="B75" s="77" t="s">
        <v>224</v>
      </c>
      <c r="C75" s="77">
        <v>2.7800000000000001E-8</v>
      </c>
      <c r="D75" s="62">
        <v>1E-4</v>
      </c>
      <c r="E75" s="145" t="s">
        <v>225</v>
      </c>
      <c r="F75" s="146" t="s">
        <v>226</v>
      </c>
      <c r="G75" s="81"/>
      <c r="H75" s="62">
        <v>2.7800000000000001E-6</v>
      </c>
      <c r="I75" s="67"/>
    </row>
    <row r="76" spans="1:32" ht="27" x14ac:dyDescent="0.3">
      <c r="A76" s="145"/>
      <c r="B76" s="81"/>
      <c r="C76" s="81"/>
      <c r="D76" s="62"/>
      <c r="E76" s="145" t="s">
        <v>227</v>
      </c>
      <c r="F76" s="146" t="s">
        <v>228</v>
      </c>
      <c r="G76" s="81"/>
      <c r="H76" s="62">
        <v>6.9800000000000003E-7</v>
      </c>
    </row>
    <row r="77" spans="1:32" ht="27" x14ac:dyDescent="0.3">
      <c r="A77" s="145" t="s">
        <v>229</v>
      </c>
      <c r="B77" s="81" t="s">
        <v>230</v>
      </c>
      <c r="C77" s="81">
        <f>1/(AB59/C71+1/(D36*C70))</f>
        <v>9.3188228621219621E-11</v>
      </c>
      <c r="D77" s="62">
        <f>C77*3600</f>
        <v>3.3547762303639064E-7</v>
      </c>
      <c r="E77" s="145" t="s">
        <v>231</v>
      </c>
      <c r="F77" s="146" t="s">
        <v>232</v>
      </c>
      <c r="G77" s="81"/>
      <c r="H77" s="62">
        <v>3.4200000000000002E-7</v>
      </c>
    </row>
    <row r="78" spans="1:32" ht="27" x14ac:dyDescent="0.3">
      <c r="A78" s="145" t="s">
        <v>233</v>
      </c>
      <c r="B78" s="81" t="s">
        <v>234</v>
      </c>
      <c r="C78" s="81">
        <f>1/(V59/C71+1/(D36*C70))</f>
        <v>9.3188228582969471E-11</v>
      </c>
      <c r="D78" s="62">
        <f>C78*3600</f>
        <v>3.3547762289869009E-7</v>
      </c>
      <c r="E78" s="145" t="s">
        <v>235</v>
      </c>
      <c r="F78" s="146" t="s">
        <v>236</v>
      </c>
      <c r="G78" s="81"/>
      <c r="H78" s="62">
        <v>3.4200000000000002E-7</v>
      </c>
    </row>
    <row r="79" spans="1:32" ht="15.75" x14ac:dyDescent="0.3">
      <c r="A79" s="145" t="s">
        <v>237</v>
      </c>
      <c r="B79" s="81" t="s">
        <v>238</v>
      </c>
      <c r="C79" s="81">
        <f>1/(1/(C72/K59+D36*C73)+1/(D36*C70))</f>
        <v>9.3040715562604995E-11</v>
      </c>
      <c r="D79" s="62">
        <f>C79*3600</f>
        <v>3.3494657602537799E-7</v>
      </c>
      <c r="E79" s="147" t="s">
        <v>239</v>
      </c>
      <c r="F79" s="146" t="s">
        <v>240</v>
      </c>
      <c r="G79" s="81">
        <v>9.5100000000000009E-13</v>
      </c>
      <c r="H79" s="62">
        <f>G79*3600</f>
        <v>3.4236000000000005E-9</v>
      </c>
      <c r="I79" s="150"/>
    </row>
    <row r="80" spans="1:32" ht="15.75" x14ac:dyDescent="0.3">
      <c r="A80" s="145" t="s">
        <v>241</v>
      </c>
      <c r="B80" s="81" t="s">
        <v>242</v>
      </c>
      <c r="C80" s="81">
        <f>1/(1/(C72/O59+D36*C73)+1/(D36*C70))</f>
        <v>9.3185865057517721E-11</v>
      </c>
      <c r="D80" s="62">
        <f>C80*3600</f>
        <v>3.3546911420706381E-7</v>
      </c>
      <c r="E80" s="147" t="s">
        <v>243</v>
      </c>
      <c r="F80" s="146" t="s">
        <v>244</v>
      </c>
      <c r="G80" s="81">
        <v>9.5100000000000009E-13</v>
      </c>
      <c r="H80" s="62">
        <f>G80*3600</f>
        <v>3.4236000000000005E-9</v>
      </c>
    </row>
    <row r="81" spans="1:11" ht="15.75" x14ac:dyDescent="0.3">
      <c r="A81" s="145" t="s">
        <v>245</v>
      </c>
      <c r="B81" s="81" t="s">
        <v>246</v>
      </c>
      <c r="C81" s="81">
        <f>1/(1/(C72/S59+D36*C73)+1/(D36*C70))</f>
        <v>9.3180757193395628E-11</v>
      </c>
      <c r="D81" s="62">
        <f>C81*3600</f>
        <v>3.3545072589622427E-7</v>
      </c>
      <c r="E81" s="151" t="s">
        <v>247</v>
      </c>
      <c r="F81" s="152" t="s">
        <v>248</v>
      </c>
      <c r="G81" s="114">
        <v>9.5100000000000009E-13</v>
      </c>
      <c r="H81" s="115">
        <f>G81*3600</f>
        <v>3.4236000000000005E-9</v>
      </c>
    </row>
    <row r="82" spans="1:11" s="84" customFormat="1" ht="15.75" x14ac:dyDescent="0.3">
      <c r="A82" s="145" t="s">
        <v>249</v>
      </c>
      <c r="B82" s="77" t="s">
        <v>250</v>
      </c>
      <c r="C82" s="77">
        <f>1/(1/C74+1/C75)</f>
        <v>2.7524752475247529E-8</v>
      </c>
      <c r="D82" s="64">
        <f>1/(1/D74+1/D75)</f>
        <v>9.9009900990099017E-5</v>
      </c>
    </row>
    <row r="83" spans="1:11" ht="15.75" x14ac:dyDescent="0.3">
      <c r="A83" s="149" t="s">
        <v>251</v>
      </c>
      <c r="B83" s="114" t="s">
        <v>252</v>
      </c>
      <c r="C83" s="114">
        <f>1/(1/C74+1/C75)</f>
        <v>2.7524752475247529E-8</v>
      </c>
      <c r="D83" s="115">
        <f>1/(1/D74+1/D75)</f>
        <v>9.9009900990099017E-5</v>
      </c>
    </row>
    <row r="84" spans="1:11" x14ac:dyDescent="0.2">
      <c r="K84" s="83"/>
    </row>
    <row r="85" spans="1:11" ht="15" x14ac:dyDescent="0.25">
      <c r="F85" s="84"/>
      <c r="G85" s="181"/>
      <c r="K85" s="83"/>
    </row>
    <row r="86" spans="1:11" ht="15" x14ac:dyDescent="0.25">
      <c r="A86" s="187" t="s">
        <v>253</v>
      </c>
      <c r="B86" s="188"/>
      <c r="C86" s="188"/>
      <c r="D86" s="188"/>
      <c r="E86" s="188"/>
      <c r="F86" s="189"/>
      <c r="I86" s="181"/>
    </row>
    <row r="87" spans="1:11" ht="15.75" x14ac:dyDescent="0.3">
      <c r="A87" s="153" t="s">
        <v>254</v>
      </c>
      <c r="B87" s="81">
        <f>AA46*D77*G59+U46*D78*G59+I46*D79*G59+M46*D80*G59+Q46*D81*G59</f>
        <v>7204.2719619615973</v>
      </c>
      <c r="C87" s="154" t="s">
        <v>255</v>
      </c>
      <c r="D87" s="77">
        <f>I46*K65*H72*L73</f>
        <v>562185.79920349829</v>
      </c>
      <c r="E87" s="154" t="s">
        <v>256</v>
      </c>
      <c r="F87" s="62">
        <f>D66*D51</f>
        <v>80006.438238566538</v>
      </c>
    </row>
    <row r="88" spans="1:11" ht="15.75" x14ac:dyDescent="0.3">
      <c r="A88" s="153" t="s">
        <v>257</v>
      </c>
      <c r="B88" s="81">
        <f>U46*D83</f>
        <v>118811.88118811882</v>
      </c>
      <c r="C88" s="154" t="s">
        <v>258</v>
      </c>
      <c r="D88" s="77">
        <f>M46*O65*H72*L73</f>
        <v>253372.78096971274</v>
      </c>
      <c r="E88" s="154" t="s">
        <v>259</v>
      </c>
      <c r="F88" s="62">
        <f>U66*U51</f>
        <v>3977322.204964838</v>
      </c>
    </row>
    <row r="89" spans="1:11" ht="15.75" x14ac:dyDescent="0.3">
      <c r="A89" s="153" t="s">
        <v>260</v>
      </c>
      <c r="B89" s="81">
        <f>AA46*D82</f>
        <v>396039.60396039608</v>
      </c>
      <c r="C89" s="154" t="s">
        <v>261</v>
      </c>
      <c r="D89" s="77">
        <f>Q46*S65*H72*L73</f>
        <v>93836.706110870669</v>
      </c>
      <c r="E89" s="154" t="s">
        <v>262</v>
      </c>
      <c r="F89" s="62">
        <f>AA66*AA51</f>
        <v>50833672.496896543</v>
      </c>
    </row>
    <row r="90" spans="1:11" ht="15.75" x14ac:dyDescent="0.3">
      <c r="A90" s="153" t="s">
        <v>263</v>
      </c>
      <c r="B90" s="81">
        <f>I46*D79*K59</f>
        <v>76.04295465703396</v>
      </c>
      <c r="C90" s="155"/>
      <c r="D90" s="81"/>
      <c r="E90" s="155"/>
      <c r="F90" s="62"/>
    </row>
    <row r="91" spans="1:11" ht="15.75" x14ac:dyDescent="0.3">
      <c r="A91" s="153" t="s">
        <v>264</v>
      </c>
      <c r="B91" s="81">
        <f>M46*D80*O59</f>
        <v>0.54829030831955794</v>
      </c>
      <c r="C91" s="154" t="s">
        <v>265</v>
      </c>
      <c r="D91" s="77">
        <f>I46*I66*H79</f>
        <v>255.48982624769209</v>
      </c>
      <c r="E91" s="154" t="s">
        <v>266</v>
      </c>
      <c r="F91" s="64">
        <f>I46*K65*L74*H72</f>
        <v>562185.79920349829</v>
      </c>
    </row>
    <row r="92" spans="1:11" ht="15.75" x14ac:dyDescent="0.3">
      <c r="A92" s="153" t="s">
        <v>267</v>
      </c>
      <c r="B92" s="81">
        <f>Q46*D81*S59</f>
        <v>0.64192000539017968</v>
      </c>
      <c r="C92" s="154" t="s">
        <v>268</v>
      </c>
      <c r="D92" s="77">
        <f>M46*M66*H80</f>
        <v>101.29753391336158</v>
      </c>
      <c r="E92" s="154" t="s">
        <v>269</v>
      </c>
      <c r="F92" s="64">
        <f>M46*O65*L74*H72</f>
        <v>253372.78096971274</v>
      </c>
    </row>
    <row r="93" spans="1:11" ht="15.75" x14ac:dyDescent="0.3">
      <c r="A93" s="153" t="s">
        <v>270</v>
      </c>
      <c r="B93" s="81">
        <f>U46*D78*V59</f>
        <v>1.215714755316466E-2</v>
      </c>
      <c r="C93" s="154" t="s">
        <v>271</v>
      </c>
      <c r="D93" s="77">
        <f>Q46*Q66*H81</f>
        <v>37.700303970388653</v>
      </c>
      <c r="E93" s="154" t="s">
        <v>272</v>
      </c>
      <c r="F93" s="64">
        <f>Q46*S65*L74*H72</f>
        <v>93836.706110870669</v>
      </c>
    </row>
    <row r="94" spans="1:11" ht="15.75" x14ac:dyDescent="0.3">
      <c r="A94" s="153" t="s">
        <v>273</v>
      </c>
      <c r="B94" s="81">
        <f>AA46*D77*AB59</f>
        <v>1.2815023328511201E-2</v>
      </c>
      <c r="C94" s="155"/>
      <c r="D94" s="81"/>
      <c r="E94" s="155"/>
      <c r="F94" s="62"/>
    </row>
    <row r="95" spans="1:11" ht="15.75" x14ac:dyDescent="0.3">
      <c r="A95" s="147"/>
      <c r="B95" s="81"/>
      <c r="C95" s="154" t="s">
        <v>274</v>
      </c>
      <c r="D95" s="77">
        <f>U46*W66*H74</f>
        <v>14104.2274498486</v>
      </c>
      <c r="E95" s="154" t="s">
        <v>275</v>
      </c>
      <c r="F95" s="64">
        <f>U46*X66*H78</f>
        <v>1121.2394748864986</v>
      </c>
    </row>
    <row r="96" spans="1:11" ht="15.75" x14ac:dyDescent="0.3">
      <c r="A96" s="153" t="s">
        <v>276</v>
      </c>
      <c r="B96" s="81">
        <f>D46*(G66+H66)*H70</f>
        <v>139.55814362150531</v>
      </c>
      <c r="C96" s="154" t="s">
        <v>277</v>
      </c>
      <c r="D96" s="77">
        <f>AA46*AC66*H73</f>
        <v>20028.398956060308</v>
      </c>
      <c r="E96" s="154" t="s">
        <v>278</v>
      </c>
      <c r="F96" s="64">
        <f>AA46*AD66*H77</f>
        <v>4775.5480237881684</v>
      </c>
    </row>
    <row r="97" spans="1:18" ht="15.75" x14ac:dyDescent="0.3">
      <c r="A97" s="153" t="s">
        <v>279</v>
      </c>
      <c r="B97" s="81">
        <f>D46*H71*((H66+G66)*L72+F65)</f>
        <v>58129578.95740971</v>
      </c>
      <c r="C97" s="154" t="s">
        <v>280</v>
      </c>
      <c r="D97" s="77">
        <f>X46*H75*X66</f>
        <v>9114.1688309487308</v>
      </c>
      <c r="E97" s="155"/>
      <c r="F97" s="62"/>
    </row>
    <row r="98" spans="1:18" ht="15.75" x14ac:dyDescent="0.3">
      <c r="A98" s="153" t="s">
        <v>281</v>
      </c>
      <c r="B98" s="81">
        <f>B87+B96+F87+F98</f>
        <v>87363.857560087738</v>
      </c>
      <c r="C98" s="154" t="s">
        <v>282</v>
      </c>
      <c r="D98" s="77">
        <f>AA46*AD66*H76</f>
        <v>9746.586317555968</v>
      </c>
      <c r="E98" s="154" t="s">
        <v>283</v>
      </c>
      <c r="F98" s="62">
        <f>E66*D48*C15</f>
        <v>13.589215938109158</v>
      </c>
      <c r="G98" s="182" t="s">
        <v>577</v>
      </c>
    </row>
    <row r="99" spans="1:18" ht="15.75" x14ac:dyDescent="0.3">
      <c r="A99" s="153" t="s">
        <v>284</v>
      </c>
      <c r="B99" s="81">
        <f>B87+B96+F87+F98+B97</f>
        <v>58216942.8149698</v>
      </c>
      <c r="E99" s="154" t="s">
        <v>285</v>
      </c>
      <c r="F99" s="64">
        <f>I66*I48*C16</f>
        <v>19440092.223835666</v>
      </c>
    </row>
    <row r="100" spans="1:18" ht="15.75" x14ac:dyDescent="0.3">
      <c r="A100" s="153" t="s">
        <v>286</v>
      </c>
      <c r="B100" s="81">
        <f>MIN((B98+2*D66*D48/L70)*(L70+L71)/L70,(B98*L70+B99*L71)/(L70+L71))</f>
        <v>131657.62161281882</v>
      </c>
      <c r="E100" s="154" t="s">
        <v>287</v>
      </c>
      <c r="F100" s="62">
        <f>M66*M48*C16</f>
        <v>30830713.382907685</v>
      </c>
    </row>
    <row r="101" spans="1:18" ht="15.75" x14ac:dyDescent="0.3">
      <c r="A101" s="153" t="s">
        <v>288</v>
      </c>
      <c r="B101" s="81">
        <f>F87+F98</f>
        <v>80020.027454504641</v>
      </c>
      <c r="E101" s="154" t="s">
        <v>289</v>
      </c>
      <c r="F101" s="62">
        <f>Q66*Q48*C16</f>
        <v>2868597.1446098387</v>
      </c>
    </row>
    <row r="102" spans="1:18" ht="15.75" x14ac:dyDescent="0.3">
      <c r="A102" s="153" t="s">
        <v>290</v>
      </c>
      <c r="B102" s="81">
        <f>B100-B101</f>
        <v>51637.594158314183</v>
      </c>
      <c r="E102" s="154" t="s">
        <v>291</v>
      </c>
      <c r="F102" s="62">
        <f>U66*U48*C17</f>
        <v>2306210.507326812</v>
      </c>
      <c r="I102" s="181"/>
      <c r="J102" s="181"/>
    </row>
    <row r="103" spans="1:18" ht="15.75" x14ac:dyDescent="0.3">
      <c r="A103" s="153" t="s">
        <v>292</v>
      </c>
      <c r="B103" s="81">
        <f>B102/D46*I46</f>
        <v>28165.960449989554</v>
      </c>
      <c r="C103" s="83"/>
      <c r="D103" s="156"/>
      <c r="E103" s="154" t="s">
        <v>293</v>
      </c>
      <c r="F103" s="62">
        <f>X66*X48*C18</f>
        <v>141630.24945934719</v>
      </c>
      <c r="I103" s="181"/>
      <c r="J103" s="181"/>
    </row>
    <row r="104" spans="1:18" ht="15.75" x14ac:dyDescent="0.3">
      <c r="A104" s="153" t="s">
        <v>294</v>
      </c>
      <c r="B104" s="81">
        <f>B102/D46*M46</f>
        <v>12674.682202495298</v>
      </c>
      <c r="E104" s="154" t="s">
        <v>295</v>
      </c>
      <c r="F104" s="62">
        <f>AA66*AA48*C17</f>
        <v>32750440.734000552</v>
      </c>
      <c r="I104" s="181"/>
      <c r="J104" s="181"/>
    </row>
    <row r="105" spans="1:18" ht="15.75" x14ac:dyDescent="0.3">
      <c r="A105" s="153" t="s">
        <v>296</v>
      </c>
      <c r="B105" s="81">
        <f>B102/D46*Q46</f>
        <v>4694.326741664926</v>
      </c>
      <c r="E105" s="154" t="s">
        <v>297</v>
      </c>
      <c r="F105" s="62">
        <f>AD66*AD48*C18</f>
        <v>603227.11879429489</v>
      </c>
      <c r="I105" s="181"/>
      <c r="J105" s="181"/>
    </row>
    <row r="106" spans="1:18" ht="15.75" x14ac:dyDescent="0.3">
      <c r="A106" s="153" t="s">
        <v>298</v>
      </c>
      <c r="B106" s="81">
        <f>B102/D46*U46</f>
        <v>1408.2980224994776</v>
      </c>
      <c r="F106" s="95"/>
      <c r="H106" s="84"/>
      <c r="I106" s="181"/>
      <c r="J106" s="181"/>
    </row>
    <row r="107" spans="1:18" ht="15.75" x14ac:dyDescent="0.3">
      <c r="A107" s="157" t="s">
        <v>299</v>
      </c>
      <c r="B107" s="114">
        <f>B102/D46*AA46</f>
        <v>4694.326741664926</v>
      </c>
      <c r="C107" s="99"/>
      <c r="D107" s="99"/>
      <c r="E107" s="99"/>
      <c r="F107" s="158"/>
      <c r="G107" s="84"/>
      <c r="H107" s="84"/>
      <c r="I107" s="181"/>
      <c r="J107" s="181"/>
    </row>
    <row r="108" spans="1:18" ht="15" x14ac:dyDescent="0.25">
      <c r="A108" s="93"/>
      <c r="F108" s="156"/>
      <c r="G108" s="84"/>
      <c r="H108" s="84"/>
      <c r="I108" s="181"/>
      <c r="J108" s="181"/>
    </row>
    <row r="110" spans="1:18" ht="15.75" x14ac:dyDescent="0.3">
      <c r="A110" s="87" t="s">
        <v>300</v>
      </c>
      <c r="B110" s="107" t="s">
        <v>301</v>
      </c>
      <c r="C110" s="107" t="s">
        <v>302</v>
      </c>
      <c r="D110" s="107" t="s">
        <v>303</v>
      </c>
      <c r="E110" s="107" t="s">
        <v>304</v>
      </c>
      <c r="F110" s="107" t="s">
        <v>305</v>
      </c>
      <c r="G110" s="107" t="s">
        <v>306</v>
      </c>
      <c r="H110" s="107" t="s">
        <v>307</v>
      </c>
      <c r="I110" s="68" t="s">
        <v>308</v>
      </c>
    </row>
    <row r="111" spans="1:18" x14ac:dyDescent="0.2">
      <c r="A111" s="82" t="s">
        <v>100</v>
      </c>
      <c r="B111" s="83">
        <f>B100</f>
        <v>131657.62161281882</v>
      </c>
      <c r="C111" s="83">
        <f>-B90</f>
        <v>-76.04295465703396</v>
      </c>
      <c r="D111" s="83">
        <f>-B91</f>
        <v>-0.54829030831955794</v>
      </c>
      <c r="E111" s="83">
        <f>-B92</f>
        <v>-0.64192000539017968</v>
      </c>
      <c r="F111" s="83">
        <f>-B93</f>
        <v>-1.215714755316466E-2</v>
      </c>
      <c r="G111" s="83">
        <v>0</v>
      </c>
      <c r="H111" s="83">
        <f>-B94</f>
        <v>-1.2815023328511201E-2</v>
      </c>
      <c r="I111" s="139">
        <v>0</v>
      </c>
    </row>
    <row r="112" spans="1:18" ht="15" x14ac:dyDescent="0.25">
      <c r="A112" s="82" t="s">
        <v>102</v>
      </c>
      <c r="B112" s="83">
        <f>-B103</f>
        <v>-28165.960449989554</v>
      </c>
      <c r="C112" s="83">
        <f>B90+D87+D91+F91+F99</f>
        <v>20564795.355023567</v>
      </c>
      <c r="D112" s="83">
        <v>0</v>
      </c>
      <c r="E112" s="83">
        <v>0</v>
      </c>
      <c r="F112" s="83">
        <v>0</v>
      </c>
      <c r="G112" s="83">
        <v>0</v>
      </c>
      <c r="H112" s="83">
        <v>0</v>
      </c>
      <c r="I112" s="139">
        <v>0</v>
      </c>
      <c r="J112" s="181"/>
      <c r="L112" s="181"/>
      <c r="N112" s="181"/>
      <c r="P112" s="181"/>
      <c r="R112" s="181"/>
    </row>
    <row r="113" spans="1:9" x14ac:dyDescent="0.2">
      <c r="A113" s="82" t="s">
        <v>103</v>
      </c>
      <c r="B113" s="83">
        <f>-B104</f>
        <v>-12674.682202495298</v>
      </c>
      <c r="C113" s="83">
        <v>0</v>
      </c>
      <c r="D113" s="83">
        <f>B91+D88+D92+F92+F100</f>
        <v>31337560.790671334</v>
      </c>
      <c r="E113" s="83">
        <v>0</v>
      </c>
      <c r="F113" s="83">
        <v>0</v>
      </c>
      <c r="G113" s="83">
        <v>0</v>
      </c>
      <c r="H113" s="83">
        <v>0</v>
      </c>
      <c r="I113" s="139">
        <v>0</v>
      </c>
    </row>
    <row r="114" spans="1:9" x14ac:dyDescent="0.2">
      <c r="A114" s="82" t="s">
        <v>105</v>
      </c>
      <c r="B114" s="83">
        <f>-B105</f>
        <v>-4694.326741664926</v>
      </c>
      <c r="C114" s="83">
        <v>0</v>
      </c>
      <c r="D114" s="83">
        <v>0</v>
      </c>
      <c r="E114" s="83">
        <f>B92+D89+D93+F93+F101</f>
        <v>3056308.8990555559</v>
      </c>
      <c r="F114" s="83">
        <v>0</v>
      </c>
      <c r="G114" s="83">
        <v>0</v>
      </c>
      <c r="H114" s="83">
        <v>0</v>
      </c>
      <c r="I114" s="139">
        <v>0</v>
      </c>
    </row>
    <row r="115" spans="1:9" x14ac:dyDescent="0.2">
      <c r="A115" s="82" t="s">
        <v>106</v>
      </c>
      <c r="B115" s="83">
        <f>-B106</f>
        <v>-1408.2980224994776</v>
      </c>
      <c r="C115" s="83">
        <f>-D87-D91</f>
        <v>-562441.28902974597</v>
      </c>
      <c r="D115" s="83">
        <f>-D88-D92</f>
        <v>-253474.07850362611</v>
      </c>
      <c r="E115" s="83">
        <f>-D89-D93</f>
        <v>-93874.406414841054</v>
      </c>
      <c r="F115" s="83">
        <f>B93+B88+D95+F88+F102</f>
        <v>6416448.8330867644</v>
      </c>
      <c r="G115" s="83">
        <f>-B88-D97</f>
        <v>-127926.05001906755</v>
      </c>
      <c r="H115" s="83">
        <v>0</v>
      </c>
      <c r="I115" s="139">
        <v>0</v>
      </c>
    </row>
    <row r="116" spans="1:9" x14ac:dyDescent="0.2">
      <c r="A116" s="82" t="s">
        <v>141</v>
      </c>
      <c r="B116" s="83">
        <v>0</v>
      </c>
      <c r="C116" s="83">
        <v>0</v>
      </c>
      <c r="D116" s="83">
        <v>0</v>
      </c>
      <c r="E116" s="83">
        <v>0</v>
      </c>
      <c r="F116" s="83">
        <f>-B88-D95</f>
        <v>-132916.10863796741</v>
      </c>
      <c r="G116" s="160">
        <f>B88+D97+F95+F103</f>
        <v>270677.53895330126</v>
      </c>
      <c r="H116" s="83">
        <v>0</v>
      </c>
      <c r="I116" s="139">
        <v>0</v>
      </c>
    </row>
    <row r="117" spans="1:9" x14ac:dyDescent="0.2">
      <c r="A117" s="82" t="s">
        <v>109</v>
      </c>
      <c r="B117" s="83">
        <f>-B107</f>
        <v>-4694.326741664926</v>
      </c>
      <c r="C117" s="83">
        <v>0</v>
      </c>
      <c r="D117" s="83">
        <v>0</v>
      </c>
      <c r="E117" s="83">
        <v>0</v>
      </c>
      <c r="F117" s="83">
        <f>-F88</f>
        <v>-3977322.204964838</v>
      </c>
      <c r="G117" s="83">
        <v>0</v>
      </c>
      <c r="H117" s="83">
        <f>B94+B89+D96+F89+F104</f>
        <v>84000181.246628568</v>
      </c>
      <c r="I117" s="139">
        <f>-B89-D98</f>
        <v>-405786.19027795206</v>
      </c>
    </row>
    <row r="118" spans="1:9" x14ac:dyDescent="0.2">
      <c r="A118" s="97" t="s">
        <v>142</v>
      </c>
      <c r="B118" s="142">
        <v>0</v>
      </c>
      <c r="C118" s="142">
        <v>0</v>
      </c>
      <c r="D118" s="142">
        <v>0</v>
      </c>
      <c r="E118" s="142">
        <v>0</v>
      </c>
      <c r="F118" s="142">
        <v>0</v>
      </c>
      <c r="G118" s="142">
        <v>0</v>
      </c>
      <c r="H118" s="142">
        <f>-B89-D96</f>
        <v>-416068.00291645637</v>
      </c>
      <c r="I118" s="143">
        <f>B89+D98+F96+F105</f>
        <v>1013788.857096035</v>
      </c>
    </row>
    <row r="119" spans="1:9" x14ac:dyDescent="0.2">
      <c r="A119" s="102"/>
      <c r="B119" s="116"/>
    </row>
    <row r="120" spans="1:9" x14ac:dyDescent="0.2">
      <c r="A120" s="102"/>
      <c r="B120" s="116"/>
    </row>
    <row r="121" spans="1:9" x14ac:dyDescent="0.2">
      <c r="A121" s="102"/>
      <c r="B121" s="116"/>
    </row>
    <row r="122" spans="1:9" x14ac:dyDescent="0.2">
      <c r="A122" s="102"/>
      <c r="B122" s="116"/>
    </row>
    <row r="123" spans="1:9" x14ac:dyDescent="0.2">
      <c r="A123" s="102"/>
      <c r="B123" s="116"/>
    </row>
    <row r="124" spans="1:9" x14ac:dyDescent="0.2">
      <c r="A124" s="102"/>
      <c r="B124" s="116"/>
    </row>
    <row r="125" spans="1:9" x14ac:dyDescent="0.2">
      <c r="A125" s="102"/>
      <c r="B125" s="116"/>
    </row>
    <row r="126" spans="1:9" x14ac:dyDescent="0.2">
      <c r="A126" s="102"/>
      <c r="B126" s="116"/>
    </row>
    <row r="127" spans="1:9" x14ac:dyDescent="0.2">
      <c r="A127" s="102"/>
      <c r="B127" s="116"/>
    </row>
    <row r="128" spans="1:9" x14ac:dyDescent="0.2">
      <c r="A128" s="102"/>
      <c r="B128" s="116"/>
    </row>
    <row r="129" spans="1:2" x14ac:dyDescent="0.2">
      <c r="A129" s="102"/>
      <c r="B129" s="116"/>
    </row>
    <row r="130" spans="1:2" x14ac:dyDescent="0.2">
      <c r="A130" s="102"/>
      <c r="B130" s="116"/>
    </row>
    <row r="131" spans="1:2" x14ac:dyDescent="0.2">
      <c r="A131" s="102"/>
      <c r="B131" s="116"/>
    </row>
    <row r="132" spans="1:2" x14ac:dyDescent="0.2">
      <c r="A132" s="102"/>
      <c r="B132" s="116"/>
    </row>
    <row r="133" spans="1:2" x14ac:dyDescent="0.2">
      <c r="A133" s="102"/>
      <c r="B133" s="116"/>
    </row>
    <row r="134" spans="1:2" x14ac:dyDescent="0.2">
      <c r="A134" s="102"/>
      <c r="B134" s="116"/>
    </row>
    <row r="135" spans="1:2" x14ac:dyDescent="0.2">
      <c r="A135" s="102"/>
      <c r="B135" s="116"/>
    </row>
    <row r="136" spans="1:2" x14ac:dyDescent="0.2">
      <c r="A136" s="102"/>
      <c r="B136" s="116"/>
    </row>
    <row r="137" spans="1:2" x14ac:dyDescent="0.2">
      <c r="A137" s="102"/>
      <c r="B137" s="116"/>
    </row>
    <row r="138" spans="1:2" x14ac:dyDescent="0.2">
      <c r="A138" s="102"/>
      <c r="B138" s="116"/>
    </row>
    <row r="139" spans="1:2" x14ac:dyDescent="0.2">
      <c r="A139" s="102"/>
      <c r="B139" s="116"/>
    </row>
    <row r="140" spans="1:2" x14ac:dyDescent="0.2">
      <c r="A140" s="102"/>
      <c r="B140" s="116"/>
    </row>
    <row r="141" spans="1:2" x14ac:dyDescent="0.2">
      <c r="A141" s="102"/>
      <c r="B141" s="116"/>
    </row>
    <row r="142" spans="1:2" x14ac:dyDescent="0.2">
      <c r="A142" s="102"/>
      <c r="B142" s="116"/>
    </row>
    <row r="143" spans="1:2" x14ac:dyDescent="0.2">
      <c r="A143" s="102"/>
      <c r="B143" s="116"/>
    </row>
    <row r="144" spans="1:2" x14ac:dyDescent="0.2">
      <c r="A144" s="102"/>
      <c r="B144" s="116"/>
    </row>
    <row r="145" spans="1:2" x14ac:dyDescent="0.2">
      <c r="A145" s="102"/>
      <c r="B145" s="116"/>
    </row>
    <row r="146" spans="1:2" x14ac:dyDescent="0.2">
      <c r="A146" s="102"/>
      <c r="B146" s="116"/>
    </row>
    <row r="147" spans="1:2" x14ac:dyDescent="0.2">
      <c r="A147" s="102"/>
      <c r="B147" s="116"/>
    </row>
    <row r="148" spans="1:2" x14ac:dyDescent="0.2">
      <c r="A148" s="102"/>
      <c r="B148" s="116"/>
    </row>
    <row r="149" spans="1:2" x14ac:dyDescent="0.2">
      <c r="A149" s="102"/>
      <c r="B149" s="116"/>
    </row>
    <row r="150" spans="1:2" x14ac:dyDescent="0.2">
      <c r="A150" s="102"/>
      <c r="B150" s="116"/>
    </row>
    <row r="151" spans="1:2" x14ac:dyDescent="0.2">
      <c r="A151" s="102"/>
      <c r="B151" s="116"/>
    </row>
    <row r="152" spans="1:2" x14ac:dyDescent="0.2">
      <c r="A152" s="102"/>
      <c r="B152" s="116"/>
    </row>
    <row r="153" spans="1:2" x14ac:dyDescent="0.2">
      <c r="A153" s="102"/>
      <c r="B153" s="116"/>
    </row>
    <row r="154" spans="1:2" x14ac:dyDescent="0.2">
      <c r="A154" s="102"/>
      <c r="B154" s="116"/>
    </row>
    <row r="155" spans="1:2" x14ac:dyDescent="0.2">
      <c r="A155" s="102"/>
      <c r="B155" s="116"/>
    </row>
    <row r="156" spans="1:2" x14ac:dyDescent="0.2">
      <c r="A156" s="102"/>
      <c r="B156" s="116"/>
    </row>
    <row r="157" spans="1:2" x14ac:dyDescent="0.2">
      <c r="A157" s="102"/>
      <c r="B157" s="116"/>
    </row>
    <row r="158" spans="1:2" x14ac:dyDescent="0.2">
      <c r="A158" s="102"/>
      <c r="B158" s="116"/>
    </row>
    <row r="159" spans="1:2" x14ac:dyDescent="0.2">
      <c r="A159" s="102"/>
      <c r="B159" s="116"/>
    </row>
    <row r="160" spans="1:2" x14ac:dyDescent="0.2">
      <c r="A160" s="102"/>
      <c r="B160" s="116"/>
    </row>
    <row r="161" spans="1:2" x14ac:dyDescent="0.2">
      <c r="A161" s="102"/>
      <c r="B161" s="116"/>
    </row>
    <row r="162" spans="1:2" x14ac:dyDescent="0.2">
      <c r="A162" s="102"/>
      <c r="B162" s="116"/>
    </row>
    <row r="163" spans="1:2" x14ac:dyDescent="0.2">
      <c r="A163" s="102"/>
      <c r="B163" s="116"/>
    </row>
    <row r="164" spans="1:2" x14ac:dyDescent="0.2">
      <c r="A164" s="102"/>
      <c r="B164" s="116"/>
    </row>
    <row r="165" spans="1:2" x14ac:dyDescent="0.2">
      <c r="A165" s="102"/>
      <c r="B165" s="116"/>
    </row>
    <row r="166" spans="1:2" x14ac:dyDescent="0.2">
      <c r="A166" s="102"/>
      <c r="B166" s="116"/>
    </row>
    <row r="167" spans="1:2" x14ac:dyDescent="0.2">
      <c r="A167" s="102"/>
      <c r="B167" s="116"/>
    </row>
    <row r="168" spans="1:2" x14ac:dyDescent="0.2">
      <c r="A168" s="102"/>
      <c r="B168" s="116"/>
    </row>
    <row r="169" spans="1:2" x14ac:dyDescent="0.2">
      <c r="A169" s="102"/>
      <c r="B169" s="116"/>
    </row>
    <row r="170" spans="1:2" x14ac:dyDescent="0.2">
      <c r="A170" s="102"/>
      <c r="B170" s="116"/>
    </row>
    <row r="171" spans="1:2" x14ac:dyDescent="0.2">
      <c r="A171" s="102"/>
      <c r="B171" s="116"/>
    </row>
    <row r="172" spans="1:2" x14ac:dyDescent="0.2">
      <c r="A172" s="102"/>
      <c r="B172" s="116"/>
    </row>
    <row r="173" spans="1:2" x14ac:dyDescent="0.2">
      <c r="A173" s="102"/>
      <c r="B173" s="116"/>
    </row>
    <row r="174" spans="1:2" x14ac:dyDescent="0.2">
      <c r="A174" s="102"/>
      <c r="B174" s="116"/>
    </row>
    <row r="175" spans="1:2" x14ac:dyDescent="0.2">
      <c r="A175" s="102"/>
      <c r="B175" s="116"/>
    </row>
    <row r="176" spans="1:2" x14ac:dyDescent="0.2">
      <c r="A176" s="102"/>
      <c r="B176" s="116"/>
    </row>
    <row r="177" spans="1:2" x14ac:dyDescent="0.2">
      <c r="A177" s="102"/>
      <c r="B177" s="116"/>
    </row>
    <row r="178" spans="1:2" x14ac:dyDescent="0.2">
      <c r="A178" s="102"/>
      <c r="B178" s="116"/>
    </row>
    <row r="179" spans="1:2" x14ac:dyDescent="0.2">
      <c r="A179" s="102"/>
      <c r="B179" s="116"/>
    </row>
    <row r="180" spans="1:2" x14ac:dyDescent="0.2">
      <c r="A180" s="102"/>
      <c r="B180" s="116"/>
    </row>
    <row r="181" spans="1:2" x14ac:dyDescent="0.2">
      <c r="A181" s="102"/>
      <c r="B181" s="116"/>
    </row>
    <row r="182" spans="1:2" x14ac:dyDescent="0.2">
      <c r="A182" s="102"/>
      <c r="B182" s="116"/>
    </row>
    <row r="183" spans="1:2" x14ac:dyDescent="0.2">
      <c r="A183" s="102"/>
      <c r="B183" s="116"/>
    </row>
    <row r="184" spans="1:2" x14ac:dyDescent="0.2">
      <c r="A184" s="102"/>
      <c r="B184" s="116"/>
    </row>
    <row r="185" spans="1:2" x14ac:dyDescent="0.2">
      <c r="A185" s="102"/>
      <c r="B185" s="116"/>
    </row>
    <row r="186" spans="1:2" x14ac:dyDescent="0.2">
      <c r="A186" s="102"/>
      <c r="B186" s="116"/>
    </row>
    <row r="187" spans="1:2" x14ac:dyDescent="0.2">
      <c r="A187" s="102"/>
      <c r="B187" s="116"/>
    </row>
    <row r="188" spans="1:2" x14ac:dyDescent="0.2">
      <c r="A188" s="102"/>
      <c r="B188" s="116"/>
    </row>
    <row r="189" spans="1:2" x14ac:dyDescent="0.2">
      <c r="A189" s="102"/>
      <c r="B189" s="116"/>
    </row>
    <row r="190" spans="1:2" x14ac:dyDescent="0.2">
      <c r="A190" s="102"/>
      <c r="B190" s="116"/>
    </row>
    <row r="191" spans="1:2" x14ac:dyDescent="0.2">
      <c r="A191" s="102"/>
      <c r="B191" s="116"/>
    </row>
    <row r="192" spans="1:2" x14ac:dyDescent="0.2">
      <c r="A192" s="102"/>
      <c r="B192" s="116"/>
    </row>
    <row r="193" spans="1:2" x14ac:dyDescent="0.2">
      <c r="A193" s="102"/>
      <c r="B193" s="116"/>
    </row>
    <row r="194" spans="1:2" x14ac:dyDescent="0.2">
      <c r="A194" s="102"/>
      <c r="B194" s="116"/>
    </row>
    <row r="195" spans="1:2" x14ac:dyDescent="0.2">
      <c r="A195" s="102"/>
      <c r="B195" s="116"/>
    </row>
    <row r="196" spans="1:2" x14ac:dyDescent="0.2">
      <c r="A196" s="102"/>
      <c r="B196" s="116"/>
    </row>
    <row r="197" spans="1:2" x14ac:dyDescent="0.2">
      <c r="A197" s="102"/>
      <c r="B197" s="116"/>
    </row>
    <row r="198" spans="1:2" x14ac:dyDescent="0.2">
      <c r="A198" s="102"/>
      <c r="B198" s="116"/>
    </row>
    <row r="199" spans="1:2" x14ac:dyDescent="0.2">
      <c r="A199" s="102"/>
      <c r="B199" s="116"/>
    </row>
    <row r="200" spans="1:2" x14ac:dyDescent="0.2">
      <c r="A200" s="102"/>
      <c r="B200" s="116"/>
    </row>
    <row r="201" spans="1:2" x14ac:dyDescent="0.2">
      <c r="A201" s="102"/>
      <c r="B201" s="116"/>
    </row>
    <row r="202" spans="1:2" x14ac:dyDescent="0.2">
      <c r="A202" s="102"/>
      <c r="B202" s="116"/>
    </row>
    <row r="203" spans="1:2" x14ac:dyDescent="0.2">
      <c r="A203" s="102"/>
      <c r="B203" s="116"/>
    </row>
    <row r="204" spans="1:2" x14ac:dyDescent="0.2">
      <c r="A204" s="102"/>
      <c r="B204" s="116"/>
    </row>
    <row r="205" spans="1:2" x14ac:dyDescent="0.2">
      <c r="A205" s="102"/>
      <c r="B205" s="116"/>
    </row>
    <row r="206" spans="1:2" x14ac:dyDescent="0.2">
      <c r="A206" s="102"/>
      <c r="B206" s="116"/>
    </row>
    <row r="207" spans="1:2" x14ac:dyDescent="0.2">
      <c r="A207" s="102"/>
      <c r="B207" s="116"/>
    </row>
    <row r="208" spans="1:2" x14ac:dyDescent="0.2">
      <c r="A208" s="102"/>
      <c r="B208" s="116"/>
    </row>
    <row r="209" spans="1:2" x14ac:dyDescent="0.2">
      <c r="A209" s="102"/>
      <c r="B209" s="116"/>
    </row>
    <row r="210" spans="1:2" x14ac:dyDescent="0.2">
      <c r="A210" s="102"/>
      <c r="B210" s="116"/>
    </row>
    <row r="211" spans="1:2" x14ac:dyDescent="0.2">
      <c r="A211" s="102"/>
      <c r="B211" s="116"/>
    </row>
    <row r="212" spans="1:2" x14ac:dyDescent="0.2">
      <c r="A212" s="102"/>
      <c r="B212" s="116"/>
    </row>
    <row r="213" spans="1:2" x14ac:dyDescent="0.2">
      <c r="A213" s="102"/>
      <c r="B213" s="116"/>
    </row>
    <row r="214" spans="1:2" x14ac:dyDescent="0.2">
      <c r="A214" s="102"/>
      <c r="B214" s="116"/>
    </row>
    <row r="215" spans="1:2" x14ac:dyDescent="0.2">
      <c r="A215" s="102"/>
      <c r="B215" s="116"/>
    </row>
    <row r="216" spans="1:2" x14ac:dyDescent="0.2">
      <c r="A216" s="102"/>
      <c r="B216" s="116"/>
    </row>
    <row r="217" spans="1:2" x14ac:dyDescent="0.2">
      <c r="A217" s="102"/>
      <c r="B217" s="116"/>
    </row>
    <row r="218" spans="1:2" x14ac:dyDescent="0.2">
      <c r="A218" s="102"/>
      <c r="B218" s="116"/>
    </row>
    <row r="219" spans="1:2" x14ac:dyDescent="0.2">
      <c r="A219" s="102"/>
      <c r="B219" s="116"/>
    </row>
    <row r="220" spans="1:2" x14ac:dyDescent="0.2">
      <c r="A220" s="102"/>
      <c r="B220" s="116"/>
    </row>
    <row r="221" spans="1:2" x14ac:dyDescent="0.2">
      <c r="A221" s="102"/>
      <c r="B221" s="116"/>
    </row>
    <row r="222" spans="1:2" x14ac:dyDescent="0.2">
      <c r="A222" s="102"/>
      <c r="B222" s="116"/>
    </row>
    <row r="223" spans="1:2" x14ac:dyDescent="0.2">
      <c r="A223" s="102"/>
      <c r="B223" s="116"/>
    </row>
    <row r="224" spans="1:2" x14ac:dyDescent="0.2">
      <c r="A224" s="102"/>
      <c r="B224" s="116"/>
    </row>
    <row r="225" spans="1:2" x14ac:dyDescent="0.2">
      <c r="A225" s="102"/>
      <c r="B225" s="116"/>
    </row>
    <row r="226" spans="1:2" x14ac:dyDescent="0.2">
      <c r="A226" s="102"/>
      <c r="B226" s="116"/>
    </row>
    <row r="227" spans="1:2" x14ac:dyDescent="0.2">
      <c r="A227" s="102"/>
      <c r="B227" s="116"/>
    </row>
    <row r="228" spans="1:2" x14ac:dyDescent="0.2">
      <c r="A228" s="102"/>
      <c r="B228" s="116"/>
    </row>
    <row r="229" spans="1:2" x14ac:dyDescent="0.2">
      <c r="A229" s="102"/>
      <c r="B229" s="116"/>
    </row>
    <row r="230" spans="1:2" x14ac:dyDescent="0.2">
      <c r="A230" s="102"/>
      <c r="B230" s="116"/>
    </row>
    <row r="231" spans="1:2" x14ac:dyDescent="0.2">
      <c r="A231" s="102"/>
      <c r="B231" s="116"/>
    </row>
    <row r="232" spans="1:2" x14ac:dyDescent="0.2">
      <c r="A232" s="102"/>
      <c r="B232" s="116"/>
    </row>
    <row r="233" spans="1:2" x14ac:dyDescent="0.2">
      <c r="A233" s="102"/>
      <c r="B233" s="116"/>
    </row>
    <row r="234" spans="1:2" x14ac:dyDescent="0.2">
      <c r="A234" s="102"/>
      <c r="B234" s="116"/>
    </row>
    <row r="235" spans="1:2" x14ac:dyDescent="0.2">
      <c r="A235" s="102"/>
      <c r="B235" s="116"/>
    </row>
    <row r="236" spans="1:2" x14ac:dyDescent="0.2">
      <c r="A236" s="102"/>
      <c r="B236" s="116"/>
    </row>
    <row r="237" spans="1:2" x14ac:dyDescent="0.2">
      <c r="A237" s="102"/>
      <c r="B237" s="116"/>
    </row>
    <row r="238" spans="1:2" x14ac:dyDescent="0.2">
      <c r="A238" s="102"/>
      <c r="B238" s="116"/>
    </row>
    <row r="239" spans="1:2" x14ac:dyDescent="0.2">
      <c r="A239" s="102"/>
      <c r="B239" s="116"/>
    </row>
    <row r="240" spans="1:2" x14ac:dyDescent="0.2">
      <c r="A240" s="102"/>
      <c r="B240" s="116"/>
    </row>
    <row r="241" spans="1:2" x14ac:dyDescent="0.2">
      <c r="A241" s="102"/>
      <c r="B241" s="116"/>
    </row>
    <row r="242" spans="1:2" x14ac:dyDescent="0.2">
      <c r="A242" s="102"/>
      <c r="B242" s="116"/>
    </row>
    <row r="243" spans="1:2" x14ac:dyDescent="0.2">
      <c r="A243" s="102"/>
      <c r="B243" s="116"/>
    </row>
    <row r="244" spans="1:2" x14ac:dyDescent="0.2">
      <c r="A244" s="102"/>
      <c r="B244" s="116"/>
    </row>
    <row r="245" spans="1:2" x14ac:dyDescent="0.2">
      <c r="A245" s="102"/>
      <c r="B245" s="116"/>
    </row>
    <row r="246" spans="1:2" x14ac:dyDescent="0.2">
      <c r="A246" s="102"/>
      <c r="B246" s="116"/>
    </row>
    <row r="247" spans="1:2" x14ac:dyDescent="0.2">
      <c r="A247" s="102"/>
      <c r="B247" s="116"/>
    </row>
    <row r="248" spans="1:2" x14ac:dyDescent="0.2">
      <c r="A248" s="102"/>
      <c r="B248" s="116"/>
    </row>
    <row r="249" spans="1:2" x14ac:dyDescent="0.2">
      <c r="A249" s="102"/>
      <c r="B249" s="116"/>
    </row>
    <row r="250" spans="1:2" x14ac:dyDescent="0.2">
      <c r="A250" s="102"/>
      <c r="B250" s="116"/>
    </row>
    <row r="251" spans="1:2" x14ac:dyDescent="0.2">
      <c r="A251" s="102"/>
      <c r="B251" s="116"/>
    </row>
    <row r="252" spans="1:2" x14ac:dyDescent="0.2">
      <c r="A252" s="102"/>
      <c r="B252" s="116"/>
    </row>
    <row r="253" spans="1:2" x14ac:dyDescent="0.2">
      <c r="A253" s="102"/>
      <c r="B253" s="116"/>
    </row>
    <row r="254" spans="1:2" x14ac:dyDescent="0.2">
      <c r="A254" s="102"/>
      <c r="B254" s="116"/>
    </row>
    <row r="255" spans="1:2" x14ac:dyDescent="0.2">
      <c r="A255" s="102"/>
      <c r="B255" s="116"/>
    </row>
    <row r="256" spans="1:2" x14ac:dyDescent="0.2">
      <c r="A256" s="102"/>
      <c r="B256" s="116"/>
    </row>
    <row r="257" spans="1:2" x14ac:dyDescent="0.2">
      <c r="A257" s="102"/>
      <c r="B257" s="116"/>
    </row>
    <row r="258" spans="1:2" x14ac:dyDescent="0.2">
      <c r="A258" s="102"/>
      <c r="B258" s="116"/>
    </row>
    <row r="259" spans="1:2" x14ac:dyDescent="0.2">
      <c r="A259" s="102"/>
      <c r="B259" s="116"/>
    </row>
    <row r="260" spans="1:2" x14ac:dyDescent="0.2">
      <c r="A260" s="102"/>
      <c r="B260" s="116"/>
    </row>
    <row r="261" spans="1:2" x14ac:dyDescent="0.2">
      <c r="A261" s="102"/>
      <c r="B261" s="116"/>
    </row>
    <row r="262" spans="1:2" x14ac:dyDescent="0.2">
      <c r="A262" s="102"/>
      <c r="B262" s="116"/>
    </row>
    <row r="263" spans="1:2" x14ac:dyDescent="0.2">
      <c r="A263" s="102"/>
      <c r="B263" s="116"/>
    </row>
    <row r="264" spans="1:2" x14ac:dyDescent="0.2">
      <c r="A264" s="102"/>
      <c r="B264" s="116"/>
    </row>
    <row r="265" spans="1:2" x14ac:dyDescent="0.2">
      <c r="A265" s="102"/>
      <c r="B265" s="116"/>
    </row>
    <row r="266" spans="1:2" x14ac:dyDescent="0.2">
      <c r="A266" s="102"/>
      <c r="B266" s="116"/>
    </row>
    <row r="267" spans="1:2" x14ac:dyDescent="0.2">
      <c r="A267" s="102"/>
      <c r="B267" s="116"/>
    </row>
    <row r="268" spans="1:2" x14ac:dyDescent="0.2">
      <c r="A268" s="102"/>
      <c r="B268" s="116"/>
    </row>
    <row r="269" spans="1:2" x14ac:dyDescent="0.2">
      <c r="A269" s="102"/>
      <c r="B269" s="116"/>
    </row>
    <row r="270" spans="1:2" x14ac:dyDescent="0.2">
      <c r="A270" s="102"/>
      <c r="B270" s="116"/>
    </row>
    <row r="271" spans="1:2" x14ac:dyDescent="0.2">
      <c r="A271" s="102"/>
      <c r="B271" s="116"/>
    </row>
    <row r="272" spans="1:2" x14ac:dyDescent="0.2">
      <c r="A272" s="102"/>
      <c r="B272" s="116"/>
    </row>
    <row r="273" spans="1:2" x14ac:dyDescent="0.2">
      <c r="A273" s="102"/>
      <c r="B273" s="116"/>
    </row>
    <row r="274" spans="1:2" x14ac:dyDescent="0.2">
      <c r="A274" s="102"/>
      <c r="B274" s="116"/>
    </row>
    <row r="275" spans="1:2" x14ac:dyDescent="0.2">
      <c r="A275" s="102"/>
      <c r="B275" s="116"/>
    </row>
    <row r="276" spans="1:2" x14ac:dyDescent="0.2">
      <c r="A276" s="102"/>
      <c r="B276" s="116"/>
    </row>
    <row r="277" spans="1:2" x14ac:dyDescent="0.2">
      <c r="A277" s="102"/>
      <c r="B277" s="116"/>
    </row>
    <row r="278" spans="1:2" x14ac:dyDescent="0.2">
      <c r="A278" s="102"/>
      <c r="B278" s="116"/>
    </row>
    <row r="279" spans="1:2" x14ac:dyDescent="0.2">
      <c r="A279" s="102"/>
      <c r="B279" s="116"/>
    </row>
    <row r="280" spans="1:2" x14ac:dyDescent="0.2">
      <c r="A280" s="102"/>
      <c r="B280" s="116"/>
    </row>
    <row r="281" spans="1:2" x14ac:dyDescent="0.2">
      <c r="A281" s="102"/>
      <c r="B281" s="116"/>
    </row>
    <row r="282" spans="1:2" x14ac:dyDescent="0.2">
      <c r="A282" s="102"/>
      <c r="B282" s="116"/>
    </row>
    <row r="283" spans="1:2" x14ac:dyDescent="0.2">
      <c r="A283" s="102"/>
      <c r="B283" s="116"/>
    </row>
    <row r="284" spans="1:2" x14ac:dyDescent="0.2">
      <c r="A284" s="102"/>
      <c r="B284" s="116"/>
    </row>
    <row r="285" spans="1:2" x14ac:dyDescent="0.2">
      <c r="A285" s="102"/>
      <c r="B285" s="116"/>
    </row>
    <row r="286" spans="1:2" x14ac:dyDescent="0.2">
      <c r="A286" s="102"/>
      <c r="B286" s="116"/>
    </row>
    <row r="287" spans="1:2" x14ac:dyDescent="0.2">
      <c r="A287" s="102"/>
      <c r="B287" s="116"/>
    </row>
    <row r="288" spans="1:2" x14ac:dyDescent="0.2">
      <c r="A288" s="102"/>
      <c r="B288" s="116"/>
    </row>
    <row r="289" spans="1:2" x14ac:dyDescent="0.2">
      <c r="A289" s="102"/>
      <c r="B289" s="116"/>
    </row>
    <row r="290" spans="1:2" x14ac:dyDescent="0.2">
      <c r="A290" s="102"/>
      <c r="B290" s="116"/>
    </row>
    <row r="291" spans="1:2" x14ac:dyDescent="0.2">
      <c r="A291" s="102"/>
      <c r="B291" s="116"/>
    </row>
    <row r="292" spans="1:2" x14ac:dyDescent="0.2">
      <c r="A292" s="102"/>
      <c r="B292" s="116"/>
    </row>
    <row r="293" spans="1:2" x14ac:dyDescent="0.2">
      <c r="A293" s="102"/>
      <c r="B293" s="116"/>
    </row>
    <row r="294" spans="1:2" x14ac:dyDescent="0.2">
      <c r="A294" s="102"/>
      <c r="B294" s="116"/>
    </row>
    <row r="295" spans="1:2" x14ac:dyDescent="0.2">
      <c r="A295" s="102"/>
      <c r="B295" s="116"/>
    </row>
    <row r="296" spans="1:2" x14ac:dyDescent="0.2">
      <c r="A296" s="102"/>
      <c r="B296" s="116"/>
    </row>
    <row r="297" spans="1:2" x14ac:dyDescent="0.2">
      <c r="A297" s="102"/>
      <c r="B297" s="116"/>
    </row>
    <row r="298" spans="1:2" x14ac:dyDescent="0.2">
      <c r="A298" s="102"/>
      <c r="B298" s="116"/>
    </row>
    <row r="299" spans="1:2" x14ac:dyDescent="0.2">
      <c r="A299" s="102"/>
      <c r="B299" s="116"/>
    </row>
    <row r="300" spans="1:2" x14ac:dyDescent="0.2">
      <c r="A300" s="102"/>
      <c r="B300" s="116"/>
    </row>
    <row r="301" spans="1:2" x14ac:dyDescent="0.2">
      <c r="A301" s="102"/>
      <c r="B301" s="116"/>
    </row>
    <row r="302" spans="1:2" x14ac:dyDescent="0.2">
      <c r="A302" s="102"/>
      <c r="B302" s="116"/>
    </row>
    <row r="303" spans="1:2" x14ac:dyDescent="0.2">
      <c r="A303" s="102"/>
      <c r="B303" s="116"/>
    </row>
    <row r="304" spans="1:2" x14ac:dyDescent="0.2">
      <c r="A304" s="102"/>
      <c r="B304" s="116"/>
    </row>
    <row r="305" spans="1:2" x14ac:dyDescent="0.2">
      <c r="A305" s="102"/>
      <c r="B305" s="116"/>
    </row>
    <row r="306" spans="1:2" x14ac:dyDescent="0.2">
      <c r="A306" s="102"/>
      <c r="B306" s="116"/>
    </row>
    <row r="307" spans="1:2" x14ac:dyDescent="0.2">
      <c r="A307" s="102"/>
      <c r="B307" s="116"/>
    </row>
    <row r="308" spans="1:2" x14ac:dyDescent="0.2">
      <c r="A308" s="102"/>
      <c r="B308" s="116"/>
    </row>
    <row r="309" spans="1:2" x14ac:dyDescent="0.2">
      <c r="A309" s="102"/>
      <c r="B309" s="116"/>
    </row>
    <row r="310" spans="1:2" x14ac:dyDescent="0.2">
      <c r="A310" s="102"/>
      <c r="B310" s="116"/>
    </row>
    <row r="311" spans="1:2" x14ac:dyDescent="0.2">
      <c r="A311" s="102"/>
      <c r="B311" s="116"/>
    </row>
    <row r="312" spans="1:2" x14ac:dyDescent="0.2">
      <c r="A312" s="102"/>
      <c r="B312" s="116"/>
    </row>
    <row r="313" spans="1:2" x14ac:dyDescent="0.2">
      <c r="A313" s="102"/>
      <c r="B313" s="116"/>
    </row>
    <row r="314" spans="1:2" x14ac:dyDescent="0.2">
      <c r="A314" s="102"/>
      <c r="B314" s="116"/>
    </row>
    <row r="315" spans="1:2" x14ac:dyDescent="0.2">
      <c r="A315" s="102"/>
      <c r="B315" s="116"/>
    </row>
    <row r="316" spans="1:2" x14ac:dyDescent="0.2">
      <c r="A316" s="102"/>
      <c r="B316" s="116"/>
    </row>
    <row r="317" spans="1:2" x14ac:dyDescent="0.2">
      <c r="A317" s="102"/>
      <c r="B317" s="116"/>
    </row>
    <row r="318" spans="1:2" x14ac:dyDescent="0.2">
      <c r="A318" s="102"/>
      <c r="B318" s="116"/>
    </row>
    <row r="319" spans="1:2" x14ac:dyDescent="0.2">
      <c r="A319" s="102"/>
      <c r="B319" s="116"/>
    </row>
    <row r="320" spans="1:2" x14ac:dyDescent="0.2">
      <c r="A320" s="102"/>
      <c r="B320" s="116"/>
    </row>
    <row r="321" spans="1:2" x14ac:dyDescent="0.2">
      <c r="A321" s="102"/>
      <c r="B321" s="116"/>
    </row>
    <row r="322" spans="1:2" x14ac:dyDescent="0.2">
      <c r="A322" s="102"/>
      <c r="B322" s="116"/>
    </row>
    <row r="323" spans="1:2" x14ac:dyDescent="0.2">
      <c r="A323" s="102"/>
      <c r="B323" s="116"/>
    </row>
    <row r="324" spans="1:2" x14ac:dyDescent="0.2">
      <c r="A324" s="102"/>
      <c r="B324" s="116"/>
    </row>
    <row r="325" spans="1:2" x14ac:dyDescent="0.2">
      <c r="A325" s="102"/>
      <c r="B325" s="116"/>
    </row>
    <row r="326" spans="1:2" x14ac:dyDescent="0.2">
      <c r="A326" s="102"/>
      <c r="B326" s="116"/>
    </row>
    <row r="327" spans="1:2" x14ac:dyDescent="0.2">
      <c r="A327" s="102"/>
      <c r="B327" s="116"/>
    </row>
    <row r="328" spans="1:2" x14ac:dyDescent="0.2">
      <c r="A328" s="102"/>
      <c r="B328" s="116"/>
    </row>
    <row r="329" spans="1:2" x14ac:dyDescent="0.2">
      <c r="A329" s="102"/>
      <c r="B329" s="116"/>
    </row>
    <row r="330" spans="1:2" x14ac:dyDescent="0.2">
      <c r="A330" s="102"/>
      <c r="B330" s="116"/>
    </row>
    <row r="331" spans="1:2" x14ac:dyDescent="0.2">
      <c r="A331" s="102"/>
      <c r="B331" s="116"/>
    </row>
    <row r="332" spans="1:2" x14ac:dyDescent="0.2">
      <c r="A332" s="102"/>
      <c r="B332" s="116"/>
    </row>
    <row r="333" spans="1:2" x14ac:dyDescent="0.2">
      <c r="A333" s="102"/>
      <c r="B333" s="116"/>
    </row>
    <row r="334" spans="1:2" x14ac:dyDescent="0.2">
      <c r="A334" s="102"/>
      <c r="B334" s="116"/>
    </row>
    <row r="335" spans="1:2" x14ac:dyDescent="0.2">
      <c r="A335" s="102"/>
      <c r="B335" s="116"/>
    </row>
    <row r="336" spans="1:2" x14ac:dyDescent="0.2">
      <c r="A336" s="102"/>
      <c r="B336" s="116"/>
    </row>
    <row r="337" spans="1:2" x14ac:dyDescent="0.2">
      <c r="A337" s="102"/>
      <c r="B337" s="116"/>
    </row>
    <row r="338" spans="1:2" x14ac:dyDescent="0.2">
      <c r="A338" s="102"/>
      <c r="B338" s="116"/>
    </row>
    <row r="339" spans="1:2" x14ac:dyDescent="0.2">
      <c r="A339" s="102"/>
      <c r="B339" s="116"/>
    </row>
    <row r="340" spans="1:2" x14ac:dyDescent="0.2">
      <c r="A340" s="102"/>
      <c r="B340" s="116"/>
    </row>
    <row r="341" spans="1:2" x14ac:dyDescent="0.2">
      <c r="A341" s="102"/>
      <c r="B341" s="116"/>
    </row>
    <row r="342" spans="1:2" x14ac:dyDescent="0.2">
      <c r="A342" s="102"/>
      <c r="B342" s="116"/>
    </row>
    <row r="343" spans="1:2" x14ac:dyDescent="0.2">
      <c r="A343" s="102"/>
      <c r="B343" s="116"/>
    </row>
    <row r="344" spans="1:2" x14ac:dyDescent="0.2">
      <c r="A344" s="102"/>
      <c r="B344" s="116"/>
    </row>
    <row r="345" spans="1:2" x14ac:dyDescent="0.2">
      <c r="A345" s="102"/>
      <c r="B345" s="116"/>
    </row>
    <row r="346" spans="1:2" x14ac:dyDescent="0.2">
      <c r="A346" s="102"/>
      <c r="B346" s="116"/>
    </row>
    <row r="347" spans="1:2" x14ac:dyDescent="0.2">
      <c r="A347" s="102"/>
      <c r="B347" s="116"/>
    </row>
    <row r="348" spans="1:2" x14ac:dyDescent="0.2">
      <c r="A348" s="102"/>
      <c r="B348" s="116"/>
    </row>
    <row r="349" spans="1:2" x14ac:dyDescent="0.2">
      <c r="A349" s="102"/>
      <c r="B349" s="116"/>
    </row>
    <row r="350" spans="1:2" x14ac:dyDescent="0.2">
      <c r="A350" s="102"/>
      <c r="B350" s="116"/>
    </row>
    <row r="351" spans="1:2" x14ac:dyDescent="0.2">
      <c r="A351" s="102"/>
      <c r="B351" s="116"/>
    </row>
    <row r="352" spans="1:2" x14ac:dyDescent="0.2">
      <c r="A352" s="102"/>
      <c r="B352" s="116"/>
    </row>
    <row r="353" spans="1:2" x14ac:dyDescent="0.2">
      <c r="A353" s="102"/>
      <c r="B353" s="116"/>
    </row>
    <row r="354" spans="1:2" x14ac:dyDescent="0.2">
      <c r="A354" s="102"/>
      <c r="B354" s="116"/>
    </row>
    <row r="355" spans="1:2" x14ac:dyDescent="0.2">
      <c r="A355" s="102"/>
      <c r="B355" s="116"/>
    </row>
    <row r="356" spans="1:2" x14ac:dyDescent="0.2">
      <c r="A356" s="102"/>
      <c r="B356" s="116"/>
    </row>
    <row r="357" spans="1:2" x14ac:dyDescent="0.2">
      <c r="A357" s="102"/>
      <c r="B357" s="116"/>
    </row>
    <row r="358" spans="1:2" x14ac:dyDescent="0.2">
      <c r="A358" s="102"/>
      <c r="B358" s="116"/>
    </row>
    <row r="359" spans="1:2" x14ac:dyDescent="0.2">
      <c r="A359" s="102"/>
      <c r="B359" s="116"/>
    </row>
    <row r="360" spans="1:2" x14ac:dyDescent="0.2">
      <c r="A360" s="102"/>
      <c r="B360" s="116"/>
    </row>
    <row r="361" spans="1:2" x14ac:dyDescent="0.2">
      <c r="A361" s="102"/>
      <c r="B361" s="116"/>
    </row>
    <row r="362" spans="1:2" x14ac:dyDescent="0.2">
      <c r="A362" s="102"/>
      <c r="B362" s="116"/>
    </row>
    <row r="363" spans="1:2" x14ac:dyDescent="0.2">
      <c r="A363" s="102"/>
      <c r="B363" s="116"/>
    </row>
    <row r="364" spans="1:2" x14ac:dyDescent="0.2">
      <c r="A364" s="102"/>
      <c r="B364" s="116"/>
    </row>
    <row r="365" spans="1:2" x14ac:dyDescent="0.2">
      <c r="A365" s="102"/>
      <c r="B365" s="116"/>
    </row>
    <row r="366" spans="1:2" x14ac:dyDescent="0.2">
      <c r="A366" s="102"/>
      <c r="B366" s="116"/>
    </row>
    <row r="367" spans="1:2" x14ac:dyDescent="0.2">
      <c r="A367" s="102"/>
      <c r="B367" s="116"/>
    </row>
    <row r="368" spans="1:2" x14ac:dyDescent="0.2">
      <c r="A368" s="102"/>
      <c r="B368" s="116"/>
    </row>
    <row r="369" spans="1:2" x14ac:dyDescent="0.2">
      <c r="A369" s="102"/>
      <c r="B369" s="116"/>
    </row>
    <row r="370" spans="1:2" x14ac:dyDescent="0.2">
      <c r="A370" s="102"/>
      <c r="B370" s="116"/>
    </row>
    <row r="371" spans="1:2" x14ac:dyDescent="0.2">
      <c r="A371" s="102"/>
      <c r="B371" s="116"/>
    </row>
    <row r="372" spans="1:2" x14ac:dyDescent="0.2">
      <c r="A372" s="102"/>
      <c r="B372" s="116"/>
    </row>
    <row r="373" spans="1:2" x14ac:dyDescent="0.2">
      <c r="A373" s="102"/>
      <c r="B373" s="116"/>
    </row>
    <row r="374" spans="1:2" x14ac:dyDescent="0.2">
      <c r="A374" s="102"/>
      <c r="B374" s="116"/>
    </row>
    <row r="375" spans="1:2" x14ac:dyDescent="0.2">
      <c r="A375" s="102"/>
      <c r="B375" s="116"/>
    </row>
    <row r="376" spans="1:2" x14ac:dyDescent="0.2">
      <c r="A376" s="102"/>
      <c r="B376" s="116"/>
    </row>
    <row r="377" spans="1:2" x14ac:dyDescent="0.2">
      <c r="A377" s="102"/>
      <c r="B377" s="116"/>
    </row>
    <row r="378" spans="1:2" x14ac:dyDescent="0.2">
      <c r="A378" s="102"/>
      <c r="B378" s="116"/>
    </row>
    <row r="379" spans="1:2" x14ac:dyDescent="0.2">
      <c r="A379" s="102"/>
      <c r="B379" s="116"/>
    </row>
    <row r="380" spans="1:2" x14ac:dyDescent="0.2">
      <c r="A380" s="102"/>
      <c r="B380" s="116"/>
    </row>
    <row r="381" spans="1:2" x14ac:dyDescent="0.2">
      <c r="A381" s="102"/>
      <c r="B381" s="116"/>
    </row>
    <row r="382" spans="1:2" x14ac:dyDescent="0.2">
      <c r="A382" s="102"/>
      <c r="B382" s="116"/>
    </row>
    <row r="383" spans="1:2" x14ac:dyDescent="0.2">
      <c r="A383" s="102"/>
      <c r="B383" s="116"/>
    </row>
    <row r="384" spans="1:2" x14ac:dyDescent="0.2">
      <c r="A384" s="102"/>
      <c r="B384" s="116"/>
    </row>
    <row r="385" spans="1:2" x14ac:dyDescent="0.2">
      <c r="A385" s="102"/>
      <c r="B385" s="116"/>
    </row>
    <row r="386" spans="1:2" x14ac:dyDescent="0.2">
      <c r="A386" s="102"/>
      <c r="B386" s="116"/>
    </row>
    <row r="387" spans="1:2" x14ac:dyDescent="0.2">
      <c r="A387" s="102"/>
      <c r="B387" s="116"/>
    </row>
    <row r="388" spans="1:2" x14ac:dyDescent="0.2">
      <c r="A388" s="102"/>
      <c r="B388" s="116"/>
    </row>
    <row r="389" spans="1:2" x14ac:dyDescent="0.2">
      <c r="A389" s="102"/>
      <c r="B389" s="116"/>
    </row>
    <row r="390" spans="1:2" x14ac:dyDescent="0.2">
      <c r="A390" s="102"/>
      <c r="B390" s="116"/>
    </row>
    <row r="391" spans="1:2" x14ac:dyDescent="0.2">
      <c r="A391" s="102"/>
      <c r="B391" s="116"/>
    </row>
    <row r="392" spans="1:2" x14ac:dyDescent="0.2">
      <c r="A392" s="102"/>
      <c r="B392" s="116"/>
    </row>
    <row r="393" spans="1:2" x14ac:dyDescent="0.2">
      <c r="A393" s="102"/>
      <c r="B393" s="116"/>
    </row>
    <row r="394" spans="1:2" x14ac:dyDescent="0.2">
      <c r="A394" s="102"/>
      <c r="B394" s="116"/>
    </row>
    <row r="395" spans="1:2" x14ac:dyDescent="0.2">
      <c r="A395" s="102"/>
      <c r="B395" s="116"/>
    </row>
    <row r="396" spans="1:2" x14ac:dyDescent="0.2">
      <c r="A396" s="102"/>
      <c r="B396" s="116"/>
    </row>
    <row r="397" spans="1:2" x14ac:dyDescent="0.2">
      <c r="A397" s="102"/>
      <c r="B397" s="116"/>
    </row>
    <row r="398" spans="1:2" x14ac:dyDescent="0.2">
      <c r="A398" s="102"/>
      <c r="B398" s="116"/>
    </row>
    <row r="399" spans="1:2" x14ac:dyDescent="0.2">
      <c r="A399" s="102"/>
      <c r="B399" s="116"/>
    </row>
    <row r="400" spans="1:2" x14ac:dyDescent="0.2">
      <c r="A400" s="102"/>
      <c r="B400" s="116"/>
    </row>
    <row r="401" spans="1:2" x14ac:dyDescent="0.2">
      <c r="A401" s="102"/>
      <c r="B401" s="116"/>
    </row>
    <row r="402" spans="1:2" x14ac:dyDescent="0.2">
      <c r="A402" s="102"/>
      <c r="B402" s="116"/>
    </row>
    <row r="403" spans="1:2" x14ac:dyDescent="0.2">
      <c r="A403" s="102"/>
      <c r="B403" s="116"/>
    </row>
    <row r="404" spans="1:2" x14ac:dyDescent="0.2">
      <c r="A404" s="102"/>
      <c r="B404" s="116"/>
    </row>
    <row r="405" spans="1:2" x14ac:dyDescent="0.2">
      <c r="A405" s="102"/>
      <c r="B405" s="116"/>
    </row>
    <row r="406" spans="1:2" x14ac:dyDescent="0.2">
      <c r="A406" s="102"/>
      <c r="B406" s="116"/>
    </row>
    <row r="407" spans="1:2" x14ac:dyDescent="0.2">
      <c r="A407" s="102"/>
      <c r="B407" s="116"/>
    </row>
    <row r="408" spans="1:2" x14ac:dyDescent="0.2">
      <c r="A408" s="102"/>
      <c r="B408" s="116"/>
    </row>
    <row r="409" spans="1:2" x14ac:dyDescent="0.2">
      <c r="A409" s="102"/>
      <c r="B409" s="116"/>
    </row>
    <row r="410" spans="1:2" x14ac:dyDescent="0.2">
      <c r="A410" s="102"/>
      <c r="B410" s="116"/>
    </row>
    <row r="411" spans="1:2" x14ac:dyDescent="0.2">
      <c r="A411" s="102"/>
      <c r="B411" s="116"/>
    </row>
    <row r="412" spans="1:2" x14ac:dyDescent="0.2">
      <c r="A412" s="102"/>
      <c r="B412" s="116"/>
    </row>
    <row r="413" spans="1:2" x14ac:dyDescent="0.2">
      <c r="A413" s="102"/>
      <c r="B413" s="116"/>
    </row>
    <row r="414" spans="1:2" x14ac:dyDescent="0.2">
      <c r="A414" s="102"/>
      <c r="B414" s="116"/>
    </row>
    <row r="415" spans="1:2" x14ac:dyDescent="0.2">
      <c r="A415" s="102"/>
      <c r="B415" s="116"/>
    </row>
    <row r="416" spans="1:2" x14ac:dyDescent="0.2">
      <c r="A416" s="102"/>
      <c r="B416" s="116"/>
    </row>
    <row r="417" spans="1:2" x14ac:dyDescent="0.2">
      <c r="A417" s="102"/>
      <c r="B417" s="116"/>
    </row>
    <row r="418" spans="1:2" x14ac:dyDescent="0.2">
      <c r="A418" s="102"/>
      <c r="B418" s="116"/>
    </row>
    <row r="419" spans="1:2" x14ac:dyDescent="0.2">
      <c r="A419" s="102"/>
      <c r="B419" s="116"/>
    </row>
    <row r="420" spans="1:2" x14ac:dyDescent="0.2">
      <c r="A420" s="102"/>
      <c r="B420" s="116"/>
    </row>
    <row r="421" spans="1:2" x14ac:dyDescent="0.2">
      <c r="A421" s="102"/>
      <c r="B421" s="116"/>
    </row>
    <row r="422" spans="1:2" x14ac:dyDescent="0.2">
      <c r="A422" s="102"/>
      <c r="B422" s="116"/>
    </row>
    <row r="423" spans="1:2" x14ac:dyDescent="0.2">
      <c r="A423" s="102"/>
      <c r="B423" s="116"/>
    </row>
    <row r="424" spans="1:2" x14ac:dyDescent="0.2">
      <c r="A424" s="102"/>
      <c r="B424" s="116"/>
    </row>
    <row r="425" spans="1:2" x14ac:dyDescent="0.2">
      <c r="A425" s="102"/>
      <c r="B425" s="116"/>
    </row>
    <row r="426" spans="1:2" x14ac:dyDescent="0.2">
      <c r="A426" s="102"/>
      <c r="B426" s="116"/>
    </row>
    <row r="427" spans="1:2" x14ac:dyDescent="0.2">
      <c r="A427" s="102"/>
      <c r="B427" s="116"/>
    </row>
    <row r="428" spans="1:2" x14ac:dyDescent="0.2">
      <c r="A428" s="102"/>
      <c r="B428" s="116"/>
    </row>
    <row r="429" spans="1:2" x14ac:dyDescent="0.2">
      <c r="A429" s="102"/>
      <c r="B429" s="116"/>
    </row>
    <row r="430" spans="1:2" x14ac:dyDescent="0.2">
      <c r="A430" s="102"/>
      <c r="B430" s="116"/>
    </row>
    <row r="431" spans="1:2" x14ac:dyDescent="0.2">
      <c r="A431" s="102"/>
      <c r="B431" s="116"/>
    </row>
    <row r="432" spans="1:2" x14ac:dyDescent="0.2">
      <c r="A432" s="102"/>
      <c r="B432" s="116"/>
    </row>
    <row r="433" spans="1:2" x14ac:dyDescent="0.2">
      <c r="A433" s="102"/>
      <c r="B433" s="116"/>
    </row>
    <row r="434" spans="1:2" x14ac:dyDescent="0.2">
      <c r="A434" s="102"/>
      <c r="B434" s="116"/>
    </row>
    <row r="435" spans="1:2" x14ac:dyDescent="0.2">
      <c r="A435" s="102"/>
      <c r="B435" s="116"/>
    </row>
    <row r="436" spans="1:2" x14ac:dyDescent="0.2">
      <c r="A436" s="102"/>
      <c r="B436" s="116"/>
    </row>
    <row r="437" spans="1:2" x14ac:dyDescent="0.2">
      <c r="A437" s="102"/>
      <c r="B437" s="116"/>
    </row>
    <row r="438" spans="1:2" x14ac:dyDescent="0.2">
      <c r="A438" s="102"/>
      <c r="B438" s="116"/>
    </row>
    <row r="439" spans="1:2" x14ac:dyDescent="0.2">
      <c r="A439" s="102"/>
      <c r="B439" s="116"/>
    </row>
    <row r="440" spans="1:2" x14ac:dyDescent="0.2">
      <c r="A440" s="102"/>
      <c r="B440" s="116"/>
    </row>
    <row r="441" spans="1:2" x14ac:dyDescent="0.2">
      <c r="A441" s="102"/>
      <c r="B441" s="116"/>
    </row>
    <row r="442" spans="1:2" x14ac:dyDescent="0.2">
      <c r="A442" s="102"/>
      <c r="B442" s="116"/>
    </row>
    <row r="443" spans="1:2" x14ac:dyDescent="0.2">
      <c r="A443" s="102"/>
      <c r="B443" s="116"/>
    </row>
    <row r="444" spans="1:2" x14ac:dyDescent="0.2">
      <c r="A444" s="102"/>
      <c r="B444" s="116"/>
    </row>
    <row r="445" spans="1:2" x14ac:dyDescent="0.2">
      <c r="A445" s="102"/>
      <c r="B445" s="116"/>
    </row>
    <row r="446" spans="1:2" x14ac:dyDescent="0.2">
      <c r="A446" s="102"/>
      <c r="B446" s="116"/>
    </row>
    <row r="447" spans="1:2" x14ac:dyDescent="0.2">
      <c r="A447" s="102"/>
      <c r="B447" s="116"/>
    </row>
    <row r="448" spans="1:2" x14ac:dyDescent="0.2">
      <c r="A448" s="102"/>
      <c r="B448" s="116"/>
    </row>
    <row r="449" spans="1:2" x14ac:dyDescent="0.2">
      <c r="A449" s="102"/>
      <c r="B449" s="116"/>
    </row>
    <row r="450" spans="1:2" x14ac:dyDescent="0.2">
      <c r="A450" s="102"/>
      <c r="B450" s="116"/>
    </row>
    <row r="451" spans="1:2" x14ac:dyDescent="0.2">
      <c r="A451" s="102"/>
      <c r="B451" s="116"/>
    </row>
    <row r="452" spans="1:2" x14ac:dyDescent="0.2">
      <c r="A452" s="102"/>
      <c r="B452" s="116"/>
    </row>
    <row r="453" spans="1:2" x14ac:dyDescent="0.2">
      <c r="A453" s="102"/>
      <c r="B453" s="116"/>
    </row>
    <row r="454" spans="1:2" x14ac:dyDescent="0.2">
      <c r="A454" s="102"/>
      <c r="B454" s="116"/>
    </row>
    <row r="455" spans="1:2" x14ac:dyDescent="0.2">
      <c r="A455" s="102"/>
      <c r="B455" s="116"/>
    </row>
    <row r="456" spans="1:2" x14ac:dyDescent="0.2">
      <c r="A456" s="102"/>
      <c r="B456" s="116"/>
    </row>
    <row r="457" spans="1:2" x14ac:dyDescent="0.2">
      <c r="A457" s="102"/>
      <c r="B457" s="116"/>
    </row>
    <row r="458" spans="1:2" x14ac:dyDescent="0.2">
      <c r="A458" s="102"/>
      <c r="B458" s="116"/>
    </row>
    <row r="459" spans="1:2" x14ac:dyDescent="0.2">
      <c r="A459" s="102"/>
      <c r="B459" s="116"/>
    </row>
    <row r="460" spans="1:2" x14ac:dyDescent="0.2">
      <c r="A460" s="102"/>
      <c r="B460" s="116"/>
    </row>
    <row r="461" spans="1:2" x14ac:dyDescent="0.2">
      <c r="A461" s="102"/>
      <c r="B461" s="116"/>
    </row>
    <row r="462" spans="1:2" x14ac:dyDescent="0.2">
      <c r="A462" s="102"/>
      <c r="B462" s="116"/>
    </row>
    <row r="463" spans="1:2" x14ac:dyDescent="0.2">
      <c r="A463" s="102"/>
      <c r="B463" s="116"/>
    </row>
    <row r="464" spans="1:2" x14ac:dyDescent="0.2">
      <c r="A464" s="102"/>
      <c r="B464" s="116"/>
    </row>
    <row r="465" spans="1:2" x14ac:dyDescent="0.2">
      <c r="A465" s="102"/>
      <c r="B465" s="116"/>
    </row>
    <row r="466" spans="1:2" x14ac:dyDescent="0.2">
      <c r="A466" s="102"/>
      <c r="B466" s="116"/>
    </row>
    <row r="467" spans="1:2" x14ac:dyDescent="0.2">
      <c r="A467" s="102"/>
      <c r="B467" s="116"/>
    </row>
    <row r="468" spans="1:2" x14ac:dyDescent="0.2">
      <c r="A468" s="102"/>
      <c r="B468" s="116"/>
    </row>
    <row r="469" spans="1:2" x14ac:dyDescent="0.2">
      <c r="A469" s="102"/>
      <c r="B469" s="116"/>
    </row>
    <row r="470" spans="1:2" x14ac:dyDescent="0.2">
      <c r="A470" s="102"/>
      <c r="B470" s="116"/>
    </row>
    <row r="471" spans="1:2" x14ac:dyDescent="0.2">
      <c r="A471" s="102"/>
      <c r="B471" s="116"/>
    </row>
    <row r="472" spans="1:2" x14ac:dyDescent="0.2">
      <c r="A472" s="102"/>
      <c r="B472" s="116"/>
    </row>
    <row r="473" spans="1:2" x14ac:dyDescent="0.2">
      <c r="A473" s="102"/>
      <c r="B473" s="116"/>
    </row>
    <row r="474" spans="1:2" x14ac:dyDescent="0.2">
      <c r="A474" s="102"/>
      <c r="B474" s="116"/>
    </row>
    <row r="475" spans="1:2" x14ac:dyDescent="0.2">
      <c r="A475" s="102"/>
      <c r="B475" s="116"/>
    </row>
    <row r="476" spans="1:2" x14ac:dyDescent="0.2">
      <c r="A476" s="102"/>
      <c r="B476" s="116"/>
    </row>
    <row r="477" spans="1:2" x14ac:dyDescent="0.2">
      <c r="A477" s="102"/>
      <c r="B477" s="116"/>
    </row>
    <row r="478" spans="1:2" x14ac:dyDescent="0.2">
      <c r="A478" s="102"/>
      <c r="B478" s="116"/>
    </row>
    <row r="479" spans="1:2" x14ac:dyDescent="0.2">
      <c r="A479" s="102"/>
      <c r="B479" s="116"/>
    </row>
    <row r="480" spans="1:2" x14ac:dyDescent="0.2">
      <c r="A480" s="102"/>
      <c r="B480" s="116"/>
    </row>
    <row r="481" spans="1:2" x14ac:dyDescent="0.2">
      <c r="A481" s="102"/>
      <c r="B481" s="116"/>
    </row>
    <row r="482" spans="1:2" x14ac:dyDescent="0.2">
      <c r="A482" s="102"/>
      <c r="B482" s="116"/>
    </row>
    <row r="483" spans="1:2" x14ac:dyDescent="0.2">
      <c r="A483" s="102"/>
      <c r="B483" s="116"/>
    </row>
    <row r="484" spans="1:2" x14ac:dyDescent="0.2">
      <c r="A484" s="102"/>
      <c r="B484" s="116"/>
    </row>
    <row r="485" spans="1:2" x14ac:dyDescent="0.2">
      <c r="A485" s="102"/>
      <c r="B485" s="116"/>
    </row>
    <row r="486" spans="1:2" x14ac:dyDescent="0.2">
      <c r="A486" s="102"/>
      <c r="B486" s="116"/>
    </row>
    <row r="487" spans="1:2" x14ac:dyDescent="0.2">
      <c r="A487" s="102"/>
      <c r="B487" s="116"/>
    </row>
    <row r="488" spans="1:2" x14ac:dyDescent="0.2">
      <c r="A488" s="102"/>
      <c r="B488" s="116"/>
    </row>
    <row r="489" spans="1:2" x14ac:dyDescent="0.2">
      <c r="A489" s="102"/>
      <c r="B489" s="116"/>
    </row>
    <row r="490" spans="1:2" x14ac:dyDescent="0.2">
      <c r="A490" s="102"/>
      <c r="B490" s="116"/>
    </row>
    <row r="491" spans="1:2" x14ac:dyDescent="0.2">
      <c r="A491" s="102"/>
      <c r="B491" s="116"/>
    </row>
    <row r="492" spans="1:2" x14ac:dyDescent="0.2">
      <c r="A492" s="102"/>
      <c r="B492" s="116"/>
    </row>
    <row r="493" spans="1:2" x14ac:dyDescent="0.2">
      <c r="A493" s="102"/>
      <c r="B493" s="116"/>
    </row>
    <row r="494" spans="1:2" x14ac:dyDescent="0.2">
      <c r="A494" s="102"/>
      <c r="B494" s="116"/>
    </row>
    <row r="495" spans="1:2" x14ac:dyDescent="0.2">
      <c r="A495" s="102"/>
      <c r="B495" s="116"/>
    </row>
    <row r="496" spans="1:2" x14ac:dyDescent="0.2">
      <c r="A496" s="102"/>
      <c r="B496" s="116"/>
    </row>
    <row r="497" spans="1:2" x14ac:dyDescent="0.2">
      <c r="A497" s="102"/>
      <c r="B497" s="116"/>
    </row>
    <row r="498" spans="1:2" x14ac:dyDescent="0.2">
      <c r="A498" s="102"/>
      <c r="B498" s="116"/>
    </row>
    <row r="499" spans="1:2" x14ac:dyDescent="0.2">
      <c r="A499" s="102"/>
      <c r="B499" s="116"/>
    </row>
    <row r="500" spans="1:2" x14ac:dyDescent="0.2">
      <c r="A500" s="102"/>
      <c r="B500" s="116"/>
    </row>
    <row r="501" spans="1:2" x14ac:dyDescent="0.2">
      <c r="A501" s="102"/>
      <c r="B501" s="116"/>
    </row>
    <row r="502" spans="1:2" x14ac:dyDescent="0.2">
      <c r="A502" s="102"/>
      <c r="B502" s="116"/>
    </row>
    <row r="503" spans="1:2" x14ac:dyDescent="0.2">
      <c r="A503" s="102"/>
      <c r="B503" s="116"/>
    </row>
    <row r="504" spans="1:2" x14ac:dyDescent="0.2">
      <c r="A504" s="102"/>
      <c r="B504" s="116"/>
    </row>
    <row r="505" spans="1:2" x14ac:dyDescent="0.2">
      <c r="A505" s="102"/>
      <c r="B505" s="116"/>
    </row>
    <row r="506" spans="1:2" x14ac:dyDescent="0.2">
      <c r="A506" s="102"/>
      <c r="B506" s="116"/>
    </row>
    <row r="507" spans="1:2" x14ac:dyDescent="0.2">
      <c r="A507" s="102"/>
      <c r="B507" s="116"/>
    </row>
    <row r="508" spans="1:2" x14ac:dyDescent="0.2">
      <c r="A508" s="102"/>
      <c r="B508" s="116"/>
    </row>
    <row r="509" spans="1:2" x14ac:dyDescent="0.2">
      <c r="A509" s="102"/>
      <c r="B509" s="116"/>
    </row>
    <row r="510" spans="1:2" x14ac:dyDescent="0.2">
      <c r="A510" s="102"/>
      <c r="B510" s="116"/>
    </row>
    <row r="511" spans="1:2" x14ac:dyDescent="0.2">
      <c r="A511" s="102"/>
      <c r="B511" s="116"/>
    </row>
    <row r="512" spans="1:2" x14ac:dyDescent="0.2">
      <c r="A512" s="102"/>
      <c r="B512" s="116"/>
    </row>
    <row r="513" spans="1:2" x14ac:dyDescent="0.2">
      <c r="A513" s="102"/>
      <c r="B513" s="116"/>
    </row>
    <row r="514" spans="1:2" x14ac:dyDescent="0.2">
      <c r="A514" s="102"/>
      <c r="B514" s="116"/>
    </row>
    <row r="515" spans="1:2" x14ac:dyDescent="0.2">
      <c r="A515" s="102"/>
      <c r="B515" s="116"/>
    </row>
    <row r="516" spans="1:2" x14ac:dyDescent="0.2">
      <c r="A516" s="102"/>
      <c r="B516" s="116"/>
    </row>
    <row r="517" spans="1:2" x14ac:dyDescent="0.2">
      <c r="A517" s="102"/>
      <c r="B517" s="116"/>
    </row>
    <row r="518" spans="1:2" x14ac:dyDescent="0.2">
      <c r="A518" s="102"/>
      <c r="B518" s="116"/>
    </row>
    <row r="519" spans="1:2" x14ac:dyDescent="0.2">
      <c r="A519" s="102"/>
      <c r="B519" s="116"/>
    </row>
    <row r="520" spans="1:2" x14ac:dyDescent="0.2">
      <c r="A520" s="102"/>
      <c r="B520" s="116"/>
    </row>
    <row r="521" spans="1:2" x14ac:dyDescent="0.2">
      <c r="A521" s="102"/>
      <c r="B521" s="116"/>
    </row>
    <row r="522" spans="1:2" x14ac:dyDescent="0.2">
      <c r="A522" s="102"/>
      <c r="B522" s="116"/>
    </row>
    <row r="523" spans="1:2" x14ac:dyDescent="0.2">
      <c r="A523" s="102"/>
      <c r="B523" s="116"/>
    </row>
    <row r="524" spans="1:2" x14ac:dyDescent="0.2">
      <c r="A524" s="102"/>
      <c r="B524" s="116"/>
    </row>
    <row r="525" spans="1:2" x14ac:dyDescent="0.2">
      <c r="A525" s="102"/>
      <c r="B525" s="116"/>
    </row>
    <row r="526" spans="1:2" x14ac:dyDescent="0.2">
      <c r="A526" s="102"/>
      <c r="B526" s="116"/>
    </row>
    <row r="527" spans="1:2" x14ac:dyDescent="0.2">
      <c r="A527" s="102"/>
      <c r="B527" s="116"/>
    </row>
    <row r="528" spans="1:2" x14ac:dyDescent="0.2">
      <c r="A528" s="102"/>
      <c r="B528" s="116"/>
    </row>
    <row r="529" spans="1:2" x14ac:dyDescent="0.2">
      <c r="A529" s="102"/>
      <c r="B529" s="116"/>
    </row>
    <row r="530" spans="1:2" x14ac:dyDescent="0.2">
      <c r="A530" s="102"/>
      <c r="B530" s="116"/>
    </row>
    <row r="531" spans="1:2" x14ac:dyDescent="0.2">
      <c r="A531" s="102"/>
      <c r="B531" s="116"/>
    </row>
    <row r="532" spans="1:2" x14ac:dyDescent="0.2">
      <c r="A532" s="102"/>
      <c r="B532" s="116"/>
    </row>
    <row r="533" spans="1:2" x14ac:dyDescent="0.2">
      <c r="A533" s="102"/>
      <c r="B533" s="116"/>
    </row>
    <row r="534" spans="1:2" x14ac:dyDescent="0.2">
      <c r="A534" s="102"/>
      <c r="B534" s="116"/>
    </row>
    <row r="535" spans="1:2" x14ac:dyDescent="0.2">
      <c r="A535" s="102"/>
      <c r="B535" s="116"/>
    </row>
    <row r="536" spans="1:2" x14ac:dyDescent="0.2">
      <c r="A536" s="102"/>
      <c r="B536" s="116"/>
    </row>
    <row r="537" spans="1:2" x14ac:dyDescent="0.2">
      <c r="A537" s="102"/>
      <c r="B537" s="116"/>
    </row>
    <row r="538" spans="1:2" x14ac:dyDescent="0.2">
      <c r="A538" s="102"/>
      <c r="B538" s="116"/>
    </row>
    <row r="539" spans="1:2" x14ac:dyDescent="0.2">
      <c r="A539" s="102"/>
      <c r="B539" s="116"/>
    </row>
    <row r="540" spans="1:2" x14ac:dyDescent="0.2">
      <c r="A540" s="102"/>
      <c r="B540" s="116"/>
    </row>
    <row r="541" spans="1:2" x14ac:dyDescent="0.2">
      <c r="A541" s="102"/>
      <c r="B541" s="116"/>
    </row>
    <row r="542" spans="1:2" x14ac:dyDescent="0.2">
      <c r="A542" s="102"/>
      <c r="B542" s="116"/>
    </row>
    <row r="543" spans="1:2" x14ac:dyDescent="0.2">
      <c r="A543" s="102"/>
      <c r="B543" s="116"/>
    </row>
    <row r="544" spans="1:2" x14ac:dyDescent="0.2">
      <c r="A544" s="102"/>
      <c r="B544" s="116"/>
    </row>
    <row r="545" spans="1:2" x14ac:dyDescent="0.2">
      <c r="A545" s="102"/>
      <c r="B545" s="116"/>
    </row>
    <row r="546" spans="1:2" x14ac:dyDescent="0.2">
      <c r="A546" s="102"/>
      <c r="B546" s="116"/>
    </row>
    <row r="547" spans="1:2" x14ac:dyDescent="0.2">
      <c r="A547" s="102"/>
      <c r="B547" s="116"/>
    </row>
    <row r="548" spans="1:2" x14ac:dyDescent="0.2">
      <c r="A548" s="102"/>
      <c r="B548" s="116"/>
    </row>
    <row r="549" spans="1:2" x14ac:dyDescent="0.2">
      <c r="A549" s="102"/>
      <c r="B549" s="116"/>
    </row>
    <row r="550" spans="1:2" x14ac:dyDescent="0.2">
      <c r="A550" s="102"/>
      <c r="B550" s="116"/>
    </row>
    <row r="551" spans="1:2" x14ac:dyDescent="0.2">
      <c r="A551" s="102"/>
      <c r="B551" s="116"/>
    </row>
    <row r="552" spans="1:2" x14ac:dyDescent="0.2">
      <c r="A552" s="102"/>
      <c r="B552" s="116"/>
    </row>
    <row r="553" spans="1:2" x14ac:dyDescent="0.2">
      <c r="A553" s="102"/>
      <c r="B553" s="116"/>
    </row>
    <row r="554" spans="1:2" x14ac:dyDescent="0.2">
      <c r="A554" s="102"/>
      <c r="B554" s="116"/>
    </row>
    <row r="555" spans="1:2" x14ac:dyDescent="0.2">
      <c r="A555" s="102"/>
      <c r="B555" s="116"/>
    </row>
    <row r="556" spans="1:2" x14ac:dyDescent="0.2">
      <c r="A556" s="102"/>
      <c r="B556" s="116"/>
    </row>
    <row r="557" spans="1:2" x14ac:dyDescent="0.2">
      <c r="A557" s="102"/>
      <c r="B557" s="116"/>
    </row>
    <row r="558" spans="1:2" x14ac:dyDescent="0.2">
      <c r="A558" s="102"/>
      <c r="B558" s="116"/>
    </row>
    <row r="559" spans="1:2" x14ac:dyDescent="0.2">
      <c r="A559" s="102"/>
      <c r="B559" s="116"/>
    </row>
    <row r="560" spans="1:2" x14ac:dyDescent="0.2">
      <c r="A560" s="102"/>
      <c r="B560" s="116"/>
    </row>
    <row r="561" spans="1:2" x14ac:dyDescent="0.2">
      <c r="A561" s="102"/>
      <c r="B561" s="116"/>
    </row>
    <row r="562" spans="1:2" x14ac:dyDescent="0.2">
      <c r="A562" s="102"/>
      <c r="B562" s="116"/>
    </row>
    <row r="563" spans="1:2" x14ac:dyDescent="0.2">
      <c r="A563" s="102"/>
      <c r="B563" s="116"/>
    </row>
    <row r="564" spans="1:2" x14ac:dyDescent="0.2">
      <c r="A564" s="102"/>
      <c r="B564" s="116"/>
    </row>
    <row r="565" spans="1:2" x14ac:dyDescent="0.2">
      <c r="A565" s="102"/>
      <c r="B565" s="116"/>
    </row>
    <row r="566" spans="1:2" x14ac:dyDescent="0.2">
      <c r="A566" s="102"/>
      <c r="B566" s="116"/>
    </row>
    <row r="567" spans="1:2" x14ac:dyDescent="0.2">
      <c r="A567" s="102"/>
      <c r="B567" s="116"/>
    </row>
    <row r="568" spans="1:2" x14ac:dyDescent="0.2">
      <c r="A568" s="102"/>
      <c r="B568" s="116"/>
    </row>
    <row r="569" spans="1:2" x14ac:dyDescent="0.2">
      <c r="A569" s="102"/>
      <c r="B569" s="116"/>
    </row>
    <row r="570" spans="1:2" x14ac:dyDescent="0.2">
      <c r="A570" s="102"/>
      <c r="B570" s="116"/>
    </row>
    <row r="571" spans="1:2" x14ac:dyDescent="0.2">
      <c r="A571" s="102"/>
      <c r="B571" s="116"/>
    </row>
    <row r="572" spans="1:2" x14ac:dyDescent="0.2">
      <c r="A572" s="102"/>
      <c r="B572" s="116"/>
    </row>
    <row r="573" spans="1:2" x14ac:dyDescent="0.2">
      <c r="A573" s="102"/>
      <c r="B573" s="116"/>
    </row>
    <row r="574" spans="1:2" x14ac:dyDescent="0.2">
      <c r="A574" s="102"/>
      <c r="B574" s="116"/>
    </row>
    <row r="575" spans="1:2" x14ac:dyDescent="0.2">
      <c r="A575" s="102"/>
      <c r="B575" s="116"/>
    </row>
    <row r="576" spans="1:2" x14ac:dyDescent="0.2">
      <c r="A576" s="102"/>
      <c r="B576" s="116"/>
    </row>
    <row r="577" spans="1:2" x14ac:dyDescent="0.2">
      <c r="A577" s="102"/>
      <c r="B577" s="116"/>
    </row>
    <row r="578" spans="1:2" x14ac:dyDescent="0.2">
      <c r="A578" s="102"/>
      <c r="B578" s="116"/>
    </row>
    <row r="579" spans="1:2" x14ac:dyDescent="0.2">
      <c r="A579" s="102"/>
      <c r="B579" s="116"/>
    </row>
    <row r="580" spans="1:2" x14ac:dyDescent="0.2">
      <c r="A580" s="102"/>
      <c r="B580" s="116"/>
    </row>
    <row r="581" spans="1:2" x14ac:dyDescent="0.2">
      <c r="A581" s="102"/>
      <c r="B581" s="116"/>
    </row>
    <row r="582" spans="1:2" x14ac:dyDescent="0.2">
      <c r="A582" s="102"/>
      <c r="B582" s="116"/>
    </row>
    <row r="583" spans="1:2" x14ac:dyDescent="0.2">
      <c r="A583" s="102"/>
      <c r="B583" s="116"/>
    </row>
    <row r="584" spans="1:2" x14ac:dyDescent="0.2">
      <c r="A584" s="102"/>
      <c r="B584" s="116"/>
    </row>
    <row r="585" spans="1:2" x14ac:dyDescent="0.2">
      <c r="A585" s="102"/>
      <c r="B585" s="116"/>
    </row>
    <row r="586" spans="1:2" x14ac:dyDescent="0.2">
      <c r="A586" s="102"/>
      <c r="B586" s="116"/>
    </row>
    <row r="587" spans="1:2" x14ac:dyDescent="0.2">
      <c r="A587" s="102"/>
      <c r="B587" s="116"/>
    </row>
    <row r="588" spans="1:2" x14ac:dyDescent="0.2">
      <c r="A588" s="102"/>
      <c r="B588" s="116"/>
    </row>
    <row r="589" spans="1:2" x14ac:dyDescent="0.2">
      <c r="A589" s="102"/>
      <c r="B589" s="116"/>
    </row>
    <row r="590" spans="1:2" x14ac:dyDescent="0.2">
      <c r="A590" s="102"/>
      <c r="B590" s="116"/>
    </row>
    <row r="591" spans="1:2" x14ac:dyDescent="0.2">
      <c r="A591" s="102"/>
      <c r="B591" s="116"/>
    </row>
    <row r="592" spans="1:2" x14ac:dyDescent="0.2">
      <c r="A592" s="102"/>
      <c r="B592" s="116"/>
    </row>
    <row r="593" spans="1:2" x14ac:dyDescent="0.2">
      <c r="A593" s="102"/>
      <c r="B593" s="116"/>
    </row>
    <row r="594" spans="1:2" x14ac:dyDescent="0.2">
      <c r="A594" s="102"/>
      <c r="B594" s="116"/>
    </row>
    <row r="595" spans="1:2" x14ac:dyDescent="0.2">
      <c r="A595" s="102"/>
      <c r="B595" s="116"/>
    </row>
    <row r="596" spans="1:2" x14ac:dyDescent="0.2">
      <c r="A596" s="102"/>
      <c r="B596" s="116"/>
    </row>
    <row r="597" spans="1:2" x14ac:dyDescent="0.2">
      <c r="A597" s="102"/>
      <c r="B597" s="116"/>
    </row>
    <row r="598" spans="1:2" x14ac:dyDescent="0.2">
      <c r="A598" s="102"/>
      <c r="B598" s="116"/>
    </row>
    <row r="599" spans="1:2" x14ac:dyDescent="0.2">
      <c r="A599" s="102"/>
      <c r="B599" s="116"/>
    </row>
    <row r="600" spans="1:2" x14ac:dyDescent="0.2">
      <c r="A600" s="102"/>
      <c r="B600" s="116"/>
    </row>
    <row r="601" spans="1:2" x14ac:dyDescent="0.2">
      <c r="A601" s="102"/>
      <c r="B601" s="116"/>
    </row>
    <row r="602" spans="1:2" x14ac:dyDescent="0.2">
      <c r="A602" s="102"/>
      <c r="B602" s="116"/>
    </row>
    <row r="603" spans="1:2" x14ac:dyDescent="0.2">
      <c r="A603" s="102"/>
      <c r="B603" s="116"/>
    </row>
    <row r="604" spans="1:2" x14ac:dyDescent="0.2">
      <c r="A604" s="102"/>
      <c r="B604" s="116"/>
    </row>
    <row r="605" spans="1:2" x14ac:dyDescent="0.2">
      <c r="A605" s="102"/>
      <c r="B605" s="116"/>
    </row>
    <row r="606" spans="1:2" x14ac:dyDescent="0.2">
      <c r="A606" s="102"/>
      <c r="B606" s="116"/>
    </row>
    <row r="607" spans="1:2" x14ac:dyDescent="0.2">
      <c r="A607" s="102"/>
      <c r="B607" s="116"/>
    </row>
    <row r="608" spans="1:2" x14ac:dyDescent="0.2">
      <c r="A608" s="102"/>
      <c r="B608" s="116"/>
    </row>
    <row r="609" spans="1:2" x14ac:dyDescent="0.2">
      <c r="A609" s="102"/>
      <c r="B609" s="116"/>
    </row>
    <row r="610" spans="1:2" x14ac:dyDescent="0.2">
      <c r="A610" s="102"/>
      <c r="B610" s="116"/>
    </row>
    <row r="611" spans="1:2" x14ac:dyDescent="0.2">
      <c r="A611" s="102"/>
      <c r="B611" s="116"/>
    </row>
    <row r="612" spans="1:2" x14ac:dyDescent="0.2">
      <c r="A612" s="102"/>
      <c r="B612" s="116"/>
    </row>
    <row r="613" spans="1:2" x14ac:dyDescent="0.2">
      <c r="A613" s="102"/>
      <c r="B613" s="116"/>
    </row>
    <row r="614" spans="1:2" x14ac:dyDescent="0.2">
      <c r="A614" s="102"/>
      <c r="B614" s="116"/>
    </row>
    <row r="615" spans="1:2" x14ac:dyDescent="0.2">
      <c r="A615" s="102"/>
      <c r="B615" s="116"/>
    </row>
    <row r="616" spans="1:2" x14ac:dyDescent="0.2">
      <c r="A616" s="102"/>
      <c r="B616" s="116"/>
    </row>
    <row r="617" spans="1:2" x14ac:dyDescent="0.2">
      <c r="A617" s="102"/>
      <c r="B617" s="116"/>
    </row>
    <row r="618" spans="1:2" x14ac:dyDescent="0.2">
      <c r="A618" s="102"/>
      <c r="B618" s="116"/>
    </row>
    <row r="619" spans="1:2" x14ac:dyDescent="0.2">
      <c r="A619" s="102"/>
      <c r="B619" s="116"/>
    </row>
    <row r="620" spans="1:2" x14ac:dyDescent="0.2">
      <c r="A620" s="102"/>
      <c r="B620" s="116"/>
    </row>
    <row r="621" spans="1:2" x14ac:dyDescent="0.2">
      <c r="A621" s="102"/>
      <c r="B621" s="116"/>
    </row>
    <row r="622" spans="1:2" x14ac:dyDescent="0.2">
      <c r="A622" s="102"/>
      <c r="B622" s="116"/>
    </row>
    <row r="623" spans="1:2" x14ac:dyDescent="0.2">
      <c r="A623" s="102"/>
      <c r="B623" s="116"/>
    </row>
    <row r="624" spans="1:2" x14ac:dyDescent="0.2">
      <c r="A624" s="102"/>
      <c r="B624" s="116"/>
    </row>
    <row r="625" spans="1:2" x14ac:dyDescent="0.2">
      <c r="A625" s="102"/>
      <c r="B625" s="116"/>
    </row>
    <row r="626" spans="1:2" x14ac:dyDescent="0.2">
      <c r="A626" s="102"/>
      <c r="B626" s="116"/>
    </row>
    <row r="627" spans="1:2" x14ac:dyDescent="0.2">
      <c r="A627" s="102"/>
      <c r="B627" s="116"/>
    </row>
    <row r="628" spans="1:2" x14ac:dyDescent="0.2">
      <c r="A628" s="102"/>
      <c r="B628" s="116"/>
    </row>
    <row r="629" spans="1:2" x14ac:dyDescent="0.2">
      <c r="A629" s="102"/>
      <c r="B629" s="116"/>
    </row>
    <row r="630" spans="1:2" x14ac:dyDescent="0.2">
      <c r="A630" s="102"/>
      <c r="B630" s="116"/>
    </row>
    <row r="631" spans="1:2" x14ac:dyDescent="0.2">
      <c r="A631" s="102"/>
      <c r="B631" s="116"/>
    </row>
    <row r="632" spans="1:2" x14ac:dyDescent="0.2">
      <c r="A632" s="102"/>
      <c r="B632" s="116"/>
    </row>
    <row r="633" spans="1:2" x14ac:dyDescent="0.2">
      <c r="A633" s="102"/>
      <c r="B633" s="116"/>
    </row>
    <row r="634" spans="1:2" x14ac:dyDescent="0.2">
      <c r="A634" s="102"/>
      <c r="B634" s="116"/>
    </row>
    <row r="635" spans="1:2" x14ac:dyDescent="0.2">
      <c r="A635" s="102"/>
      <c r="B635" s="116"/>
    </row>
    <row r="636" spans="1:2" x14ac:dyDescent="0.2">
      <c r="A636" s="102"/>
      <c r="B636" s="116"/>
    </row>
    <row r="637" spans="1:2" x14ac:dyDescent="0.2">
      <c r="A637" s="102"/>
      <c r="B637" s="116"/>
    </row>
    <row r="638" spans="1:2" x14ac:dyDescent="0.2">
      <c r="A638" s="102"/>
      <c r="B638" s="116"/>
    </row>
    <row r="639" spans="1:2" x14ac:dyDescent="0.2">
      <c r="A639" s="102"/>
      <c r="B639" s="116"/>
    </row>
    <row r="640" spans="1:2" x14ac:dyDescent="0.2">
      <c r="A640" s="102"/>
      <c r="B640" s="116"/>
    </row>
    <row r="641" spans="1:2" x14ac:dyDescent="0.2">
      <c r="A641" s="102"/>
      <c r="B641" s="116"/>
    </row>
    <row r="642" spans="1:2" x14ac:dyDescent="0.2">
      <c r="A642" s="102"/>
      <c r="B642" s="116"/>
    </row>
    <row r="643" spans="1:2" x14ac:dyDescent="0.2">
      <c r="A643" s="102"/>
      <c r="B643" s="116"/>
    </row>
    <row r="644" spans="1:2" x14ac:dyDescent="0.2">
      <c r="A644" s="102"/>
      <c r="B644" s="116"/>
    </row>
    <row r="645" spans="1:2" x14ac:dyDescent="0.2">
      <c r="A645" s="102"/>
      <c r="B645" s="116"/>
    </row>
    <row r="646" spans="1:2" x14ac:dyDescent="0.2">
      <c r="A646" s="102"/>
      <c r="B646" s="116"/>
    </row>
    <row r="647" spans="1:2" x14ac:dyDescent="0.2">
      <c r="A647" s="102"/>
      <c r="B647" s="116"/>
    </row>
    <row r="648" spans="1:2" x14ac:dyDescent="0.2">
      <c r="A648" s="102"/>
      <c r="B648" s="116"/>
    </row>
    <row r="649" spans="1:2" x14ac:dyDescent="0.2">
      <c r="A649" s="102"/>
      <c r="B649" s="116"/>
    </row>
    <row r="650" spans="1:2" x14ac:dyDescent="0.2">
      <c r="A650" s="102"/>
      <c r="B650" s="116"/>
    </row>
    <row r="651" spans="1:2" x14ac:dyDescent="0.2">
      <c r="A651" s="102"/>
      <c r="B651" s="116"/>
    </row>
    <row r="652" spans="1:2" x14ac:dyDescent="0.2">
      <c r="A652" s="102"/>
      <c r="B652" s="116"/>
    </row>
    <row r="653" spans="1:2" x14ac:dyDescent="0.2">
      <c r="A653" s="102"/>
      <c r="B653" s="116"/>
    </row>
    <row r="654" spans="1:2" x14ac:dyDescent="0.2">
      <c r="A654" s="102"/>
      <c r="B654" s="116"/>
    </row>
    <row r="655" spans="1:2" x14ac:dyDescent="0.2">
      <c r="A655" s="102"/>
      <c r="B655" s="116"/>
    </row>
    <row r="656" spans="1:2" x14ac:dyDescent="0.2">
      <c r="A656" s="102"/>
      <c r="B656" s="116"/>
    </row>
    <row r="657" spans="1:2" x14ac:dyDescent="0.2">
      <c r="A657" s="102"/>
      <c r="B657" s="116"/>
    </row>
    <row r="658" spans="1:2" x14ac:dyDescent="0.2">
      <c r="A658" s="102"/>
      <c r="B658" s="116"/>
    </row>
    <row r="659" spans="1:2" x14ac:dyDescent="0.2">
      <c r="A659" s="102"/>
      <c r="B659" s="116"/>
    </row>
    <row r="660" spans="1:2" x14ac:dyDescent="0.2">
      <c r="A660" s="102"/>
      <c r="B660" s="116"/>
    </row>
    <row r="661" spans="1:2" x14ac:dyDescent="0.2">
      <c r="A661" s="102"/>
      <c r="B661" s="116"/>
    </row>
    <row r="662" spans="1:2" x14ac:dyDescent="0.2">
      <c r="A662" s="102"/>
      <c r="B662" s="116"/>
    </row>
    <row r="663" spans="1:2" x14ac:dyDescent="0.2">
      <c r="A663" s="102"/>
      <c r="B663" s="116"/>
    </row>
    <row r="664" spans="1:2" x14ac:dyDescent="0.2">
      <c r="A664" s="102"/>
      <c r="B664" s="116"/>
    </row>
    <row r="665" spans="1:2" x14ac:dyDescent="0.2">
      <c r="A665" s="102"/>
      <c r="B665" s="116"/>
    </row>
    <row r="666" spans="1:2" x14ac:dyDescent="0.2">
      <c r="A666" s="102"/>
      <c r="B666" s="116"/>
    </row>
    <row r="667" spans="1:2" x14ac:dyDescent="0.2">
      <c r="A667" s="102"/>
      <c r="B667" s="116"/>
    </row>
    <row r="668" spans="1:2" x14ac:dyDescent="0.2">
      <c r="A668" s="102"/>
      <c r="B668" s="116"/>
    </row>
    <row r="669" spans="1:2" x14ac:dyDescent="0.2">
      <c r="A669" s="102"/>
      <c r="B669" s="116"/>
    </row>
    <row r="670" spans="1:2" x14ac:dyDescent="0.2">
      <c r="A670" s="102"/>
      <c r="B670" s="116"/>
    </row>
    <row r="671" spans="1:2" x14ac:dyDescent="0.2">
      <c r="A671" s="102"/>
      <c r="B671" s="116"/>
    </row>
    <row r="672" spans="1:2" x14ac:dyDescent="0.2">
      <c r="A672" s="102"/>
      <c r="B672" s="116"/>
    </row>
    <row r="673" spans="1:2" x14ac:dyDescent="0.2">
      <c r="A673" s="102"/>
      <c r="B673" s="116"/>
    </row>
    <row r="674" spans="1:2" x14ac:dyDescent="0.2">
      <c r="A674" s="102"/>
      <c r="B674" s="116"/>
    </row>
    <row r="675" spans="1:2" x14ac:dyDescent="0.2">
      <c r="A675" s="102"/>
      <c r="B675" s="116"/>
    </row>
    <row r="676" spans="1:2" x14ac:dyDescent="0.2">
      <c r="A676" s="102"/>
      <c r="B676" s="116"/>
    </row>
    <row r="677" spans="1:2" x14ac:dyDescent="0.2">
      <c r="A677" s="102"/>
      <c r="B677" s="116"/>
    </row>
    <row r="678" spans="1:2" x14ac:dyDescent="0.2">
      <c r="A678" s="102"/>
      <c r="B678" s="116"/>
    </row>
    <row r="679" spans="1:2" x14ac:dyDescent="0.2">
      <c r="A679" s="102"/>
      <c r="B679" s="116"/>
    </row>
    <row r="680" spans="1:2" x14ac:dyDescent="0.2">
      <c r="A680" s="102"/>
      <c r="B680" s="116"/>
    </row>
    <row r="681" spans="1:2" x14ac:dyDescent="0.2">
      <c r="A681" s="102"/>
      <c r="B681" s="116"/>
    </row>
    <row r="682" spans="1:2" x14ac:dyDescent="0.2">
      <c r="A682" s="102"/>
      <c r="B682" s="116"/>
    </row>
    <row r="683" spans="1:2" x14ac:dyDescent="0.2">
      <c r="A683" s="102"/>
      <c r="B683" s="116"/>
    </row>
    <row r="684" spans="1:2" x14ac:dyDescent="0.2">
      <c r="A684" s="102"/>
      <c r="B684" s="116"/>
    </row>
    <row r="685" spans="1:2" x14ac:dyDescent="0.2">
      <c r="A685" s="102"/>
      <c r="B685" s="116"/>
    </row>
    <row r="686" spans="1:2" x14ac:dyDescent="0.2">
      <c r="A686" s="102"/>
      <c r="B686" s="116"/>
    </row>
    <row r="687" spans="1:2" x14ac:dyDescent="0.2">
      <c r="A687" s="102"/>
      <c r="B687" s="116"/>
    </row>
    <row r="688" spans="1:2" x14ac:dyDescent="0.2">
      <c r="A688" s="102"/>
      <c r="B688" s="116"/>
    </row>
    <row r="689" spans="1:2" x14ac:dyDescent="0.2">
      <c r="A689" s="102"/>
      <c r="B689" s="116"/>
    </row>
    <row r="690" spans="1:2" x14ac:dyDescent="0.2">
      <c r="A690" s="102"/>
      <c r="B690" s="116"/>
    </row>
    <row r="691" spans="1:2" x14ac:dyDescent="0.2">
      <c r="A691" s="102"/>
      <c r="B691" s="116"/>
    </row>
    <row r="692" spans="1:2" x14ac:dyDescent="0.2">
      <c r="A692" s="102"/>
      <c r="B692" s="116"/>
    </row>
    <row r="693" spans="1:2" x14ac:dyDescent="0.2">
      <c r="A693" s="102"/>
      <c r="B693" s="116"/>
    </row>
    <row r="694" spans="1:2" x14ac:dyDescent="0.2">
      <c r="A694" s="102"/>
      <c r="B694" s="116"/>
    </row>
    <row r="695" spans="1:2" x14ac:dyDescent="0.2">
      <c r="A695" s="102"/>
      <c r="B695" s="116"/>
    </row>
    <row r="696" spans="1:2" x14ac:dyDescent="0.2">
      <c r="A696" s="102"/>
      <c r="B696" s="116"/>
    </row>
    <row r="697" spans="1:2" x14ac:dyDescent="0.2">
      <c r="A697" s="102"/>
      <c r="B697" s="116"/>
    </row>
    <row r="698" spans="1:2" x14ac:dyDescent="0.2">
      <c r="A698" s="102"/>
      <c r="B698" s="116"/>
    </row>
    <row r="699" spans="1:2" x14ac:dyDescent="0.2">
      <c r="A699" s="102"/>
      <c r="B699" s="116"/>
    </row>
    <row r="700" spans="1:2" x14ac:dyDescent="0.2">
      <c r="A700" s="102"/>
      <c r="B700" s="116"/>
    </row>
    <row r="701" spans="1:2" x14ac:dyDescent="0.2">
      <c r="A701" s="102"/>
      <c r="B701" s="116"/>
    </row>
    <row r="702" spans="1:2" x14ac:dyDescent="0.2">
      <c r="A702" s="102"/>
      <c r="B702" s="116"/>
    </row>
    <row r="703" spans="1:2" x14ac:dyDescent="0.2">
      <c r="A703" s="102"/>
      <c r="B703" s="116"/>
    </row>
    <row r="704" spans="1:2" x14ac:dyDescent="0.2">
      <c r="A704" s="102"/>
      <c r="B704" s="116"/>
    </row>
    <row r="705" spans="1:2" x14ac:dyDescent="0.2">
      <c r="A705" s="102"/>
      <c r="B705" s="116"/>
    </row>
    <row r="706" spans="1:2" x14ac:dyDescent="0.2">
      <c r="A706" s="102"/>
      <c r="B706" s="116"/>
    </row>
    <row r="707" spans="1:2" x14ac:dyDescent="0.2">
      <c r="A707" s="102"/>
      <c r="B707" s="116"/>
    </row>
    <row r="708" spans="1:2" x14ac:dyDescent="0.2">
      <c r="A708" s="102"/>
      <c r="B708" s="116"/>
    </row>
    <row r="709" spans="1:2" x14ac:dyDescent="0.2">
      <c r="A709" s="102"/>
      <c r="B709" s="116"/>
    </row>
    <row r="710" spans="1:2" x14ac:dyDescent="0.2">
      <c r="A710" s="102"/>
      <c r="B710" s="116"/>
    </row>
    <row r="711" spans="1:2" x14ac:dyDescent="0.2">
      <c r="A711" s="102"/>
      <c r="B711" s="116"/>
    </row>
    <row r="712" spans="1:2" x14ac:dyDescent="0.2">
      <c r="A712" s="102"/>
      <c r="B712" s="116"/>
    </row>
    <row r="713" spans="1:2" x14ac:dyDescent="0.2">
      <c r="A713" s="102"/>
      <c r="B713" s="116"/>
    </row>
    <row r="714" spans="1:2" x14ac:dyDescent="0.2">
      <c r="A714" s="102"/>
      <c r="B714" s="116"/>
    </row>
    <row r="715" spans="1:2" x14ac:dyDescent="0.2">
      <c r="A715" s="102"/>
      <c r="B715" s="116"/>
    </row>
    <row r="716" spans="1:2" x14ac:dyDescent="0.2">
      <c r="A716" s="102"/>
      <c r="B716" s="116"/>
    </row>
    <row r="717" spans="1:2" x14ac:dyDescent="0.2">
      <c r="A717" s="102"/>
      <c r="B717" s="116"/>
    </row>
    <row r="718" spans="1:2" x14ac:dyDescent="0.2">
      <c r="A718" s="102"/>
      <c r="B718" s="116"/>
    </row>
    <row r="719" spans="1:2" x14ac:dyDescent="0.2">
      <c r="A719" s="102"/>
      <c r="B719" s="116"/>
    </row>
    <row r="720" spans="1:2" x14ac:dyDescent="0.2">
      <c r="A720" s="102"/>
      <c r="B720" s="116"/>
    </row>
    <row r="721" spans="1:2" x14ac:dyDescent="0.2">
      <c r="A721" s="102"/>
      <c r="B721" s="116"/>
    </row>
    <row r="722" spans="1:2" x14ac:dyDescent="0.2">
      <c r="A722" s="102"/>
      <c r="B722" s="116"/>
    </row>
    <row r="723" spans="1:2" x14ac:dyDescent="0.2">
      <c r="A723" s="102"/>
      <c r="B723" s="116"/>
    </row>
    <row r="724" spans="1:2" x14ac:dyDescent="0.2">
      <c r="A724" s="102"/>
      <c r="B724" s="116"/>
    </row>
    <row r="725" spans="1:2" x14ac:dyDescent="0.2">
      <c r="A725" s="102"/>
      <c r="B725" s="116"/>
    </row>
    <row r="726" spans="1:2" x14ac:dyDescent="0.2">
      <c r="A726" s="102"/>
      <c r="B726" s="116"/>
    </row>
    <row r="727" spans="1:2" x14ac:dyDescent="0.2">
      <c r="A727" s="102"/>
      <c r="B727" s="116"/>
    </row>
    <row r="728" spans="1:2" x14ac:dyDescent="0.2">
      <c r="A728" s="102"/>
      <c r="B728" s="116"/>
    </row>
    <row r="729" spans="1:2" x14ac:dyDescent="0.2">
      <c r="A729" s="102"/>
      <c r="B729" s="116"/>
    </row>
    <row r="730" spans="1:2" x14ac:dyDescent="0.2">
      <c r="A730" s="102"/>
      <c r="B730" s="116"/>
    </row>
    <row r="731" spans="1:2" x14ac:dyDescent="0.2">
      <c r="A731" s="102"/>
      <c r="B731" s="116"/>
    </row>
    <row r="732" spans="1:2" x14ac:dyDescent="0.2">
      <c r="A732" s="102"/>
      <c r="B732" s="116"/>
    </row>
    <row r="733" spans="1:2" x14ac:dyDescent="0.2">
      <c r="A733" s="102"/>
      <c r="B733" s="116"/>
    </row>
    <row r="734" spans="1:2" x14ac:dyDescent="0.2">
      <c r="A734" s="102"/>
      <c r="B734" s="116"/>
    </row>
    <row r="735" spans="1:2" x14ac:dyDescent="0.2">
      <c r="A735" s="102"/>
      <c r="B735" s="116"/>
    </row>
    <row r="736" spans="1:2" x14ac:dyDescent="0.2">
      <c r="A736" s="102"/>
      <c r="B736" s="116"/>
    </row>
    <row r="737" spans="1:2" x14ac:dyDescent="0.2">
      <c r="A737" s="102"/>
      <c r="B737" s="116"/>
    </row>
    <row r="738" spans="1:2" x14ac:dyDescent="0.2">
      <c r="A738" s="102"/>
      <c r="B738" s="116"/>
    </row>
    <row r="739" spans="1:2" x14ac:dyDescent="0.2">
      <c r="A739" s="102"/>
      <c r="B739" s="116"/>
    </row>
    <row r="740" spans="1:2" x14ac:dyDescent="0.2">
      <c r="A740" s="102"/>
      <c r="B740" s="116"/>
    </row>
    <row r="741" spans="1:2" x14ac:dyDescent="0.2">
      <c r="A741" s="102"/>
      <c r="B741" s="116"/>
    </row>
    <row r="742" spans="1:2" x14ac:dyDescent="0.2">
      <c r="A742" s="102"/>
      <c r="B742" s="116"/>
    </row>
    <row r="743" spans="1:2" x14ac:dyDescent="0.2">
      <c r="A743" s="102"/>
      <c r="B743" s="116"/>
    </row>
    <row r="744" spans="1:2" x14ac:dyDescent="0.2">
      <c r="A744" s="102"/>
      <c r="B744" s="116"/>
    </row>
    <row r="745" spans="1:2" x14ac:dyDescent="0.2">
      <c r="A745" s="102"/>
      <c r="B745" s="116"/>
    </row>
    <row r="746" spans="1:2" x14ac:dyDescent="0.2">
      <c r="A746" s="102"/>
      <c r="B746" s="116"/>
    </row>
    <row r="747" spans="1:2" x14ac:dyDescent="0.2">
      <c r="A747" s="102"/>
      <c r="B747" s="116"/>
    </row>
    <row r="748" spans="1:2" x14ac:dyDescent="0.2">
      <c r="A748" s="102"/>
      <c r="B748" s="116"/>
    </row>
    <row r="749" spans="1:2" x14ac:dyDescent="0.2">
      <c r="A749" s="102"/>
      <c r="B749" s="116"/>
    </row>
    <row r="750" spans="1:2" x14ac:dyDescent="0.2">
      <c r="A750" s="102"/>
      <c r="B750" s="116"/>
    </row>
    <row r="751" spans="1:2" x14ac:dyDescent="0.2">
      <c r="A751" s="102"/>
      <c r="B751" s="116"/>
    </row>
    <row r="752" spans="1:2" x14ac:dyDescent="0.2">
      <c r="A752" s="102"/>
      <c r="B752" s="116"/>
    </row>
    <row r="753" spans="1:2" x14ac:dyDescent="0.2">
      <c r="A753" s="102"/>
      <c r="B753" s="116"/>
    </row>
    <row r="754" spans="1:2" x14ac:dyDescent="0.2">
      <c r="A754" s="102"/>
      <c r="B754" s="116"/>
    </row>
    <row r="755" spans="1:2" x14ac:dyDescent="0.2">
      <c r="A755" s="102"/>
      <c r="B755" s="116"/>
    </row>
    <row r="756" spans="1:2" x14ac:dyDescent="0.2">
      <c r="A756" s="102"/>
      <c r="B756" s="116"/>
    </row>
    <row r="757" spans="1:2" x14ac:dyDescent="0.2">
      <c r="A757" s="102"/>
      <c r="B757" s="116"/>
    </row>
    <row r="758" spans="1:2" x14ac:dyDescent="0.2">
      <c r="A758" s="102"/>
      <c r="B758" s="116"/>
    </row>
    <row r="759" spans="1:2" x14ac:dyDescent="0.2">
      <c r="A759" s="102"/>
      <c r="B759" s="116"/>
    </row>
    <row r="760" spans="1:2" x14ac:dyDescent="0.2">
      <c r="A760" s="102"/>
      <c r="B760" s="116"/>
    </row>
    <row r="761" spans="1:2" x14ac:dyDescent="0.2">
      <c r="A761" s="102"/>
      <c r="B761" s="116"/>
    </row>
    <row r="762" spans="1:2" x14ac:dyDescent="0.2">
      <c r="A762" s="102"/>
      <c r="B762" s="116"/>
    </row>
    <row r="763" spans="1:2" x14ac:dyDescent="0.2">
      <c r="A763" s="102"/>
      <c r="B763" s="116"/>
    </row>
    <row r="764" spans="1:2" x14ac:dyDescent="0.2">
      <c r="A764" s="102"/>
      <c r="B764" s="116"/>
    </row>
    <row r="765" spans="1:2" x14ac:dyDescent="0.2">
      <c r="A765" s="102"/>
      <c r="B765" s="116"/>
    </row>
    <row r="766" spans="1:2" x14ac:dyDescent="0.2">
      <c r="A766" s="102"/>
      <c r="B766" s="116"/>
    </row>
    <row r="767" spans="1:2" x14ac:dyDescent="0.2">
      <c r="A767" s="102"/>
      <c r="B767" s="116"/>
    </row>
    <row r="768" spans="1:2" x14ac:dyDescent="0.2">
      <c r="A768" s="102"/>
      <c r="B768" s="116"/>
    </row>
    <row r="769" spans="1:2" x14ac:dyDescent="0.2">
      <c r="A769" s="102"/>
      <c r="B769" s="116"/>
    </row>
    <row r="770" spans="1:2" x14ac:dyDescent="0.2">
      <c r="A770" s="102"/>
      <c r="B770" s="116"/>
    </row>
    <row r="771" spans="1:2" x14ac:dyDescent="0.2">
      <c r="A771" s="102"/>
      <c r="B771" s="116"/>
    </row>
    <row r="772" spans="1:2" x14ac:dyDescent="0.2">
      <c r="A772" s="102"/>
      <c r="B772" s="116"/>
    </row>
    <row r="773" spans="1:2" x14ac:dyDescent="0.2">
      <c r="A773" s="102"/>
      <c r="B773" s="116"/>
    </row>
    <row r="774" spans="1:2" x14ac:dyDescent="0.2">
      <c r="A774" s="102"/>
      <c r="B774" s="116"/>
    </row>
    <row r="775" spans="1:2" x14ac:dyDescent="0.2">
      <c r="A775" s="102"/>
      <c r="B775" s="116"/>
    </row>
    <row r="776" spans="1:2" x14ac:dyDescent="0.2">
      <c r="A776" s="102"/>
      <c r="B776" s="116"/>
    </row>
    <row r="777" spans="1:2" x14ac:dyDescent="0.2">
      <c r="A777" s="102"/>
      <c r="B777" s="116"/>
    </row>
    <row r="778" spans="1:2" x14ac:dyDescent="0.2">
      <c r="A778" s="102"/>
      <c r="B778" s="116"/>
    </row>
    <row r="779" spans="1:2" x14ac:dyDescent="0.2">
      <c r="A779" s="102"/>
      <c r="B779" s="116"/>
    </row>
    <row r="780" spans="1:2" x14ac:dyDescent="0.2">
      <c r="A780" s="102"/>
      <c r="B780" s="116"/>
    </row>
    <row r="781" spans="1:2" x14ac:dyDescent="0.2">
      <c r="A781" s="102"/>
      <c r="B781" s="116"/>
    </row>
    <row r="782" spans="1:2" x14ac:dyDescent="0.2">
      <c r="A782" s="102"/>
      <c r="B782" s="116"/>
    </row>
    <row r="783" spans="1:2" x14ac:dyDescent="0.2">
      <c r="A783" s="102"/>
      <c r="B783" s="116"/>
    </row>
    <row r="784" spans="1:2" x14ac:dyDescent="0.2">
      <c r="A784" s="102"/>
      <c r="B784" s="116"/>
    </row>
    <row r="785" spans="1:2" x14ac:dyDescent="0.2">
      <c r="A785" s="102"/>
      <c r="B785" s="116"/>
    </row>
    <row r="786" spans="1:2" x14ac:dyDescent="0.2">
      <c r="A786" s="102"/>
      <c r="B786" s="116"/>
    </row>
    <row r="787" spans="1:2" x14ac:dyDescent="0.2">
      <c r="A787" s="102"/>
      <c r="B787" s="116"/>
    </row>
    <row r="788" spans="1:2" x14ac:dyDescent="0.2">
      <c r="A788" s="102"/>
      <c r="B788" s="116"/>
    </row>
    <row r="789" spans="1:2" x14ac:dyDescent="0.2">
      <c r="A789" s="102"/>
      <c r="B789" s="116"/>
    </row>
    <row r="790" spans="1:2" x14ac:dyDescent="0.2">
      <c r="A790" s="102"/>
      <c r="B790" s="116"/>
    </row>
    <row r="791" spans="1:2" x14ac:dyDescent="0.2">
      <c r="A791" s="102"/>
      <c r="B791" s="116"/>
    </row>
    <row r="792" spans="1:2" x14ac:dyDescent="0.2">
      <c r="A792" s="102"/>
      <c r="B792" s="116"/>
    </row>
    <row r="793" spans="1:2" x14ac:dyDescent="0.2">
      <c r="A793" s="102"/>
      <c r="B793" s="116"/>
    </row>
    <row r="794" spans="1:2" x14ac:dyDescent="0.2">
      <c r="A794" s="102"/>
      <c r="B794" s="116"/>
    </row>
    <row r="795" spans="1:2" x14ac:dyDescent="0.2">
      <c r="A795" s="102"/>
      <c r="B795" s="116"/>
    </row>
    <row r="796" spans="1:2" x14ac:dyDescent="0.2">
      <c r="A796" s="102"/>
      <c r="B796" s="116"/>
    </row>
    <row r="797" spans="1:2" x14ac:dyDescent="0.2">
      <c r="A797" s="102"/>
      <c r="B797" s="116"/>
    </row>
    <row r="798" spans="1:2" x14ac:dyDescent="0.2">
      <c r="A798" s="102"/>
      <c r="B798" s="116"/>
    </row>
    <row r="799" spans="1:2" x14ac:dyDescent="0.2">
      <c r="A799" s="102"/>
      <c r="B799" s="116"/>
    </row>
    <row r="800" spans="1:2" x14ac:dyDescent="0.2">
      <c r="A800" s="102"/>
      <c r="B800" s="116"/>
    </row>
    <row r="801" spans="1:2" x14ac:dyDescent="0.2">
      <c r="A801" s="102"/>
      <c r="B801" s="116"/>
    </row>
    <row r="802" spans="1:2" x14ac:dyDescent="0.2">
      <c r="A802" s="102"/>
      <c r="B802" s="116"/>
    </row>
    <row r="803" spans="1:2" x14ac:dyDescent="0.2">
      <c r="A803" s="102"/>
      <c r="B803" s="116"/>
    </row>
    <row r="804" spans="1:2" x14ac:dyDescent="0.2">
      <c r="A804" s="102"/>
      <c r="B804" s="116"/>
    </row>
    <row r="805" spans="1:2" x14ac:dyDescent="0.2">
      <c r="A805" s="102"/>
      <c r="B805" s="116"/>
    </row>
    <row r="806" spans="1:2" x14ac:dyDescent="0.2">
      <c r="A806" s="102"/>
      <c r="B806" s="116"/>
    </row>
    <row r="807" spans="1:2" x14ac:dyDescent="0.2">
      <c r="A807" s="102"/>
      <c r="B807" s="116"/>
    </row>
    <row r="808" spans="1:2" x14ac:dyDescent="0.2">
      <c r="A808" s="102"/>
      <c r="B808" s="116"/>
    </row>
    <row r="809" spans="1:2" x14ac:dyDescent="0.2">
      <c r="A809" s="102"/>
      <c r="B809" s="116"/>
    </row>
    <row r="810" spans="1:2" x14ac:dyDescent="0.2">
      <c r="A810" s="102"/>
      <c r="B810" s="116"/>
    </row>
    <row r="811" spans="1:2" x14ac:dyDescent="0.2">
      <c r="A811" s="102"/>
      <c r="B811" s="116"/>
    </row>
    <row r="812" spans="1:2" x14ac:dyDescent="0.2">
      <c r="A812" s="102"/>
      <c r="B812" s="116"/>
    </row>
    <row r="813" spans="1:2" x14ac:dyDescent="0.2">
      <c r="A813" s="102"/>
      <c r="B813" s="116"/>
    </row>
    <row r="814" spans="1:2" x14ac:dyDescent="0.2">
      <c r="A814" s="102"/>
      <c r="B814" s="116"/>
    </row>
    <row r="815" spans="1:2" x14ac:dyDescent="0.2">
      <c r="A815" s="102"/>
      <c r="B815" s="116"/>
    </row>
    <row r="816" spans="1:2" x14ac:dyDescent="0.2">
      <c r="A816" s="102"/>
      <c r="B816" s="116"/>
    </row>
    <row r="817" spans="1:2" x14ac:dyDescent="0.2">
      <c r="A817" s="102"/>
      <c r="B817" s="116"/>
    </row>
    <row r="818" spans="1:2" x14ac:dyDescent="0.2">
      <c r="A818" s="102"/>
      <c r="B818" s="116"/>
    </row>
    <row r="819" spans="1:2" x14ac:dyDescent="0.2">
      <c r="A819" s="102"/>
      <c r="B819" s="116"/>
    </row>
    <row r="820" spans="1:2" x14ac:dyDescent="0.2">
      <c r="A820" s="102"/>
      <c r="B820" s="116"/>
    </row>
    <row r="821" spans="1:2" x14ac:dyDescent="0.2">
      <c r="A821" s="102"/>
      <c r="B821" s="116"/>
    </row>
    <row r="822" spans="1:2" x14ac:dyDescent="0.2">
      <c r="A822" s="102"/>
      <c r="B822" s="116"/>
    </row>
    <row r="823" spans="1:2" x14ac:dyDescent="0.2">
      <c r="A823" s="102"/>
      <c r="B823" s="116"/>
    </row>
    <row r="824" spans="1:2" x14ac:dyDescent="0.2">
      <c r="A824" s="102"/>
      <c r="B824" s="116"/>
    </row>
    <row r="825" spans="1:2" x14ac:dyDescent="0.2">
      <c r="A825" s="102"/>
      <c r="B825" s="116"/>
    </row>
    <row r="826" spans="1:2" x14ac:dyDescent="0.2">
      <c r="A826" s="102"/>
      <c r="B826" s="116"/>
    </row>
    <row r="827" spans="1:2" x14ac:dyDescent="0.2">
      <c r="A827" s="102"/>
      <c r="B827" s="116"/>
    </row>
    <row r="828" spans="1:2" x14ac:dyDescent="0.2">
      <c r="A828" s="102"/>
      <c r="B828" s="116"/>
    </row>
    <row r="829" spans="1:2" x14ac:dyDescent="0.2">
      <c r="A829" s="102"/>
      <c r="B829" s="116"/>
    </row>
    <row r="830" spans="1:2" x14ac:dyDescent="0.2">
      <c r="A830" s="102"/>
      <c r="B830" s="116"/>
    </row>
    <row r="831" spans="1:2" x14ac:dyDescent="0.2">
      <c r="A831" s="102"/>
      <c r="B831" s="116"/>
    </row>
    <row r="832" spans="1:2" x14ac:dyDescent="0.2">
      <c r="A832" s="102"/>
      <c r="B832" s="116"/>
    </row>
    <row r="833" spans="1:2" x14ac:dyDescent="0.2">
      <c r="A833" s="102"/>
      <c r="B833" s="116"/>
    </row>
    <row r="834" spans="1:2" x14ac:dyDescent="0.2">
      <c r="A834" s="102"/>
      <c r="B834" s="116"/>
    </row>
    <row r="835" spans="1:2" x14ac:dyDescent="0.2">
      <c r="A835" s="102"/>
      <c r="B835" s="116"/>
    </row>
    <row r="836" spans="1:2" x14ac:dyDescent="0.2">
      <c r="A836" s="102"/>
      <c r="B836" s="116"/>
    </row>
    <row r="837" spans="1:2" x14ac:dyDescent="0.2">
      <c r="A837" s="102"/>
      <c r="B837" s="116"/>
    </row>
    <row r="838" spans="1:2" x14ac:dyDescent="0.2">
      <c r="A838" s="102"/>
      <c r="B838" s="116"/>
    </row>
    <row r="839" spans="1:2" x14ac:dyDescent="0.2">
      <c r="A839" s="102"/>
      <c r="B839" s="116"/>
    </row>
    <row r="840" spans="1:2" x14ac:dyDescent="0.2">
      <c r="A840" s="102"/>
      <c r="B840" s="116"/>
    </row>
    <row r="841" spans="1:2" x14ac:dyDescent="0.2">
      <c r="A841" s="102"/>
      <c r="B841" s="116"/>
    </row>
    <row r="842" spans="1:2" x14ac:dyDescent="0.2">
      <c r="A842" s="102"/>
      <c r="B842" s="116"/>
    </row>
    <row r="843" spans="1:2" x14ac:dyDescent="0.2">
      <c r="A843" s="102"/>
      <c r="B843" s="116"/>
    </row>
    <row r="844" spans="1:2" x14ac:dyDescent="0.2">
      <c r="A844" s="102"/>
      <c r="B844" s="116"/>
    </row>
    <row r="845" spans="1:2" x14ac:dyDescent="0.2">
      <c r="A845" s="102"/>
      <c r="B845" s="116"/>
    </row>
    <row r="846" spans="1:2" x14ac:dyDescent="0.2">
      <c r="A846" s="102"/>
      <c r="B846" s="116"/>
    </row>
    <row r="847" spans="1:2" x14ac:dyDescent="0.2">
      <c r="A847" s="102"/>
      <c r="B847" s="116"/>
    </row>
    <row r="848" spans="1:2" x14ac:dyDescent="0.2">
      <c r="A848" s="102"/>
      <c r="B848" s="116"/>
    </row>
    <row r="849" spans="1:2" x14ac:dyDescent="0.2">
      <c r="A849" s="102"/>
      <c r="B849" s="116"/>
    </row>
    <row r="850" spans="1:2" x14ac:dyDescent="0.2">
      <c r="A850" s="102"/>
      <c r="B850" s="116"/>
    </row>
    <row r="851" spans="1:2" x14ac:dyDescent="0.2">
      <c r="A851" s="102"/>
      <c r="B851" s="116"/>
    </row>
    <row r="852" spans="1:2" x14ac:dyDescent="0.2">
      <c r="A852" s="102"/>
      <c r="B852" s="116"/>
    </row>
    <row r="853" spans="1:2" x14ac:dyDescent="0.2">
      <c r="A853" s="102"/>
      <c r="B853" s="116"/>
    </row>
    <row r="854" spans="1:2" x14ac:dyDescent="0.2">
      <c r="A854" s="102"/>
      <c r="B854" s="116"/>
    </row>
    <row r="855" spans="1:2" x14ac:dyDescent="0.2">
      <c r="A855" s="102"/>
      <c r="B855" s="116"/>
    </row>
    <row r="856" spans="1:2" x14ac:dyDescent="0.2">
      <c r="A856" s="102"/>
      <c r="B856" s="116"/>
    </row>
    <row r="857" spans="1:2" x14ac:dyDescent="0.2">
      <c r="A857" s="102"/>
      <c r="B857" s="116"/>
    </row>
    <row r="858" spans="1:2" x14ac:dyDescent="0.2">
      <c r="A858" s="102"/>
      <c r="B858" s="116"/>
    </row>
    <row r="859" spans="1:2" x14ac:dyDescent="0.2">
      <c r="A859" s="102"/>
      <c r="B859" s="116"/>
    </row>
    <row r="860" spans="1:2" x14ac:dyDescent="0.2">
      <c r="A860" s="102"/>
      <c r="B860" s="116"/>
    </row>
    <row r="861" spans="1:2" x14ac:dyDescent="0.2">
      <c r="A861" s="102"/>
      <c r="B861" s="116"/>
    </row>
    <row r="862" spans="1:2" x14ac:dyDescent="0.2">
      <c r="A862" s="102"/>
      <c r="B862" s="116"/>
    </row>
    <row r="863" spans="1:2" x14ac:dyDescent="0.2">
      <c r="A863" s="102"/>
      <c r="B863" s="116"/>
    </row>
    <row r="864" spans="1:2" x14ac:dyDescent="0.2">
      <c r="A864" s="102"/>
      <c r="B864" s="116"/>
    </row>
    <row r="865" spans="1:2" x14ac:dyDescent="0.2">
      <c r="A865" s="102"/>
      <c r="B865" s="116"/>
    </row>
    <row r="866" spans="1:2" x14ac:dyDescent="0.2">
      <c r="A866" s="102"/>
      <c r="B866" s="116"/>
    </row>
    <row r="867" spans="1:2" x14ac:dyDescent="0.2">
      <c r="A867" s="102"/>
      <c r="B867" s="116"/>
    </row>
    <row r="868" spans="1:2" x14ac:dyDescent="0.2">
      <c r="A868" s="102"/>
      <c r="B868" s="116"/>
    </row>
    <row r="869" spans="1:2" x14ac:dyDescent="0.2">
      <c r="A869" s="102"/>
      <c r="B869" s="116"/>
    </row>
    <row r="870" spans="1:2" x14ac:dyDescent="0.2">
      <c r="A870" s="102"/>
      <c r="B870" s="116"/>
    </row>
    <row r="871" spans="1:2" x14ac:dyDescent="0.2">
      <c r="A871" s="102"/>
      <c r="B871" s="116"/>
    </row>
    <row r="872" spans="1:2" x14ac:dyDescent="0.2">
      <c r="A872" s="102"/>
      <c r="B872" s="116"/>
    </row>
    <row r="873" spans="1:2" x14ac:dyDescent="0.2">
      <c r="A873" s="102"/>
      <c r="B873" s="116"/>
    </row>
    <row r="874" spans="1:2" x14ac:dyDescent="0.2">
      <c r="A874" s="102"/>
      <c r="B874" s="116"/>
    </row>
    <row r="875" spans="1:2" x14ac:dyDescent="0.2">
      <c r="A875" s="102"/>
      <c r="B875" s="116"/>
    </row>
    <row r="876" spans="1:2" x14ac:dyDescent="0.2">
      <c r="A876" s="102"/>
      <c r="B876" s="116"/>
    </row>
    <row r="877" spans="1:2" x14ac:dyDescent="0.2">
      <c r="A877" s="102"/>
      <c r="B877" s="116"/>
    </row>
    <row r="878" spans="1:2" x14ac:dyDescent="0.2">
      <c r="A878" s="102"/>
      <c r="B878" s="116"/>
    </row>
    <row r="879" spans="1:2" x14ac:dyDescent="0.2">
      <c r="A879" s="102"/>
      <c r="B879" s="116"/>
    </row>
    <row r="880" spans="1:2" x14ac:dyDescent="0.2">
      <c r="A880" s="102"/>
      <c r="B880" s="116"/>
    </row>
    <row r="881" spans="1:2" x14ac:dyDescent="0.2">
      <c r="A881" s="102"/>
      <c r="B881" s="116"/>
    </row>
    <row r="882" spans="1:2" x14ac:dyDescent="0.2">
      <c r="A882" s="102"/>
      <c r="B882" s="116"/>
    </row>
    <row r="883" spans="1:2" x14ac:dyDescent="0.2">
      <c r="A883" s="102"/>
      <c r="B883" s="116"/>
    </row>
    <row r="884" spans="1:2" x14ac:dyDescent="0.2">
      <c r="A884" s="102"/>
      <c r="B884" s="116"/>
    </row>
    <row r="885" spans="1:2" x14ac:dyDescent="0.2">
      <c r="A885" s="102"/>
      <c r="B885" s="116"/>
    </row>
    <row r="886" spans="1:2" x14ac:dyDescent="0.2">
      <c r="A886" s="102"/>
      <c r="B886" s="116"/>
    </row>
    <row r="887" spans="1:2" x14ac:dyDescent="0.2">
      <c r="A887" s="102"/>
      <c r="B887" s="116"/>
    </row>
    <row r="888" spans="1:2" x14ac:dyDescent="0.2">
      <c r="A888" s="102"/>
      <c r="B888" s="116"/>
    </row>
    <row r="889" spans="1:2" x14ac:dyDescent="0.2">
      <c r="A889" s="102"/>
      <c r="B889" s="116"/>
    </row>
    <row r="890" spans="1:2" x14ac:dyDescent="0.2">
      <c r="A890" s="102"/>
      <c r="B890" s="116"/>
    </row>
    <row r="891" spans="1:2" x14ac:dyDescent="0.2">
      <c r="A891" s="102"/>
      <c r="B891" s="116"/>
    </row>
    <row r="892" spans="1:2" x14ac:dyDescent="0.2">
      <c r="A892" s="102"/>
      <c r="B892" s="116"/>
    </row>
    <row r="893" spans="1:2" x14ac:dyDescent="0.2">
      <c r="A893" s="102"/>
      <c r="B893" s="116"/>
    </row>
    <row r="894" spans="1:2" x14ac:dyDescent="0.2">
      <c r="A894" s="102"/>
      <c r="B894" s="116"/>
    </row>
    <row r="895" spans="1:2" x14ac:dyDescent="0.2">
      <c r="A895" s="102"/>
      <c r="B895" s="116"/>
    </row>
    <row r="896" spans="1:2" x14ac:dyDescent="0.2">
      <c r="A896" s="102"/>
      <c r="B896" s="116"/>
    </row>
    <row r="897" spans="1:2" x14ac:dyDescent="0.2">
      <c r="A897" s="102"/>
      <c r="B897" s="116"/>
    </row>
    <row r="898" spans="1:2" x14ac:dyDescent="0.2">
      <c r="A898" s="102"/>
      <c r="B898" s="116"/>
    </row>
    <row r="899" spans="1:2" x14ac:dyDescent="0.2">
      <c r="A899" s="102"/>
      <c r="B899" s="116"/>
    </row>
    <row r="900" spans="1:2" x14ac:dyDescent="0.2">
      <c r="A900" s="102"/>
      <c r="B900" s="116"/>
    </row>
    <row r="901" spans="1:2" x14ac:dyDescent="0.2">
      <c r="A901" s="102"/>
      <c r="B901" s="116"/>
    </row>
    <row r="902" spans="1:2" x14ac:dyDescent="0.2">
      <c r="A902" s="102"/>
      <c r="B902" s="116"/>
    </row>
    <row r="903" spans="1:2" x14ac:dyDescent="0.2">
      <c r="A903" s="102"/>
      <c r="B903" s="116"/>
    </row>
    <row r="904" spans="1:2" x14ac:dyDescent="0.2">
      <c r="A904" s="102"/>
      <c r="B904" s="116"/>
    </row>
    <row r="905" spans="1:2" x14ac:dyDescent="0.2">
      <c r="A905" s="102"/>
      <c r="B905" s="116"/>
    </row>
    <row r="906" spans="1:2" x14ac:dyDescent="0.2">
      <c r="A906" s="102"/>
      <c r="B906" s="116"/>
    </row>
    <row r="907" spans="1:2" x14ac:dyDescent="0.2">
      <c r="A907" s="102"/>
      <c r="B907" s="116"/>
    </row>
    <row r="908" spans="1:2" x14ac:dyDescent="0.2">
      <c r="A908" s="102"/>
      <c r="B908" s="116"/>
    </row>
    <row r="909" spans="1:2" x14ac:dyDescent="0.2">
      <c r="A909" s="102"/>
      <c r="B909" s="116"/>
    </row>
    <row r="910" spans="1:2" x14ac:dyDescent="0.2">
      <c r="A910" s="102"/>
      <c r="B910" s="116"/>
    </row>
    <row r="911" spans="1:2" x14ac:dyDescent="0.2">
      <c r="A911" s="102"/>
      <c r="B911" s="116"/>
    </row>
    <row r="912" spans="1:2" x14ac:dyDescent="0.2">
      <c r="A912" s="102"/>
      <c r="B912" s="116"/>
    </row>
    <row r="913" spans="1:2" x14ac:dyDescent="0.2">
      <c r="A913" s="102"/>
      <c r="B913" s="116"/>
    </row>
    <row r="914" spans="1:2" x14ac:dyDescent="0.2">
      <c r="A914" s="102"/>
      <c r="B914" s="116"/>
    </row>
    <row r="915" spans="1:2" x14ac:dyDescent="0.2">
      <c r="A915" s="102"/>
      <c r="B915" s="116"/>
    </row>
    <row r="916" spans="1:2" x14ac:dyDescent="0.2">
      <c r="A916" s="102"/>
      <c r="B916" s="116"/>
    </row>
    <row r="917" spans="1:2" x14ac:dyDescent="0.2">
      <c r="A917" s="102"/>
      <c r="B917" s="116"/>
    </row>
    <row r="918" spans="1:2" x14ac:dyDescent="0.2">
      <c r="A918" s="102"/>
      <c r="B918" s="116"/>
    </row>
    <row r="919" spans="1:2" x14ac:dyDescent="0.2">
      <c r="A919" s="102"/>
      <c r="B919" s="116"/>
    </row>
    <row r="920" spans="1:2" x14ac:dyDescent="0.2">
      <c r="A920" s="102"/>
      <c r="B920" s="116"/>
    </row>
    <row r="921" spans="1:2" x14ac:dyDescent="0.2">
      <c r="A921" s="102"/>
      <c r="B921" s="116"/>
    </row>
    <row r="922" spans="1:2" x14ac:dyDescent="0.2">
      <c r="A922" s="102"/>
      <c r="B922" s="116"/>
    </row>
    <row r="923" spans="1:2" x14ac:dyDescent="0.2">
      <c r="A923" s="102"/>
      <c r="B923" s="116"/>
    </row>
    <row r="924" spans="1:2" x14ac:dyDescent="0.2">
      <c r="A924" s="102"/>
      <c r="B924" s="116"/>
    </row>
    <row r="925" spans="1:2" x14ac:dyDescent="0.2">
      <c r="A925" s="102"/>
      <c r="B925" s="116"/>
    </row>
    <row r="926" spans="1:2" x14ac:dyDescent="0.2">
      <c r="A926" s="102"/>
      <c r="B926" s="116"/>
    </row>
    <row r="927" spans="1:2" x14ac:dyDescent="0.2">
      <c r="A927" s="102"/>
      <c r="B927" s="116"/>
    </row>
    <row r="928" spans="1:2" x14ac:dyDescent="0.2">
      <c r="A928" s="102"/>
      <c r="B928" s="116"/>
    </row>
    <row r="929" spans="1:2" x14ac:dyDescent="0.2">
      <c r="A929" s="102"/>
      <c r="B929" s="116"/>
    </row>
    <row r="930" spans="1:2" x14ac:dyDescent="0.2">
      <c r="A930" s="102"/>
      <c r="B930" s="116"/>
    </row>
    <row r="931" spans="1:2" x14ac:dyDescent="0.2">
      <c r="A931" s="102"/>
      <c r="B931" s="116"/>
    </row>
    <row r="932" spans="1:2" x14ac:dyDescent="0.2">
      <c r="A932" s="102"/>
      <c r="B932" s="116"/>
    </row>
    <row r="933" spans="1:2" x14ac:dyDescent="0.2">
      <c r="A933" s="102"/>
      <c r="B933" s="116"/>
    </row>
    <row r="934" spans="1:2" x14ac:dyDescent="0.2">
      <c r="A934" s="102"/>
      <c r="B934" s="116"/>
    </row>
    <row r="935" spans="1:2" x14ac:dyDescent="0.2">
      <c r="A935" s="102"/>
      <c r="B935" s="116"/>
    </row>
    <row r="936" spans="1:2" x14ac:dyDescent="0.2">
      <c r="A936" s="102"/>
      <c r="B936" s="116"/>
    </row>
    <row r="937" spans="1:2" x14ac:dyDescent="0.2">
      <c r="A937" s="102"/>
      <c r="B937" s="116"/>
    </row>
    <row r="938" spans="1:2" x14ac:dyDescent="0.2">
      <c r="A938" s="102"/>
      <c r="B938" s="116"/>
    </row>
    <row r="939" spans="1:2" x14ac:dyDescent="0.2">
      <c r="A939" s="102"/>
      <c r="B939" s="116"/>
    </row>
    <row r="940" spans="1:2" x14ac:dyDescent="0.2">
      <c r="A940" s="102"/>
      <c r="B940" s="116"/>
    </row>
    <row r="941" spans="1:2" x14ac:dyDescent="0.2">
      <c r="A941" s="102"/>
      <c r="B941" s="116"/>
    </row>
    <row r="942" spans="1:2" x14ac:dyDescent="0.2">
      <c r="A942" s="102"/>
      <c r="B942" s="116"/>
    </row>
    <row r="943" spans="1:2" x14ac:dyDescent="0.2">
      <c r="A943" s="102"/>
      <c r="B943" s="116"/>
    </row>
    <row r="944" spans="1:2" x14ac:dyDescent="0.2">
      <c r="A944" s="102"/>
      <c r="B944" s="116"/>
    </row>
    <row r="945" spans="1:2" x14ac:dyDescent="0.2">
      <c r="A945" s="102"/>
      <c r="B945" s="116"/>
    </row>
    <row r="946" spans="1:2" x14ac:dyDescent="0.2">
      <c r="A946" s="102"/>
      <c r="B946" s="116"/>
    </row>
    <row r="947" spans="1:2" x14ac:dyDescent="0.2">
      <c r="A947" s="102"/>
      <c r="B947" s="116"/>
    </row>
    <row r="948" spans="1:2" x14ac:dyDescent="0.2">
      <c r="A948" s="102"/>
      <c r="B948" s="116"/>
    </row>
    <row r="949" spans="1:2" x14ac:dyDescent="0.2">
      <c r="A949" s="102"/>
      <c r="B949" s="116"/>
    </row>
    <row r="950" spans="1:2" x14ac:dyDescent="0.2">
      <c r="A950" s="102"/>
      <c r="B950" s="116"/>
    </row>
    <row r="951" spans="1:2" x14ac:dyDescent="0.2">
      <c r="A951" s="102"/>
      <c r="B951" s="116"/>
    </row>
    <row r="952" spans="1:2" x14ac:dyDescent="0.2">
      <c r="A952" s="102"/>
      <c r="B952" s="116"/>
    </row>
    <row r="953" spans="1:2" x14ac:dyDescent="0.2">
      <c r="A953" s="102"/>
      <c r="B953" s="116"/>
    </row>
    <row r="954" spans="1:2" x14ac:dyDescent="0.2">
      <c r="A954" s="102"/>
      <c r="B954" s="116"/>
    </row>
    <row r="955" spans="1:2" x14ac:dyDescent="0.2">
      <c r="A955" s="102"/>
      <c r="B955" s="116"/>
    </row>
    <row r="956" spans="1:2" x14ac:dyDescent="0.2">
      <c r="A956" s="102"/>
      <c r="B956" s="116"/>
    </row>
    <row r="957" spans="1:2" x14ac:dyDescent="0.2">
      <c r="A957" s="102"/>
      <c r="B957" s="116"/>
    </row>
    <row r="958" spans="1:2" x14ac:dyDescent="0.2">
      <c r="A958" s="102"/>
      <c r="B958" s="116"/>
    </row>
    <row r="959" spans="1:2" x14ac:dyDescent="0.2">
      <c r="A959" s="102"/>
      <c r="B959" s="116"/>
    </row>
    <row r="960" spans="1:2" x14ac:dyDescent="0.2">
      <c r="A960" s="102"/>
      <c r="B960" s="116"/>
    </row>
    <row r="961" spans="1:2" x14ac:dyDescent="0.2">
      <c r="A961" s="102"/>
      <c r="B961" s="116"/>
    </row>
    <row r="962" spans="1:2" x14ac:dyDescent="0.2">
      <c r="A962" s="102"/>
      <c r="B962" s="116"/>
    </row>
    <row r="963" spans="1:2" x14ac:dyDescent="0.2">
      <c r="A963" s="102"/>
      <c r="B963" s="116"/>
    </row>
    <row r="964" spans="1:2" x14ac:dyDescent="0.2">
      <c r="A964" s="102"/>
      <c r="B964" s="116"/>
    </row>
    <row r="965" spans="1:2" x14ac:dyDescent="0.2">
      <c r="A965" s="102"/>
      <c r="B965" s="116"/>
    </row>
    <row r="966" spans="1:2" x14ac:dyDescent="0.2">
      <c r="A966" s="102"/>
      <c r="B966" s="116"/>
    </row>
    <row r="967" spans="1:2" x14ac:dyDescent="0.2">
      <c r="A967" s="102"/>
      <c r="B967" s="116"/>
    </row>
    <row r="968" spans="1:2" x14ac:dyDescent="0.2">
      <c r="A968" s="102"/>
      <c r="B968" s="116"/>
    </row>
    <row r="969" spans="1:2" x14ac:dyDescent="0.2">
      <c r="A969" s="102"/>
      <c r="B969" s="116"/>
    </row>
    <row r="970" spans="1:2" x14ac:dyDescent="0.2">
      <c r="A970" s="102"/>
      <c r="B970" s="116"/>
    </row>
    <row r="971" spans="1:2" x14ac:dyDescent="0.2">
      <c r="A971" s="102"/>
      <c r="B971" s="116"/>
    </row>
    <row r="972" spans="1:2" x14ac:dyDescent="0.2">
      <c r="A972" s="102"/>
      <c r="B972" s="116"/>
    </row>
    <row r="973" spans="1:2" x14ac:dyDescent="0.2">
      <c r="A973" s="102"/>
      <c r="B973" s="116"/>
    </row>
    <row r="974" spans="1:2" x14ac:dyDescent="0.2">
      <c r="A974" s="102"/>
      <c r="B974" s="116"/>
    </row>
    <row r="975" spans="1:2" x14ac:dyDescent="0.2">
      <c r="A975" s="102"/>
      <c r="B975" s="116"/>
    </row>
    <row r="976" spans="1:2" x14ac:dyDescent="0.2">
      <c r="A976" s="102"/>
      <c r="B976" s="116"/>
    </row>
    <row r="977" spans="1:2" x14ac:dyDescent="0.2">
      <c r="A977" s="102"/>
      <c r="B977" s="116"/>
    </row>
    <row r="978" spans="1:2" x14ac:dyDescent="0.2">
      <c r="A978" s="102"/>
      <c r="B978" s="116"/>
    </row>
    <row r="979" spans="1:2" x14ac:dyDescent="0.2">
      <c r="A979" s="102"/>
      <c r="B979" s="116"/>
    </row>
    <row r="980" spans="1:2" x14ac:dyDescent="0.2">
      <c r="A980" s="102"/>
      <c r="B980" s="116"/>
    </row>
    <row r="981" spans="1:2" x14ac:dyDescent="0.2">
      <c r="A981" s="102"/>
      <c r="B981" s="116"/>
    </row>
    <row r="982" spans="1:2" x14ac:dyDescent="0.2">
      <c r="A982" s="102"/>
      <c r="B982" s="116"/>
    </row>
    <row r="983" spans="1:2" x14ac:dyDescent="0.2">
      <c r="A983" s="102"/>
      <c r="B983" s="116"/>
    </row>
    <row r="984" spans="1:2" x14ac:dyDescent="0.2">
      <c r="A984" s="102"/>
      <c r="B984" s="116"/>
    </row>
    <row r="985" spans="1:2" x14ac:dyDescent="0.2">
      <c r="A985" s="102"/>
      <c r="B985" s="116"/>
    </row>
    <row r="986" spans="1:2" x14ac:dyDescent="0.2">
      <c r="A986" s="102"/>
      <c r="B986" s="116"/>
    </row>
    <row r="987" spans="1:2" x14ac:dyDescent="0.2">
      <c r="A987" s="102"/>
      <c r="B987" s="116"/>
    </row>
    <row r="988" spans="1:2" x14ac:dyDescent="0.2">
      <c r="A988" s="102"/>
      <c r="B988" s="116"/>
    </row>
    <row r="989" spans="1:2" x14ac:dyDescent="0.2">
      <c r="A989" s="102"/>
      <c r="B989" s="116"/>
    </row>
    <row r="990" spans="1:2" x14ac:dyDescent="0.2">
      <c r="A990" s="102"/>
      <c r="B990" s="116"/>
    </row>
    <row r="991" spans="1:2" x14ac:dyDescent="0.2">
      <c r="A991" s="102"/>
      <c r="B991" s="116"/>
    </row>
    <row r="992" spans="1:2" x14ac:dyDescent="0.2">
      <c r="A992" s="102"/>
      <c r="B992" s="116"/>
    </row>
    <row r="993" spans="1:2" x14ac:dyDescent="0.2">
      <c r="A993" s="102"/>
      <c r="B993" s="116"/>
    </row>
    <row r="994" spans="1:2" x14ac:dyDescent="0.2">
      <c r="A994" s="102"/>
      <c r="B994" s="116"/>
    </row>
    <row r="995" spans="1:2" x14ac:dyDescent="0.2">
      <c r="A995" s="102"/>
      <c r="B995" s="116"/>
    </row>
    <row r="996" spans="1:2" x14ac:dyDescent="0.2">
      <c r="A996" s="102"/>
      <c r="B996" s="116"/>
    </row>
    <row r="997" spans="1:2" x14ac:dyDescent="0.2">
      <c r="A997" s="102"/>
      <c r="B997" s="116"/>
    </row>
    <row r="998" spans="1:2" x14ac:dyDescent="0.2">
      <c r="A998" s="102"/>
      <c r="B998" s="116"/>
    </row>
    <row r="999" spans="1:2" x14ac:dyDescent="0.2">
      <c r="A999" s="102"/>
      <c r="B999" s="116"/>
    </row>
    <row r="1000" spans="1:2" x14ac:dyDescent="0.2">
      <c r="A1000" s="102"/>
      <c r="B1000" s="116"/>
    </row>
    <row r="1001" spans="1:2" x14ac:dyDescent="0.2">
      <c r="A1001" s="102"/>
      <c r="B1001" s="116"/>
    </row>
    <row r="1002" spans="1:2" x14ac:dyDescent="0.2">
      <c r="A1002" s="102"/>
      <c r="B1002" s="116"/>
    </row>
    <row r="1003" spans="1:2" x14ac:dyDescent="0.2">
      <c r="A1003" s="102"/>
      <c r="B1003" s="116"/>
    </row>
    <row r="1004" spans="1:2" x14ac:dyDescent="0.2">
      <c r="A1004" s="102"/>
      <c r="B1004" s="116"/>
    </row>
    <row r="1005" spans="1:2" x14ac:dyDescent="0.2">
      <c r="A1005" s="102"/>
      <c r="B1005" s="116"/>
    </row>
    <row r="1006" spans="1:2" x14ac:dyDescent="0.2">
      <c r="A1006" s="102"/>
      <c r="B1006" s="116"/>
    </row>
    <row r="1007" spans="1:2" x14ac:dyDescent="0.2">
      <c r="A1007" s="102"/>
      <c r="B1007" s="116"/>
    </row>
    <row r="1008" spans="1:2" x14ac:dyDescent="0.2">
      <c r="A1008" s="102"/>
      <c r="B1008" s="116"/>
    </row>
    <row r="1009" spans="1:2" x14ac:dyDescent="0.2">
      <c r="A1009" s="102"/>
      <c r="B1009" s="116"/>
    </row>
    <row r="1010" spans="1:2" x14ac:dyDescent="0.2">
      <c r="A1010" s="102"/>
      <c r="B1010" s="116"/>
    </row>
    <row r="1011" spans="1:2" x14ac:dyDescent="0.2">
      <c r="A1011" s="102"/>
      <c r="B1011" s="116"/>
    </row>
    <row r="1012" spans="1:2" x14ac:dyDescent="0.2">
      <c r="A1012" s="102"/>
      <c r="B1012" s="116"/>
    </row>
    <row r="1013" spans="1:2" x14ac:dyDescent="0.2">
      <c r="A1013" s="102"/>
      <c r="B1013" s="116"/>
    </row>
    <row r="1014" spans="1:2" x14ac:dyDescent="0.2">
      <c r="A1014" s="102"/>
      <c r="B1014" s="116"/>
    </row>
    <row r="1015" spans="1:2" x14ac:dyDescent="0.2">
      <c r="A1015" s="102"/>
      <c r="B1015" s="116"/>
    </row>
    <row r="1016" spans="1:2" x14ac:dyDescent="0.2">
      <c r="A1016" s="102"/>
      <c r="B1016" s="116"/>
    </row>
    <row r="1017" spans="1:2" x14ac:dyDescent="0.2">
      <c r="A1017" s="102"/>
      <c r="B1017" s="116"/>
    </row>
    <row r="1018" spans="1:2" x14ac:dyDescent="0.2">
      <c r="A1018" s="102"/>
      <c r="B1018" s="116"/>
    </row>
    <row r="1019" spans="1:2" x14ac:dyDescent="0.2">
      <c r="A1019" s="102"/>
      <c r="B1019" s="116"/>
    </row>
    <row r="1020" spans="1:2" x14ac:dyDescent="0.2">
      <c r="A1020" s="102"/>
      <c r="B1020" s="116"/>
    </row>
    <row r="1021" spans="1:2" x14ac:dyDescent="0.2">
      <c r="A1021" s="102"/>
      <c r="B1021" s="116"/>
    </row>
    <row r="1022" spans="1:2" x14ac:dyDescent="0.2">
      <c r="A1022" s="102"/>
      <c r="B1022" s="116"/>
    </row>
    <row r="1023" spans="1:2" x14ac:dyDescent="0.2">
      <c r="A1023" s="102"/>
      <c r="B1023" s="116"/>
    </row>
    <row r="1024" spans="1:2" x14ac:dyDescent="0.2">
      <c r="A1024" s="102"/>
      <c r="B1024" s="116"/>
    </row>
    <row r="1025" spans="1:2" x14ac:dyDescent="0.2">
      <c r="A1025" s="102"/>
      <c r="B1025" s="116"/>
    </row>
    <row r="1026" spans="1:2" x14ac:dyDescent="0.2">
      <c r="A1026" s="102"/>
      <c r="B1026" s="116"/>
    </row>
    <row r="1027" spans="1:2" x14ac:dyDescent="0.2">
      <c r="A1027" s="102"/>
      <c r="B1027" s="116"/>
    </row>
    <row r="1028" spans="1:2" x14ac:dyDescent="0.2">
      <c r="A1028" s="102"/>
      <c r="B1028" s="116"/>
    </row>
    <row r="1029" spans="1:2" x14ac:dyDescent="0.2">
      <c r="A1029" s="102"/>
      <c r="B1029" s="116"/>
    </row>
    <row r="1030" spans="1:2" x14ac:dyDescent="0.2">
      <c r="A1030" s="102"/>
      <c r="B1030" s="116"/>
    </row>
    <row r="1031" spans="1:2" x14ac:dyDescent="0.2">
      <c r="A1031" s="102"/>
      <c r="B1031" s="116"/>
    </row>
    <row r="1032" spans="1:2" x14ac:dyDescent="0.2">
      <c r="A1032" s="102"/>
      <c r="B1032" s="116"/>
    </row>
    <row r="1033" spans="1:2" x14ac:dyDescent="0.2">
      <c r="A1033" s="102"/>
      <c r="B1033" s="116"/>
    </row>
    <row r="1034" spans="1:2" x14ac:dyDescent="0.2">
      <c r="A1034" s="102"/>
      <c r="B1034" s="116"/>
    </row>
    <row r="1035" spans="1:2" x14ac:dyDescent="0.2">
      <c r="A1035" s="102"/>
      <c r="B1035" s="116"/>
    </row>
    <row r="1036" spans="1:2" x14ac:dyDescent="0.2">
      <c r="A1036" s="102"/>
      <c r="B1036" s="116"/>
    </row>
    <row r="1037" spans="1:2" x14ac:dyDescent="0.2">
      <c r="A1037" s="102"/>
      <c r="B1037" s="116"/>
    </row>
    <row r="1038" spans="1:2" x14ac:dyDescent="0.2">
      <c r="A1038" s="102"/>
      <c r="B1038" s="116"/>
    </row>
    <row r="1039" spans="1:2" x14ac:dyDescent="0.2">
      <c r="A1039" s="102"/>
      <c r="B1039" s="116"/>
    </row>
    <row r="1040" spans="1:2" x14ac:dyDescent="0.2">
      <c r="A1040" s="102"/>
      <c r="B1040" s="116"/>
    </row>
    <row r="1041" spans="1:2" x14ac:dyDescent="0.2">
      <c r="A1041" s="102"/>
      <c r="B1041" s="116"/>
    </row>
    <row r="1042" spans="1:2" x14ac:dyDescent="0.2">
      <c r="A1042" s="102"/>
      <c r="B1042" s="116"/>
    </row>
    <row r="1043" spans="1:2" x14ac:dyDescent="0.2">
      <c r="A1043" s="102"/>
      <c r="B1043" s="116"/>
    </row>
    <row r="1044" spans="1:2" x14ac:dyDescent="0.2">
      <c r="A1044" s="102"/>
      <c r="B1044" s="116"/>
    </row>
    <row r="1045" spans="1:2" x14ac:dyDescent="0.2">
      <c r="A1045" s="102"/>
      <c r="B1045" s="116"/>
    </row>
    <row r="1046" spans="1:2" x14ac:dyDescent="0.2">
      <c r="A1046" s="102"/>
      <c r="B1046" s="116"/>
    </row>
    <row r="1047" spans="1:2" x14ac:dyDescent="0.2">
      <c r="A1047" s="102"/>
      <c r="B1047" s="116"/>
    </row>
    <row r="1048" spans="1:2" x14ac:dyDescent="0.2">
      <c r="A1048" s="102"/>
      <c r="B1048" s="116"/>
    </row>
    <row r="1049" spans="1:2" x14ac:dyDescent="0.2">
      <c r="A1049" s="102"/>
      <c r="B1049" s="116"/>
    </row>
    <row r="1050" spans="1:2" x14ac:dyDescent="0.2">
      <c r="A1050" s="102"/>
      <c r="B1050" s="116"/>
    </row>
    <row r="1051" spans="1:2" x14ac:dyDescent="0.2">
      <c r="A1051" s="102"/>
      <c r="B1051" s="116"/>
    </row>
    <row r="1052" spans="1:2" x14ac:dyDescent="0.2">
      <c r="A1052" s="102"/>
      <c r="B1052" s="116"/>
    </row>
    <row r="1053" spans="1:2" x14ac:dyDescent="0.2">
      <c r="A1053" s="102"/>
      <c r="B1053" s="116"/>
    </row>
    <row r="1054" spans="1:2" x14ac:dyDescent="0.2">
      <c r="A1054" s="102"/>
      <c r="B1054" s="116"/>
    </row>
    <row r="1055" spans="1:2" x14ac:dyDescent="0.2">
      <c r="A1055" s="102"/>
      <c r="B1055" s="116"/>
    </row>
    <row r="1056" spans="1:2" x14ac:dyDescent="0.2">
      <c r="A1056" s="102"/>
      <c r="B1056" s="116"/>
    </row>
    <row r="1057" spans="1:2" x14ac:dyDescent="0.2">
      <c r="A1057" s="102"/>
      <c r="B1057" s="116"/>
    </row>
    <row r="1058" spans="1:2" x14ac:dyDescent="0.2">
      <c r="A1058" s="102"/>
      <c r="B1058" s="116"/>
    </row>
    <row r="1059" spans="1:2" x14ac:dyDescent="0.2">
      <c r="A1059" s="102"/>
      <c r="B1059" s="116"/>
    </row>
    <row r="1060" spans="1:2" x14ac:dyDescent="0.2">
      <c r="A1060" s="102"/>
      <c r="B1060" s="116"/>
    </row>
    <row r="1061" spans="1:2" x14ac:dyDescent="0.2">
      <c r="A1061" s="102"/>
      <c r="B1061" s="116"/>
    </row>
    <row r="1062" spans="1:2" x14ac:dyDescent="0.2">
      <c r="A1062" s="102"/>
      <c r="B1062" s="116"/>
    </row>
    <row r="1063" spans="1:2" x14ac:dyDescent="0.2">
      <c r="A1063" s="102"/>
      <c r="B1063" s="116"/>
    </row>
    <row r="1064" spans="1:2" x14ac:dyDescent="0.2">
      <c r="A1064" s="102"/>
      <c r="B1064" s="116"/>
    </row>
    <row r="1065" spans="1:2" x14ac:dyDescent="0.2">
      <c r="A1065" s="102"/>
      <c r="B1065" s="116"/>
    </row>
    <row r="1066" spans="1:2" x14ac:dyDescent="0.2">
      <c r="A1066" s="102"/>
      <c r="B1066" s="116"/>
    </row>
    <row r="1067" spans="1:2" x14ac:dyDescent="0.2">
      <c r="A1067" s="102"/>
      <c r="B1067" s="116"/>
    </row>
    <row r="1068" spans="1:2" x14ac:dyDescent="0.2">
      <c r="A1068" s="102"/>
      <c r="B1068" s="116"/>
    </row>
    <row r="1069" spans="1:2" x14ac:dyDescent="0.2">
      <c r="A1069" s="102"/>
      <c r="B1069" s="116"/>
    </row>
    <row r="1070" spans="1:2" x14ac:dyDescent="0.2">
      <c r="A1070" s="102"/>
      <c r="B1070" s="116"/>
    </row>
    <row r="1071" spans="1:2" x14ac:dyDescent="0.2">
      <c r="A1071" s="102"/>
      <c r="B1071" s="116"/>
    </row>
    <row r="1072" spans="1:2" x14ac:dyDescent="0.2">
      <c r="A1072" s="102"/>
      <c r="B1072" s="116"/>
    </row>
    <row r="1073" spans="1:2" x14ac:dyDescent="0.2">
      <c r="A1073" s="102"/>
      <c r="B1073" s="116"/>
    </row>
    <row r="1074" spans="1:2" x14ac:dyDescent="0.2">
      <c r="A1074" s="102"/>
      <c r="B1074" s="116"/>
    </row>
    <row r="1075" spans="1:2" x14ac:dyDescent="0.2">
      <c r="A1075" s="102"/>
      <c r="B1075" s="116"/>
    </row>
    <row r="1076" spans="1:2" x14ac:dyDescent="0.2">
      <c r="A1076" s="102"/>
      <c r="B1076" s="116"/>
    </row>
    <row r="1077" spans="1:2" x14ac:dyDescent="0.2">
      <c r="A1077" s="102"/>
      <c r="B1077" s="116"/>
    </row>
    <row r="1078" spans="1:2" x14ac:dyDescent="0.2">
      <c r="A1078" s="102"/>
      <c r="B1078" s="116"/>
    </row>
    <row r="1079" spans="1:2" x14ac:dyDescent="0.2">
      <c r="A1079" s="102"/>
      <c r="B1079" s="116"/>
    </row>
    <row r="1080" spans="1:2" x14ac:dyDescent="0.2">
      <c r="A1080" s="102"/>
      <c r="B1080" s="116"/>
    </row>
    <row r="1081" spans="1:2" x14ac:dyDescent="0.2">
      <c r="A1081" s="102"/>
      <c r="B1081" s="116"/>
    </row>
    <row r="1082" spans="1:2" x14ac:dyDescent="0.2">
      <c r="A1082" s="102"/>
      <c r="B1082" s="116"/>
    </row>
    <row r="1083" spans="1:2" x14ac:dyDescent="0.2">
      <c r="A1083" s="102"/>
      <c r="B1083" s="116"/>
    </row>
    <row r="1084" spans="1:2" x14ac:dyDescent="0.2">
      <c r="A1084" s="102"/>
      <c r="B1084" s="116"/>
    </row>
    <row r="1085" spans="1:2" x14ac:dyDescent="0.2">
      <c r="A1085" s="102"/>
      <c r="B1085" s="116"/>
    </row>
    <row r="1086" spans="1:2" x14ac:dyDescent="0.2">
      <c r="A1086" s="102"/>
      <c r="B1086" s="116"/>
    </row>
    <row r="1087" spans="1:2" x14ac:dyDescent="0.2">
      <c r="A1087" s="102"/>
      <c r="B1087" s="116"/>
    </row>
    <row r="1088" spans="1:2" x14ac:dyDescent="0.2">
      <c r="A1088" s="102"/>
      <c r="B1088" s="116"/>
    </row>
    <row r="1089" spans="1:2" x14ac:dyDescent="0.2">
      <c r="A1089" s="102"/>
      <c r="B1089" s="116"/>
    </row>
    <row r="1090" spans="1:2" x14ac:dyDescent="0.2">
      <c r="A1090" s="102"/>
      <c r="B1090" s="116"/>
    </row>
    <row r="1091" spans="1:2" x14ac:dyDescent="0.2">
      <c r="A1091" s="102"/>
      <c r="B1091" s="116"/>
    </row>
    <row r="1092" spans="1:2" x14ac:dyDescent="0.2">
      <c r="A1092" s="102"/>
      <c r="B1092" s="116"/>
    </row>
    <row r="1093" spans="1:2" x14ac:dyDescent="0.2">
      <c r="A1093" s="102"/>
      <c r="B1093" s="116"/>
    </row>
    <row r="1094" spans="1:2" x14ac:dyDescent="0.2">
      <c r="A1094" s="102"/>
      <c r="B1094" s="116"/>
    </row>
    <row r="1095" spans="1:2" x14ac:dyDescent="0.2">
      <c r="A1095" s="102"/>
      <c r="B1095" s="116"/>
    </row>
    <row r="1096" spans="1:2" x14ac:dyDescent="0.2">
      <c r="A1096" s="102"/>
      <c r="B1096" s="116"/>
    </row>
    <row r="1097" spans="1:2" x14ac:dyDescent="0.2">
      <c r="A1097" s="102"/>
      <c r="B1097" s="116"/>
    </row>
    <row r="1098" spans="1:2" x14ac:dyDescent="0.2">
      <c r="A1098" s="102"/>
      <c r="B1098" s="116"/>
    </row>
    <row r="1099" spans="1:2" x14ac:dyDescent="0.2">
      <c r="A1099" s="102"/>
      <c r="B1099" s="116"/>
    </row>
    <row r="1100" spans="1:2" x14ac:dyDescent="0.2">
      <c r="A1100" s="102"/>
      <c r="B1100" s="116"/>
    </row>
    <row r="1101" spans="1:2" x14ac:dyDescent="0.2">
      <c r="A1101" s="102"/>
      <c r="B1101" s="116"/>
    </row>
    <row r="1102" spans="1:2" x14ac:dyDescent="0.2">
      <c r="A1102" s="102"/>
      <c r="B1102" s="116"/>
    </row>
    <row r="1103" spans="1:2" x14ac:dyDescent="0.2">
      <c r="A1103" s="102"/>
      <c r="B1103" s="116"/>
    </row>
    <row r="1104" spans="1:2" x14ac:dyDescent="0.2">
      <c r="A1104" s="102"/>
      <c r="B1104" s="116"/>
    </row>
    <row r="1105" spans="1:2" x14ac:dyDescent="0.2">
      <c r="A1105" s="102"/>
      <c r="B1105" s="116"/>
    </row>
    <row r="1106" spans="1:2" x14ac:dyDescent="0.2">
      <c r="A1106" s="102"/>
      <c r="B1106" s="116"/>
    </row>
    <row r="1107" spans="1:2" x14ac:dyDescent="0.2">
      <c r="A1107" s="102"/>
      <c r="B1107" s="116"/>
    </row>
    <row r="1108" spans="1:2" x14ac:dyDescent="0.2">
      <c r="A1108" s="102"/>
      <c r="B1108" s="116"/>
    </row>
    <row r="1109" spans="1:2" x14ac:dyDescent="0.2">
      <c r="A1109" s="102"/>
      <c r="B1109" s="116"/>
    </row>
    <row r="1110" spans="1:2" x14ac:dyDescent="0.2">
      <c r="A1110" s="102"/>
      <c r="B1110" s="116"/>
    </row>
    <row r="1111" spans="1:2" x14ac:dyDescent="0.2">
      <c r="A1111" s="102"/>
      <c r="B1111" s="116"/>
    </row>
    <row r="1112" spans="1:2" x14ac:dyDescent="0.2">
      <c r="A1112" s="102"/>
      <c r="B1112" s="116"/>
    </row>
    <row r="1113" spans="1:2" x14ac:dyDescent="0.2">
      <c r="A1113" s="102"/>
      <c r="B1113" s="116"/>
    </row>
    <row r="1114" spans="1:2" x14ac:dyDescent="0.2">
      <c r="A1114" s="102"/>
      <c r="B1114" s="116"/>
    </row>
    <row r="1115" spans="1:2" x14ac:dyDescent="0.2">
      <c r="A1115" s="102"/>
      <c r="B1115" s="116"/>
    </row>
    <row r="1116" spans="1:2" x14ac:dyDescent="0.2">
      <c r="A1116" s="102"/>
      <c r="B1116" s="116"/>
    </row>
    <row r="1117" spans="1:2" x14ac:dyDescent="0.2">
      <c r="A1117" s="102"/>
      <c r="B1117" s="116"/>
    </row>
    <row r="1118" spans="1:2" x14ac:dyDescent="0.2">
      <c r="A1118" s="102"/>
      <c r="B1118" s="116"/>
    </row>
    <row r="1119" spans="1:2" x14ac:dyDescent="0.2">
      <c r="A1119" s="102"/>
      <c r="B1119" s="116"/>
    </row>
    <row r="1120" spans="1:2" x14ac:dyDescent="0.2">
      <c r="A1120" s="102"/>
      <c r="B1120" s="116"/>
    </row>
    <row r="1121" spans="1:2" x14ac:dyDescent="0.2">
      <c r="A1121" s="102"/>
      <c r="B1121" s="116"/>
    </row>
    <row r="1122" spans="1:2" x14ac:dyDescent="0.2">
      <c r="A1122" s="102"/>
      <c r="B1122" s="116"/>
    </row>
    <row r="1123" spans="1:2" x14ac:dyDescent="0.2">
      <c r="A1123" s="102"/>
      <c r="B1123" s="116"/>
    </row>
    <row r="1124" spans="1:2" x14ac:dyDescent="0.2">
      <c r="A1124" s="102"/>
      <c r="B1124" s="116"/>
    </row>
    <row r="1125" spans="1:2" x14ac:dyDescent="0.2">
      <c r="A1125" s="102"/>
      <c r="B1125" s="116"/>
    </row>
    <row r="1126" spans="1:2" x14ac:dyDescent="0.2">
      <c r="A1126" s="102"/>
      <c r="B1126" s="116"/>
    </row>
    <row r="1127" spans="1:2" x14ac:dyDescent="0.2">
      <c r="A1127" s="102"/>
      <c r="B1127" s="116"/>
    </row>
    <row r="1128" spans="1:2" x14ac:dyDescent="0.2">
      <c r="A1128" s="102"/>
      <c r="B1128" s="116"/>
    </row>
    <row r="1129" spans="1:2" x14ac:dyDescent="0.2">
      <c r="A1129" s="102"/>
      <c r="B1129" s="116"/>
    </row>
    <row r="1130" spans="1:2" x14ac:dyDescent="0.2">
      <c r="A1130" s="102"/>
      <c r="B1130" s="116"/>
    </row>
    <row r="1131" spans="1:2" x14ac:dyDescent="0.2">
      <c r="A1131" s="102"/>
      <c r="B1131" s="116"/>
    </row>
    <row r="1132" spans="1:2" x14ac:dyDescent="0.2">
      <c r="A1132" s="102"/>
      <c r="B1132" s="116"/>
    </row>
    <row r="1133" spans="1:2" x14ac:dyDescent="0.2">
      <c r="A1133" s="102"/>
      <c r="B1133" s="116"/>
    </row>
    <row r="1134" spans="1:2" x14ac:dyDescent="0.2">
      <c r="A1134" s="102"/>
      <c r="B1134" s="116"/>
    </row>
    <row r="1135" spans="1:2" x14ac:dyDescent="0.2">
      <c r="A1135" s="102"/>
      <c r="B1135" s="116"/>
    </row>
    <row r="1136" spans="1:2" x14ac:dyDescent="0.2">
      <c r="A1136" s="102"/>
      <c r="B1136" s="116"/>
    </row>
    <row r="1137" spans="1:2" x14ac:dyDescent="0.2">
      <c r="A1137" s="102"/>
      <c r="B1137" s="116"/>
    </row>
    <row r="1138" spans="1:2" x14ac:dyDescent="0.2">
      <c r="A1138" s="102"/>
      <c r="B1138" s="116"/>
    </row>
    <row r="1139" spans="1:2" x14ac:dyDescent="0.2">
      <c r="A1139" s="102"/>
      <c r="B1139" s="116"/>
    </row>
    <row r="1140" spans="1:2" x14ac:dyDescent="0.2">
      <c r="A1140" s="102"/>
      <c r="B1140" s="116"/>
    </row>
    <row r="1141" spans="1:2" x14ac:dyDescent="0.2">
      <c r="A1141" s="102"/>
      <c r="B1141" s="116"/>
    </row>
    <row r="1142" spans="1:2" x14ac:dyDescent="0.2">
      <c r="A1142" s="102"/>
      <c r="B1142" s="116"/>
    </row>
    <row r="1143" spans="1:2" x14ac:dyDescent="0.2">
      <c r="A1143" s="102"/>
      <c r="B1143" s="116"/>
    </row>
    <row r="1144" spans="1:2" x14ac:dyDescent="0.2">
      <c r="A1144" s="102"/>
      <c r="B1144" s="116"/>
    </row>
    <row r="1145" spans="1:2" x14ac:dyDescent="0.2">
      <c r="A1145" s="102"/>
      <c r="B1145" s="116"/>
    </row>
    <row r="1146" spans="1:2" x14ac:dyDescent="0.2">
      <c r="A1146" s="102"/>
      <c r="B1146" s="116"/>
    </row>
    <row r="1147" spans="1:2" x14ac:dyDescent="0.2">
      <c r="A1147" s="102"/>
      <c r="B1147" s="116"/>
    </row>
    <row r="1148" spans="1:2" x14ac:dyDescent="0.2">
      <c r="A1148" s="102"/>
      <c r="B1148" s="116"/>
    </row>
    <row r="1149" spans="1:2" x14ac:dyDescent="0.2">
      <c r="A1149" s="102"/>
      <c r="B1149" s="116"/>
    </row>
    <row r="1150" spans="1:2" x14ac:dyDescent="0.2">
      <c r="A1150" s="102"/>
      <c r="B1150" s="116"/>
    </row>
    <row r="1151" spans="1:2" x14ac:dyDescent="0.2">
      <c r="A1151" s="102"/>
      <c r="B1151" s="116"/>
    </row>
    <row r="1152" spans="1:2" x14ac:dyDescent="0.2">
      <c r="A1152" s="102"/>
      <c r="B1152" s="116"/>
    </row>
    <row r="1153" spans="1:2" x14ac:dyDescent="0.2">
      <c r="A1153" s="102"/>
      <c r="B1153" s="116"/>
    </row>
    <row r="1154" spans="1:2" x14ac:dyDescent="0.2">
      <c r="A1154" s="102"/>
      <c r="B1154" s="116"/>
    </row>
    <row r="1155" spans="1:2" x14ac:dyDescent="0.2">
      <c r="A1155" s="102"/>
      <c r="B1155" s="116"/>
    </row>
    <row r="1156" spans="1:2" x14ac:dyDescent="0.2">
      <c r="A1156" s="102"/>
      <c r="B1156" s="116"/>
    </row>
    <row r="1157" spans="1:2" x14ac:dyDescent="0.2">
      <c r="A1157" s="102"/>
      <c r="B1157" s="116"/>
    </row>
    <row r="1158" spans="1:2" x14ac:dyDescent="0.2">
      <c r="A1158" s="102"/>
      <c r="B1158" s="116"/>
    </row>
    <row r="1159" spans="1:2" x14ac:dyDescent="0.2">
      <c r="A1159" s="102"/>
      <c r="B1159" s="116"/>
    </row>
    <row r="1160" spans="1:2" x14ac:dyDescent="0.2">
      <c r="A1160" s="102"/>
      <c r="B1160" s="116"/>
    </row>
    <row r="1161" spans="1:2" x14ac:dyDescent="0.2">
      <c r="A1161" s="102"/>
      <c r="B1161" s="116"/>
    </row>
    <row r="1162" spans="1:2" x14ac:dyDescent="0.2">
      <c r="A1162" s="102"/>
      <c r="B1162" s="116"/>
    </row>
    <row r="1163" spans="1:2" x14ac:dyDescent="0.2">
      <c r="A1163" s="102"/>
      <c r="B1163" s="116"/>
    </row>
    <row r="1164" spans="1:2" x14ac:dyDescent="0.2">
      <c r="A1164" s="102"/>
      <c r="B1164" s="116"/>
    </row>
    <row r="1165" spans="1:2" x14ac:dyDescent="0.2">
      <c r="A1165" s="102"/>
      <c r="B1165" s="116"/>
    </row>
    <row r="1166" spans="1:2" x14ac:dyDescent="0.2">
      <c r="A1166" s="102"/>
      <c r="B1166" s="116"/>
    </row>
    <row r="1167" spans="1:2" x14ac:dyDescent="0.2">
      <c r="A1167" s="102"/>
      <c r="B1167" s="116"/>
    </row>
    <row r="1168" spans="1:2" x14ac:dyDescent="0.2">
      <c r="A1168" s="102"/>
      <c r="B1168" s="116"/>
    </row>
    <row r="1169" spans="1:2" x14ac:dyDescent="0.2">
      <c r="A1169" s="102"/>
      <c r="B1169" s="116"/>
    </row>
    <row r="1170" spans="1:2" x14ac:dyDescent="0.2">
      <c r="A1170" s="102"/>
      <c r="B1170" s="116"/>
    </row>
    <row r="1171" spans="1:2" x14ac:dyDescent="0.2">
      <c r="A1171" s="102"/>
      <c r="B1171" s="116"/>
    </row>
    <row r="1172" spans="1:2" x14ac:dyDescent="0.2">
      <c r="A1172" s="102"/>
      <c r="B1172" s="116"/>
    </row>
    <row r="1173" spans="1:2" x14ac:dyDescent="0.2">
      <c r="A1173" s="102"/>
      <c r="B1173" s="116"/>
    </row>
    <row r="1174" spans="1:2" x14ac:dyDescent="0.2">
      <c r="A1174" s="102"/>
      <c r="B1174" s="116"/>
    </row>
    <row r="1175" spans="1:2" x14ac:dyDescent="0.2">
      <c r="A1175" s="102"/>
      <c r="B1175" s="116"/>
    </row>
    <row r="1176" spans="1:2" x14ac:dyDescent="0.2">
      <c r="A1176" s="102"/>
      <c r="B1176" s="116"/>
    </row>
    <row r="1177" spans="1:2" x14ac:dyDescent="0.2">
      <c r="A1177" s="102"/>
      <c r="B1177" s="116"/>
    </row>
    <row r="1178" spans="1:2" x14ac:dyDescent="0.2">
      <c r="A1178" s="102"/>
      <c r="B1178" s="116"/>
    </row>
    <row r="1179" spans="1:2" x14ac:dyDescent="0.2">
      <c r="A1179" s="102"/>
      <c r="B1179" s="116"/>
    </row>
    <row r="1180" spans="1:2" x14ac:dyDescent="0.2">
      <c r="A1180" s="102"/>
      <c r="B1180" s="116"/>
    </row>
    <row r="1181" spans="1:2" x14ac:dyDescent="0.2">
      <c r="A1181" s="102"/>
      <c r="B1181" s="116"/>
    </row>
    <row r="1182" spans="1:2" x14ac:dyDescent="0.2">
      <c r="A1182" s="102"/>
      <c r="B1182" s="116"/>
    </row>
    <row r="1183" spans="1:2" x14ac:dyDescent="0.2">
      <c r="A1183" s="102"/>
      <c r="B1183" s="116"/>
    </row>
    <row r="1184" spans="1:2" x14ac:dyDescent="0.2">
      <c r="A1184" s="102"/>
      <c r="B1184" s="116"/>
    </row>
    <row r="1185" spans="1:2" x14ac:dyDescent="0.2">
      <c r="A1185" s="102"/>
      <c r="B1185" s="116"/>
    </row>
    <row r="1186" spans="1:2" x14ac:dyDescent="0.2">
      <c r="A1186" s="102"/>
      <c r="B1186" s="116"/>
    </row>
    <row r="1187" spans="1:2" x14ac:dyDescent="0.2">
      <c r="A1187" s="102"/>
      <c r="B1187" s="116"/>
    </row>
    <row r="1188" spans="1:2" x14ac:dyDescent="0.2">
      <c r="A1188" s="102"/>
      <c r="B1188" s="116"/>
    </row>
    <row r="1189" spans="1:2" x14ac:dyDescent="0.2">
      <c r="A1189" s="102"/>
      <c r="B1189" s="116"/>
    </row>
    <row r="1190" spans="1:2" x14ac:dyDescent="0.2">
      <c r="A1190" s="102"/>
      <c r="B1190" s="116"/>
    </row>
    <row r="1191" spans="1:2" x14ac:dyDescent="0.2">
      <c r="A1191" s="102"/>
      <c r="B1191" s="116"/>
    </row>
    <row r="1192" spans="1:2" x14ac:dyDescent="0.2">
      <c r="A1192" s="102"/>
      <c r="B1192" s="116"/>
    </row>
    <row r="1193" spans="1:2" x14ac:dyDescent="0.2">
      <c r="A1193" s="102"/>
      <c r="B1193" s="116"/>
    </row>
    <row r="1194" spans="1:2" x14ac:dyDescent="0.2">
      <c r="A1194" s="102"/>
      <c r="B1194" s="116"/>
    </row>
    <row r="1195" spans="1:2" x14ac:dyDescent="0.2">
      <c r="A1195" s="102"/>
      <c r="B1195" s="116"/>
    </row>
    <row r="1196" spans="1:2" x14ac:dyDescent="0.2">
      <c r="A1196" s="102"/>
      <c r="B1196" s="116"/>
    </row>
    <row r="1197" spans="1:2" x14ac:dyDescent="0.2">
      <c r="A1197" s="102"/>
      <c r="B1197" s="116"/>
    </row>
    <row r="1198" spans="1:2" x14ac:dyDescent="0.2">
      <c r="A1198" s="102"/>
      <c r="B1198" s="116"/>
    </row>
    <row r="1199" spans="1:2" x14ac:dyDescent="0.2">
      <c r="A1199" s="102"/>
      <c r="B1199" s="116"/>
    </row>
    <row r="1200" spans="1:2" x14ac:dyDescent="0.2">
      <c r="A1200" s="102"/>
      <c r="B1200" s="116"/>
    </row>
    <row r="1201" spans="1:2" x14ac:dyDescent="0.2">
      <c r="A1201" s="102"/>
      <c r="B1201" s="116"/>
    </row>
    <row r="1202" spans="1:2" x14ac:dyDescent="0.2">
      <c r="A1202" s="102"/>
      <c r="B1202" s="116"/>
    </row>
    <row r="1203" spans="1:2" x14ac:dyDescent="0.2">
      <c r="A1203" s="102"/>
      <c r="B1203" s="116"/>
    </row>
    <row r="1204" spans="1:2" x14ac:dyDescent="0.2">
      <c r="A1204" s="102"/>
      <c r="B1204" s="116"/>
    </row>
    <row r="1205" spans="1:2" x14ac:dyDescent="0.2">
      <c r="A1205" s="102"/>
      <c r="B1205" s="116"/>
    </row>
    <row r="1206" spans="1:2" x14ac:dyDescent="0.2">
      <c r="A1206" s="102"/>
      <c r="B1206" s="116"/>
    </row>
    <row r="1207" spans="1:2" x14ac:dyDescent="0.2">
      <c r="A1207" s="102"/>
      <c r="B1207" s="116"/>
    </row>
    <row r="1208" spans="1:2" x14ac:dyDescent="0.2">
      <c r="A1208" s="102"/>
      <c r="B1208" s="116"/>
    </row>
    <row r="1209" spans="1:2" x14ac:dyDescent="0.2">
      <c r="A1209" s="102"/>
      <c r="B1209" s="116"/>
    </row>
    <row r="1210" spans="1:2" x14ac:dyDescent="0.2">
      <c r="A1210" s="102"/>
      <c r="B1210" s="116"/>
    </row>
    <row r="1211" spans="1:2" x14ac:dyDescent="0.2">
      <c r="A1211" s="102"/>
      <c r="B1211" s="116"/>
    </row>
    <row r="1212" spans="1:2" x14ac:dyDescent="0.2">
      <c r="A1212" s="102"/>
      <c r="B1212" s="116"/>
    </row>
    <row r="1213" spans="1:2" x14ac:dyDescent="0.2">
      <c r="A1213" s="102"/>
      <c r="B1213" s="116"/>
    </row>
    <row r="1214" spans="1:2" x14ac:dyDescent="0.2">
      <c r="A1214" s="102"/>
      <c r="B1214" s="116"/>
    </row>
    <row r="1215" spans="1:2" x14ac:dyDescent="0.2">
      <c r="A1215" s="102"/>
      <c r="B1215" s="116"/>
    </row>
    <row r="1216" spans="1:2" x14ac:dyDescent="0.2">
      <c r="A1216" s="102"/>
      <c r="B1216" s="116"/>
    </row>
    <row r="1217" spans="1:2" x14ac:dyDescent="0.2">
      <c r="A1217" s="102"/>
      <c r="B1217" s="116"/>
    </row>
    <row r="1218" spans="1:2" x14ac:dyDescent="0.2">
      <c r="A1218" s="102"/>
      <c r="B1218" s="116"/>
    </row>
    <row r="1219" spans="1:2" x14ac:dyDescent="0.2">
      <c r="A1219" s="102"/>
      <c r="B1219" s="116"/>
    </row>
    <row r="1220" spans="1:2" x14ac:dyDescent="0.2">
      <c r="A1220" s="102"/>
      <c r="B1220" s="116"/>
    </row>
    <row r="1221" spans="1:2" x14ac:dyDescent="0.2">
      <c r="A1221" s="102"/>
      <c r="B1221" s="116"/>
    </row>
    <row r="1222" spans="1:2" x14ac:dyDescent="0.2">
      <c r="A1222" s="102"/>
      <c r="B1222" s="116"/>
    </row>
    <row r="1223" spans="1:2" x14ac:dyDescent="0.2">
      <c r="A1223" s="102"/>
      <c r="B1223" s="116"/>
    </row>
    <row r="1224" spans="1:2" x14ac:dyDescent="0.2">
      <c r="A1224" s="102"/>
      <c r="B1224" s="116"/>
    </row>
    <row r="1225" spans="1:2" x14ac:dyDescent="0.2">
      <c r="A1225" s="102"/>
      <c r="B1225" s="116"/>
    </row>
    <row r="1226" spans="1:2" x14ac:dyDescent="0.2">
      <c r="A1226" s="102"/>
      <c r="B1226" s="116"/>
    </row>
    <row r="1227" spans="1:2" x14ac:dyDescent="0.2">
      <c r="A1227" s="102"/>
      <c r="B1227" s="116"/>
    </row>
    <row r="1228" spans="1:2" x14ac:dyDescent="0.2">
      <c r="A1228" s="102"/>
      <c r="B1228" s="116"/>
    </row>
    <row r="1229" spans="1:2" x14ac:dyDescent="0.2">
      <c r="A1229" s="102"/>
      <c r="B1229" s="116"/>
    </row>
    <row r="1230" spans="1:2" x14ac:dyDescent="0.2">
      <c r="A1230" s="102"/>
      <c r="B1230" s="116"/>
    </row>
    <row r="1231" spans="1:2" x14ac:dyDescent="0.2">
      <c r="A1231" s="102"/>
      <c r="B1231" s="116"/>
    </row>
    <row r="1232" spans="1:2" x14ac:dyDescent="0.2">
      <c r="A1232" s="102"/>
      <c r="B1232" s="116"/>
    </row>
    <row r="1233" spans="1:2" x14ac:dyDescent="0.2">
      <c r="A1233" s="102"/>
      <c r="B1233" s="116"/>
    </row>
    <row r="1234" spans="1:2" x14ac:dyDescent="0.2">
      <c r="A1234" s="102"/>
      <c r="B1234" s="116"/>
    </row>
    <row r="1235" spans="1:2" x14ac:dyDescent="0.2">
      <c r="A1235" s="102"/>
      <c r="B1235" s="116"/>
    </row>
    <row r="1236" spans="1:2" x14ac:dyDescent="0.2">
      <c r="A1236" s="102"/>
      <c r="B1236" s="116"/>
    </row>
    <row r="1237" spans="1:2" x14ac:dyDescent="0.2">
      <c r="A1237" s="102"/>
      <c r="B1237" s="116"/>
    </row>
    <row r="1238" spans="1:2" x14ac:dyDescent="0.2">
      <c r="A1238" s="102"/>
      <c r="B1238" s="116"/>
    </row>
    <row r="1239" spans="1:2" x14ac:dyDescent="0.2">
      <c r="A1239" s="102"/>
      <c r="B1239" s="116"/>
    </row>
    <row r="1240" spans="1:2" x14ac:dyDescent="0.2">
      <c r="A1240" s="102"/>
      <c r="B1240" s="116"/>
    </row>
    <row r="1241" spans="1:2" x14ac:dyDescent="0.2">
      <c r="A1241" s="102"/>
      <c r="B1241" s="116"/>
    </row>
    <row r="1242" spans="1:2" x14ac:dyDescent="0.2">
      <c r="A1242" s="102"/>
      <c r="B1242" s="116"/>
    </row>
    <row r="1243" spans="1:2" x14ac:dyDescent="0.2">
      <c r="A1243" s="102"/>
      <c r="B1243" s="116"/>
    </row>
    <row r="1244" spans="1:2" x14ac:dyDescent="0.2">
      <c r="A1244" s="102"/>
      <c r="B1244" s="116"/>
    </row>
    <row r="1245" spans="1:2" x14ac:dyDescent="0.2">
      <c r="A1245" s="102"/>
      <c r="B1245" s="116"/>
    </row>
    <row r="1246" spans="1:2" x14ac:dyDescent="0.2">
      <c r="A1246" s="102"/>
      <c r="B1246" s="116"/>
    </row>
    <row r="1247" spans="1:2" x14ac:dyDescent="0.2">
      <c r="A1247" s="102"/>
      <c r="B1247" s="116"/>
    </row>
    <row r="1248" spans="1:2" x14ac:dyDescent="0.2">
      <c r="A1248" s="102"/>
      <c r="B1248" s="116"/>
    </row>
    <row r="1249" spans="1:2" x14ac:dyDescent="0.2">
      <c r="A1249" s="102"/>
      <c r="B1249" s="116"/>
    </row>
    <row r="1250" spans="1:2" x14ac:dyDescent="0.2">
      <c r="A1250" s="102"/>
      <c r="B1250" s="116"/>
    </row>
    <row r="1251" spans="1:2" x14ac:dyDescent="0.2">
      <c r="A1251" s="102"/>
      <c r="B1251" s="116"/>
    </row>
    <row r="1252" spans="1:2" x14ac:dyDescent="0.2">
      <c r="A1252" s="102"/>
      <c r="B1252" s="116"/>
    </row>
    <row r="1253" spans="1:2" x14ac:dyDescent="0.2">
      <c r="A1253" s="102"/>
      <c r="B1253" s="116"/>
    </row>
    <row r="1254" spans="1:2" x14ac:dyDescent="0.2">
      <c r="A1254" s="102"/>
      <c r="B1254" s="116"/>
    </row>
    <row r="1255" spans="1:2" x14ac:dyDescent="0.2">
      <c r="A1255" s="102"/>
      <c r="B1255" s="116"/>
    </row>
    <row r="1256" spans="1:2" x14ac:dyDescent="0.2">
      <c r="A1256" s="102"/>
      <c r="B1256" s="116"/>
    </row>
    <row r="1257" spans="1:2" x14ac:dyDescent="0.2">
      <c r="A1257" s="102"/>
      <c r="B1257" s="116"/>
    </row>
    <row r="1258" spans="1:2" x14ac:dyDescent="0.2">
      <c r="A1258" s="102"/>
      <c r="B1258" s="116"/>
    </row>
    <row r="1259" spans="1:2" x14ac:dyDescent="0.2">
      <c r="A1259" s="102"/>
      <c r="B1259" s="116"/>
    </row>
    <row r="1260" spans="1:2" x14ac:dyDescent="0.2">
      <c r="A1260" s="102"/>
      <c r="B1260" s="116"/>
    </row>
    <row r="1261" spans="1:2" x14ac:dyDescent="0.2">
      <c r="A1261" s="102"/>
      <c r="B1261" s="116"/>
    </row>
    <row r="1262" spans="1:2" x14ac:dyDescent="0.2">
      <c r="A1262" s="102"/>
      <c r="B1262" s="116"/>
    </row>
    <row r="1263" spans="1:2" x14ac:dyDescent="0.2">
      <c r="A1263" s="102"/>
      <c r="B1263" s="116"/>
    </row>
    <row r="1264" spans="1:2" x14ac:dyDescent="0.2">
      <c r="A1264" s="102"/>
      <c r="B1264" s="116"/>
    </row>
    <row r="1265" spans="1:2" x14ac:dyDescent="0.2">
      <c r="A1265" s="102"/>
      <c r="B1265" s="116"/>
    </row>
    <row r="1266" spans="1:2" x14ac:dyDescent="0.2">
      <c r="A1266" s="102"/>
      <c r="B1266" s="116"/>
    </row>
    <row r="1267" spans="1:2" x14ac:dyDescent="0.2">
      <c r="A1267" s="102"/>
      <c r="B1267" s="116"/>
    </row>
    <row r="1268" spans="1:2" x14ac:dyDescent="0.2">
      <c r="A1268" s="102"/>
      <c r="B1268" s="116"/>
    </row>
    <row r="1269" spans="1:2" x14ac:dyDescent="0.2">
      <c r="A1269" s="102"/>
      <c r="B1269" s="116"/>
    </row>
    <row r="1270" spans="1:2" x14ac:dyDescent="0.2">
      <c r="A1270" s="102"/>
      <c r="B1270" s="116"/>
    </row>
    <row r="1271" spans="1:2" x14ac:dyDescent="0.2">
      <c r="A1271" s="102"/>
      <c r="B1271" s="116"/>
    </row>
    <row r="1272" spans="1:2" x14ac:dyDescent="0.2">
      <c r="A1272" s="102"/>
      <c r="B1272" s="116"/>
    </row>
    <row r="1273" spans="1:2" x14ac:dyDescent="0.2">
      <c r="A1273" s="102"/>
      <c r="B1273" s="116"/>
    </row>
    <row r="1274" spans="1:2" x14ac:dyDescent="0.2">
      <c r="A1274" s="102"/>
      <c r="B1274" s="116"/>
    </row>
    <row r="1275" spans="1:2" x14ac:dyDescent="0.2">
      <c r="A1275" s="102"/>
      <c r="B1275" s="116"/>
    </row>
    <row r="1276" spans="1:2" x14ac:dyDescent="0.2">
      <c r="A1276" s="102"/>
      <c r="B1276" s="116"/>
    </row>
    <row r="1277" spans="1:2" x14ac:dyDescent="0.2">
      <c r="A1277" s="102"/>
      <c r="B1277" s="116"/>
    </row>
    <row r="1278" spans="1:2" x14ac:dyDescent="0.2">
      <c r="A1278" s="102"/>
      <c r="B1278" s="116"/>
    </row>
    <row r="1279" spans="1:2" x14ac:dyDescent="0.2">
      <c r="A1279" s="102"/>
      <c r="B1279" s="116"/>
    </row>
    <row r="1280" spans="1:2" x14ac:dyDescent="0.2">
      <c r="A1280" s="102"/>
      <c r="B1280" s="116"/>
    </row>
    <row r="1281" spans="1:2" x14ac:dyDescent="0.2">
      <c r="A1281" s="102"/>
      <c r="B1281" s="116"/>
    </row>
    <row r="1282" spans="1:2" x14ac:dyDescent="0.2">
      <c r="A1282" s="102"/>
      <c r="B1282" s="116"/>
    </row>
    <row r="1283" spans="1:2" x14ac:dyDescent="0.2">
      <c r="A1283" s="102"/>
      <c r="B1283" s="116"/>
    </row>
    <row r="1284" spans="1:2" x14ac:dyDescent="0.2">
      <c r="A1284" s="102"/>
      <c r="B1284" s="116"/>
    </row>
    <row r="1285" spans="1:2" x14ac:dyDescent="0.2">
      <c r="A1285" s="102"/>
      <c r="B1285" s="116"/>
    </row>
    <row r="1286" spans="1:2" x14ac:dyDescent="0.2">
      <c r="A1286" s="102"/>
      <c r="B1286" s="116"/>
    </row>
    <row r="1287" spans="1:2" x14ac:dyDescent="0.2">
      <c r="A1287" s="102"/>
      <c r="B1287" s="116"/>
    </row>
    <row r="1288" spans="1:2" x14ac:dyDescent="0.2">
      <c r="A1288" s="102"/>
      <c r="B1288" s="116"/>
    </row>
    <row r="1289" spans="1:2" x14ac:dyDescent="0.2">
      <c r="A1289" s="102"/>
      <c r="B1289" s="116"/>
    </row>
    <row r="1290" spans="1:2" x14ac:dyDescent="0.2">
      <c r="A1290" s="102"/>
      <c r="B1290" s="116"/>
    </row>
    <row r="1291" spans="1:2" x14ac:dyDescent="0.2">
      <c r="A1291" s="102"/>
      <c r="B1291" s="116"/>
    </row>
    <row r="1292" spans="1:2" x14ac:dyDescent="0.2">
      <c r="A1292" s="102"/>
      <c r="B1292" s="116"/>
    </row>
    <row r="1293" spans="1:2" x14ac:dyDescent="0.2">
      <c r="A1293" s="102"/>
      <c r="B1293" s="116"/>
    </row>
    <row r="1294" spans="1:2" x14ac:dyDescent="0.2">
      <c r="A1294" s="102"/>
      <c r="B1294" s="116"/>
    </row>
    <row r="1295" spans="1:2" x14ac:dyDescent="0.2">
      <c r="A1295" s="102"/>
      <c r="B1295" s="116"/>
    </row>
    <row r="1296" spans="1:2" x14ac:dyDescent="0.2">
      <c r="A1296" s="102"/>
      <c r="B1296" s="116"/>
    </row>
    <row r="1297" spans="1:2" x14ac:dyDescent="0.2">
      <c r="A1297" s="102"/>
      <c r="B1297" s="116"/>
    </row>
    <row r="1298" spans="1:2" x14ac:dyDescent="0.2">
      <c r="A1298" s="102"/>
      <c r="B1298" s="116"/>
    </row>
    <row r="1299" spans="1:2" x14ac:dyDescent="0.2">
      <c r="A1299" s="102"/>
      <c r="B1299" s="116"/>
    </row>
    <row r="1300" spans="1:2" x14ac:dyDescent="0.2">
      <c r="A1300" s="102"/>
      <c r="B1300" s="116"/>
    </row>
    <row r="1301" spans="1:2" x14ac:dyDescent="0.2">
      <c r="A1301" s="102"/>
      <c r="B1301" s="116"/>
    </row>
    <row r="1302" spans="1:2" x14ac:dyDescent="0.2">
      <c r="A1302" s="102"/>
      <c r="B1302" s="116"/>
    </row>
    <row r="1303" spans="1:2" x14ac:dyDescent="0.2">
      <c r="A1303" s="102"/>
      <c r="B1303" s="116"/>
    </row>
    <row r="1304" spans="1:2" x14ac:dyDescent="0.2">
      <c r="A1304" s="102"/>
      <c r="B1304" s="116"/>
    </row>
    <row r="1305" spans="1:2" x14ac:dyDescent="0.2">
      <c r="A1305" s="102"/>
      <c r="B1305" s="116"/>
    </row>
    <row r="1306" spans="1:2" x14ac:dyDescent="0.2">
      <c r="A1306" s="102"/>
      <c r="B1306" s="116"/>
    </row>
    <row r="1307" spans="1:2" x14ac:dyDescent="0.2">
      <c r="A1307" s="102"/>
      <c r="B1307" s="116"/>
    </row>
    <row r="1308" spans="1:2" x14ac:dyDescent="0.2">
      <c r="A1308" s="102"/>
      <c r="B1308" s="116"/>
    </row>
    <row r="1309" spans="1:2" x14ac:dyDescent="0.2">
      <c r="A1309" s="102"/>
      <c r="B1309" s="116"/>
    </row>
    <row r="1310" spans="1:2" x14ac:dyDescent="0.2">
      <c r="A1310" s="102"/>
      <c r="B1310" s="116"/>
    </row>
    <row r="1311" spans="1:2" x14ac:dyDescent="0.2">
      <c r="A1311" s="102"/>
      <c r="B1311" s="116"/>
    </row>
    <row r="1312" spans="1:2" x14ac:dyDescent="0.2">
      <c r="A1312" s="102"/>
      <c r="B1312" s="116"/>
    </row>
    <row r="1313" spans="1:2" x14ac:dyDescent="0.2">
      <c r="A1313" s="102"/>
      <c r="B1313" s="116"/>
    </row>
    <row r="1314" spans="1:2" x14ac:dyDescent="0.2">
      <c r="A1314" s="102"/>
      <c r="B1314" s="116"/>
    </row>
    <row r="1315" spans="1:2" x14ac:dyDescent="0.2">
      <c r="A1315" s="102"/>
      <c r="B1315" s="116"/>
    </row>
    <row r="1316" spans="1:2" x14ac:dyDescent="0.2">
      <c r="A1316" s="102"/>
      <c r="B1316" s="116"/>
    </row>
    <row r="1317" spans="1:2" x14ac:dyDescent="0.2">
      <c r="A1317" s="102"/>
      <c r="B1317" s="116"/>
    </row>
    <row r="1318" spans="1:2" x14ac:dyDescent="0.2">
      <c r="A1318" s="102"/>
      <c r="B1318" s="116"/>
    </row>
    <row r="1319" spans="1:2" x14ac:dyDescent="0.2">
      <c r="A1319" s="102"/>
      <c r="B1319" s="116"/>
    </row>
    <row r="1320" spans="1:2" x14ac:dyDescent="0.2">
      <c r="A1320" s="102"/>
      <c r="B1320" s="116"/>
    </row>
    <row r="1321" spans="1:2" x14ac:dyDescent="0.2">
      <c r="A1321" s="102"/>
      <c r="B1321" s="116"/>
    </row>
    <row r="1322" spans="1:2" x14ac:dyDescent="0.2">
      <c r="A1322" s="102"/>
      <c r="B1322" s="116"/>
    </row>
    <row r="1323" spans="1:2" x14ac:dyDescent="0.2">
      <c r="A1323" s="102"/>
      <c r="B1323" s="116"/>
    </row>
    <row r="1324" spans="1:2" x14ac:dyDescent="0.2">
      <c r="A1324" s="102"/>
      <c r="B1324" s="116"/>
    </row>
    <row r="1325" spans="1:2" x14ac:dyDescent="0.2">
      <c r="A1325" s="102"/>
      <c r="B1325" s="116"/>
    </row>
    <row r="1326" spans="1:2" x14ac:dyDescent="0.2">
      <c r="A1326" s="102"/>
      <c r="B1326" s="116"/>
    </row>
    <row r="1327" spans="1:2" x14ac:dyDescent="0.2">
      <c r="A1327" s="102"/>
      <c r="B1327" s="116"/>
    </row>
    <row r="1328" spans="1:2" x14ac:dyDescent="0.2">
      <c r="A1328" s="102"/>
      <c r="B1328" s="116"/>
    </row>
    <row r="1329" spans="1:2" x14ac:dyDescent="0.2">
      <c r="A1329" s="102"/>
      <c r="B1329" s="116"/>
    </row>
    <row r="1330" spans="1:2" x14ac:dyDescent="0.2">
      <c r="A1330" s="102"/>
      <c r="B1330" s="116"/>
    </row>
    <row r="1331" spans="1:2" x14ac:dyDescent="0.2">
      <c r="A1331" s="102"/>
      <c r="B1331" s="116"/>
    </row>
    <row r="1332" spans="1:2" x14ac:dyDescent="0.2">
      <c r="A1332" s="102"/>
      <c r="B1332" s="116"/>
    </row>
    <row r="1333" spans="1:2" x14ac:dyDescent="0.2">
      <c r="A1333" s="102"/>
      <c r="B1333" s="116"/>
    </row>
    <row r="1334" spans="1:2" x14ac:dyDescent="0.2">
      <c r="A1334" s="102"/>
      <c r="B1334" s="116"/>
    </row>
    <row r="1335" spans="1:2" x14ac:dyDescent="0.2">
      <c r="A1335" s="102"/>
      <c r="B1335" s="116"/>
    </row>
    <row r="1336" spans="1:2" x14ac:dyDescent="0.2">
      <c r="A1336" s="102"/>
      <c r="B1336" s="116"/>
    </row>
    <row r="1337" spans="1:2" x14ac:dyDescent="0.2">
      <c r="A1337" s="102"/>
      <c r="B1337" s="116"/>
    </row>
    <row r="1338" spans="1:2" x14ac:dyDescent="0.2">
      <c r="A1338" s="102"/>
      <c r="B1338" s="116"/>
    </row>
    <row r="1339" spans="1:2" x14ac:dyDescent="0.2">
      <c r="A1339" s="102"/>
      <c r="B1339" s="116"/>
    </row>
    <row r="1340" spans="1:2" x14ac:dyDescent="0.2">
      <c r="A1340" s="102"/>
      <c r="B1340" s="116"/>
    </row>
    <row r="1341" spans="1:2" x14ac:dyDescent="0.2">
      <c r="A1341" s="102"/>
      <c r="B1341" s="116"/>
    </row>
    <row r="1342" spans="1:2" x14ac:dyDescent="0.2">
      <c r="A1342" s="102"/>
      <c r="B1342" s="116"/>
    </row>
    <row r="1343" spans="1:2" x14ac:dyDescent="0.2">
      <c r="A1343" s="102"/>
      <c r="B1343" s="116"/>
    </row>
    <row r="1344" spans="1:2" x14ac:dyDescent="0.2">
      <c r="A1344" s="102"/>
      <c r="B1344" s="116"/>
    </row>
    <row r="1345" spans="1:2" x14ac:dyDescent="0.2">
      <c r="A1345" s="102"/>
      <c r="B1345" s="116"/>
    </row>
    <row r="1346" spans="1:2" x14ac:dyDescent="0.2">
      <c r="A1346" s="102"/>
      <c r="B1346" s="116"/>
    </row>
    <row r="1347" spans="1:2" x14ac:dyDescent="0.2">
      <c r="A1347" s="102"/>
      <c r="B1347" s="116"/>
    </row>
    <row r="1348" spans="1:2" x14ac:dyDescent="0.2">
      <c r="A1348" s="102"/>
      <c r="B1348" s="116"/>
    </row>
    <row r="1349" spans="1:2" x14ac:dyDescent="0.2">
      <c r="A1349" s="102"/>
      <c r="B1349" s="116"/>
    </row>
    <row r="1350" spans="1:2" x14ac:dyDescent="0.2">
      <c r="A1350" s="102"/>
      <c r="B1350" s="116"/>
    </row>
    <row r="1351" spans="1:2" x14ac:dyDescent="0.2">
      <c r="A1351" s="102"/>
      <c r="B1351" s="116"/>
    </row>
    <row r="1352" spans="1:2" x14ac:dyDescent="0.2">
      <c r="A1352" s="102"/>
      <c r="B1352" s="116"/>
    </row>
    <row r="1353" spans="1:2" x14ac:dyDescent="0.2">
      <c r="A1353" s="102"/>
      <c r="B1353" s="116"/>
    </row>
    <row r="1354" spans="1:2" x14ac:dyDescent="0.2">
      <c r="A1354" s="102"/>
      <c r="B1354" s="116"/>
    </row>
    <row r="1355" spans="1:2" x14ac:dyDescent="0.2">
      <c r="A1355" s="102"/>
      <c r="B1355" s="116"/>
    </row>
    <row r="1356" spans="1:2" x14ac:dyDescent="0.2">
      <c r="A1356" s="102"/>
      <c r="B1356" s="116"/>
    </row>
    <row r="1357" spans="1:2" x14ac:dyDescent="0.2">
      <c r="A1357" s="102"/>
      <c r="B1357" s="116"/>
    </row>
    <row r="1358" spans="1:2" x14ac:dyDescent="0.2">
      <c r="A1358" s="102"/>
      <c r="B1358" s="116"/>
    </row>
    <row r="1359" spans="1:2" x14ac:dyDescent="0.2">
      <c r="A1359" s="102"/>
      <c r="B1359" s="116"/>
    </row>
    <row r="1360" spans="1:2" x14ac:dyDescent="0.2">
      <c r="A1360" s="102"/>
      <c r="B1360" s="116"/>
    </row>
    <row r="1361" spans="1:2" x14ac:dyDescent="0.2">
      <c r="A1361" s="102"/>
      <c r="B1361" s="116"/>
    </row>
    <row r="1362" spans="1:2" x14ac:dyDescent="0.2">
      <c r="A1362" s="102"/>
      <c r="B1362" s="116"/>
    </row>
    <row r="1363" spans="1:2" x14ac:dyDescent="0.2">
      <c r="A1363" s="102"/>
      <c r="B1363" s="116"/>
    </row>
    <row r="1364" spans="1:2" x14ac:dyDescent="0.2">
      <c r="A1364" s="102"/>
      <c r="B1364" s="116"/>
    </row>
    <row r="1365" spans="1:2" x14ac:dyDescent="0.2">
      <c r="A1365" s="102"/>
      <c r="B1365" s="116"/>
    </row>
    <row r="1366" spans="1:2" x14ac:dyDescent="0.2">
      <c r="A1366" s="102"/>
      <c r="B1366" s="116"/>
    </row>
    <row r="1367" spans="1:2" x14ac:dyDescent="0.2">
      <c r="A1367" s="102"/>
      <c r="B1367" s="116"/>
    </row>
    <row r="1368" spans="1:2" x14ac:dyDescent="0.2">
      <c r="A1368" s="102"/>
      <c r="B1368" s="116"/>
    </row>
    <row r="1369" spans="1:2" x14ac:dyDescent="0.2">
      <c r="A1369" s="102"/>
      <c r="B1369" s="116"/>
    </row>
    <row r="1370" spans="1:2" x14ac:dyDescent="0.2">
      <c r="A1370" s="102"/>
      <c r="B1370" s="116"/>
    </row>
    <row r="1371" spans="1:2" x14ac:dyDescent="0.2">
      <c r="A1371" s="102"/>
      <c r="B1371" s="116"/>
    </row>
    <row r="1372" spans="1:2" x14ac:dyDescent="0.2">
      <c r="A1372" s="102"/>
      <c r="B1372" s="116"/>
    </row>
    <row r="1373" spans="1:2" x14ac:dyDescent="0.2">
      <c r="A1373" s="102"/>
      <c r="B1373" s="116"/>
    </row>
    <row r="1374" spans="1:2" x14ac:dyDescent="0.2">
      <c r="A1374" s="102"/>
      <c r="B1374" s="116"/>
    </row>
    <row r="1375" spans="1:2" x14ac:dyDescent="0.2">
      <c r="A1375" s="102"/>
      <c r="B1375" s="116"/>
    </row>
    <row r="1376" spans="1:2" x14ac:dyDescent="0.2">
      <c r="A1376" s="102"/>
      <c r="B1376" s="116"/>
    </row>
    <row r="1377" spans="1:2" x14ac:dyDescent="0.2">
      <c r="A1377" s="102"/>
      <c r="B1377" s="116"/>
    </row>
    <row r="1378" spans="1:2" x14ac:dyDescent="0.2">
      <c r="A1378" s="102"/>
      <c r="B1378" s="116"/>
    </row>
    <row r="1379" spans="1:2" x14ac:dyDescent="0.2">
      <c r="A1379" s="102"/>
      <c r="B1379" s="116"/>
    </row>
    <row r="1380" spans="1:2" x14ac:dyDescent="0.2">
      <c r="A1380" s="102"/>
      <c r="B1380" s="116"/>
    </row>
    <row r="1381" spans="1:2" x14ac:dyDescent="0.2">
      <c r="A1381" s="102"/>
      <c r="B1381" s="116"/>
    </row>
    <row r="1382" spans="1:2" x14ac:dyDescent="0.2">
      <c r="A1382" s="102"/>
      <c r="B1382" s="116"/>
    </row>
    <row r="1383" spans="1:2" x14ac:dyDescent="0.2">
      <c r="A1383" s="102"/>
      <c r="B1383" s="116"/>
    </row>
    <row r="1384" spans="1:2" x14ac:dyDescent="0.2">
      <c r="A1384" s="102"/>
      <c r="B1384" s="116"/>
    </row>
    <row r="1385" spans="1:2" x14ac:dyDescent="0.2">
      <c r="A1385" s="102"/>
      <c r="B1385" s="116"/>
    </row>
    <row r="1386" spans="1:2" x14ac:dyDescent="0.2">
      <c r="A1386" s="102"/>
      <c r="B1386" s="116"/>
    </row>
    <row r="1387" spans="1:2" x14ac:dyDescent="0.2">
      <c r="A1387" s="102"/>
      <c r="B1387" s="116"/>
    </row>
    <row r="1388" spans="1:2" x14ac:dyDescent="0.2">
      <c r="A1388" s="102"/>
      <c r="B1388" s="116"/>
    </row>
    <row r="1389" spans="1:2" x14ac:dyDescent="0.2">
      <c r="A1389" s="102"/>
      <c r="B1389" s="116"/>
    </row>
    <row r="1390" spans="1:2" x14ac:dyDescent="0.2">
      <c r="A1390" s="102"/>
      <c r="B1390" s="116"/>
    </row>
    <row r="1391" spans="1:2" x14ac:dyDescent="0.2">
      <c r="A1391" s="102"/>
      <c r="B1391" s="116"/>
    </row>
    <row r="1392" spans="1:2" x14ac:dyDescent="0.2">
      <c r="A1392" s="102"/>
      <c r="B1392" s="116"/>
    </row>
    <row r="1393" spans="1:2" x14ac:dyDescent="0.2">
      <c r="A1393" s="102"/>
      <c r="B1393" s="116"/>
    </row>
    <row r="1394" spans="1:2" x14ac:dyDescent="0.2">
      <c r="A1394" s="102"/>
      <c r="B1394" s="116"/>
    </row>
    <row r="1395" spans="1:2" x14ac:dyDescent="0.2">
      <c r="A1395" s="102"/>
      <c r="B1395" s="116"/>
    </row>
    <row r="1396" spans="1:2" x14ac:dyDescent="0.2">
      <c r="A1396" s="102"/>
      <c r="B1396" s="116"/>
    </row>
    <row r="1397" spans="1:2" x14ac:dyDescent="0.2">
      <c r="A1397" s="102"/>
      <c r="B1397" s="116"/>
    </row>
    <row r="1398" spans="1:2" x14ac:dyDescent="0.2">
      <c r="A1398" s="102"/>
      <c r="B1398" s="116"/>
    </row>
    <row r="1399" spans="1:2" x14ac:dyDescent="0.2">
      <c r="A1399" s="102"/>
      <c r="B1399" s="116"/>
    </row>
    <row r="1400" spans="1:2" x14ac:dyDescent="0.2">
      <c r="A1400" s="102"/>
      <c r="B1400" s="116"/>
    </row>
    <row r="1401" spans="1:2" x14ac:dyDescent="0.2">
      <c r="A1401" s="102"/>
      <c r="B1401" s="116"/>
    </row>
    <row r="1402" spans="1:2" x14ac:dyDescent="0.2">
      <c r="A1402" s="102"/>
      <c r="B1402" s="116"/>
    </row>
    <row r="1403" spans="1:2" x14ac:dyDescent="0.2">
      <c r="A1403" s="102"/>
      <c r="B1403" s="116"/>
    </row>
    <row r="1404" spans="1:2" x14ac:dyDescent="0.2">
      <c r="A1404" s="102"/>
      <c r="B1404" s="116"/>
    </row>
    <row r="1405" spans="1:2" x14ac:dyDescent="0.2">
      <c r="A1405" s="102"/>
      <c r="B1405" s="116"/>
    </row>
    <row r="1406" spans="1:2" x14ac:dyDescent="0.2">
      <c r="A1406" s="102"/>
      <c r="B1406" s="116"/>
    </row>
    <row r="1407" spans="1:2" x14ac:dyDescent="0.2">
      <c r="A1407" s="102"/>
      <c r="B1407" s="116"/>
    </row>
    <row r="1408" spans="1:2" x14ac:dyDescent="0.2">
      <c r="A1408" s="102"/>
      <c r="B1408" s="116"/>
    </row>
    <row r="1409" spans="1:2" x14ac:dyDescent="0.2">
      <c r="A1409" s="102"/>
      <c r="B1409" s="116"/>
    </row>
    <row r="1410" spans="1:2" x14ac:dyDescent="0.2">
      <c r="A1410" s="102"/>
      <c r="B1410" s="116"/>
    </row>
    <row r="1411" spans="1:2" x14ac:dyDescent="0.2">
      <c r="A1411" s="102"/>
      <c r="B1411" s="116"/>
    </row>
    <row r="1412" spans="1:2" x14ac:dyDescent="0.2">
      <c r="A1412" s="102"/>
      <c r="B1412" s="116"/>
    </row>
    <row r="1413" spans="1:2" x14ac:dyDescent="0.2">
      <c r="A1413" s="102"/>
      <c r="B1413" s="116"/>
    </row>
    <row r="1414" spans="1:2" x14ac:dyDescent="0.2">
      <c r="A1414" s="102"/>
      <c r="B1414" s="116"/>
    </row>
    <row r="1415" spans="1:2" x14ac:dyDescent="0.2">
      <c r="A1415" s="102"/>
      <c r="B1415" s="116"/>
    </row>
    <row r="1416" spans="1:2" x14ac:dyDescent="0.2">
      <c r="A1416" s="102"/>
      <c r="B1416" s="116"/>
    </row>
    <row r="1417" spans="1:2" x14ac:dyDescent="0.2">
      <c r="A1417" s="102"/>
      <c r="B1417" s="116"/>
    </row>
    <row r="1418" spans="1:2" x14ac:dyDescent="0.2">
      <c r="A1418" s="102"/>
      <c r="B1418" s="116"/>
    </row>
    <row r="1419" spans="1:2" x14ac:dyDescent="0.2">
      <c r="A1419" s="102"/>
      <c r="B1419" s="116"/>
    </row>
    <row r="1420" spans="1:2" x14ac:dyDescent="0.2">
      <c r="A1420" s="102"/>
      <c r="B1420" s="116"/>
    </row>
    <row r="1421" spans="1:2" x14ac:dyDescent="0.2">
      <c r="A1421" s="102"/>
      <c r="B1421" s="116"/>
    </row>
    <row r="1422" spans="1:2" x14ac:dyDescent="0.2">
      <c r="A1422" s="102"/>
      <c r="B1422" s="116"/>
    </row>
    <row r="1423" spans="1:2" x14ac:dyDescent="0.2">
      <c r="A1423" s="102"/>
      <c r="B1423" s="116"/>
    </row>
    <row r="1424" spans="1:2" x14ac:dyDescent="0.2">
      <c r="A1424" s="102"/>
      <c r="B1424" s="116"/>
    </row>
    <row r="1425" spans="1:2" x14ac:dyDescent="0.2">
      <c r="A1425" s="102"/>
      <c r="B1425" s="116"/>
    </row>
    <row r="1426" spans="1:2" x14ac:dyDescent="0.2">
      <c r="A1426" s="102"/>
      <c r="B1426" s="116"/>
    </row>
    <row r="1427" spans="1:2" x14ac:dyDescent="0.2">
      <c r="A1427" s="102"/>
      <c r="B1427" s="116"/>
    </row>
    <row r="1428" spans="1:2" x14ac:dyDescent="0.2">
      <c r="A1428" s="102"/>
      <c r="B1428" s="116"/>
    </row>
    <row r="1429" spans="1:2" x14ac:dyDescent="0.2">
      <c r="A1429" s="102"/>
      <c r="B1429" s="116"/>
    </row>
    <row r="1430" spans="1:2" x14ac:dyDescent="0.2">
      <c r="A1430" s="102"/>
      <c r="B1430" s="116"/>
    </row>
    <row r="1431" spans="1:2" x14ac:dyDescent="0.2">
      <c r="A1431" s="102"/>
      <c r="B1431" s="116"/>
    </row>
    <row r="1432" spans="1:2" x14ac:dyDescent="0.2">
      <c r="A1432" s="102"/>
      <c r="B1432" s="116"/>
    </row>
    <row r="1433" spans="1:2" x14ac:dyDescent="0.2">
      <c r="A1433" s="102"/>
      <c r="B1433" s="116"/>
    </row>
    <row r="1434" spans="1:2" x14ac:dyDescent="0.2">
      <c r="A1434" s="102"/>
      <c r="B1434" s="116"/>
    </row>
    <row r="1435" spans="1:2" x14ac:dyDescent="0.2">
      <c r="A1435" s="102"/>
      <c r="B1435" s="116"/>
    </row>
    <row r="1436" spans="1:2" x14ac:dyDescent="0.2">
      <c r="A1436" s="102"/>
      <c r="B1436" s="116"/>
    </row>
    <row r="1437" spans="1:2" x14ac:dyDescent="0.2">
      <c r="A1437" s="102"/>
      <c r="B1437" s="116"/>
    </row>
    <row r="1438" spans="1:2" x14ac:dyDescent="0.2">
      <c r="A1438" s="102"/>
      <c r="B1438" s="116"/>
    </row>
    <row r="1439" spans="1:2" x14ac:dyDescent="0.2">
      <c r="A1439" s="102"/>
      <c r="B1439" s="116"/>
    </row>
    <row r="1440" spans="1:2" x14ac:dyDescent="0.2">
      <c r="A1440" s="102"/>
      <c r="B1440" s="116"/>
    </row>
    <row r="1441" spans="1:2" x14ac:dyDescent="0.2">
      <c r="A1441" s="102"/>
      <c r="B1441" s="116"/>
    </row>
    <row r="1442" spans="1:2" x14ac:dyDescent="0.2">
      <c r="A1442" s="102"/>
      <c r="B1442" s="116"/>
    </row>
    <row r="1443" spans="1:2" x14ac:dyDescent="0.2">
      <c r="A1443" s="102"/>
      <c r="B1443" s="116"/>
    </row>
    <row r="1444" spans="1:2" x14ac:dyDescent="0.2">
      <c r="A1444" s="102"/>
      <c r="B1444" s="116"/>
    </row>
    <row r="1445" spans="1:2" x14ac:dyDescent="0.2">
      <c r="A1445" s="102"/>
      <c r="B1445" s="116"/>
    </row>
    <row r="1446" spans="1:2" x14ac:dyDescent="0.2">
      <c r="A1446" s="102"/>
      <c r="B1446" s="116"/>
    </row>
    <row r="1447" spans="1:2" x14ac:dyDescent="0.2">
      <c r="A1447" s="102"/>
      <c r="B1447" s="116"/>
    </row>
    <row r="1448" spans="1:2" x14ac:dyDescent="0.2">
      <c r="A1448" s="102"/>
      <c r="B1448" s="116"/>
    </row>
    <row r="1449" spans="1:2" x14ac:dyDescent="0.2">
      <c r="A1449" s="102"/>
      <c r="B1449" s="116"/>
    </row>
    <row r="1450" spans="1:2" x14ac:dyDescent="0.2">
      <c r="A1450" s="102"/>
      <c r="B1450" s="116"/>
    </row>
    <row r="1451" spans="1:2" x14ac:dyDescent="0.2">
      <c r="A1451" s="102"/>
      <c r="B1451" s="116"/>
    </row>
    <row r="1452" spans="1:2" x14ac:dyDescent="0.2">
      <c r="A1452" s="102"/>
      <c r="B1452" s="116"/>
    </row>
    <row r="1453" spans="1:2" x14ac:dyDescent="0.2">
      <c r="A1453" s="102"/>
      <c r="B1453" s="116"/>
    </row>
    <row r="1454" spans="1:2" x14ac:dyDescent="0.2">
      <c r="A1454" s="102"/>
      <c r="B1454" s="116"/>
    </row>
    <row r="1455" spans="1:2" x14ac:dyDescent="0.2">
      <c r="A1455" s="102"/>
      <c r="B1455" s="116"/>
    </row>
    <row r="1456" spans="1:2" x14ac:dyDescent="0.2">
      <c r="A1456" s="102"/>
      <c r="B1456" s="116"/>
    </row>
    <row r="1457" spans="1:2" x14ac:dyDescent="0.2">
      <c r="A1457" s="102"/>
      <c r="B1457" s="116"/>
    </row>
    <row r="1458" spans="1:2" x14ac:dyDescent="0.2">
      <c r="A1458" s="102"/>
      <c r="B1458" s="116"/>
    </row>
    <row r="1459" spans="1:2" x14ac:dyDescent="0.2">
      <c r="A1459" s="102"/>
      <c r="B1459" s="116"/>
    </row>
    <row r="1460" spans="1:2" x14ac:dyDescent="0.2">
      <c r="A1460" s="102"/>
      <c r="B1460" s="116"/>
    </row>
    <row r="1461" spans="1:2" x14ac:dyDescent="0.2">
      <c r="A1461" s="102"/>
      <c r="B1461" s="116"/>
    </row>
    <row r="1462" spans="1:2" x14ac:dyDescent="0.2">
      <c r="A1462" s="102"/>
      <c r="B1462" s="116"/>
    </row>
    <row r="1463" spans="1:2" x14ac:dyDescent="0.2">
      <c r="A1463" s="102"/>
      <c r="B1463" s="116"/>
    </row>
    <row r="1464" spans="1:2" x14ac:dyDescent="0.2">
      <c r="A1464" s="102"/>
      <c r="B1464" s="116"/>
    </row>
    <row r="1465" spans="1:2" x14ac:dyDescent="0.2">
      <c r="A1465" s="102"/>
      <c r="B1465" s="116"/>
    </row>
    <row r="1466" spans="1:2" x14ac:dyDescent="0.2">
      <c r="A1466" s="102"/>
      <c r="B1466" s="116"/>
    </row>
    <row r="1467" spans="1:2" x14ac:dyDescent="0.2">
      <c r="A1467" s="102"/>
      <c r="B1467" s="116"/>
    </row>
    <row r="1468" spans="1:2" x14ac:dyDescent="0.2">
      <c r="A1468" s="102"/>
      <c r="B1468" s="116"/>
    </row>
    <row r="1469" spans="1:2" x14ac:dyDescent="0.2">
      <c r="A1469" s="102"/>
      <c r="B1469" s="116"/>
    </row>
    <row r="1470" spans="1:2" x14ac:dyDescent="0.2">
      <c r="A1470" s="102"/>
      <c r="B1470" s="116"/>
    </row>
    <row r="1471" spans="1:2" x14ac:dyDescent="0.2">
      <c r="A1471" s="102"/>
      <c r="B1471" s="116"/>
    </row>
    <row r="1472" spans="1:2" x14ac:dyDescent="0.2">
      <c r="A1472" s="102"/>
      <c r="B1472" s="116"/>
    </row>
    <row r="1473" spans="1:2" x14ac:dyDescent="0.2">
      <c r="A1473" s="102"/>
      <c r="B1473" s="116"/>
    </row>
    <row r="1474" spans="1:2" x14ac:dyDescent="0.2">
      <c r="A1474" s="102"/>
      <c r="B1474" s="116"/>
    </row>
    <row r="1475" spans="1:2" x14ac:dyDescent="0.2">
      <c r="A1475" s="102"/>
      <c r="B1475" s="116"/>
    </row>
    <row r="1476" spans="1:2" x14ac:dyDescent="0.2">
      <c r="A1476" s="102"/>
      <c r="B1476" s="116"/>
    </row>
    <row r="1477" spans="1:2" x14ac:dyDescent="0.2">
      <c r="A1477" s="102"/>
      <c r="B1477" s="116"/>
    </row>
    <row r="1478" spans="1:2" x14ac:dyDescent="0.2">
      <c r="A1478" s="102"/>
      <c r="B1478" s="116"/>
    </row>
    <row r="1479" spans="1:2" x14ac:dyDescent="0.2">
      <c r="A1479" s="102"/>
      <c r="B1479" s="116"/>
    </row>
    <row r="1480" spans="1:2" x14ac:dyDescent="0.2">
      <c r="A1480" s="102"/>
      <c r="B1480" s="116"/>
    </row>
    <row r="1481" spans="1:2" x14ac:dyDescent="0.2">
      <c r="A1481" s="102"/>
      <c r="B1481" s="116"/>
    </row>
    <row r="1482" spans="1:2" x14ac:dyDescent="0.2">
      <c r="A1482" s="102"/>
      <c r="B1482" s="116"/>
    </row>
    <row r="1483" spans="1:2" x14ac:dyDescent="0.2">
      <c r="A1483" s="102"/>
      <c r="B1483" s="116"/>
    </row>
    <row r="1484" spans="1:2" x14ac:dyDescent="0.2">
      <c r="A1484" s="102"/>
      <c r="B1484" s="116"/>
    </row>
    <row r="1485" spans="1:2" x14ac:dyDescent="0.2">
      <c r="A1485" s="102"/>
      <c r="B1485" s="116"/>
    </row>
    <row r="1486" spans="1:2" x14ac:dyDescent="0.2">
      <c r="A1486" s="102"/>
      <c r="B1486" s="116"/>
    </row>
    <row r="1487" spans="1:2" x14ac:dyDescent="0.2">
      <c r="A1487" s="102"/>
      <c r="B1487" s="116"/>
    </row>
    <row r="1488" spans="1:2" x14ac:dyDescent="0.2">
      <c r="A1488" s="102"/>
      <c r="B1488" s="116"/>
    </row>
    <row r="1489" spans="1:2" x14ac:dyDescent="0.2">
      <c r="A1489" s="102"/>
      <c r="B1489" s="116"/>
    </row>
    <row r="1490" spans="1:2" x14ac:dyDescent="0.2">
      <c r="A1490" s="102"/>
      <c r="B1490" s="116"/>
    </row>
    <row r="1491" spans="1:2" x14ac:dyDescent="0.2">
      <c r="A1491" s="102"/>
      <c r="B1491" s="116"/>
    </row>
    <row r="1492" spans="1:2" x14ac:dyDescent="0.2">
      <c r="A1492" s="102"/>
      <c r="B1492" s="116"/>
    </row>
    <row r="1493" spans="1:2" x14ac:dyDescent="0.2">
      <c r="A1493" s="102"/>
      <c r="B1493" s="116"/>
    </row>
    <row r="1494" spans="1:2" x14ac:dyDescent="0.2">
      <c r="A1494" s="102"/>
      <c r="B1494" s="116"/>
    </row>
    <row r="1495" spans="1:2" x14ac:dyDescent="0.2">
      <c r="A1495" s="102"/>
      <c r="B1495" s="116"/>
    </row>
    <row r="1496" spans="1:2" x14ac:dyDescent="0.2">
      <c r="A1496" s="102"/>
      <c r="B1496" s="116"/>
    </row>
    <row r="1497" spans="1:2" x14ac:dyDescent="0.2">
      <c r="A1497" s="102"/>
      <c r="B1497" s="116"/>
    </row>
    <row r="1498" spans="1:2" x14ac:dyDescent="0.2">
      <c r="A1498" s="102"/>
      <c r="B1498" s="116"/>
    </row>
    <row r="1499" spans="1:2" x14ac:dyDescent="0.2">
      <c r="A1499" s="102"/>
      <c r="B1499" s="116"/>
    </row>
    <row r="1500" spans="1:2" x14ac:dyDescent="0.2">
      <c r="A1500" s="102"/>
      <c r="B1500" s="116"/>
    </row>
    <row r="1501" spans="1:2" x14ac:dyDescent="0.2">
      <c r="A1501" s="102"/>
      <c r="B1501" s="116"/>
    </row>
    <row r="1502" spans="1:2" x14ac:dyDescent="0.2">
      <c r="A1502" s="102"/>
      <c r="B1502" s="116"/>
    </row>
    <row r="1503" spans="1:2" x14ac:dyDescent="0.2">
      <c r="A1503" s="102"/>
      <c r="B1503" s="116"/>
    </row>
    <row r="1504" spans="1:2" x14ac:dyDescent="0.2">
      <c r="A1504" s="102"/>
      <c r="B1504" s="116"/>
    </row>
    <row r="1505" spans="1:2" x14ac:dyDescent="0.2">
      <c r="A1505" s="102"/>
      <c r="B1505" s="116"/>
    </row>
    <row r="1506" spans="1:2" x14ac:dyDescent="0.2">
      <c r="A1506" s="102"/>
      <c r="B1506" s="116"/>
    </row>
    <row r="1507" spans="1:2" x14ac:dyDescent="0.2">
      <c r="A1507" s="102"/>
      <c r="B1507" s="116"/>
    </row>
    <row r="1508" spans="1:2" x14ac:dyDescent="0.2">
      <c r="A1508" s="102"/>
      <c r="B1508" s="116"/>
    </row>
    <row r="1509" spans="1:2" x14ac:dyDescent="0.2">
      <c r="A1509" s="102"/>
      <c r="B1509" s="116"/>
    </row>
    <row r="1510" spans="1:2" x14ac:dyDescent="0.2">
      <c r="A1510" s="102"/>
      <c r="B1510" s="116"/>
    </row>
    <row r="1511" spans="1:2" x14ac:dyDescent="0.2">
      <c r="A1511" s="102"/>
      <c r="B1511" s="116"/>
    </row>
    <row r="1512" spans="1:2" x14ac:dyDescent="0.2">
      <c r="A1512" s="102"/>
      <c r="B1512" s="116"/>
    </row>
    <row r="1513" spans="1:2" x14ac:dyDescent="0.2">
      <c r="A1513" s="102"/>
      <c r="B1513" s="116"/>
    </row>
    <row r="1514" spans="1:2" x14ac:dyDescent="0.2">
      <c r="A1514" s="102"/>
      <c r="B1514" s="116"/>
    </row>
    <row r="1515" spans="1:2" x14ac:dyDescent="0.2">
      <c r="A1515" s="102"/>
      <c r="B1515" s="116"/>
    </row>
    <row r="1516" spans="1:2" x14ac:dyDescent="0.2">
      <c r="A1516" s="102"/>
      <c r="B1516" s="116"/>
    </row>
    <row r="1517" spans="1:2" x14ac:dyDescent="0.2">
      <c r="A1517" s="102"/>
      <c r="B1517" s="116"/>
    </row>
    <row r="1518" spans="1:2" x14ac:dyDescent="0.2">
      <c r="A1518" s="102"/>
      <c r="B1518" s="116"/>
    </row>
    <row r="1519" spans="1:2" x14ac:dyDescent="0.2">
      <c r="A1519" s="102"/>
      <c r="B1519" s="116"/>
    </row>
    <row r="1520" spans="1:2" x14ac:dyDescent="0.2">
      <c r="A1520" s="102"/>
      <c r="B1520" s="116"/>
    </row>
    <row r="1521" spans="1:2" x14ac:dyDescent="0.2">
      <c r="A1521" s="102"/>
      <c r="B1521" s="116"/>
    </row>
    <row r="1522" spans="1:2" x14ac:dyDescent="0.2">
      <c r="A1522" s="102"/>
      <c r="B1522" s="116"/>
    </row>
    <row r="1523" spans="1:2" x14ac:dyDescent="0.2">
      <c r="A1523" s="102"/>
      <c r="B1523" s="116"/>
    </row>
    <row r="1524" spans="1:2" x14ac:dyDescent="0.2">
      <c r="A1524" s="102"/>
      <c r="B1524" s="116"/>
    </row>
    <row r="1525" spans="1:2" x14ac:dyDescent="0.2">
      <c r="A1525" s="102"/>
      <c r="B1525" s="116"/>
    </row>
    <row r="1526" spans="1:2" x14ac:dyDescent="0.2">
      <c r="A1526" s="102"/>
      <c r="B1526" s="116"/>
    </row>
    <row r="1527" spans="1:2" x14ac:dyDescent="0.2">
      <c r="A1527" s="102"/>
      <c r="B1527" s="116"/>
    </row>
    <row r="1528" spans="1:2" x14ac:dyDescent="0.2">
      <c r="A1528" s="102"/>
      <c r="B1528" s="116"/>
    </row>
    <row r="1529" spans="1:2" x14ac:dyDescent="0.2">
      <c r="A1529" s="102"/>
      <c r="B1529" s="116"/>
    </row>
    <row r="1530" spans="1:2" x14ac:dyDescent="0.2">
      <c r="A1530" s="102"/>
      <c r="B1530" s="116"/>
    </row>
    <row r="1531" spans="1:2" x14ac:dyDescent="0.2">
      <c r="A1531" s="102"/>
      <c r="B1531" s="116"/>
    </row>
    <row r="1532" spans="1:2" x14ac:dyDescent="0.2">
      <c r="A1532" s="102"/>
      <c r="B1532" s="116"/>
    </row>
    <row r="1533" spans="1:2" x14ac:dyDescent="0.2">
      <c r="A1533" s="102"/>
      <c r="B1533" s="116"/>
    </row>
    <row r="1534" spans="1:2" x14ac:dyDescent="0.2">
      <c r="A1534" s="102"/>
      <c r="B1534" s="116"/>
    </row>
    <row r="1535" spans="1:2" x14ac:dyDescent="0.2">
      <c r="A1535" s="102"/>
      <c r="B1535" s="116"/>
    </row>
    <row r="1536" spans="1:2" x14ac:dyDescent="0.2">
      <c r="A1536" s="102"/>
      <c r="B1536" s="116"/>
    </row>
    <row r="1537" spans="1:2" x14ac:dyDescent="0.2">
      <c r="A1537" s="102"/>
      <c r="B1537" s="116"/>
    </row>
    <row r="1538" spans="1:2" x14ac:dyDescent="0.2">
      <c r="A1538" s="102"/>
      <c r="B1538" s="116"/>
    </row>
    <row r="1539" spans="1:2" x14ac:dyDescent="0.2">
      <c r="A1539" s="102"/>
      <c r="B1539" s="116"/>
    </row>
    <row r="1540" spans="1:2" x14ac:dyDescent="0.2">
      <c r="A1540" s="102"/>
      <c r="B1540" s="116"/>
    </row>
    <row r="1541" spans="1:2" x14ac:dyDescent="0.2">
      <c r="A1541" s="102"/>
      <c r="B1541" s="116"/>
    </row>
    <row r="1542" spans="1:2" x14ac:dyDescent="0.2">
      <c r="A1542" s="102"/>
      <c r="B1542" s="116"/>
    </row>
    <row r="1543" spans="1:2" x14ac:dyDescent="0.2">
      <c r="A1543" s="102"/>
      <c r="B1543" s="116"/>
    </row>
    <row r="1544" spans="1:2" x14ac:dyDescent="0.2">
      <c r="A1544" s="102"/>
      <c r="B1544" s="116"/>
    </row>
    <row r="1545" spans="1:2" x14ac:dyDescent="0.2">
      <c r="A1545" s="102"/>
      <c r="B1545" s="116"/>
    </row>
    <row r="1546" spans="1:2" x14ac:dyDescent="0.2">
      <c r="A1546" s="102"/>
      <c r="B1546" s="116"/>
    </row>
    <row r="1547" spans="1:2" x14ac:dyDescent="0.2">
      <c r="A1547" s="102"/>
      <c r="B1547" s="116"/>
    </row>
    <row r="1548" spans="1:2" x14ac:dyDescent="0.2">
      <c r="A1548" s="102"/>
      <c r="B1548" s="116"/>
    </row>
    <row r="1549" spans="1:2" x14ac:dyDescent="0.2">
      <c r="A1549" s="102"/>
      <c r="B1549" s="116"/>
    </row>
    <row r="1550" spans="1:2" x14ac:dyDescent="0.2">
      <c r="A1550" s="102"/>
      <c r="B1550" s="116"/>
    </row>
    <row r="1551" spans="1:2" x14ac:dyDescent="0.2">
      <c r="A1551" s="102"/>
      <c r="B1551" s="116"/>
    </row>
    <row r="1552" spans="1:2" x14ac:dyDescent="0.2">
      <c r="A1552" s="102"/>
      <c r="B1552" s="116"/>
    </row>
    <row r="1553" spans="1:2" x14ac:dyDescent="0.2">
      <c r="A1553" s="102"/>
      <c r="B1553" s="116"/>
    </row>
    <row r="1554" spans="1:2" x14ac:dyDescent="0.2">
      <c r="A1554" s="102"/>
      <c r="B1554" s="116"/>
    </row>
    <row r="1555" spans="1:2" x14ac:dyDescent="0.2">
      <c r="A1555" s="102"/>
      <c r="B1555" s="116"/>
    </row>
    <row r="1556" spans="1:2" x14ac:dyDescent="0.2">
      <c r="A1556" s="102"/>
      <c r="B1556" s="116"/>
    </row>
    <row r="1557" spans="1:2" x14ac:dyDescent="0.2">
      <c r="A1557" s="102"/>
      <c r="B1557" s="116"/>
    </row>
    <row r="1558" spans="1:2" x14ac:dyDescent="0.2">
      <c r="A1558" s="102"/>
      <c r="B1558" s="116"/>
    </row>
    <row r="1559" spans="1:2" x14ac:dyDescent="0.2">
      <c r="A1559" s="102"/>
      <c r="B1559" s="116"/>
    </row>
    <row r="1560" spans="1:2" x14ac:dyDescent="0.2">
      <c r="A1560" s="102"/>
      <c r="B1560" s="116"/>
    </row>
    <row r="1561" spans="1:2" x14ac:dyDescent="0.2">
      <c r="A1561" s="102"/>
      <c r="B1561" s="116"/>
    </row>
    <row r="1562" spans="1:2" x14ac:dyDescent="0.2">
      <c r="A1562" s="102"/>
      <c r="B1562" s="116"/>
    </row>
    <row r="1563" spans="1:2" x14ac:dyDescent="0.2">
      <c r="A1563" s="102"/>
      <c r="B1563" s="116"/>
    </row>
    <row r="1564" spans="1:2" x14ac:dyDescent="0.2">
      <c r="A1564" s="102"/>
      <c r="B1564" s="116"/>
    </row>
    <row r="1565" spans="1:2" x14ac:dyDescent="0.2">
      <c r="A1565" s="102"/>
      <c r="B1565" s="116"/>
    </row>
    <row r="1566" spans="1:2" x14ac:dyDescent="0.2">
      <c r="A1566" s="102"/>
      <c r="B1566" s="116"/>
    </row>
    <row r="1567" spans="1:2" x14ac:dyDescent="0.2">
      <c r="A1567" s="102"/>
      <c r="B1567" s="116"/>
    </row>
    <row r="1568" spans="1:2" x14ac:dyDescent="0.2">
      <c r="A1568" s="102"/>
      <c r="B1568" s="116"/>
    </row>
    <row r="1569" spans="1:2" x14ac:dyDescent="0.2">
      <c r="A1569" s="102"/>
      <c r="B1569" s="116"/>
    </row>
    <row r="1570" spans="1:2" x14ac:dyDescent="0.2">
      <c r="A1570" s="102"/>
      <c r="B1570" s="116"/>
    </row>
    <row r="1571" spans="1:2" x14ac:dyDescent="0.2">
      <c r="A1571" s="102"/>
      <c r="B1571" s="116"/>
    </row>
    <row r="1572" spans="1:2" x14ac:dyDescent="0.2">
      <c r="A1572" s="102"/>
      <c r="B1572" s="116"/>
    </row>
    <row r="1573" spans="1:2" x14ac:dyDescent="0.2">
      <c r="A1573" s="102"/>
      <c r="B1573" s="116"/>
    </row>
    <row r="1574" spans="1:2" x14ac:dyDescent="0.2">
      <c r="A1574" s="102"/>
      <c r="B1574" s="116"/>
    </row>
    <row r="1575" spans="1:2" x14ac:dyDescent="0.2">
      <c r="A1575" s="102"/>
      <c r="B1575" s="116"/>
    </row>
    <row r="1576" spans="1:2" x14ac:dyDescent="0.2">
      <c r="A1576" s="102"/>
      <c r="B1576" s="116"/>
    </row>
    <row r="1577" spans="1:2" x14ac:dyDescent="0.2">
      <c r="A1577" s="102"/>
      <c r="B1577" s="116"/>
    </row>
    <row r="1578" spans="1:2" x14ac:dyDescent="0.2">
      <c r="A1578" s="102"/>
      <c r="B1578" s="116"/>
    </row>
    <row r="1579" spans="1:2" x14ac:dyDescent="0.2">
      <c r="A1579" s="102"/>
      <c r="B1579" s="116"/>
    </row>
    <row r="1580" spans="1:2" x14ac:dyDescent="0.2">
      <c r="A1580" s="102"/>
      <c r="B1580" s="116"/>
    </row>
    <row r="1581" spans="1:2" x14ac:dyDescent="0.2">
      <c r="A1581" s="102"/>
      <c r="B1581" s="116"/>
    </row>
    <row r="1582" spans="1:2" x14ac:dyDescent="0.2">
      <c r="A1582" s="102"/>
      <c r="B1582" s="116"/>
    </row>
    <row r="1583" spans="1:2" x14ac:dyDescent="0.2">
      <c r="A1583" s="102"/>
      <c r="B1583" s="116"/>
    </row>
    <row r="1584" spans="1:2" x14ac:dyDescent="0.2">
      <c r="A1584" s="102"/>
      <c r="B1584" s="116"/>
    </row>
    <row r="1585" spans="1:2" x14ac:dyDescent="0.2">
      <c r="A1585" s="102"/>
      <c r="B1585" s="116"/>
    </row>
    <row r="1586" spans="1:2" x14ac:dyDescent="0.2">
      <c r="A1586" s="102"/>
      <c r="B1586" s="116"/>
    </row>
    <row r="1587" spans="1:2" x14ac:dyDescent="0.2">
      <c r="A1587" s="102"/>
      <c r="B1587" s="116"/>
    </row>
    <row r="1588" spans="1:2" x14ac:dyDescent="0.2">
      <c r="A1588" s="102"/>
      <c r="B1588" s="116"/>
    </row>
    <row r="1589" spans="1:2" x14ac:dyDescent="0.2">
      <c r="A1589" s="102"/>
      <c r="B1589" s="116"/>
    </row>
    <row r="1590" spans="1:2" x14ac:dyDescent="0.2">
      <c r="A1590" s="102"/>
      <c r="B1590" s="116"/>
    </row>
    <row r="1591" spans="1:2" x14ac:dyDescent="0.2">
      <c r="A1591" s="102"/>
      <c r="B1591" s="116"/>
    </row>
    <row r="1592" spans="1:2" x14ac:dyDescent="0.2">
      <c r="A1592" s="102"/>
      <c r="B1592" s="116"/>
    </row>
    <row r="1593" spans="1:2" x14ac:dyDescent="0.2">
      <c r="A1593" s="102"/>
      <c r="B1593" s="116"/>
    </row>
    <row r="1594" spans="1:2" x14ac:dyDescent="0.2">
      <c r="A1594" s="102"/>
      <c r="B1594" s="116"/>
    </row>
    <row r="1595" spans="1:2" x14ac:dyDescent="0.2">
      <c r="A1595" s="102"/>
      <c r="B1595" s="116"/>
    </row>
    <row r="1596" spans="1:2" x14ac:dyDescent="0.2">
      <c r="A1596" s="102"/>
      <c r="B1596" s="116"/>
    </row>
    <row r="1597" spans="1:2" x14ac:dyDescent="0.2">
      <c r="A1597" s="102"/>
      <c r="B1597" s="116"/>
    </row>
    <row r="1598" spans="1:2" x14ac:dyDescent="0.2">
      <c r="A1598" s="102"/>
      <c r="B1598" s="116"/>
    </row>
    <row r="1599" spans="1:2" x14ac:dyDescent="0.2">
      <c r="A1599" s="102"/>
      <c r="B1599" s="116"/>
    </row>
    <row r="1600" spans="1:2" x14ac:dyDescent="0.2">
      <c r="A1600" s="102"/>
      <c r="B1600" s="116"/>
    </row>
    <row r="1601" spans="1:2" x14ac:dyDescent="0.2">
      <c r="A1601" s="102"/>
      <c r="B1601" s="116"/>
    </row>
    <row r="1602" spans="1:2" x14ac:dyDescent="0.2">
      <c r="A1602" s="102"/>
      <c r="B1602" s="116"/>
    </row>
    <row r="1603" spans="1:2" x14ac:dyDescent="0.2">
      <c r="A1603" s="102"/>
      <c r="B1603" s="116"/>
    </row>
    <row r="1604" spans="1:2" x14ac:dyDescent="0.2">
      <c r="A1604" s="102"/>
      <c r="B1604" s="116"/>
    </row>
    <row r="1605" spans="1:2" x14ac:dyDescent="0.2">
      <c r="A1605" s="102"/>
      <c r="B1605" s="116"/>
    </row>
    <row r="1606" spans="1:2" x14ac:dyDescent="0.2">
      <c r="A1606" s="102"/>
      <c r="B1606" s="116"/>
    </row>
    <row r="1607" spans="1:2" x14ac:dyDescent="0.2">
      <c r="A1607" s="102"/>
      <c r="B1607" s="116"/>
    </row>
    <row r="1608" spans="1:2" x14ac:dyDescent="0.2">
      <c r="A1608" s="102"/>
      <c r="B1608" s="116"/>
    </row>
    <row r="1609" spans="1:2" x14ac:dyDescent="0.2">
      <c r="A1609" s="102"/>
      <c r="B1609" s="116"/>
    </row>
    <row r="1610" spans="1:2" x14ac:dyDescent="0.2">
      <c r="A1610" s="102"/>
      <c r="B1610" s="116"/>
    </row>
    <row r="1611" spans="1:2" x14ac:dyDescent="0.2">
      <c r="A1611" s="102"/>
      <c r="B1611" s="116"/>
    </row>
    <row r="1612" spans="1:2" x14ac:dyDescent="0.2">
      <c r="A1612" s="102"/>
      <c r="B1612" s="116"/>
    </row>
    <row r="1613" spans="1:2" x14ac:dyDescent="0.2">
      <c r="A1613" s="102"/>
      <c r="B1613" s="116"/>
    </row>
    <row r="1614" spans="1:2" x14ac:dyDescent="0.2">
      <c r="A1614" s="102"/>
      <c r="B1614" s="116"/>
    </row>
    <row r="1615" spans="1:2" x14ac:dyDescent="0.2">
      <c r="A1615" s="102"/>
      <c r="B1615" s="116"/>
    </row>
    <row r="1616" spans="1:2" x14ac:dyDescent="0.2">
      <c r="A1616" s="102"/>
      <c r="B1616" s="116"/>
    </row>
    <row r="1617" spans="1:2" x14ac:dyDescent="0.2">
      <c r="A1617" s="102"/>
      <c r="B1617" s="116"/>
    </row>
    <row r="1618" spans="1:2" x14ac:dyDescent="0.2">
      <c r="A1618" s="102"/>
      <c r="B1618" s="116"/>
    </row>
    <row r="1619" spans="1:2" x14ac:dyDescent="0.2">
      <c r="A1619" s="102"/>
      <c r="B1619" s="116"/>
    </row>
    <row r="1620" spans="1:2" x14ac:dyDescent="0.2">
      <c r="A1620" s="102"/>
      <c r="B1620" s="116"/>
    </row>
    <row r="1621" spans="1:2" x14ac:dyDescent="0.2">
      <c r="A1621" s="102"/>
      <c r="B1621" s="116"/>
    </row>
    <row r="1622" spans="1:2" x14ac:dyDescent="0.2">
      <c r="A1622" s="102"/>
      <c r="B1622" s="116"/>
    </row>
    <row r="1623" spans="1:2" x14ac:dyDescent="0.2">
      <c r="A1623" s="102"/>
      <c r="B1623" s="116"/>
    </row>
    <row r="1624" spans="1:2" x14ac:dyDescent="0.2">
      <c r="A1624" s="102"/>
      <c r="B1624" s="116"/>
    </row>
    <row r="1625" spans="1:2" x14ac:dyDescent="0.2">
      <c r="A1625" s="102"/>
      <c r="B1625" s="116"/>
    </row>
    <row r="1626" spans="1:2" x14ac:dyDescent="0.2">
      <c r="A1626" s="102"/>
      <c r="B1626" s="116"/>
    </row>
    <row r="1627" spans="1:2" x14ac:dyDescent="0.2">
      <c r="A1627" s="102"/>
      <c r="B1627" s="116"/>
    </row>
    <row r="1628" spans="1:2" x14ac:dyDescent="0.2">
      <c r="A1628" s="102"/>
      <c r="B1628" s="116"/>
    </row>
    <row r="1629" spans="1:2" x14ac:dyDescent="0.2">
      <c r="A1629" s="102"/>
      <c r="B1629" s="116"/>
    </row>
    <row r="1630" spans="1:2" x14ac:dyDescent="0.2">
      <c r="A1630" s="102"/>
      <c r="B1630" s="116"/>
    </row>
    <row r="1631" spans="1:2" x14ac:dyDescent="0.2">
      <c r="A1631" s="102"/>
      <c r="B1631" s="116"/>
    </row>
    <row r="1632" spans="1:2" x14ac:dyDescent="0.2">
      <c r="A1632" s="102"/>
      <c r="B1632" s="116"/>
    </row>
    <row r="1633" spans="1:2" x14ac:dyDescent="0.2">
      <c r="A1633" s="102"/>
      <c r="B1633" s="116"/>
    </row>
    <row r="1634" spans="1:2" x14ac:dyDescent="0.2">
      <c r="A1634" s="102"/>
      <c r="B1634" s="116"/>
    </row>
    <row r="1635" spans="1:2" x14ac:dyDescent="0.2">
      <c r="A1635" s="102"/>
      <c r="B1635" s="116"/>
    </row>
    <row r="1636" spans="1:2" x14ac:dyDescent="0.2">
      <c r="A1636" s="102"/>
      <c r="B1636" s="116"/>
    </row>
    <row r="1637" spans="1:2" x14ac:dyDescent="0.2">
      <c r="A1637" s="102"/>
      <c r="B1637" s="116"/>
    </row>
    <row r="1638" spans="1:2" x14ac:dyDescent="0.2">
      <c r="A1638" s="102"/>
      <c r="B1638" s="116"/>
    </row>
    <row r="1639" spans="1:2" x14ac:dyDescent="0.2">
      <c r="A1639" s="102"/>
      <c r="B1639" s="116"/>
    </row>
    <row r="1640" spans="1:2" x14ac:dyDescent="0.2">
      <c r="A1640" s="102"/>
      <c r="B1640" s="116"/>
    </row>
    <row r="1641" spans="1:2" x14ac:dyDescent="0.2">
      <c r="A1641" s="102"/>
      <c r="B1641" s="116"/>
    </row>
    <row r="1642" spans="1:2" x14ac:dyDescent="0.2">
      <c r="A1642" s="102"/>
      <c r="B1642" s="116"/>
    </row>
    <row r="1643" spans="1:2" x14ac:dyDescent="0.2">
      <c r="A1643" s="102"/>
      <c r="B1643" s="116"/>
    </row>
    <row r="1644" spans="1:2" x14ac:dyDescent="0.2">
      <c r="A1644" s="102"/>
      <c r="B1644" s="116"/>
    </row>
    <row r="1645" spans="1:2" x14ac:dyDescent="0.2">
      <c r="A1645" s="102"/>
      <c r="B1645" s="116"/>
    </row>
    <row r="1646" spans="1:2" x14ac:dyDescent="0.2">
      <c r="A1646" s="102"/>
      <c r="B1646" s="116"/>
    </row>
    <row r="1647" spans="1:2" x14ac:dyDescent="0.2">
      <c r="A1647" s="102"/>
      <c r="B1647" s="116"/>
    </row>
    <row r="1648" spans="1:2" x14ac:dyDescent="0.2">
      <c r="A1648" s="102"/>
      <c r="B1648" s="116"/>
    </row>
    <row r="1649" spans="1:2" x14ac:dyDescent="0.2">
      <c r="A1649" s="102"/>
      <c r="B1649" s="116"/>
    </row>
    <row r="1650" spans="1:2" x14ac:dyDescent="0.2">
      <c r="A1650" s="102"/>
      <c r="B1650" s="116"/>
    </row>
    <row r="1651" spans="1:2" x14ac:dyDescent="0.2">
      <c r="A1651" s="102"/>
      <c r="B1651" s="116"/>
    </row>
    <row r="1652" spans="1:2" x14ac:dyDescent="0.2">
      <c r="A1652" s="102"/>
      <c r="B1652" s="116"/>
    </row>
    <row r="1653" spans="1:2" x14ac:dyDescent="0.2">
      <c r="A1653" s="102"/>
      <c r="B1653" s="116"/>
    </row>
    <row r="1654" spans="1:2" x14ac:dyDescent="0.2">
      <c r="A1654" s="102"/>
      <c r="B1654" s="116"/>
    </row>
    <row r="1655" spans="1:2" x14ac:dyDescent="0.2">
      <c r="A1655" s="102"/>
      <c r="B1655" s="116"/>
    </row>
    <row r="1656" spans="1:2" x14ac:dyDescent="0.2">
      <c r="A1656" s="102"/>
      <c r="B1656" s="116"/>
    </row>
    <row r="1657" spans="1:2" x14ac:dyDescent="0.2">
      <c r="A1657" s="102"/>
      <c r="B1657" s="116"/>
    </row>
    <row r="1658" spans="1:2" x14ac:dyDescent="0.2">
      <c r="A1658" s="102"/>
      <c r="B1658" s="116"/>
    </row>
    <row r="1659" spans="1:2" x14ac:dyDescent="0.2">
      <c r="A1659" s="102"/>
      <c r="B1659" s="116"/>
    </row>
    <row r="1660" spans="1:2" x14ac:dyDescent="0.2">
      <c r="A1660" s="102"/>
      <c r="B1660" s="116"/>
    </row>
    <row r="1661" spans="1:2" x14ac:dyDescent="0.2">
      <c r="A1661" s="102"/>
      <c r="B1661" s="116"/>
    </row>
    <row r="1662" spans="1:2" x14ac:dyDescent="0.2">
      <c r="A1662" s="102"/>
      <c r="B1662" s="116"/>
    </row>
    <row r="1663" spans="1:2" x14ac:dyDescent="0.2">
      <c r="A1663" s="102"/>
      <c r="B1663" s="116"/>
    </row>
    <row r="1664" spans="1:2" x14ac:dyDescent="0.2">
      <c r="A1664" s="102"/>
      <c r="B1664" s="116"/>
    </row>
    <row r="1665" spans="1:2" x14ac:dyDescent="0.2">
      <c r="A1665" s="102"/>
      <c r="B1665" s="116"/>
    </row>
    <row r="1666" spans="1:2" x14ac:dyDescent="0.2">
      <c r="A1666" s="102"/>
      <c r="B1666" s="116"/>
    </row>
    <row r="1667" spans="1:2" x14ac:dyDescent="0.2">
      <c r="A1667" s="102"/>
      <c r="B1667" s="116"/>
    </row>
    <row r="1668" spans="1:2" x14ac:dyDescent="0.2">
      <c r="A1668" s="102"/>
      <c r="B1668" s="116"/>
    </row>
    <row r="1669" spans="1:2" x14ac:dyDescent="0.2">
      <c r="A1669" s="102"/>
      <c r="B1669" s="116"/>
    </row>
    <row r="1670" spans="1:2" x14ac:dyDescent="0.2">
      <c r="A1670" s="102"/>
      <c r="B1670" s="116"/>
    </row>
    <row r="1671" spans="1:2" x14ac:dyDescent="0.2">
      <c r="A1671" s="102"/>
      <c r="B1671" s="116"/>
    </row>
    <row r="1672" spans="1:2" x14ac:dyDescent="0.2">
      <c r="A1672" s="102"/>
      <c r="B1672" s="116"/>
    </row>
    <row r="1673" spans="1:2" x14ac:dyDescent="0.2">
      <c r="A1673" s="102"/>
      <c r="B1673" s="116"/>
    </row>
    <row r="1674" spans="1:2" x14ac:dyDescent="0.2">
      <c r="A1674" s="102"/>
      <c r="B1674" s="116"/>
    </row>
    <row r="1675" spans="1:2" x14ac:dyDescent="0.2">
      <c r="A1675" s="102"/>
      <c r="B1675" s="116"/>
    </row>
    <row r="1676" spans="1:2" x14ac:dyDescent="0.2">
      <c r="A1676" s="102"/>
      <c r="B1676" s="116"/>
    </row>
    <row r="1677" spans="1:2" x14ac:dyDescent="0.2">
      <c r="A1677" s="102"/>
      <c r="B1677" s="116"/>
    </row>
    <row r="1678" spans="1:2" x14ac:dyDescent="0.2">
      <c r="A1678" s="102"/>
      <c r="B1678" s="116"/>
    </row>
    <row r="1679" spans="1:2" x14ac:dyDescent="0.2">
      <c r="A1679" s="102"/>
      <c r="B1679" s="116"/>
    </row>
    <row r="1680" spans="1:2" x14ac:dyDescent="0.2">
      <c r="A1680" s="102"/>
      <c r="B1680" s="116"/>
    </row>
    <row r="1681" spans="1:2" x14ac:dyDescent="0.2">
      <c r="A1681" s="102"/>
      <c r="B1681" s="116"/>
    </row>
    <row r="1682" spans="1:2" x14ac:dyDescent="0.2">
      <c r="A1682" s="102"/>
      <c r="B1682" s="116"/>
    </row>
    <row r="1683" spans="1:2" x14ac:dyDescent="0.2">
      <c r="A1683" s="102"/>
      <c r="B1683" s="116"/>
    </row>
    <row r="1684" spans="1:2" x14ac:dyDescent="0.2">
      <c r="A1684" s="102"/>
      <c r="B1684" s="116"/>
    </row>
    <row r="1685" spans="1:2" x14ac:dyDescent="0.2">
      <c r="A1685" s="102"/>
      <c r="B1685" s="116"/>
    </row>
    <row r="1686" spans="1:2" x14ac:dyDescent="0.2">
      <c r="A1686" s="102"/>
      <c r="B1686" s="116"/>
    </row>
    <row r="1687" spans="1:2" x14ac:dyDescent="0.2">
      <c r="A1687" s="102"/>
      <c r="B1687" s="116"/>
    </row>
    <row r="1688" spans="1:2" x14ac:dyDescent="0.2">
      <c r="A1688" s="102"/>
      <c r="B1688" s="116"/>
    </row>
    <row r="1689" spans="1:2" x14ac:dyDescent="0.2">
      <c r="A1689" s="102"/>
      <c r="B1689" s="116"/>
    </row>
    <row r="1690" spans="1:2" x14ac:dyDescent="0.2">
      <c r="A1690" s="102"/>
      <c r="B1690" s="116"/>
    </row>
    <row r="1691" spans="1:2" x14ac:dyDescent="0.2">
      <c r="A1691" s="102"/>
      <c r="B1691" s="116"/>
    </row>
    <row r="1692" spans="1:2" x14ac:dyDescent="0.2">
      <c r="A1692" s="102"/>
      <c r="B1692" s="116"/>
    </row>
    <row r="1693" spans="1:2" x14ac:dyDescent="0.2">
      <c r="A1693" s="102"/>
      <c r="B1693" s="116"/>
    </row>
    <row r="1694" spans="1:2" x14ac:dyDescent="0.2">
      <c r="A1694" s="102"/>
      <c r="B1694" s="116"/>
    </row>
    <row r="1695" spans="1:2" x14ac:dyDescent="0.2">
      <c r="A1695" s="102"/>
      <c r="B1695" s="116"/>
    </row>
    <row r="1696" spans="1:2" x14ac:dyDescent="0.2">
      <c r="A1696" s="102"/>
      <c r="B1696" s="116"/>
    </row>
    <row r="1697" spans="1:2" x14ac:dyDescent="0.2">
      <c r="A1697" s="102"/>
      <c r="B1697" s="116"/>
    </row>
    <row r="1698" spans="1:2" x14ac:dyDescent="0.2">
      <c r="A1698" s="102"/>
      <c r="B1698" s="116"/>
    </row>
    <row r="1699" spans="1:2" x14ac:dyDescent="0.2">
      <c r="A1699" s="102"/>
      <c r="B1699" s="116"/>
    </row>
    <row r="1700" spans="1:2" x14ac:dyDescent="0.2">
      <c r="A1700" s="102"/>
      <c r="B1700" s="116"/>
    </row>
    <row r="1701" spans="1:2" x14ac:dyDescent="0.2">
      <c r="A1701" s="102"/>
      <c r="B1701" s="116"/>
    </row>
    <row r="1702" spans="1:2" x14ac:dyDescent="0.2">
      <c r="A1702" s="102"/>
      <c r="B1702" s="116"/>
    </row>
    <row r="1703" spans="1:2" x14ac:dyDescent="0.2">
      <c r="A1703" s="102"/>
      <c r="B1703" s="116"/>
    </row>
    <row r="1704" spans="1:2" x14ac:dyDescent="0.2">
      <c r="A1704" s="102"/>
      <c r="B1704" s="116"/>
    </row>
    <row r="1705" spans="1:2" x14ac:dyDescent="0.2">
      <c r="A1705" s="102"/>
      <c r="B1705" s="116"/>
    </row>
    <row r="1706" spans="1:2" x14ac:dyDescent="0.2">
      <c r="A1706" s="102"/>
      <c r="B1706" s="116"/>
    </row>
    <row r="1707" spans="1:2" x14ac:dyDescent="0.2">
      <c r="A1707" s="102"/>
      <c r="B1707" s="116"/>
    </row>
    <row r="1708" spans="1:2" x14ac:dyDescent="0.2">
      <c r="A1708" s="102"/>
      <c r="B1708" s="116"/>
    </row>
    <row r="1709" spans="1:2" x14ac:dyDescent="0.2">
      <c r="A1709" s="102"/>
      <c r="B1709" s="116"/>
    </row>
    <row r="1710" spans="1:2" x14ac:dyDescent="0.2">
      <c r="A1710" s="102"/>
      <c r="B1710" s="116"/>
    </row>
    <row r="1711" spans="1:2" x14ac:dyDescent="0.2">
      <c r="A1711" s="102"/>
      <c r="B1711" s="116"/>
    </row>
    <row r="1712" spans="1:2" x14ac:dyDescent="0.2">
      <c r="A1712" s="102"/>
      <c r="B1712" s="116"/>
    </row>
    <row r="1713" spans="1:2" x14ac:dyDescent="0.2">
      <c r="A1713" s="102"/>
      <c r="B1713" s="116"/>
    </row>
    <row r="1714" spans="1:2" x14ac:dyDescent="0.2">
      <c r="A1714" s="102"/>
      <c r="B1714" s="116"/>
    </row>
    <row r="1715" spans="1:2" x14ac:dyDescent="0.2">
      <c r="A1715" s="102"/>
      <c r="B1715" s="116"/>
    </row>
    <row r="1716" spans="1:2" x14ac:dyDescent="0.2">
      <c r="A1716" s="102"/>
      <c r="B1716" s="116"/>
    </row>
    <row r="1717" spans="1:2" x14ac:dyDescent="0.2">
      <c r="A1717" s="102"/>
      <c r="B1717" s="116"/>
    </row>
    <row r="1718" spans="1:2" x14ac:dyDescent="0.2">
      <c r="A1718" s="102"/>
      <c r="B1718" s="116"/>
    </row>
    <row r="1719" spans="1:2" x14ac:dyDescent="0.2">
      <c r="A1719" s="102"/>
      <c r="B1719" s="116"/>
    </row>
    <row r="1720" spans="1:2" x14ac:dyDescent="0.2">
      <c r="A1720" s="102"/>
      <c r="B1720" s="116"/>
    </row>
    <row r="1721" spans="1:2" x14ac:dyDescent="0.2">
      <c r="A1721" s="102"/>
      <c r="B1721" s="116"/>
    </row>
    <row r="1722" spans="1:2" x14ac:dyDescent="0.2">
      <c r="A1722" s="102"/>
      <c r="B1722" s="116"/>
    </row>
    <row r="1723" spans="1:2" x14ac:dyDescent="0.2">
      <c r="A1723" s="102"/>
      <c r="B1723" s="116"/>
    </row>
    <row r="1724" spans="1:2" x14ac:dyDescent="0.2">
      <c r="A1724" s="102"/>
      <c r="B1724" s="116"/>
    </row>
    <row r="1725" spans="1:2" x14ac:dyDescent="0.2">
      <c r="A1725" s="102"/>
      <c r="B1725" s="116"/>
    </row>
    <row r="1726" spans="1:2" x14ac:dyDescent="0.2">
      <c r="A1726" s="102"/>
      <c r="B1726" s="116"/>
    </row>
    <row r="1727" spans="1:2" x14ac:dyDescent="0.2">
      <c r="A1727" s="102"/>
      <c r="B1727" s="116"/>
    </row>
    <row r="1728" spans="1:2" x14ac:dyDescent="0.2">
      <c r="A1728" s="102"/>
      <c r="B1728" s="116"/>
    </row>
    <row r="1729" spans="1:2" x14ac:dyDescent="0.2">
      <c r="A1729" s="102"/>
      <c r="B1729" s="116"/>
    </row>
    <row r="1730" spans="1:2" x14ac:dyDescent="0.2">
      <c r="A1730" s="102"/>
      <c r="B1730" s="116"/>
    </row>
    <row r="1731" spans="1:2" x14ac:dyDescent="0.2">
      <c r="A1731" s="102"/>
      <c r="B1731" s="116"/>
    </row>
    <row r="1732" spans="1:2" x14ac:dyDescent="0.2">
      <c r="A1732" s="102"/>
      <c r="B1732" s="116"/>
    </row>
    <row r="1733" spans="1:2" x14ac:dyDescent="0.2">
      <c r="A1733" s="102"/>
      <c r="B1733" s="116"/>
    </row>
    <row r="1734" spans="1:2" x14ac:dyDescent="0.2">
      <c r="A1734" s="102"/>
      <c r="B1734" s="116"/>
    </row>
    <row r="1735" spans="1:2" x14ac:dyDescent="0.2">
      <c r="A1735" s="102"/>
      <c r="B1735" s="116"/>
    </row>
    <row r="1736" spans="1:2" x14ac:dyDescent="0.2">
      <c r="A1736" s="102"/>
      <c r="B1736" s="116"/>
    </row>
    <row r="1737" spans="1:2" x14ac:dyDescent="0.2">
      <c r="A1737" s="102"/>
      <c r="B1737" s="116"/>
    </row>
    <row r="1738" spans="1:2" x14ac:dyDescent="0.2">
      <c r="A1738" s="102"/>
      <c r="B1738" s="116"/>
    </row>
    <row r="1739" spans="1:2" x14ac:dyDescent="0.2">
      <c r="A1739" s="102"/>
      <c r="B1739" s="116"/>
    </row>
    <row r="1740" spans="1:2" x14ac:dyDescent="0.2">
      <c r="A1740" s="102"/>
      <c r="B1740" s="116"/>
    </row>
    <row r="1741" spans="1:2" x14ac:dyDescent="0.2">
      <c r="A1741" s="102"/>
      <c r="B1741" s="116"/>
    </row>
    <row r="1742" spans="1:2" x14ac:dyDescent="0.2">
      <c r="A1742" s="102"/>
      <c r="B1742" s="116"/>
    </row>
    <row r="1743" spans="1:2" x14ac:dyDescent="0.2">
      <c r="A1743" s="102"/>
      <c r="B1743" s="116"/>
    </row>
    <row r="1744" spans="1:2" x14ac:dyDescent="0.2">
      <c r="A1744" s="102"/>
      <c r="B1744" s="116"/>
    </row>
    <row r="1745" spans="1:2" x14ac:dyDescent="0.2">
      <c r="A1745" s="102"/>
      <c r="B1745" s="116"/>
    </row>
    <row r="1746" spans="1:2" x14ac:dyDescent="0.2">
      <c r="A1746" s="102"/>
      <c r="B1746" s="116"/>
    </row>
    <row r="1747" spans="1:2" x14ac:dyDescent="0.2">
      <c r="A1747" s="102"/>
      <c r="B1747" s="116"/>
    </row>
    <row r="1748" spans="1:2" x14ac:dyDescent="0.2">
      <c r="A1748" s="102"/>
      <c r="B1748" s="116"/>
    </row>
    <row r="1749" spans="1:2" x14ac:dyDescent="0.2">
      <c r="A1749" s="102"/>
      <c r="B1749" s="116"/>
    </row>
    <row r="1750" spans="1:2" x14ac:dyDescent="0.2">
      <c r="A1750" s="102"/>
      <c r="B1750" s="116"/>
    </row>
    <row r="1751" spans="1:2" x14ac:dyDescent="0.2">
      <c r="A1751" s="102"/>
      <c r="B1751" s="116"/>
    </row>
    <row r="1752" spans="1:2" x14ac:dyDescent="0.2">
      <c r="A1752" s="102"/>
      <c r="B1752" s="116"/>
    </row>
    <row r="1753" spans="1:2" x14ac:dyDescent="0.2">
      <c r="A1753" s="102"/>
      <c r="B1753" s="116"/>
    </row>
    <row r="1754" spans="1:2" x14ac:dyDescent="0.2">
      <c r="A1754" s="102"/>
      <c r="B1754" s="116"/>
    </row>
    <row r="1755" spans="1:2" x14ac:dyDescent="0.2">
      <c r="A1755" s="102"/>
      <c r="B1755" s="116"/>
    </row>
    <row r="1756" spans="1:2" x14ac:dyDescent="0.2">
      <c r="A1756" s="102"/>
      <c r="B1756" s="116"/>
    </row>
    <row r="1757" spans="1:2" x14ac:dyDescent="0.2">
      <c r="A1757" s="102"/>
      <c r="B1757" s="116"/>
    </row>
    <row r="1758" spans="1:2" x14ac:dyDescent="0.2">
      <c r="A1758" s="102"/>
      <c r="B1758" s="116"/>
    </row>
    <row r="1759" spans="1:2" x14ac:dyDescent="0.2">
      <c r="A1759" s="102"/>
      <c r="B1759" s="116"/>
    </row>
    <row r="1760" spans="1:2" x14ac:dyDescent="0.2">
      <c r="A1760" s="102"/>
      <c r="B1760" s="116"/>
    </row>
    <row r="1761" spans="1:2" x14ac:dyDescent="0.2">
      <c r="A1761" s="102"/>
      <c r="B1761" s="116"/>
    </row>
    <row r="1762" spans="1:2" x14ac:dyDescent="0.2">
      <c r="A1762" s="102"/>
      <c r="B1762" s="116"/>
    </row>
    <row r="1763" spans="1:2" x14ac:dyDescent="0.2">
      <c r="A1763" s="102"/>
      <c r="B1763" s="116"/>
    </row>
    <row r="1764" spans="1:2" x14ac:dyDescent="0.2">
      <c r="A1764" s="102"/>
      <c r="B1764" s="116"/>
    </row>
    <row r="1765" spans="1:2" x14ac:dyDescent="0.2">
      <c r="A1765" s="102"/>
      <c r="B1765" s="116"/>
    </row>
    <row r="1766" spans="1:2" x14ac:dyDescent="0.2">
      <c r="A1766" s="102"/>
      <c r="B1766" s="116"/>
    </row>
    <row r="1767" spans="1:2" x14ac:dyDescent="0.2">
      <c r="A1767" s="102"/>
      <c r="B1767" s="116"/>
    </row>
    <row r="1768" spans="1:2" x14ac:dyDescent="0.2">
      <c r="A1768" s="102"/>
      <c r="B1768" s="116"/>
    </row>
    <row r="1769" spans="1:2" x14ac:dyDescent="0.2">
      <c r="A1769" s="102"/>
      <c r="B1769" s="116"/>
    </row>
    <row r="1770" spans="1:2" x14ac:dyDescent="0.2">
      <c r="A1770" s="102"/>
      <c r="B1770" s="116"/>
    </row>
    <row r="1771" spans="1:2" x14ac:dyDescent="0.2">
      <c r="A1771" s="102"/>
      <c r="B1771" s="116"/>
    </row>
    <row r="1772" spans="1:2" x14ac:dyDescent="0.2">
      <c r="A1772" s="102"/>
      <c r="B1772" s="116"/>
    </row>
    <row r="1773" spans="1:2" x14ac:dyDescent="0.2">
      <c r="A1773" s="102"/>
      <c r="B1773" s="116"/>
    </row>
    <row r="1774" spans="1:2" x14ac:dyDescent="0.2">
      <c r="A1774" s="102"/>
      <c r="B1774" s="116"/>
    </row>
    <row r="1775" spans="1:2" x14ac:dyDescent="0.2">
      <c r="A1775" s="102"/>
      <c r="B1775" s="116"/>
    </row>
    <row r="1776" spans="1:2" x14ac:dyDescent="0.2">
      <c r="A1776" s="102"/>
      <c r="B1776" s="116"/>
    </row>
    <row r="1777" spans="1:2" x14ac:dyDescent="0.2">
      <c r="A1777" s="102"/>
      <c r="B1777" s="116"/>
    </row>
    <row r="1778" spans="1:2" x14ac:dyDescent="0.2">
      <c r="A1778" s="102"/>
      <c r="B1778" s="116"/>
    </row>
    <row r="1779" spans="1:2" x14ac:dyDescent="0.2">
      <c r="A1779" s="102"/>
      <c r="B1779" s="116"/>
    </row>
    <row r="1780" spans="1:2" x14ac:dyDescent="0.2">
      <c r="A1780" s="102"/>
      <c r="B1780" s="116"/>
    </row>
    <row r="1781" spans="1:2" x14ac:dyDescent="0.2">
      <c r="A1781" s="102"/>
      <c r="B1781" s="116"/>
    </row>
    <row r="1782" spans="1:2" x14ac:dyDescent="0.2">
      <c r="A1782" s="102"/>
      <c r="B1782" s="116"/>
    </row>
    <row r="1783" spans="1:2" x14ac:dyDescent="0.2">
      <c r="A1783" s="102"/>
      <c r="B1783" s="116"/>
    </row>
    <row r="1784" spans="1:2" x14ac:dyDescent="0.2">
      <c r="A1784" s="102"/>
      <c r="B1784" s="116"/>
    </row>
    <row r="1785" spans="1:2" x14ac:dyDescent="0.2">
      <c r="A1785" s="102"/>
      <c r="B1785" s="116"/>
    </row>
    <row r="1786" spans="1:2" x14ac:dyDescent="0.2">
      <c r="A1786" s="102"/>
      <c r="B1786" s="116"/>
    </row>
    <row r="1787" spans="1:2" x14ac:dyDescent="0.2">
      <c r="A1787" s="102"/>
      <c r="B1787" s="116"/>
    </row>
    <row r="1788" spans="1:2" x14ac:dyDescent="0.2">
      <c r="A1788" s="102"/>
      <c r="B1788" s="116"/>
    </row>
    <row r="1789" spans="1:2" x14ac:dyDescent="0.2">
      <c r="A1789" s="102"/>
      <c r="B1789" s="116"/>
    </row>
    <row r="1790" spans="1:2" x14ac:dyDescent="0.2">
      <c r="A1790" s="102"/>
      <c r="B1790" s="116"/>
    </row>
    <row r="1791" spans="1:2" x14ac:dyDescent="0.2">
      <c r="A1791" s="102"/>
      <c r="B1791" s="116"/>
    </row>
    <row r="1792" spans="1:2" x14ac:dyDescent="0.2">
      <c r="A1792" s="102"/>
      <c r="B1792" s="116"/>
    </row>
    <row r="1793" spans="1:2" x14ac:dyDescent="0.2">
      <c r="A1793" s="102"/>
      <c r="B1793" s="116"/>
    </row>
    <row r="1794" spans="1:2" x14ac:dyDescent="0.2">
      <c r="A1794" s="102"/>
      <c r="B1794" s="116"/>
    </row>
    <row r="1795" spans="1:2" x14ac:dyDescent="0.2">
      <c r="A1795" s="102"/>
      <c r="B1795" s="116"/>
    </row>
    <row r="1796" spans="1:2" x14ac:dyDescent="0.2">
      <c r="A1796" s="102"/>
      <c r="B1796" s="116"/>
    </row>
    <row r="1797" spans="1:2" x14ac:dyDescent="0.2">
      <c r="A1797" s="102"/>
      <c r="B1797" s="116"/>
    </row>
    <row r="1798" spans="1:2" x14ac:dyDescent="0.2">
      <c r="A1798" s="102"/>
      <c r="B1798" s="116"/>
    </row>
    <row r="1799" spans="1:2" x14ac:dyDescent="0.2">
      <c r="A1799" s="102"/>
      <c r="B1799" s="116"/>
    </row>
    <row r="1800" spans="1:2" x14ac:dyDescent="0.2">
      <c r="A1800" s="102"/>
      <c r="B1800" s="116"/>
    </row>
    <row r="1801" spans="1:2" x14ac:dyDescent="0.2">
      <c r="A1801" s="102"/>
      <c r="B1801" s="116"/>
    </row>
    <row r="1802" spans="1:2" x14ac:dyDescent="0.2">
      <c r="A1802" s="102"/>
      <c r="B1802" s="116"/>
    </row>
    <row r="1803" spans="1:2" x14ac:dyDescent="0.2">
      <c r="A1803" s="102"/>
      <c r="B1803" s="116"/>
    </row>
    <row r="1804" spans="1:2" x14ac:dyDescent="0.2">
      <c r="A1804" s="102"/>
      <c r="B1804" s="116"/>
    </row>
    <row r="1805" spans="1:2" x14ac:dyDescent="0.2">
      <c r="A1805" s="102"/>
      <c r="B1805" s="116"/>
    </row>
    <row r="1806" spans="1:2" x14ac:dyDescent="0.2">
      <c r="A1806" s="102"/>
      <c r="B1806" s="116"/>
    </row>
    <row r="1807" spans="1:2" x14ac:dyDescent="0.2">
      <c r="A1807" s="102"/>
      <c r="B1807" s="116"/>
    </row>
    <row r="1808" spans="1:2" x14ac:dyDescent="0.2">
      <c r="A1808" s="102"/>
      <c r="B1808" s="116"/>
    </row>
    <row r="1809" spans="1:2" x14ac:dyDescent="0.2">
      <c r="A1809" s="102"/>
      <c r="B1809" s="116"/>
    </row>
    <row r="1810" spans="1:2" x14ac:dyDescent="0.2">
      <c r="A1810" s="102"/>
      <c r="B1810" s="116"/>
    </row>
    <row r="1811" spans="1:2" x14ac:dyDescent="0.2">
      <c r="A1811" s="102"/>
      <c r="B1811" s="116"/>
    </row>
    <row r="1812" spans="1:2" x14ac:dyDescent="0.2">
      <c r="A1812" s="102"/>
      <c r="B1812" s="116"/>
    </row>
    <row r="1813" spans="1:2" x14ac:dyDescent="0.2">
      <c r="A1813" s="102"/>
      <c r="B1813" s="116"/>
    </row>
    <row r="1814" spans="1:2" x14ac:dyDescent="0.2">
      <c r="A1814" s="102"/>
      <c r="B1814" s="116"/>
    </row>
    <row r="1815" spans="1:2" x14ac:dyDescent="0.2">
      <c r="A1815" s="102"/>
      <c r="B1815" s="116"/>
    </row>
    <row r="1816" spans="1:2" x14ac:dyDescent="0.2">
      <c r="A1816" s="102"/>
      <c r="B1816" s="116"/>
    </row>
    <row r="1817" spans="1:2" x14ac:dyDescent="0.2">
      <c r="A1817" s="102"/>
      <c r="B1817" s="116"/>
    </row>
    <row r="1818" spans="1:2" x14ac:dyDescent="0.2">
      <c r="A1818" s="102"/>
      <c r="B1818" s="116"/>
    </row>
    <row r="1819" spans="1:2" x14ac:dyDescent="0.2">
      <c r="A1819" s="102"/>
      <c r="B1819" s="116"/>
    </row>
    <row r="1820" spans="1:2" x14ac:dyDescent="0.2">
      <c r="A1820" s="102"/>
      <c r="B1820" s="116"/>
    </row>
    <row r="1821" spans="1:2" x14ac:dyDescent="0.2">
      <c r="A1821" s="102"/>
      <c r="B1821" s="116"/>
    </row>
    <row r="1822" spans="1:2" x14ac:dyDescent="0.2">
      <c r="A1822" s="102"/>
      <c r="B1822" s="116"/>
    </row>
    <row r="1823" spans="1:2" x14ac:dyDescent="0.2">
      <c r="A1823" s="102"/>
      <c r="B1823" s="116"/>
    </row>
    <row r="1824" spans="1:2" x14ac:dyDescent="0.2">
      <c r="A1824" s="102"/>
      <c r="B1824" s="116"/>
    </row>
    <row r="1825" spans="1:2" x14ac:dyDescent="0.2">
      <c r="A1825" s="102"/>
      <c r="B1825" s="116"/>
    </row>
    <row r="1826" spans="1:2" x14ac:dyDescent="0.2">
      <c r="A1826" s="102"/>
      <c r="B1826" s="116"/>
    </row>
    <row r="1827" spans="1:2" x14ac:dyDescent="0.2">
      <c r="A1827" s="102"/>
      <c r="B1827" s="116"/>
    </row>
    <row r="1828" spans="1:2" x14ac:dyDescent="0.2">
      <c r="A1828" s="102"/>
      <c r="B1828" s="116"/>
    </row>
    <row r="1829" spans="1:2" x14ac:dyDescent="0.2">
      <c r="A1829" s="102"/>
      <c r="B1829" s="116"/>
    </row>
    <row r="1830" spans="1:2" x14ac:dyDescent="0.2">
      <c r="A1830" s="102"/>
      <c r="B1830" s="116"/>
    </row>
    <row r="1831" spans="1:2" x14ac:dyDescent="0.2">
      <c r="A1831" s="102"/>
      <c r="B1831" s="116"/>
    </row>
    <row r="1832" spans="1:2" x14ac:dyDescent="0.2">
      <c r="A1832" s="102"/>
      <c r="B1832" s="116"/>
    </row>
    <row r="1833" spans="1:2" x14ac:dyDescent="0.2">
      <c r="A1833" s="102"/>
      <c r="B1833" s="116"/>
    </row>
    <row r="1834" spans="1:2" x14ac:dyDescent="0.2">
      <c r="A1834" s="102"/>
      <c r="B1834" s="116"/>
    </row>
    <row r="1835" spans="1:2" x14ac:dyDescent="0.2">
      <c r="A1835" s="102"/>
      <c r="B1835" s="116"/>
    </row>
    <row r="1836" spans="1:2" x14ac:dyDescent="0.2">
      <c r="A1836" s="102"/>
      <c r="B1836" s="116"/>
    </row>
    <row r="1837" spans="1:2" x14ac:dyDescent="0.2">
      <c r="A1837" s="102"/>
      <c r="B1837" s="116"/>
    </row>
    <row r="1838" spans="1:2" x14ac:dyDescent="0.2">
      <c r="A1838" s="102"/>
      <c r="B1838" s="116"/>
    </row>
    <row r="1839" spans="1:2" x14ac:dyDescent="0.2">
      <c r="A1839" s="102"/>
      <c r="B1839" s="116"/>
    </row>
    <row r="1840" spans="1:2" x14ac:dyDescent="0.2">
      <c r="A1840" s="102"/>
      <c r="B1840" s="116"/>
    </row>
    <row r="1841" spans="1:2" x14ac:dyDescent="0.2">
      <c r="A1841" s="102"/>
      <c r="B1841" s="116"/>
    </row>
    <row r="1842" spans="1:2" x14ac:dyDescent="0.2">
      <c r="A1842" s="102"/>
      <c r="B1842" s="116"/>
    </row>
    <row r="1843" spans="1:2" x14ac:dyDescent="0.2">
      <c r="A1843" s="102"/>
      <c r="B1843" s="116"/>
    </row>
    <row r="1844" spans="1:2" x14ac:dyDescent="0.2">
      <c r="A1844" s="102"/>
      <c r="B1844" s="116"/>
    </row>
    <row r="1845" spans="1:2" x14ac:dyDescent="0.2">
      <c r="A1845" s="102"/>
      <c r="B1845" s="116"/>
    </row>
    <row r="1846" spans="1:2" x14ac:dyDescent="0.2">
      <c r="A1846" s="102"/>
      <c r="B1846" s="116"/>
    </row>
    <row r="1847" spans="1:2" x14ac:dyDescent="0.2">
      <c r="A1847" s="102"/>
      <c r="B1847" s="116"/>
    </row>
    <row r="1848" spans="1:2" x14ac:dyDescent="0.2">
      <c r="A1848" s="102"/>
      <c r="B1848" s="116"/>
    </row>
    <row r="1849" spans="1:2" x14ac:dyDescent="0.2">
      <c r="A1849" s="102"/>
      <c r="B1849" s="116"/>
    </row>
    <row r="1850" spans="1:2" x14ac:dyDescent="0.2">
      <c r="A1850" s="102"/>
      <c r="B1850" s="116"/>
    </row>
    <row r="1851" spans="1:2" x14ac:dyDescent="0.2">
      <c r="A1851" s="102"/>
      <c r="B1851" s="116"/>
    </row>
    <row r="1852" spans="1:2" x14ac:dyDescent="0.2">
      <c r="A1852" s="102"/>
      <c r="B1852" s="116"/>
    </row>
    <row r="1853" spans="1:2" x14ac:dyDescent="0.2">
      <c r="A1853" s="102"/>
      <c r="B1853" s="116"/>
    </row>
    <row r="1854" spans="1:2" x14ac:dyDescent="0.2">
      <c r="A1854" s="102"/>
      <c r="B1854" s="116"/>
    </row>
    <row r="1855" spans="1:2" x14ac:dyDescent="0.2">
      <c r="A1855" s="102"/>
      <c r="B1855" s="116"/>
    </row>
    <row r="1856" spans="1:2" x14ac:dyDescent="0.2">
      <c r="A1856" s="102"/>
      <c r="B1856" s="116"/>
    </row>
    <row r="1857" spans="1:2" x14ac:dyDescent="0.2">
      <c r="A1857" s="102"/>
      <c r="B1857" s="116"/>
    </row>
    <row r="1858" spans="1:2" x14ac:dyDescent="0.2">
      <c r="A1858" s="102"/>
      <c r="B1858" s="116"/>
    </row>
    <row r="1859" spans="1:2" x14ac:dyDescent="0.2">
      <c r="A1859" s="102"/>
      <c r="B1859" s="116"/>
    </row>
    <row r="1860" spans="1:2" x14ac:dyDescent="0.2">
      <c r="A1860" s="102"/>
      <c r="B1860" s="116"/>
    </row>
    <row r="1861" spans="1:2" x14ac:dyDescent="0.2">
      <c r="A1861" s="102"/>
      <c r="B1861" s="116"/>
    </row>
    <row r="1862" spans="1:2" x14ac:dyDescent="0.2">
      <c r="A1862" s="102"/>
      <c r="B1862" s="116"/>
    </row>
    <row r="1863" spans="1:2" x14ac:dyDescent="0.2">
      <c r="A1863" s="102"/>
      <c r="B1863" s="116"/>
    </row>
    <row r="1864" spans="1:2" x14ac:dyDescent="0.2">
      <c r="A1864" s="102"/>
      <c r="B1864" s="116"/>
    </row>
    <row r="1865" spans="1:2" x14ac:dyDescent="0.2">
      <c r="A1865" s="102"/>
      <c r="B1865" s="116"/>
    </row>
    <row r="1866" spans="1:2" x14ac:dyDescent="0.2">
      <c r="A1866" s="102"/>
      <c r="B1866" s="116"/>
    </row>
    <row r="1867" spans="1:2" x14ac:dyDescent="0.2">
      <c r="A1867" s="102"/>
      <c r="B1867" s="116"/>
    </row>
    <row r="1868" spans="1:2" x14ac:dyDescent="0.2">
      <c r="A1868" s="102"/>
      <c r="B1868" s="116"/>
    </row>
    <row r="1869" spans="1:2" x14ac:dyDescent="0.2">
      <c r="A1869" s="102"/>
      <c r="B1869" s="116"/>
    </row>
    <row r="1870" spans="1:2" x14ac:dyDescent="0.2">
      <c r="A1870" s="102"/>
      <c r="B1870" s="116"/>
    </row>
    <row r="1871" spans="1:2" x14ac:dyDescent="0.2">
      <c r="A1871" s="102"/>
      <c r="B1871" s="116"/>
    </row>
    <row r="1872" spans="1:2" x14ac:dyDescent="0.2">
      <c r="A1872" s="102"/>
      <c r="B1872" s="116"/>
    </row>
    <row r="1873" spans="1:2" x14ac:dyDescent="0.2">
      <c r="A1873" s="102"/>
      <c r="B1873" s="116"/>
    </row>
    <row r="1874" spans="1:2" x14ac:dyDescent="0.2">
      <c r="A1874" s="102"/>
      <c r="B1874" s="116"/>
    </row>
    <row r="1875" spans="1:2" x14ac:dyDescent="0.2">
      <c r="A1875" s="102"/>
      <c r="B1875" s="116"/>
    </row>
    <row r="1876" spans="1:2" x14ac:dyDescent="0.2">
      <c r="A1876" s="102"/>
      <c r="B1876" s="116"/>
    </row>
    <row r="1877" spans="1:2" x14ac:dyDescent="0.2">
      <c r="A1877" s="102"/>
      <c r="B1877" s="116"/>
    </row>
    <row r="1878" spans="1:2" x14ac:dyDescent="0.2">
      <c r="A1878" s="102"/>
      <c r="B1878" s="116"/>
    </row>
    <row r="1879" spans="1:2" x14ac:dyDescent="0.2">
      <c r="A1879" s="102"/>
      <c r="B1879" s="116"/>
    </row>
    <row r="1880" spans="1:2" x14ac:dyDescent="0.2">
      <c r="A1880" s="102"/>
      <c r="B1880" s="116"/>
    </row>
    <row r="1881" spans="1:2" x14ac:dyDescent="0.2">
      <c r="A1881" s="102"/>
      <c r="B1881" s="116"/>
    </row>
    <row r="1882" spans="1:2" x14ac:dyDescent="0.2">
      <c r="A1882" s="102"/>
      <c r="B1882" s="116"/>
    </row>
    <row r="1883" spans="1:2" x14ac:dyDescent="0.2">
      <c r="A1883" s="102"/>
      <c r="B1883" s="116"/>
    </row>
    <row r="1884" spans="1:2" x14ac:dyDescent="0.2">
      <c r="A1884" s="102"/>
      <c r="B1884" s="116"/>
    </row>
    <row r="1885" spans="1:2" x14ac:dyDescent="0.2">
      <c r="A1885" s="102"/>
      <c r="B1885" s="116"/>
    </row>
    <row r="1886" spans="1:2" x14ac:dyDescent="0.2">
      <c r="A1886" s="102"/>
      <c r="B1886" s="116"/>
    </row>
    <row r="1887" spans="1:2" x14ac:dyDescent="0.2">
      <c r="A1887" s="102"/>
      <c r="B1887" s="116"/>
    </row>
    <row r="1888" spans="1:2" x14ac:dyDescent="0.2">
      <c r="A1888" s="102"/>
      <c r="B1888" s="116"/>
    </row>
    <row r="1889" spans="1:2" x14ac:dyDescent="0.2">
      <c r="A1889" s="102"/>
      <c r="B1889" s="116"/>
    </row>
    <row r="1890" spans="1:2" x14ac:dyDescent="0.2">
      <c r="A1890" s="102"/>
      <c r="B1890" s="116"/>
    </row>
    <row r="1891" spans="1:2" x14ac:dyDescent="0.2">
      <c r="A1891" s="102"/>
      <c r="B1891" s="116"/>
    </row>
    <row r="1892" spans="1:2" x14ac:dyDescent="0.2">
      <c r="A1892" s="102"/>
      <c r="B1892" s="116"/>
    </row>
    <row r="1893" spans="1:2" x14ac:dyDescent="0.2">
      <c r="A1893" s="102"/>
      <c r="B1893" s="116"/>
    </row>
    <row r="1894" spans="1:2" x14ac:dyDescent="0.2">
      <c r="A1894" s="102"/>
      <c r="B1894" s="116"/>
    </row>
    <row r="1895" spans="1:2" x14ac:dyDescent="0.2">
      <c r="A1895" s="102"/>
      <c r="B1895" s="116"/>
    </row>
    <row r="1896" spans="1:2" x14ac:dyDescent="0.2">
      <c r="A1896" s="102"/>
      <c r="B1896" s="116"/>
    </row>
    <row r="1897" spans="1:2" x14ac:dyDescent="0.2">
      <c r="A1897" s="102"/>
      <c r="B1897" s="116"/>
    </row>
    <row r="1898" spans="1:2" x14ac:dyDescent="0.2">
      <c r="A1898" s="102"/>
      <c r="B1898" s="116"/>
    </row>
    <row r="1899" spans="1:2" x14ac:dyDescent="0.2">
      <c r="A1899" s="102"/>
      <c r="B1899" s="116"/>
    </row>
    <row r="1900" spans="1:2" x14ac:dyDescent="0.2">
      <c r="A1900" s="102"/>
      <c r="B1900" s="116"/>
    </row>
    <row r="1901" spans="1:2" x14ac:dyDescent="0.2">
      <c r="A1901" s="102"/>
      <c r="B1901" s="116"/>
    </row>
    <row r="1902" spans="1:2" x14ac:dyDescent="0.2">
      <c r="A1902" s="102"/>
      <c r="B1902" s="116"/>
    </row>
    <row r="1903" spans="1:2" x14ac:dyDescent="0.2">
      <c r="A1903" s="102"/>
      <c r="B1903" s="116"/>
    </row>
    <row r="1904" spans="1:2" x14ac:dyDescent="0.2">
      <c r="A1904" s="102"/>
      <c r="B1904" s="116"/>
    </row>
    <row r="1905" spans="1:2" x14ac:dyDescent="0.2">
      <c r="A1905" s="102"/>
      <c r="B1905" s="116"/>
    </row>
    <row r="1906" spans="1:2" x14ac:dyDescent="0.2">
      <c r="A1906" s="102"/>
      <c r="B1906" s="116"/>
    </row>
    <row r="1907" spans="1:2" x14ac:dyDescent="0.2">
      <c r="A1907" s="102"/>
      <c r="B1907" s="116"/>
    </row>
    <row r="1908" spans="1:2" x14ac:dyDescent="0.2">
      <c r="A1908" s="102"/>
      <c r="B1908" s="116"/>
    </row>
    <row r="1909" spans="1:2" x14ac:dyDescent="0.2">
      <c r="A1909" s="102"/>
      <c r="B1909" s="116"/>
    </row>
    <row r="1910" spans="1:2" x14ac:dyDescent="0.2">
      <c r="A1910" s="102"/>
      <c r="B1910" s="116"/>
    </row>
    <row r="1911" spans="1:2" x14ac:dyDescent="0.2">
      <c r="A1911" s="102"/>
      <c r="B1911" s="116"/>
    </row>
    <row r="1912" spans="1:2" x14ac:dyDescent="0.2">
      <c r="A1912" s="102"/>
      <c r="B1912" s="116"/>
    </row>
    <row r="1913" spans="1:2" x14ac:dyDescent="0.2">
      <c r="A1913" s="102"/>
      <c r="B1913" s="116"/>
    </row>
    <row r="1914" spans="1:2" x14ac:dyDescent="0.2">
      <c r="A1914" s="102"/>
      <c r="B1914" s="116"/>
    </row>
    <row r="1915" spans="1:2" x14ac:dyDescent="0.2">
      <c r="A1915" s="102"/>
      <c r="B1915" s="116"/>
    </row>
    <row r="1916" spans="1:2" x14ac:dyDescent="0.2">
      <c r="A1916" s="102"/>
      <c r="B1916" s="116"/>
    </row>
    <row r="1917" spans="1:2" x14ac:dyDescent="0.2">
      <c r="A1917" s="102"/>
      <c r="B1917" s="116"/>
    </row>
    <row r="1918" spans="1:2" x14ac:dyDescent="0.2">
      <c r="A1918" s="102"/>
      <c r="B1918" s="116"/>
    </row>
    <row r="1919" spans="1:2" x14ac:dyDescent="0.2">
      <c r="A1919" s="102"/>
      <c r="B1919" s="116"/>
    </row>
    <row r="1920" spans="1:2" x14ac:dyDescent="0.2">
      <c r="A1920" s="102"/>
      <c r="B1920" s="116"/>
    </row>
    <row r="1921" spans="1:2" x14ac:dyDescent="0.2">
      <c r="A1921" s="102"/>
      <c r="B1921" s="116"/>
    </row>
    <row r="1922" spans="1:2" x14ac:dyDescent="0.2">
      <c r="A1922" s="102"/>
      <c r="B1922" s="116"/>
    </row>
    <row r="1923" spans="1:2" x14ac:dyDescent="0.2">
      <c r="A1923" s="102"/>
      <c r="B1923" s="116"/>
    </row>
    <row r="1924" spans="1:2" x14ac:dyDescent="0.2">
      <c r="A1924" s="102"/>
      <c r="B1924" s="116"/>
    </row>
    <row r="1925" spans="1:2" x14ac:dyDescent="0.2">
      <c r="A1925" s="102"/>
      <c r="B1925" s="116"/>
    </row>
    <row r="1926" spans="1:2" x14ac:dyDescent="0.2">
      <c r="A1926" s="102"/>
      <c r="B1926" s="116"/>
    </row>
    <row r="1927" spans="1:2" x14ac:dyDescent="0.2">
      <c r="A1927" s="102"/>
      <c r="B1927" s="116"/>
    </row>
    <row r="1928" spans="1:2" x14ac:dyDescent="0.2">
      <c r="A1928" s="102"/>
      <c r="B1928" s="116"/>
    </row>
    <row r="1929" spans="1:2" x14ac:dyDescent="0.2">
      <c r="A1929" s="102"/>
      <c r="B1929" s="116"/>
    </row>
    <row r="1930" spans="1:2" x14ac:dyDescent="0.2">
      <c r="A1930" s="102"/>
      <c r="B1930" s="116"/>
    </row>
    <row r="1931" spans="1:2" x14ac:dyDescent="0.2">
      <c r="A1931" s="102"/>
      <c r="B1931" s="116"/>
    </row>
    <row r="1932" spans="1:2" x14ac:dyDescent="0.2">
      <c r="A1932" s="102"/>
      <c r="B1932" s="116"/>
    </row>
    <row r="1933" spans="1:2" x14ac:dyDescent="0.2">
      <c r="A1933" s="102"/>
      <c r="B1933" s="116"/>
    </row>
    <row r="1934" spans="1:2" x14ac:dyDescent="0.2">
      <c r="A1934" s="102"/>
      <c r="B1934" s="116"/>
    </row>
    <row r="1935" spans="1:2" x14ac:dyDescent="0.2">
      <c r="A1935" s="102"/>
      <c r="B1935" s="116"/>
    </row>
    <row r="1936" spans="1:2" x14ac:dyDescent="0.2">
      <c r="A1936" s="102"/>
      <c r="B1936" s="116"/>
    </row>
    <row r="1937" spans="1:2" x14ac:dyDescent="0.2">
      <c r="A1937" s="102"/>
      <c r="B1937" s="116"/>
    </row>
    <row r="1938" spans="1:2" x14ac:dyDescent="0.2">
      <c r="A1938" s="102"/>
      <c r="B1938" s="116"/>
    </row>
    <row r="1939" spans="1:2" x14ac:dyDescent="0.2">
      <c r="A1939" s="102"/>
      <c r="B1939" s="116"/>
    </row>
    <row r="1940" spans="1:2" x14ac:dyDescent="0.2">
      <c r="A1940" s="102"/>
      <c r="B1940" s="116"/>
    </row>
    <row r="1941" spans="1:2" x14ac:dyDescent="0.2">
      <c r="A1941" s="102"/>
      <c r="B1941" s="116"/>
    </row>
    <row r="1942" spans="1:2" x14ac:dyDescent="0.2">
      <c r="A1942" s="102"/>
      <c r="B1942" s="116"/>
    </row>
    <row r="1943" spans="1:2" x14ac:dyDescent="0.2">
      <c r="A1943" s="102"/>
      <c r="B1943" s="116"/>
    </row>
    <row r="1944" spans="1:2" x14ac:dyDescent="0.2">
      <c r="A1944" s="102"/>
      <c r="B1944" s="116"/>
    </row>
    <row r="1945" spans="1:2" x14ac:dyDescent="0.2">
      <c r="A1945" s="102"/>
      <c r="B1945" s="116"/>
    </row>
    <row r="1946" spans="1:2" x14ac:dyDescent="0.2">
      <c r="A1946" s="102"/>
      <c r="B1946" s="116"/>
    </row>
    <row r="1947" spans="1:2" x14ac:dyDescent="0.2">
      <c r="A1947" s="102"/>
      <c r="B1947" s="116"/>
    </row>
    <row r="1948" spans="1:2" x14ac:dyDescent="0.2">
      <c r="A1948" s="102"/>
      <c r="B1948" s="116"/>
    </row>
    <row r="1949" spans="1:2" x14ac:dyDescent="0.2">
      <c r="A1949" s="102"/>
      <c r="B1949" s="116"/>
    </row>
    <row r="1950" spans="1:2" x14ac:dyDescent="0.2">
      <c r="A1950" s="102"/>
      <c r="B1950" s="116"/>
    </row>
    <row r="1951" spans="1:2" x14ac:dyDescent="0.2">
      <c r="A1951" s="102"/>
      <c r="B1951" s="116"/>
    </row>
    <row r="1952" spans="1:2" x14ac:dyDescent="0.2">
      <c r="A1952" s="102"/>
      <c r="B1952" s="116"/>
    </row>
    <row r="1953" spans="1:2" x14ac:dyDescent="0.2">
      <c r="A1953" s="102"/>
      <c r="B1953" s="116"/>
    </row>
    <row r="1954" spans="1:2" x14ac:dyDescent="0.2">
      <c r="A1954" s="102"/>
      <c r="B1954" s="116"/>
    </row>
    <row r="1955" spans="1:2" x14ac:dyDescent="0.2">
      <c r="A1955" s="102"/>
      <c r="B1955" s="116"/>
    </row>
    <row r="1956" spans="1:2" x14ac:dyDescent="0.2">
      <c r="A1956" s="102"/>
      <c r="B1956" s="116"/>
    </row>
    <row r="1957" spans="1:2" x14ac:dyDescent="0.2">
      <c r="A1957" s="102"/>
      <c r="B1957" s="116"/>
    </row>
    <row r="1958" spans="1:2" x14ac:dyDescent="0.2">
      <c r="A1958" s="102"/>
      <c r="B1958" s="116"/>
    </row>
    <row r="1959" spans="1:2" x14ac:dyDescent="0.2">
      <c r="A1959" s="102"/>
      <c r="B1959" s="116"/>
    </row>
    <row r="1960" spans="1:2" x14ac:dyDescent="0.2">
      <c r="A1960" s="102"/>
      <c r="B1960" s="116"/>
    </row>
    <row r="1961" spans="1:2" x14ac:dyDescent="0.2">
      <c r="A1961" s="102"/>
      <c r="B1961" s="116"/>
    </row>
    <row r="1962" spans="1:2" x14ac:dyDescent="0.2">
      <c r="A1962" s="102"/>
      <c r="B1962" s="116"/>
    </row>
    <row r="1963" spans="1:2" x14ac:dyDescent="0.2">
      <c r="A1963" s="102"/>
      <c r="B1963" s="116"/>
    </row>
    <row r="1964" spans="1:2" x14ac:dyDescent="0.2">
      <c r="A1964" s="102"/>
      <c r="B1964" s="116"/>
    </row>
    <row r="1965" spans="1:2" x14ac:dyDescent="0.2">
      <c r="A1965" s="102"/>
      <c r="B1965" s="116"/>
    </row>
    <row r="1966" spans="1:2" x14ac:dyDescent="0.2">
      <c r="A1966" s="102"/>
      <c r="B1966" s="116"/>
    </row>
    <row r="1967" spans="1:2" x14ac:dyDescent="0.2">
      <c r="A1967" s="102"/>
      <c r="B1967" s="116"/>
    </row>
    <row r="1968" spans="1:2" x14ac:dyDescent="0.2">
      <c r="A1968" s="102"/>
      <c r="B1968" s="116"/>
    </row>
    <row r="1969" spans="1:2" x14ac:dyDescent="0.2">
      <c r="A1969" s="102"/>
      <c r="B1969" s="116"/>
    </row>
    <row r="1970" spans="1:2" x14ac:dyDescent="0.2">
      <c r="A1970" s="102"/>
      <c r="B1970" s="116"/>
    </row>
    <row r="1971" spans="1:2" x14ac:dyDescent="0.2">
      <c r="A1971" s="102"/>
      <c r="B1971" s="116"/>
    </row>
    <row r="1972" spans="1:2" x14ac:dyDescent="0.2">
      <c r="A1972" s="102"/>
      <c r="B1972" s="116"/>
    </row>
    <row r="1973" spans="1:2" x14ac:dyDescent="0.2">
      <c r="A1973" s="102"/>
      <c r="B1973" s="116"/>
    </row>
    <row r="1974" spans="1:2" x14ac:dyDescent="0.2">
      <c r="A1974" s="102"/>
      <c r="B1974" s="116"/>
    </row>
    <row r="1975" spans="1:2" x14ac:dyDescent="0.2">
      <c r="A1975" s="102"/>
      <c r="B1975" s="116"/>
    </row>
    <row r="1976" spans="1:2" x14ac:dyDescent="0.2">
      <c r="A1976" s="102"/>
      <c r="B1976" s="116"/>
    </row>
    <row r="1977" spans="1:2" x14ac:dyDescent="0.2">
      <c r="A1977" s="102"/>
      <c r="B1977" s="116"/>
    </row>
    <row r="1978" spans="1:2" x14ac:dyDescent="0.2">
      <c r="A1978" s="102"/>
      <c r="B1978" s="116"/>
    </row>
    <row r="1979" spans="1:2" x14ac:dyDescent="0.2">
      <c r="A1979" s="102"/>
      <c r="B1979" s="116"/>
    </row>
    <row r="1980" spans="1:2" x14ac:dyDescent="0.2">
      <c r="A1980" s="102"/>
      <c r="B1980" s="116"/>
    </row>
    <row r="1981" spans="1:2" x14ac:dyDescent="0.2">
      <c r="A1981" s="102"/>
      <c r="B1981" s="116"/>
    </row>
    <row r="1982" spans="1:2" x14ac:dyDescent="0.2">
      <c r="A1982" s="102"/>
      <c r="B1982" s="116"/>
    </row>
    <row r="1983" spans="1:2" x14ac:dyDescent="0.2">
      <c r="A1983" s="102"/>
      <c r="B1983" s="116"/>
    </row>
    <row r="1984" spans="1:2" x14ac:dyDescent="0.2">
      <c r="A1984" s="102"/>
      <c r="B1984" s="116"/>
    </row>
    <row r="1985" spans="1:2" x14ac:dyDescent="0.2">
      <c r="A1985" s="102"/>
      <c r="B1985" s="116"/>
    </row>
    <row r="1986" spans="1:2" x14ac:dyDescent="0.2">
      <c r="A1986" s="102"/>
      <c r="B1986" s="116"/>
    </row>
    <row r="1987" spans="1:2" x14ac:dyDescent="0.2">
      <c r="A1987" s="102"/>
      <c r="B1987" s="116"/>
    </row>
    <row r="1988" spans="1:2" x14ac:dyDescent="0.2">
      <c r="A1988" s="102"/>
      <c r="B1988" s="116"/>
    </row>
    <row r="1989" spans="1:2" x14ac:dyDescent="0.2">
      <c r="A1989" s="102"/>
      <c r="B1989" s="116"/>
    </row>
    <row r="1990" spans="1:2" x14ac:dyDescent="0.2">
      <c r="A1990" s="102"/>
      <c r="B1990" s="116"/>
    </row>
    <row r="1991" spans="1:2" x14ac:dyDescent="0.2">
      <c r="A1991" s="102"/>
      <c r="B1991" s="116"/>
    </row>
    <row r="1992" spans="1:2" x14ac:dyDescent="0.2">
      <c r="A1992" s="102"/>
      <c r="B1992" s="116"/>
    </row>
    <row r="1993" spans="1:2" x14ac:dyDescent="0.2">
      <c r="A1993" s="102"/>
      <c r="B1993" s="116"/>
    </row>
    <row r="1994" spans="1:2" x14ac:dyDescent="0.2">
      <c r="A1994" s="102"/>
      <c r="B1994" s="116"/>
    </row>
    <row r="1995" spans="1:2" x14ac:dyDescent="0.2">
      <c r="A1995" s="102"/>
      <c r="B1995" s="116"/>
    </row>
    <row r="1996" spans="1:2" x14ac:dyDescent="0.2">
      <c r="A1996" s="102"/>
      <c r="B1996" s="116"/>
    </row>
    <row r="1997" spans="1:2" x14ac:dyDescent="0.2">
      <c r="A1997" s="102"/>
      <c r="B1997" s="116"/>
    </row>
    <row r="1998" spans="1:2" x14ac:dyDescent="0.2">
      <c r="A1998" s="102"/>
      <c r="B1998" s="116"/>
    </row>
    <row r="1999" spans="1:2" x14ac:dyDescent="0.2">
      <c r="A1999" s="102"/>
      <c r="B1999" s="116"/>
    </row>
    <row r="2000" spans="1:2" x14ac:dyDescent="0.2">
      <c r="A2000" s="102"/>
      <c r="B2000" s="116"/>
    </row>
    <row r="2001" spans="1:2" x14ac:dyDescent="0.2">
      <c r="A2001" s="102"/>
      <c r="B2001" s="116"/>
    </row>
    <row r="2002" spans="1:2" x14ac:dyDescent="0.2">
      <c r="A2002" s="102"/>
      <c r="B2002" s="116"/>
    </row>
    <row r="2003" spans="1:2" x14ac:dyDescent="0.2">
      <c r="A2003" s="102"/>
      <c r="B2003" s="116"/>
    </row>
    <row r="2004" spans="1:2" x14ac:dyDescent="0.2">
      <c r="A2004" s="102"/>
      <c r="B2004" s="116"/>
    </row>
    <row r="2005" spans="1:2" x14ac:dyDescent="0.2">
      <c r="A2005" s="102"/>
      <c r="B2005" s="116"/>
    </row>
    <row r="2006" spans="1:2" x14ac:dyDescent="0.2">
      <c r="A2006" s="102"/>
      <c r="B2006" s="116"/>
    </row>
    <row r="2007" spans="1:2" x14ac:dyDescent="0.2">
      <c r="A2007" s="102"/>
      <c r="B2007" s="116"/>
    </row>
    <row r="2008" spans="1:2" x14ac:dyDescent="0.2">
      <c r="A2008" s="102"/>
      <c r="B2008" s="116"/>
    </row>
    <row r="2009" spans="1:2" x14ac:dyDescent="0.2">
      <c r="A2009" s="102"/>
      <c r="B2009" s="116"/>
    </row>
    <row r="2010" spans="1:2" x14ac:dyDescent="0.2">
      <c r="A2010" s="102"/>
      <c r="B2010" s="116"/>
    </row>
    <row r="2011" spans="1:2" x14ac:dyDescent="0.2">
      <c r="A2011" s="102"/>
      <c r="B2011" s="116"/>
    </row>
    <row r="2012" spans="1:2" x14ac:dyDescent="0.2">
      <c r="A2012" s="102"/>
      <c r="B2012" s="116"/>
    </row>
    <row r="2013" spans="1:2" x14ac:dyDescent="0.2">
      <c r="A2013" s="102"/>
      <c r="B2013" s="116"/>
    </row>
    <row r="2014" spans="1:2" x14ac:dyDescent="0.2">
      <c r="A2014" s="102"/>
      <c r="B2014" s="116"/>
    </row>
    <row r="2015" spans="1:2" x14ac:dyDescent="0.2">
      <c r="A2015" s="102"/>
      <c r="B2015" s="116"/>
    </row>
    <row r="2016" spans="1:2" x14ac:dyDescent="0.2">
      <c r="A2016" s="102"/>
      <c r="B2016" s="116"/>
    </row>
    <row r="2017" spans="1:2" x14ac:dyDescent="0.2">
      <c r="A2017" s="102"/>
      <c r="B2017" s="116"/>
    </row>
    <row r="2018" spans="1:2" x14ac:dyDescent="0.2">
      <c r="A2018" s="102"/>
      <c r="B2018" s="116"/>
    </row>
    <row r="2019" spans="1:2" x14ac:dyDescent="0.2">
      <c r="A2019" s="102"/>
      <c r="B2019" s="116"/>
    </row>
    <row r="2020" spans="1:2" x14ac:dyDescent="0.2">
      <c r="A2020" s="102"/>
      <c r="B2020" s="116"/>
    </row>
    <row r="2021" spans="1:2" x14ac:dyDescent="0.2">
      <c r="A2021" s="102"/>
      <c r="B2021" s="116"/>
    </row>
    <row r="2022" spans="1:2" x14ac:dyDescent="0.2">
      <c r="A2022" s="102"/>
      <c r="B2022" s="116"/>
    </row>
    <row r="2023" spans="1:2" x14ac:dyDescent="0.2">
      <c r="A2023" s="102"/>
      <c r="B2023" s="116"/>
    </row>
    <row r="2024" spans="1:2" x14ac:dyDescent="0.2">
      <c r="A2024" s="102"/>
      <c r="B2024" s="116"/>
    </row>
    <row r="2025" spans="1:2" x14ac:dyDescent="0.2">
      <c r="A2025" s="102"/>
      <c r="B2025" s="116"/>
    </row>
    <row r="2026" spans="1:2" x14ac:dyDescent="0.2">
      <c r="A2026" s="102"/>
      <c r="B2026" s="116"/>
    </row>
    <row r="2027" spans="1:2" x14ac:dyDescent="0.2">
      <c r="A2027" s="102"/>
      <c r="B2027" s="116"/>
    </row>
    <row r="2028" spans="1:2" x14ac:dyDescent="0.2">
      <c r="A2028" s="102"/>
      <c r="B2028" s="116"/>
    </row>
    <row r="2029" spans="1:2" x14ac:dyDescent="0.2">
      <c r="A2029" s="102"/>
      <c r="B2029" s="116"/>
    </row>
    <row r="2030" spans="1:2" x14ac:dyDescent="0.2">
      <c r="A2030" s="102"/>
      <c r="B2030" s="116"/>
    </row>
    <row r="2031" spans="1:2" x14ac:dyDescent="0.2">
      <c r="A2031" s="102"/>
      <c r="B2031" s="116"/>
    </row>
    <row r="2032" spans="1:2" x14ac:dyDescent="0.2">
      <c r="A2032" s="102"/>
      <c r="B2032" s="116"/>
    </row>
    <row r="2033" spans="1:2" x14ac:dyDescent="0.2">
      <c r="A2033" s="102"/>
      <c r="B2033" s="116"/>
    </row>
    <row r="2034" spans="1:2" x14ac:dyDescent="0.2">
      <c r="A2034" s="102"/>
      <c r="B2034" s="116"/>
    </row>
    <row r="2035" spans="1:2" x14ac:dyDescent="0.2">
      <c r="A2035" s="102"/>
      <c r="B2035" s="116"/>
    </row>
    <row r="2036" spans="1:2" x14ac:dyDescent="0.2">
      <c r="A2036" s="102"/>
      <c r="B2036" s="116"/>
    </row>
    <row r="2037" spans="1:2" x14ac:dyDescent="0.2">
      <c r="A2037" s="102"/>
      <c r="B2037" s="116"/>
    </row>
    <row r="2038" spans="1:2" x14ac:dyDescent="0.2">
      <c r="A2038" s="102"/>
      <c r="B2038" s="116"/>
    </row>
    <row r="2039" spans="1:2" x14ac:dyDescent="0.2">
      <c r="A2039" s="102"/>
      <c r="B2039" s="116"/>
    </row>
    <row r="2040" spans="1:2" x14ac:dyDescent="0.2">
      <c r="A2040" s="102"/>
      <c r="B2040" s="116"/>
    </row>
    <row r="2041" spans="1:2" x14ac:dyDescent="0.2">
      <c r="A2041" s="102"/>
      <c r="B2041" s="116"/>
    </row>
    <row r="2042" spans="1:2" x14ac:dyDescent="0.2">
      <c r="A2042" s="102"/>
      <c r="B2042" s="116"/>
    </row>
    <row r="2043" spans="1:2" x14ac:dyDescent="0.2">
      <c r="A2043" s="102"/>
      <c r="B2043" s="116"/>
    </row>
    <row r="2044" spans="1:2" x14ac:dyDescent="0.2">
      <c r="A2044" s="102"/>
      <c r="B2044" s="116"/>
    </row>
    <row r="2045" spans="1:2" x14ac:dyDescent="0.2">
      <c r="A2045" s="102"/>
      <c r="B2045" s="116"/>
    </row>
    <row r="2046" spans="1:2" x14ac:dyDescent="0.2">
      <c r="A2046" s="102"/>
      <c r="B2046" s="116"/>
    </row>
    <row r="2047" spans="1:2" x14ac:dyDescent="0.2">
      <c r="A2047" s="102"/>
      <c r="B2047" s="116"/>
    </row>
    <row r="2048" spans="1:2" x14ac:dyDescent="0.2">
      <c r="A2048" s="102"/>
      <c r="B2048" s="116"/>
    </row>
    <row r="2049" spans="1:2" x14ac:dyDescent="0.2">
      <c r="A2049" s="102"/>
      <c r="B2049" s="116"/>
    </row>
    <row r="2050" spans="1:2" x14ac:dyDescent="0.2">
      <c r="A2050" s="102"/>
      <c r="B2050" s="116"/>
    </row>
    <row r="2051" spans="1:2" x14ac:dyDescent="0.2">
      <c r="A2051" s="102"/>
      <c r="B2051" s="116"/>
    </row>
    <row r="2052" spans="1:2" x14ac:dyDescent="0.2">
      <c r="A2052" s="102"/>
      <c r="B2052" s="116"/>
    </row>
    <row r="2053" spans="1:2" x14ac:dyDescent="0.2">
      <c r="A2053" s="102"/>
      <c r="B2053" s="116"/>
    </row>
    <row r="2054" spans="1:2" x14ac:dyDescent="0.2">
      <c r="A2054" s="102"/>
      <c r="B2054" s="116"/>
    </row>
    <row r="2055" spans="1:2" x14ac:dyDescent="0.2">
      <c r="A2055" s="102"/>
      <c r="B2055" s="116"/>
    </row>
    <row r="2056" spans="1:2" x14ac:dyDescent="0.2">
      <c r="A2056" s="102"/>
      <c r="B2056" s="116"/>
    </row>
    <row r="2057" spans="1:2" x14ac:dyDescent="0.2">
      <c r="A2057" s="102"/>
      <c r="B2057" s="116"/>
    </row>
    <row r="2058" spans="1:2" x14ac:dyDescent="0.2">
      <c r="A2058" s="102"/>
      <c r="B2058" s="116"/>
    </row>
    <row r="2059" spans="1:2" x14ac:dyDescent="0.2">
      <c r="A2059" s="102"/>
      <c r="B2059" s="116"/>
    </row>
    <row r="2060" spans="1:2" x14ac:dyDescent="0.2">
      <c r="A2060" s="102"/>
      <c r="B2060" s="116"/>
    </row>
    <row r="2061" spans="1:2" x14ac:dyDescent="0.2">
      <c r="A2061" s="102"/>
      <c r="B2061" s="116"/>
    </row>
    <row r="2062" spans="1:2" x14ac:dyDescent="0.2">
      <c r="A2062" s="102"/>
      <c r="B2062" s="116"/>
    </row>
    <row r="2063" spans="1:2" x14ac:dyDescent="0.2">
      <c r="A2063" s="102"/>
      <c r="B2063" s="116"/>
    </row>
    <row r="2064" spans="1:2" x14ac:dyDescent="0.2">
      <c r="A2064" s="102"/>
      <c r="B2064" s="116"/>
    </row>
    <row r="2065" spans="1:2" x14ac:dyDescent="0.2">
      <c r="A2065" s="102"/>
      <c r="B2065" s="116"/>
    </row>
    <row r="2066" spans="1:2" x14ac:dyDescent="0.2">
      <c r="A2066" s="102"/>
      <c r="B2066" s="116"/>
    </row>
    <row r="2067" spans="1:2" x14ac:dyDescent="0.2">
      <c r="A2067" s="102"/>
      <c r="B2067" s="116"/>
    </row>
    <row r="2068" spans="1:2" x14ac:dyDescent="0.2">
      <c r="A2068" s="102"/>
      <c r="B2068" s="116"/>
    </row>
    <row r="2069" spans="1:2" x14ac:dyDescent="0.2">
      <c r="A2069" s="102"/>
      <c r="B2069" s="116"/>
    </row>
    <row r="2070" spans="1:2" x14ac:dyDescent="0.2">
      <c r="A2070" s="102"/>
      <c r="B2070" s="116"/>
    </row>
    <row r="2071" spans="1:2" x14ac:dyDescent="0.2">
      <c r="A2071" s="102"/>
      <c r="B2071" s="116"/>
    </row>
    <row r="2072" spans="1:2" x14ac:dyDescent="0.2">
      <c r="A2072" s="102"/>
      <c r="B2072" s="116"/>
    </row>
    <row r="2073" spans="1:2" x14ac:dyDescent="0.2">
      <c r="A2073" s="102"/>
      <c r="B2073" s="116"/>
    </row>
    <row r="2074" spans="1:2" x14ac:dyDescent="0.2">
      <c r="A2074" s="102"/>
      <c r="B2074" s="116"/>
    </row>
    <row r="2075" spans="1:2" x14ac:dyDescent="0.2">
      <c r="A2075" s="102"/>
      <c r="B2075" s="116"/>
    </row>
    <row r="2076" spans="1:2" x14ac:dyDescent="0.2">
      <c r="A2076" s="102"/>
      <c r="B2076" s="116"/>
    </row>
    <row r="2077" spans="1:2" x14ac:dyDescent="0.2">
      <c r="A2077" s="102"/>
      <c r="B2077" s="116"/>
    </row>
    <row r="2078" spans="1:2" x14ac:dyDescent="0.2">
      <c r="A2078" s="102"/>
      <c r="B2078" s="116"/>
    </row>
    <row r="2079" spans="1:2" x14ac:dyDescent="0.2">
      <c r="A2079" s="102"/>
      <c r="B2079" s="116"/>
    </row>
    <row r="2080" spans="1:2" x14ac:dyDescent="0.2">
      <c r="A2080" s="102"/>
      <c r="B2080" s="116"/>
    </row>
    <row r="2081" spans="1:2" x14ac:dyDescent="0.2">
      <c r="A2081" s="102"/>
      <c r="B2081" s="116"/>
    </row>
    <row r="2082" spans="1:2" x14ac:dyDescent="0.2">
      <c r="A2082" s="102"/>
      <c r="B2082" s="116"/>
    </row>
    <row r="2083" spans="1:2" x14ac:dyDescent="0.2">
      <c r="A2083" s="102"/>
      <c r="B2083" s="116"/>
    </row>
    <row r="2084" spans="1:2" x14ac:dyDescent="0.2">
      <c r="A2084" s="102"/>
      <c r="B2084" s="116"/>
    </row>
    <row r="2085" spans="1:2" x14ac:dyDescent="0.2">
      <c r="A2085" s="102"/>
      <c r="B2085" s="116"/>
    </row>
    <row r="2086" spans="1:2" x14ac:dyDescent="0.2">
      <c r="A2086" s="102"/>
      <c r="B2086" s="116"/>
    </row>
    <row r="2087" spans="1:2" x14ac:dyDescent="0.2">
      <c r="A2087" s="102"/>
      <c r="B2087" s="116"/>
    </row>
    <row r="2088" spans="1:2" x14ac:dyDescent="0.2">
      <c r="A2088" s="102"/>
      <c r="B2088" s="116"/>
    </row>
    <row r="2089" spans="1:2" x14ac:dyDescent="0.2">
      <c r="A2089" s="102"/>
      <c r="B2089" s="116"/>
    </row>
    <row r="2090" spans="1:2" x14ac:dyDescent="0.2">
      <c r="A2090" s="102"/>
      <c r="B2090" s="116"/>
    </row>
    <row r="2091" spans="1:2" x14ac:dyDescent="0.2">
      <c r="A2091" s="102"/>
      <c r="B2091" s="116"/>
    </row>
    <row r="2092" spans="1:2" x14ac:dyDescent="0.2">
      <c r="A2092" s="102"/>
      <c r="B2092" s="116"/>
    </row>
    <row r="2093" spans="1:2" x14ac:dyDescent="0.2">
      <c r="A2093" s="102"/>
      <c r="B2093" s="116"/>
    </row>
    <row r="2094" spans="1:2" x14ac:dyDescent="0.2">
      <c r="A2094" s="102"/>
      <c r="B2094" s="116"/>
    </row>
    <row r="2095" spans="1:2" x14ac:dyDescent="0.2">
      <c r="A2095" s="102"/>
      <c r="B2095" s="116"/>
    </row>
    <row r="2096" spans="1:2" x14ac:dyDescent="0.2">
      <c r="A2096" s="102"/>
      <c r="B2096" s="116"/>
    </row>
    <row r="2097" spans="1:2" x14ac:dyDescent="0.2">
      <c r="A2097" s="102"/>
      <c r="B2097" s="116"/>
    </row>
    <row r="2098" spans="1:2" x14ac:dyDescent="0.2">
      <c r="A2098" s="102"/>
      <c r="B2098" s="116"/>
    </row>
    <row r="2099" spans="1:2" x14ac:dyDescent="0.2">
      <c r="A2099" s="102"/>
      <c r="B2099" s="116"/>
    </row>
    <row r="2100" spans="1:2" x14ac:dyDescent="0.2">
      <c r="A2100" s="102"/>
      <c r="B2100" s="116"/>
    </row>
    <row r="2101" spans="1:2" x14ac:dyDescent="0.2">
      <c r="A2101" s="102"/>
      <c r="B2101" s="116"/>
    </row>
    <row r="2102" spans="1:2" x14ac:dyDescent="0.2">
      <c r="A2102" s="102"/>
      <c r="B2102" s="116"/>
    </row>
    <row r="2103" spans="1:2" x14ac:dyDescent="0.2">
      <c r="A2103" s="102"/>
      <c r="B2103" s="116"/>
    </row>
    <row r="2104" spans="1:2" x14ac:dyDescent="0.2">
      <c r="A2104" s="102"/>
      <c r="B2104" s="116"/>
    </row>
    <row r="2105" spans="1:2" x14ac:dyDescent="0.2">
      <c r="A2105" s="102"/>
      <c r="B2105" s="116"/>
    </row>
    <row r="2106" spans="1:2" x14ac:dyDescent="0.2">
      <c r="A2106" s="102"/>
      <c r="B2106" s="116"/>
    </row>
    <row r="2107" spans="1:2" x14ac:dyDescent="0.2">
      <c r="A2107" s="102"/>
      <c r="B2107" s="116"/>
    </row>
    <row r="2108" spans="1:2" x14ac:dyDescent="0.2">
      <c r="A2108" s="102"/>
      <c r="B2108" s="116"/>
    </row>
    <row r="2109" spans="1:2" x14ac:dyDescent="0.2">
      <c r="A2109" s="102"/>
      <c r="B2109" s="116"/>
    </row>
    <row r="2110" spans="1:2" x14ac:dyDescent="0.2">
      <c r="A2110" s="102"/>
      <c r="B2110" s="116"/>
    </row>
    <row r="2111" spans="1:2" x14ac:dyDescent="0.2">
      <c r="A2111" s="102"/>
      <c r="B2111" s="116"/>
    </row>
    <row r="2112" spans="1:2" x14ac:dyDescent="0.2">
      <c r="A2112" s="102"/>
      <c r="B2112" s="116"/>
    </row>
    <row r="2113" spans="1:2" x14ac:dyDescent="0.2">
      <c r="A2113" s="102"/>
      <c r="B2113" s="116"/>
    </row>
    <row r="2114" spans="1:2" x14ac:dyDescent="0.2">
      <c r="A2114" s="102"/>
      <c r="B2114" s="116"/>
    </row>
    <row r="2115" spans="1:2" x14ac:dyDescent="0.2">
      <c r="A2115" s="102"/>
      <c r="B2115" s="116"/>
    </row>
    <row r="2116" spans="1:2" x14ac:dyDescent="0.2">
      <c r="A2116" s="102"/>
      <c r="B2116" s="116"/>
    </row>
    <row r="2117" spans="1:2" x14ac:dyDescent="0.2">
      <c r="A2117" s="102"/>
      <c r="B2117" s="116"/>
    </row>
    <row r="2118" spans="1:2" x14ac:dyDescent="0.2">
      <c r="A2118" s="102"/>
      <c r="B2118" s="116"/>
    </row>
    <row r="2119" spans="1:2" x14ac:dyDescent="0.2">
      <c r="A2119" s="102"/>
      <c r="B2119" s="116"/>
    </row>
    <row r="2120" spans="1:2" x14ac:dyDescent="0.2">
      <c r="A2120" s="102"/>
      <c r="B2120" s="116"/>
    </row>
    <row r="2121" spans="1:2" x14ac:dyDescent="0.2">
      <c r="A2121" s="102"/>
      <c r="B2121" s="116"/>
    </row>
    <row r="2122" spans="1:2" x14ac:dyDescent="0.2">
      <c r="A2122" s="102"/>
      <c r="B2122" s="116"/>
    </row>
    <row r="2123" spans="1:2" x14ac:dyDescent="0.2">
      <c r="A2123" s="102"/>
      <c r="B2123" s="116"/>
    </row>
    <row r="2124" spans="1:2" x14ac:dyDescent="0.2">
      <c r="A2124" s="102"/>
      <c r="B2124" s="116"/>
    </row>
    <row r="2125" spans="1:2" x14ac:dyDescent="0.2">
      <c r="A2125" s="102"/>
      <c r="B2125" s="116"/>
    </row>
    <row r="2126" spans="1:2" x14ac:dyDescent="0.2">
      <c r="A2126" s="102"/>
      <c r="B2126" s="116"/>
    </row>
    <row r="2127" spans="1:2" x14ac:dyDescent="0.2">
      <c r="A2127" s="102"/>
      <c r="B2127" s="116"/>
    </row>
    <row r="2128" spans="1:2" x14ac:dyDescent="0.2">
      <c r="A2128" s="102"/>
      <c r="B2128" s="116"/>
    </row>
    <row r="2129" spans="1:2" x14ac:dyDescent="0.2">
      <c r="A2129" s="102"/>
      <c r="B2129" s="116"/>
    </row>
    <row r="2130" spans="1:2" x14ac:dyDescent="0.2">
      <c r="A2130" s="102"/>
      <c r="B2130" s="116"/>
    </row>
    <row r="2131" spans="1:2" x14ac:dyDescent="0.2">
      <c r="A2131" s="102"/>
      <c r="B2131" s="116"/>
    </row>
    <row r="2132" spans="1:2" x14ac:dyDescent="0.2">
      <c r="A2132" s="102"/>
      <c r="B2132" s="116"/>
    </row>
    <row r="2133" spans="1:2" x14ac:dyDescent="0.2">
      <c r="A2133" s="102"/>
      <c r="B2133" s="116"/>
    </row>
    <row r="2134" spans="1:2" x14ac:dyDescent="0.2">
      <c r="A2134" s="102"/>
      <c r="B2134" s="116"/>
    </row>
    <row r="2135" spans="1:2" x14ac:dyDescent="0.2">
      <c r="A2135" s="102"/>
      <c r="B2135" s="116"/>
    </row>
    <row r="2136" spans="1:2" x14ac:dyDescent="0.2">
      <c r="A2136" s="102"/>
      <c r="B2136" s="116"/>
    </row>
    <row r="2137" spans="1:2" x14ac:dyDescent="0.2">
      <c r="A2137" s="102"/>
      <c r="B2137" s="116"/>
    </row>
    <row r="2138" spans="1:2" x14ac:dyDescent="0.2">
      <c r="A2138" s="102"/>
      <c r="B2138" s="116"/>
    </row>
    <row r="2139" spans="1:2" x14ac:dyDescent="0.2">
      <c r="A2139" s="102"/>
      <c r="B2139" s="116"/>
    </row>
    <row r="2140" spans="1:2" x14ac:dyDescent="0.2">
      <c r="A2140" s="102"/>
      <c r="B2140" s="116"/>
    </row>
    <row r="2141" spans="1:2" x14ac:dyDescent="0.2">
      <c r="A2141" s="102"/>
      <c r="B2141" s="116"/>
    </row>
    <row r="2142" spans="1:2" x14ac:dyDescent="0.2">
      <c r="A2142" s="102"/>
      <c r="B2142" s="116"/>
    </row>
    <row r="2143" spans="1:2" x14ac:dyDescent="0.2">
      <c r="A2143" s="102"/>
      <c r="B2143" s="116"/>
    </row>
    <row r="2144" spans="1:2" x14ac:dyDescent="0.2">
      <c r="A2144" s="102"/>
      <c r="B2144" s="116"/>
    </row>
    <row r="2145" spans="1:2" x14ac:dyDescent="0.2">
      <c r="A2145" s="102"/>
      <c r="B2145" s="116"/>
    </row>
    <row r="2146" spans="1:2" x14ac:dyDescent="0.2">
      <c r="A2146" s="102"/>
      <c r="B2146" s="116"/>
    </row>
    <row r="2147" spans="1:2" x14ac:dyDescent="0.2">
      <c r="A2147" s="102"/>
      <c r="B2147" s="116"/>
    </row>
    <row r="2148" spans="1:2" x14ac:dyDescent="0.2">
      <c r="A2148" s="102"/>
      <c r="B2148" s="116"/>
    </row>
    <row r="2149" spans="1:2" x14ac:dyDescent="0.2">
      <c r="A2149" s="102"/>
      <c r="B2149" s="116"/>
    </row>
    <row r="2150" spans="1:2" x14ac:dyDescent="0.2">
      <c r="A2150" s="102"/>
      <c r="B2150" s="116"/>
    </row>
    <row r="2151" spans="1:2" x14ac:dyDescent="0.2">
      <c r="A2151" s="102"/>
      <c r="B2151" s="116"/>
    </row>
    <row r="2152" spans="1:2" x14ac:dyDescent="0.2">
      <c r="A2152" s="102"/>
      <c r="B2152" s="116"/>
    </row>
    <row r="2153" spans="1:2" x14ac:dyDescent="0.2">
      <c r="A2153" s="102"/>
      <c r="B2153" s="116"/>
    </row>
    <row r="2154" spans="1:2" x14ac:dyDescent="0.2">
      <c r="A2154" s="102"/>
      <c r="B2154" s="116"/>
    </row>
    <row r="2155" spans="1:2" x14ac:dyDescent="0.2">
      <c r="A2155" s="102"/>
      <c r="B2155" s="116"/>
    </row>
    <row r="2156" spans="1:2" x14ac:dyDescent="0.2">
      <c r="A2156" s="102"/>
      <c r="B2156" s="116"/>
    </row>
    <row r="2157" spans="1:2" x14ac:dyDescent="0.2">
      <c r="A2157" s="102"/>
      <c r="B2157" s="116"/>
    </row>
    <row r="2158" spans="1:2" x14ac:dyDescent="0.2">
      <c r="A2158" s="102"/>
      <c r="B2158" s="116"/>
    </row>
    <row r="2159" spans="1:2" x14ac:dyDescent="0.2">
      <c r="A2159" s="102"/>
      <c r="B2159" s="116"/>
    </row>
    <row r="2160" spans="1:2" x14ac:dyDescent="0.2">
      <c r="A2160" s="102"/>
      <c r="B2160" s="116"/>
    </row>
    <row r="2161" spans="1:2" x14ac:dyDescent="0.2">
      <c r="A2161" s="102"/>
      <c r="B2161" s="116"/>
    </row>
    <row r="2162" spans="1:2" x14ac:dyDescent="0.2">
      <c r="A2162" s="102"/>
      <c r="B2162" s="116"/>
    </row>
    <row r="2163" spans="1:2" x14ac:dyDescent="0.2">
      <c r="A2163" s="102"/>
      <c r="B2163" s="116"/>
    </row>
    <row r="2164" spans="1:2" x14ac:dyDescent="0.2">
      <c r="A2164" s="102"/>
      <c r="B2164" s="116"/>
    </row>
    <row r="2165" spans="1:2" x14ac:dyDescent="0.2">
      <c r="A2165" s="102"/>
      <c r="B2165" s="116"/>
    </row>
    <row r="2166" spans="1:2" x14ac:dyDescent="0.2">
      <c r="A2166" s="102"/>
      <c r="B2166" s="116"/>
    </row>
    <row r="2167" spans="1:2" x14ac:dyDescent="0.2">
      <c r="A2167" s="102"/>
      <c r="B2167" s="116"/>
    </row>
    <row r="2168" spans="1:2" x14ac:dyDescent="0.2">
      <c r="A2168" s="102"/>
      <c r="B2168" s="116"/>
    </row>
    <row r="2169" spans="1:2" x14ac:dyDescent="0.2">
      <c r="A2169" s="102"/>
      <c r="B2169" s="116"/>
    </row>
    <row r="2170" spans="1:2" x14ac:dyDescent="0.2">
      <c r="A2170" s="102"/>
      <c r="B2170" s="116"/>
    </row>
    <row r="2171" spans="1:2" x14ac:dyDescent="0.2">
      <c r="A2171" s="102"/>
      <c r="B2171" s="116"/>
    </row>
    <row r="2172" spans="1:2" x14ac:dyDescent="0.2">
      <c r="A2172" s="102"/>
      <c r="B2172" s="116"/>
    </row>
    <row r="2173" spans="1:2" x14ac:dyDescent="0.2">
      <c r="A2173" s="102"/>
      <c r="B2173" s="116"/>
    </row>
    <row r="2174" spans="1:2" x14ac:dyDescent="0.2">
      <c r="A2174" s="102"/>
      <c r="B2174" s="116"/>
    </row>
    <row r="2175" spans="1:2" x14ac:dyDescent="0.2">
      <c r="A2175" s="102"/>
      <c r="B2175" s="116"/>
    </row>
    <row r="2176" spans="1:2" x14ac:dyDescent="0.2">
      <c r="A2176" s="102"/>
      <c r="B2176" s="116"/>
    </row>
    <row r="2177" spans="1:2" x14ac:dyDescent="0.2">
      <c r="A2177" s="102"/>
      <c r="B2177" s="116"/>
    </row>
    <row r="2178" spans="1:2" x14ac:dyDescent="0.2">
      <c r="A2178" s="102"/>
      <c r="B2178" s="116"/>
    </row>
    <row r="2179" spans="1:2" x14ac:dyDescent="0.2">
      <c r="A2179" s="102"/>
      <c r="B2179" s="116"/>
    </row>
    <row r="2180" spans="1:2" x14ac:dyDescent="0.2">
      <c r="A2180" s="102"/>
      <c r="B2180" s="116"/>
    </row>
    <row r="2181" spans="1:2" x14ac:dyDescent="0.2">
      <c r="A2181" s="102"/>
      <c r="B2181" s="116"/>
    </row>
    <row r="2182" spans="1:2" x14ac:dyDescent="0.2">
      <c r="A2182" s="102"/>
      <c r="B2182" s="116"/>
    </row>
    <row r="2183" spans="1:2" x14ac:dyDescent="0.2">
      <c r="A2183" s="102"/>
      <c r="B2183" s="116"/>
    </row>
    <row r="2184" spans="1:2" x14ac:dyDescent="0.2">
      <c r="A2184" s="102"/>
      <c r="B2184" s="116"/>
    </row>
    <row r="2185" spans="1:2" x14ac:dyDescent="0.2">
      <c r="A2185" s="102"/>
      <c r="B2185" s="116"/>
    </row>
    <row r="2186" spans="1:2" x14ac:dyDescent="0.2">
      <c r="A2186" s="102"/>
      <c r="B2186" s="116"/>
    </row>
    <row r="2187" spans="1:2" x14ac:dyDescent="0.2">
      <c r="A2187" s="102"/>
      <c r="B2187" s="116"/>
    </row>
    <row r="2188" spans="1:2" x14ac:dyDescent="0.2">
      <c r="A2188" s="102"/>
      <c r="B2188" s="116"/>
    </row>
    <row r="2189" spans="1:2" x14ac:dyDescent="0.2">
      <c r="A2189" s="102"/>
      <c r="B2189" s="116"/>
    </row>
    <row r="2190" spans="1:2" x14ac:dyDescent="0.2">
      <c r="A2190" s="102"/>
      <c r="B2190" s="116"/>
    </row>
    <row r="2191" spans="1:2" x14ac:dyDescent="0.2">
      <c r="A2191" s="102"/>
      <c r="B2191" s="116"/>
    </row>
    <row r="2192" spans="1:2" x14ac:dyDescent="0.2">
      <c r="A2192" s="102"/>
      <c r="B2192" s="116"/>
    </row>
    <row r="2193" spans="1:2" x14ac:dyDescent="0.2">
      <c r="A2193" s="102"/>
      <c r="B2193" s="116"/>
    </row>
    <row r="2194" spans="1:2" x14ac:dyDescent="0.2">
      <c r="A2194" s="102"/>
      <c r="B2194" s="116"/>
    </row>
    <row r="2195" spans="1:2" x14ac:dyDescent="0.2">
      <c r="A2195" s="102"/>
      <c r="B2195" s="116"/>
    </row>
    <row r="2196" spans="1:2" x14ac:dyDescent="0.2">
      <c r="A2196" s="102"/>
      <c r="B2196" s="116"/>
    </row>
    <row r="2197" spans="1:2" x14ac:dyDescent="0.2">
      <c r="A2197" s="102"/>
      <c r="B2197" s="116"/>
    </row>
    <row r="2198" spans="1:2" x14ac:dyDescent="0.2">
      <c r="A2198" s="102"/>
      <c r="B2198" s="116"/>
    </row>
    <row r="2199" spans="1:2" x14ac:dyDescent="0.2">
      <c r="A2199" s="102"/>
      <c r="B2199" s="116"/>
    </row>
    <row r="2200" spans="1:2" x14ac:dyDescent="0.2">
      <c r="A2200" s="102"/>
      <c r="B2200" s="116"/>
    </row>
    <row r="2201" spans="1:2" x14ac:dyDescent="0.2">
      <c r="A2201" s="102"/>
      <c r="B2201" s="116"/>
    </row>
    <row r="2202" spans="1:2" x14ac:dyDescent="0.2">
      <c r="A2202" s="102"/>
      <c r="B2202" s="116"/>
    </row>
    <row r="2203" spans="1:2" x14ac:dyDescent="0.2">
      <c r="A2203" s="102"/>
      <c r="B2203" s="116"/>
    </row>
    <row r="2204" spans="1:2" x14ac:dyDescent="0.2">
      <c r="A2204" s="102"/>
      <c r="B2204" s="116"/>
    </row>
    <row r="2205" spans="1:2" x14ac:dyDescent="0.2">
      <c r="A2205" s="102"/>
      <c r="B2205" s="116"/>
    </row>
    <row r="2206" spans="1:2" x14ac:dyDescent="0.2">
      <c r="A2206" s="102"/>
      <c r="B2206" s="116"/>
    </row>
    <row r="2207" spans="1:2" x14ac:dyDescent="0.2">
      <c r="A2207" s="102"/>
      <c r="B2207" s="116"/>
    </row>
    <row r="2208" spans="1:2" x14ac:dyDescent="0.2">
      <c r="A2208" s="102"/>
      <c r="B2208" s="116"/>
    </row>
    <row r="2209" spans="1:2" x14ac:dyDescent="0.2">
      <c r="A2209" s="102"/>
      <c r="B2209" s="116"/>
    </row>
    <row r="2210" spans="1:2" x14ac:dyDescent="0.2">
      <c r="A2210" s="102"/>
      <c r="B2210" s="116"/>
    </row>
    <row r="2211" spans="1:2" x14ac:dyDescent="0.2">
      <c r="A2211" s="102"/>
      <c r="B2211" s="116"/>
    </row>
    <row r="2212" spans="1:2" x14ac:dyDescent="0.2">
      <c r="A2212" s="102"/>
      <c r="B2212" s="116"/>
    </row>
    <row r="2213" spans="1:2" x14ac:dyDescent="0.2">
      <c r="A2213" s="102"/>
      <c r="B2213" s="116"/>
    </row>
    <row r="2214" spans="1:2" x14ac:dyDescent="0.2">
      <c r="A2214" s="102"/>
      <c r="B2214" s="116"/>
    </row>
    <row r="2215" spans="1:2" x14ac:dyDescent="0.2">
      <c r="A2215" s="102"/>
      <c r="B2215" s="116"/>
    </row>
    <row r="2216" spans="1:2" x14ac:dyDescent="0.2">
      <c r="A2216" s="102"/>
      <c r="B2216" s="116"/>
    </row>
    <row r="2217" spans="1:2" x14ac:dyDescent="0.2">
      <c r="A2217" s="102"/>
      <c r="B2217" s="116"/>
    </row>
    <row r="2218" spans="1:2" x14ac:dyDescent="0.2">
      <c r="A2218" s="102"/>
      <c r="B2218" s="116"/>
    </row>
    <row r="2219" spans="1:2" x14ac:dyDescent="0.2">
      <c r="A2219" s="102"/>
      <c r="B2219" s="116"/>
    </row>
    <row r="2220" spans="1:2" x14ac:dyDescent="0.2">
      <c r="A2220" s="102"/>
      <c r="B2220" s="116"/>
    </row>
    <row r="2221" spans="1:2" x14ac:dyDescent="0.2">
      <c r="A2221" s="102"/>
      <c r="B2221" s="116"/>
    </row>
    <row r="2222" spans="1:2" x14ac:dyDescent="0.2">
      <c r="A2222" s="102"/>
      <c r="B2222" s="116"/>
    </row>
    <row r="2223" spans="1:2" x14ac:dyDescent="0.2">
      <c r="A2223" s="102"/>
      <c r="B2223" s="116"/>
    </row>
    <row r="2224" spans="1:2" x14ac:dyDescent="0.2">
      <c r="A2224" s="102"/>
      <c r="B2224" s="116"/>
    </row>
    <row r="2225" spans="1:2" x14ac:dyDescent="0.2">
      <c r="A2225" s="102"/>
      <c r="B2225" s="116"/>
    </row>
    <row r="2226" spans="1:2" x14ac:dyDescent="0.2">
      <c r="A2226" s="102"/>
      <c r="B2226" s="116"/>
    </row>
    <row r="2227" spans="1:2" x14ac:dyDescent="0.2">
      <c r="A2227" s="102"/>
      <c r="B2227" s="116"/>
    </row>
    <row r="2228" spans="1:2" x14ac:dyDescent="0.2">
      <c r="A2228" s="102"/>
      <c r="B2228" s="116"/>
    </row>
    <row r="2229" spans="1:2" x14ac:dyDescent="0.2">
      <c r="A2229" s="102"/>
      <c r="B2229" s="116"/>
    </row>
    <row r="2230" spans="1:2" x14ac:dyDescent="0.2">
      <c r="A2230" s="102"/>
      <c r="B2230" s="116"/>
    </row>
    <row r="2231" spans="1:2" x14ac:dyDescent="0.2">
      <c r="A2231" s="102"/>
      <c r="B2231" s="116"/>
    </row>
    <row r="2232" spans="1:2" x14ac:dyDescent="0.2">
      <c r="A2232" s="102"/>
      <c r="B2232" s="116"/>
    </row>
    <row r="2233" spans="1:2" x14ac:dyDescent="0.2">
      <c r="A2233" s="102"/>
      <c r="B2233" s="116"/>
    </row>
    <row r="2234" spans="1:2" x14ac:dyDescent="0.2">
      <c r="A2234" s="102"/>
      <c r="B2234" s="116"/>
    </row>
    <row r="2235" spans="1:2" x14ac:dyDescent="0.2">
      <c r="A2235" s="102"/>
      <c r="B2235" s="116"/>
    </row>
    <row r="2236" spans="1:2" x14ac:dyDescent="0.2">
      <c r="A2236" s="102"/>
      <c r="B2236" s="116"/>
    </row>
    <row r="2237" spans="1:2" x14ac:dyDescent="0.2">
      <c r="A2237" s="102"/>
      <c r="B2237" s="116"/>
    </row>
    <row r="2238" spans="1:2" x14ac:dyDescent="0.2">
      <c r="A2238" s="102"/>
      <c r="B2238" s="116"/>
    </row>
    <row r="2239" spans="1:2" x14ac:dyDescent="0.2">
      <c r="A2239" s="102"/>
      <c r="B2239" s="116"/>
    </row>
    <row r="2240" spans="1:2" x14ac:dyDescent="0.2">
      <c r="A2240" s="102"/>
      <c r="B2240" s="116"/>
    </row>
    <row r="2241" spans="1:2" x14ac:dyDescent="0.2">
      <c r="A2241" s="102"/>
      <c r="B2241" s="116"/>
    </row>
    <row r="2242" spans="1:2" x14ac:dyDescent="0.2">
      <c r="A2242" s="102"/>
      <c r="B2242" s="116"/>
    </row>
    <row r="2243" spans="1:2" x14ac:dyDescent="0.2">
      <c r="A2243" s="102"/>
      <c r="B2243" s="116"/>
    </row>
    <row r="2244" spans="1:2" x14ac:dyDescent="0.2">
      <c r="A2244" s="102"/>
      <c r="B2244" s="116"/>
    </row>
    <row r="2245" spans="1:2" x14ac:dyDescent="0.2">
      <c r="A2245" s="102"/>
      <c r="B2245" s="116"/>
    </row>
    <row r="2246" spans="1:2" x14ac:dyDescent="0.2">
      <c r="A2246" s="102"/>
      <c r="B2246" s="116"/>
    </row>
    <row r="2247" spans="1:2" x14ac:dyDescent="0.2">
      <c r="A2247" s="102"/>
      <c r="B2247" s="116"/>
    </row>
    <row r="2248" spans="1:2" x14ac:dyDescent="0.2">
      <c r="A2248" s="102"/>
      <c r="B2248" s="116"/>
    </row>
    <row r="2249" spans="1:2" x14ac:dyDescent="0.2">
      <c r="A2249" s="102"/>
      <c r="B2249" s="116"/>
    </row>
    <row r="2250" spans="1:2" x14ac:dyDescent="0.2">
      <c r="A2250" s="102"/>
      <c r="B2250" s="116"/>
    </row>
    <row r="2251" spans="1:2" x14ac:dyDescent="0.2">
      <c r="A2251" s="102"/>
      <c r="B2251" s="116"/>
    </row>
    <row r="2252" spans="1:2" x14ac:dyDescent="0.2">
      <c r="A2252" s="102"/>
      <c r="B2252" s="116"/>
    </row>
    <row r="2253" spans="1:2" x14ac:dyDescent="0.2">
      <c r="A2253" s="102"/>
      <c r="B2253" s="116"/>
    </row>
    <row r="2254" spans="1:2" x14ac:dyDescent="0.2">
      <c r="A2254" s="102"/>
      <c r="B2254" s="116"/>
    </row>
    <row r="2255" spans="1:2" x14ac:dyDescent="0.2">
      <c r="A2255" s="102"/>
      <c r="B2255" s="116"/>
    </row>
    <row r="2256" spans="1:2" x14ac:dyDescent="0.2">
      <c r="A2256" s="102"/>
      <c r="B2256" s="116"/>
    </row>
    <row r="2257" spans="1:2" x14ac:dyDescent="0.2">
      <c r="A2257" s="102"/>
      <c r="B2257" s="116"/>
    </row>
    <row r="2258" spans="1:2" x14ac:dyDescent="0.2">
      <c r="A2258" s="102"/>
      <c r="B2258" s="116"/>
    </row>
    <row r="2259" spans="1:2" x14ac:dyDescent="0.2">
      <c r="A2259" s="102"/>
      <c r="B2259" s="116"/>
    </row>
    <row r="2260" spans="1:2" x14ac:dyDescent="0.2">
      <c r="A2260" s="102"/>
      <c r="B2260" s="116"/>
    </row>
    <row r="2261" spans="1:2" x14ac:dyDescent="0.2">
      <c r="A2261" s="102"/>
      <c r="B2261" s="116"/>
    </row>
    <row r="2262" spans="1:2" x14ac:dyDescent="0.2">
      <c r="A2262" s="102"/>
      <c r="B2262" s="116"/>
    </row>
    <row r="2263" spans="1:2" x14ac:dyDescent="0.2">
      <c r="A2263" s="102"/>
      <c r="B2263" s="116"/>
    </row>
    <row r="2264" spans="1:2" x14ac:dyDescent="0.2">
      <c r="A2264" s="102"/>
      <c r="B2264" s="116"/>
    </row>
    <row r="2265" spans="1:2" x14ac:dyDescent="0.2">
      <c r="A2265" s="102"/>
      <c r="B2265" s="116"/>
    </row>
    <row r="2266" spans="1:2" x14ac:dyDescent="0.2">
      <c r="A2266" s="102"/>
      <c r="B2266" s="116"/>
    </row>
    <row r="2267" spans="1:2" x14ac:dyDescent="0.2">
      <c r="A2267" s="102"/>
      <c r="B2267" s="116"/>
    </row>
    <row r="2268" spans="1:2" x14ac:dyDescent="0.2">
      <c r="A2268" s="102"/>
      <c r="B2268" s="116"/>
    </row>
    <row r="2269" spans="1:2" x14ac:dyDescent="0.2">
      <c r="A2269" s="102"/>
      <c r="B2269" s="116"/>
    </row>
    <row r="2270" spans="1:2" x14ac:dyDescent="0.2">
      <c r="A2270" s="102"/>
      <c r="B2270" s="116"/>
    </row>
    <row r="2271" spans="1:2" x14ac:dyDescent="0.2">
      <c r="A2271" s="102"/>
      <c r="B2271" s="116"/>
    </row>
    <row r="2272" spans="1:2" x14ac:dyDescent="0.2">
      <c r="A2272" s="102"/>
      <c r="B2272" s="116"/>
    </row>
    <row r="2273" spans="1:2" x14ac:dyDescent="0.2">
      <c r="A2273" s="102"/>
      <c r="B2273" s="116"/>
    </row>
    <row r="2274" spans="1:2" x14ac:dyDescent="0.2">
      <c r="A2274" s="102"/>
      <c r="B2274" s="116"/>
    </row>
    <row r="2275" spans="1:2" x14ac:dyDescent="0.2">
      <c r="A2275" s="102"/>
      <c r="B2275" s="116"/>
    </row>
    <row r="2276" spans="1:2" x14ac:dyDescent="0.2">
      <c r="A2276" s="102"/>
      <c r="B2276" s="116"/>
    </row>
    <row r="2277" spans="1:2" x14ac:dyDescent="0.2">
      <c r="A2277" s="102"/>
      <c r="B2277" s="116"/>
    </row>
    <row r="2278" spans="1:2" x14ac:dyDescent="0.2">
      <c r="A2278" s="102"/>
      <c r="B2278" s="116"/>
    </row>
    <row r="2279" spans="1:2" x14ac:dyDescent="0.2">
      <c r="A2279" s="102"/>
      <c r="B2279" s="116"/>
    </row>
    <row r="2280" spans="1:2" x14ac:dyDescent="0.2">
      <c r="A2280" s="102"/>
      <c r="B2280" s="116"/>
    </row>
    <row r="2281" spans="1:2" x14ac:dyDescent="0.2">
      <c r="A2281" s="102"/>
      <c r="B2281" s="116"/>
    </row>
    <row r="2282" spans="1:2" x14ac:dyDescent="0.2">
      <c r="A2282" s="102"/>
      <c r="B2282" s="116"/>
    </row>
    <row r="2283" spans="1:2" x14ac:dyDescent="0.2">
      <c r="A2283" s="102"/>
      <c r="B2283" s="116"/>
    </row>
    <row r="2284" spans="1:2" x14ac:dyDescent="0.2">
      <c r="A2284" s="102"/>
      <c r="B2284" s="116"/>
    </row>
    <row r="2285" spans="1:2" x14ac:dyDescent="0.2">
      <c r="A2285" s="102"/>
      <c r="B2285" s="116"/>
    </row>
    <row r="2286" spans="1:2" x14ac:dyDescent="0.2">
      <c r="A2286" s="102"/>
      <c r="B2286" s="116"/>
    </row>
    <row r="2287" spans="1:2" x14ac:dyDescent="0.2">
      <c r="A2287" s="102"/>
      <c r="B2287" s="116"/>
    </row>
    <row r="2288" spans="1:2" x14ac:dyDescent="0.2">
      <c r="A2288" s="102"/>
      <c r="B2288" s="116"/>
    </row>
    <row r="2289" spans="1:2" x14ac:dyDescent="0.2">
      <c r="A2289" s="102"/>
      <c r="B2289" s="116"/>
    </row>
    <row r="2290" spans="1:2" x14ac:dyDescent="0.2">
      <c r="A2290" s="102"/>
      <c r="B2290" s="116"/>
    </row>
    <row r="2291" spans="1:2" x14ac:dyDescent="0.2">
      <c r="A2291" s="102"/>
      <c r="B2291" s="116"/>
    </row>
    <row r="2292" spans="1:2" x14ac:dyDescent="0.2">
      <c r="A2292" s="102"/>
      <c r="B2292" s="116"/>
    </row>
    <row r="2293" spans="1:2" x14ac:dyDescent="0.2">
      <c r="A2293" s="102"/>
      <c r="B2293" s="116"/>
    </row>
    <row r="2294" spans="1:2" x14ac:dyDescent="0.2">
      <c r="A2294" s="102"/>
      <c r="B2294" s="116"/>
    </row>
    <row r="2295" spans="1:2" x14ac:dyDescent="0.2">
      <c r="A2295" s="102"/>
      <c r="B2295" s="116"/>
    </row>
    <row r="2296" spans="1:2" x14ac:dyDescent="0.2">
      <c r="A2296" s="102"/>
      <c r="B2296" s="116"/>
    </row>
    <row r="2297" spans="1:2" x14ac:dyDescent="0.2">
      <c r="A2297" s="102"/>
      <c r="B2297" s="116"/>
    </row>
    <row r="2298" spans="1:2" x14ac:dyDescent="0.2">
      <c r="A2298" s="102"/>
      <c r="B2298" s="116"/>
    </row>
    <row r="2299" spans="1:2" x14ac:dyDescent="0.2">
      <c r="A2299" s="102"/>
      <c r="B2299" s="116"/>
    </row>
    <row r="2300" spans="1:2" x14ac:dyDescent="0.2">
      <c r="A2300" s="102"/>
      <c r="B2300" s="116"/>
    </row>
    <row r="2301" spans="1:2" x14ac:dyDescent="0.2">
      <c r="A2301" s="102"/>
      <c r="B2301" s="116"/>
    </row>
    <row r="2302" spans="1:2" x14ac:dyDescent="0.2">
      <c r="A2302" s="102"/>
      <c r="B2302" s="116"/>
    </row>
    <row r="2303" spans="1:2" x14ac:dyDescent="0.2">
      <c r="A2303" s="102"/>
      <c r="B2303" s="116"/>
    </row>
    <row r="2304" spans="1:2" x14ac:dyDescent="0.2">
      <c r="A2304" s="102"/>
      <c r="B2304" s="116"/>
    </row>
    <row r="2305" spans="1:2" x14ac:dyDescent="0.2">
      <c r="A2305" s="102"/>
      <c r="B2305" s="116"/>
    </row>
    <row r="2306" spans="1:2" x14ac:dyDescent="0.2">
      <c r="A2306" s="102"/>
      <c r="B2306" s="116"/>
    </row>
    <row r="2307" spans="1:2" x14ac:dyDescent="0.2">
      <c r="A2307" s="102"/>
      <c r="B2307" s="116"/>
    </row>
    <row r="2308" spans="1:2" x14ac:dyDescent="0.2">
      <c r="A2308" s="102"/>
      <c r="B2308" s="116"/>
    </row>
    <row r="2309" spans="1:2" x14ac:dyDescent="0.2">
      <c r="A2309" s="102"/>
      <c r="B2309" s="116"/>
    </row>
    <row r="2310" spans="1:2" x14ac:dyDescent="0.2">
      <c r="A2310" s="102"/>
      <c r="B2310" s="116"/>
    </row>
    <row r="2311" spans="1:2" x14ac:dyDescent="0.2">
      <c r="A2311" s="102"/>
      <c r="B2311" s="116"/>
    </row>
    <row r="2312" spans="1:2" x14ac:dyDescent="0.2">
      <c r="A2312" s="102"/>
      <c r="B2312" s="116"/>
    </row>
    <row r="2313" spans="1:2" x14ac:dyDescent="0.2">
      <c r="A2313" s="102"/>
      <c r="B2313" s="116"/>
    </row>
    <row r="2314" spans="1:2" x14ac:dyDescent="0.2">
      <c r="A2314" s="102"/>
      <c r="B2314" s="116"/>
    </row>
    <row r="2315" spans="1:2" x14ac:dyDescent="0.2">
      <c r="A2315" s="102"/>
      <c r="B2315" s="116"/>
    </row>
    <row r="2316" spans="1:2" x14ac:dyDescent="0.2">
      <c r="A2316" s="102"/>
      <c r="B2316" s="116"/>
    </row>
    <row r="2317" spans="1:2" x14ac:dyDescent="0.2">
      <c r="A2317" s="102"/>
      <c r="B2317" s="116"/>
    </row>
    <row r="2318" spans="1:2" x14ac:dyDescent="0.2">
      <c r="A2318" s="102"/>
      <c r="B2318" s="116"/>
    </row>
    <row r="2319" spans="1:2" x14ac:dyDescent="0.2">
      <c r="A2319" s="102"/>
      <c r="B2319" s="116"/>
    </row>
    <row r="2320" spans="1:2" x14ac:dyDescent="0.2">
      <c r="A2320" s="102"/>
      <c r="B2320" s="116"/>
    </row>
    <row r="2321" spans="1:2" x14ac:dyDescent="0.2">
      <c r="A2321" s="102"/>
      <c r="B2321" s="116"/>
    </row>
    <row r="2322" spans="1:2" x14ac:dyDescent="0.2">
      <c r="A2322" s="102"/>
      <c r="B2322" s="116"/>
    </row>
    <row r="2323" spans="1:2" x14ac:dyDescent="0.2">
      <c r="A2323" s="102"/>
      <c r="B2323" s="116"/>
    </row>
    <row r="2324" spans="1:2" x14ac:dyDescent="0.2">
      <c r="A2324" s="102"/>
      <c r="B2324" s="116"/>
    </row>
    <row r="2325" spans="1:2" x14ac:dyDescent="0.2">
      <c r="A2325" s="102"/>
      <c r="B2325" s="116"/>
    </row>
    <row r="2326" spans="1:2" x14ac:dyDescent="0.2">
      <c r="A2326" s="102"/>
      <c r="B2326" s="116"/>
    </row>
    <row r="2327" spans="1:2" x14ac:dyDescent="0.2">
      <c r="A2327" s="102"/>
      <c r="B2327" s="116"/>
    </row>
    <row r="2328" spans="1:2" x14ac:dyDescent="0.2">
      <c r="A2328" s="102"/>
      <c r="B2328" s="116"/>
    </row>
    <row r="2329" spans="1:2" x14ac:dyDescent="0.2">
      <c r="A2329" s="102"/>
      <c r="B2329" s="116"/>
    </row>
    <row r="2330" spans="1:2" x14ac:dyDescent="0.2">
      <c r="A2330" s="102"/>
      <c r="B2330" s="116"/>
    </row>
    <row r="2331" spans="1:2" x14ac:dyDescent="0.2">
      <c r="A2331" s="102"/>
      <c r="B2331" s="116"/>
    </row>
    <row r="2332" spans="1:2" x14ac:dyDescent="0.2">
      <c r="A2332" s="102"/>
      <c r="B2332" s="116"/>
    </row>
    <row r="2333" spans="1:2" x14ac:dyDescent="0.2">
      <c r="A2333" s="102"/>
      <c r="B2333" s="116"/>
    </row>
    <row r="2334" spans="1:2" x14ac:dyDescent="0.2">
      <c r="A2334" s="102"/>
      <c r="B2334" s="116"/>
    </row>
    <row r="2335" spans="1:2" x14ac:dyDescent="0.2">
      <c r="A2335" s="102"/>
      <c r="B2335" s="116"/>
    </row>
    <row r="2336" spans="1:2" x14ac:dyDescent="0.2">
      <c r="A2336" s="102"/>
      <c r="B2336" s="116"/>
    </row>
    <row r="2337" spans="1:2" x14ac:dyDescent="0.2">
      <c r="A2337" s="102"/>
      <c r="B2337" s="116"/>
    </row>
    <row r="2338" spans="1:2" x14ac:dyDescent="0.2">
      <c r="A2338" s="102"/>
      <c r="B2338" s="116"/>
    </row>
    <row r="2339" spans="1:2" x14ac:dyDescent="0.2">
      <c r="A2339" s="102"/>
      <c r="B2339" s="116"/>
    </row>
    <row r="2340" spans="1:2" x14ac:dyDescent="0.2">
      <c r="A2340" s="102"/>
      <c r="B2340" s="116"/>
    </row>
    <row r="2341" spans="1:2" x14ac:dyDescent="0.2">
      <c r="A2341" s="102"/>
      <c r="B2341" s="116"/>
    </row>
    <row r="2342" spans="1:2" x14ac:dyDescent="0.2">
      <c r="A2342" s="102"/>
      <c r="B2342" s="116"/>
    </row>
    <row r="2343" spans="1:2" x14ac:dyDescent="0.2">
      <c r="A2343" s="102"/>
      <c r="B2343" s="116"/>
    </row>
    <row r="2344" spans="1:2" x14ac:dyDescent="0.2">
      <c r="A2344" s="102"/>
      <c r="B2344" s="116"/>
    </row>
    <row r="2345" spans="1:2" x14ac:dyDescent="0.2">
      <c r="A2345" s="102"/>
      <c r="B2345" s="116"/>
    </row>
    <row r="2346" spans="1:2" x14ac:dyDescent="0.2">
      <c r="A2346" s="102"/>
      <c r="B2346" s="116"/>
    </row>
    <row r="2347" spans="1:2" x14ac:dyDescent="0.2">
      <c r="A2347" s="102"/>
      <c r="B2347" s="116"/>
    </row>
    <row r="2348" spans="1:2" x14ac:dyDescent="0.2">
      <c r="A2348" s="102"/>
      <c r="B2348" s="116"/>
    </row>
    <row r="2349" spans="1:2" x14ac:dyDescent="0.2">
      <c r="A2349" s="102"/>
      <c r="B2349" s="116"/>
    </row>
    <row r="2350" spans="1:2" x14ac:dyDescent="0.2">
      <c r="A2350" s="102"/>
      <c r="B2350" s="116"/>
    </row>
    <row r="2351" spans="1:2" x14ac:dyDescent="0.2">
      <c r="A2351" s="102"/>
      <c r="B2351" s="116"/>
    </row>
    <row r="2352" spans="1:2" x14ac:dyDescent="0.2">
      <c r="A2352" s="102"/>
      <c r="B2352" s="116"/>
    </row>
    <row r="2353" spans="1:2" x14ac:dyDescent="0.2">
      <c r="A2353" s="102"/>
      <c r="B2353" s="116"/>
    </row>
    <row r="2354" spans="1:2" x14ac:dyDescent="0.2">
      <c r="A2354" s="102"/>
      <c r="B2354" s="116"/>
    </row>
    <row r="2355" spans="1:2" x14ac:dyDescent="0.2">
      <c r="A2355" s="102"/>
      <c r="B2355" s="116"/>
    </row>
    <row r="2356" spans="1:2" x14ac:dyDescent="0.2">
      <c r="A2356" s="102"/>
      <c r="B2356" s="116"/>
    </row>
    <row r="2357" spans="1:2" x14ac:dyDescent="0.2">
      <c r="A2357" s="102"/>
      <c r="B2357" s="116"/>
    </row>
    <row r="2358" spans="1:2" x14ac:dyDescent="0.2">
      <c r="A2358" s="102"/>
      <c r="B2358" s="116"/>
    </row>
    <row r="2359" spans="1:2" x14ac:dyDescent="0.2">
      <c r="A2359" s="102"/>
      <c r="B2359" s="116"/>
    </row>
    <row r="2360" spans="1:2" x14ac:dyDescent="0.2">
      <c r="A2360" s="102"/>
      <c r="B2360" s="116"/>
    </row>
    <row r="2361" spans="1:2" x14ac:dyDescent="0.2">
      <c r="A2361" s="102"/>
      <c r="B2361" s="116"/>
    </row>
    <row r="2362" spans="1:2" x14ac:dyDescent="0.2">
      <c r="A2362" s="102"/>
      <c r="B2362" s="116"/>
    </row>
    <row r="2363" spans="1:2" x14ac:dyDescent="0.2">
      <c r="A2363" s="102"/>
      <c r="B2363" s="116"/>
    </row>
    <row r="2364" spans="1:2" x14ac:dyDescent="0.2">
      <c r="A2364" s="102"/>
      <c r="B2364" s="116"/>
    </row>
    <row r="2365" spans="1:2" x14ac:dyDescent="0.2">
      <c r="A2365" s="102"/>
      <c r="B2365" s="116"/>
    </row>
    <row r="2366" spans="1:2" x14ac:dyDescent="0.2">
      <c r="A2366" s="102"/>
      <c r="B2366" s="116"/>
    </row>
    <row r="2367" spans="1:2" x14ac:dyDescent="0.2">
      <c r="A2367" s="102"/>
      <c r="B2367" s="116"/>
    </row>
    <row r="2368" spans="1:2" x14ac:dyDescent="0.2">
      <c r="A2368" s="102"/>
      <c r="B2368" s="116"/>
    </row>
    <row r="2369" spans="1:2" x14ac:dyDescent="0.2">
      <c r="A2369" s="102"/>
      <c r="B2369" s="116"/>
    </row>
    <row r="2370" spans="1:2" x14ac:dyDescent="0.2">
      <c r="A2370" s="102"/>
      <c r="B2370" s="116"/>
    </row>
    <row r="2371" spans="1:2" x14ac:dyDescent="0.2">
      <c r="A2371" s="102"/>
      <c r="B2371" s="116"/>
    </row>
    <row r="2372" spans="1:2" x14ac:dyDescent="0.2">
      <c r="A2372" s="102"/>
      <c r="B2372" s="116"/>
    </row>
    <row r="2373" spans="1:2" x14ac:dyDescent="0.2">
      <c r="A2373" s="102"/>
      <c r="B2373" s="116"/>
    </row>
    <row r="2374" spans="1:2" x14ac:dyDescent="0.2">
      <c r="A2374" s="102"/>
      <c r="B2374" s="116"/>
    </row>
    <row r="2375" spans="1:2" x14ac:dyDescent="0.2">
      <c r="A2375" s="102"/>
      <c r="B2375" s="116"/>
    </row>
    <row r="2376" spans="1:2" x14ac:dyDescent="0.2">
      <c r="A2376" s="102"/>
      <c r="B2376" s="116"/>
    </row>
    <row r="2377" spans="1:2" x14ac:dyDescent="0.2">
      <c r="A2377" s="102"/>
      <c r="B2377" s="116"/>
    </row>
    <row r="2378" spans="1:2" x14ac:dyDescent="0.2">
      <c r="A2378" s="102"/>
      <c r="B2378" s="116"/>
    </row>
    <row r="2379" spans="1:2" x14ac:dyDescent="0.2">
      <c r="A2379" s="102"/>
      <c r="B2379" s="116"/>
    </row>
    <row r="2380" spans="1:2" x14ac:dyDescent="0.2">
      <c r="A2380" s="102"/>
      <c r="B2380" s="116"/>
    </row>
    <row r="2381" spans="1:2" x14ac:dyDescent="0.2">
      <c r="A2381" s="102"/>
      <c r="B2381" s="116"/>
    </row>
    <row r="2382" spans="1:2" x14ac:dyDescent="0.2">
      <c r="A2382" s="102"/>
      <c r="B2382" s="116"/>
    </row>
    <row r="2383" spans="1:2" x14ac:dyDescent="0.2">
      <c r="A2383" s="102"/>
      <c r="B2383" s="116"/>
    </row>
    <row r="2384" spans="1:2" x14ac:dyDescent="0.2">
      <c r="A2384" s="102"/>
      <c r="B2384" s="116"/>
    </row>
    <row r="2385" spans="1:2" x14ac:dyDescent="0.2">
      <c r="A2385" s="102"/>
      <c r="B2385" s="116"/>
    </row>
    <row r="2386" spans="1:2" x14ac:dyDescent="0.2">
      <c r="A2386" s="102"/>
      <c r="B2386" s="116"/>
    </row>
    <row r="2387" spans="1:2" x14ac:dyDescent="0.2">
      <c r="A2387" s="102"/>
      <c r="B2387" s="116"/>
    </row>
    <row r="2388" spans="1:2" x14ac:dyDescent="0.2">
      <c r="A2388" s="102"/>
      <c r="B2388" s="116"/>
    </row>
    <row r="2389" spans="1:2" x14ac:dyDescent="0.2">
      <c r="A2389" s="102"/>
      <c r="B2389" s="116"/>
    </row>
    <row r="2390" spans="1:2" x14ac:dyDescent="0.2">
      <c r="A2390" s="102"/>
      <c r="B2390" s="116"/>
    </row>
    <row r="2391" spans="1:2" x14ac:dyDescent="0.2">
      <c r="A2391" s="102"/>
      <c r="B2391" s="116"/>
    </row>
    <row r="2392" spans="1:2" x14ac:dyDescent="0.2">
      <c r="A2392" s="102"/>
      <c r="B2392" s="116"/>
    </row>
    <row r="2393" spans="1:2" x14ac:dyDescent="0.2">
      <c r="A2393" s="102"/>
      <c r="B2393" s="116"/>
    </row>
    <row r="2394" spans="1:2" x14ac:dyDescent="0.2">
      <c r="A2394" s="102"/>
      <c r="B2394" s="116"/>
    </row>
    <row r="2395" spans="1:2" x14ac:dyDescent="0.2">
      <c r="A2395" s="102"/>
      <c r="B2395" s="116"/>
    </row>
    <row r="2396" spans="1:2" x14ac:dyDescent="0.2">
      <c r="A2396" s="102"/>
      <c r="B2396" s="116"/>
    </row>
    <row r="2397" spans="1:2" x14ac:dyDescent="0.2">
      <c r="A2397" s="102"/>
      <c r="B2397" s="116"/>
    </row>
    <row r="2398" spans="1:2" x14ac:dyDescent="0.2">
      <c r="A2398" s="102"/>
      <c r="B2398" s="116"/>
    </row>
    <row r="2399" spans="1:2" x14ac:dyDescent="0.2">
      <c r="A2399" s="102"/>
      <c r="B2399" s="116"/>
    </row>
    <row r="2400" spans="1:2" x14ac:dyDescent="0.2">
      <c r="A2400" s="102"/>
      <c r="B2400" s="116"/>
    </row>
    <row r="2401" spans="1:2" x14ac:dyDescent="0.2">
      <c r="A2401" s="102"/>
      <c r="B2401" s="116"/>
    </row>
    <row r="2402" spans="1:2" x14ac:dyDescent="0.2">
      <c r="A2402" s="102"/>
      <c r="B2402" s="116"/>
    </row>
    <row r="2403" spans="1:2" x14ac:dyDescent="0.2">
      <c r="A2403" s="102"/>
      <c r="B2403" s="116"/>
    </row>
    <row r="2404" spans="1:2" x14ac:dyDescent="0.2">
      <c r="A2404" s="102"/>
      <c r="B2404" s="116"/>
    </row>
    <row r="2405" spans="1:2" x14ac:dyDescent="0.2">
      <c r="A2405" s="102"/>
      <c r="B2405" s="116"/>
    </row>
    <row r="2406" spans="1:2" x14ac:dyDescent="0.2">
      <c r="A2406" s="102"/>
      <c r="B2406" s="116"/>
    </row>
    <row r="2407" spans="1:2" x14ac:dyDescent="0.2">
      <c r="A2407" s="102"/>
      <c r="B2407" s="116"/>
    </row>
    <row r="2408" spans="1:2" x14ac:dyDescent="0.2">
      <c r="A2408" s="102"/>
      <c r="B2408" s="116"/>
    </row>
    <row r="2409" spans="1:2" x14ac:dyDescent="0.2">
      <c r="A2409" s="102"/>
      <c r="B2409" s="116"/>
    </row>
    <row r="2410" spans="1:2" x14ac:dyDescent="0.2">
      <c r="A2410" s="102"/>
      <c r="B2410" s="116"/>
    </row>
    <row r="2411" spans="1:2" x14ac:dyDescent="0.2">
      <c r="A2411" s="102"/>
      <c r="B2411" s="116"/>
    </row>
    <row r="2412" spans="1:2" x14ac:dyDescent="0.2">
      <c r="A2412" s="102"/>
      <c r="B2412" s="116"/>
    </row>
    <row r="2413" spans="1:2" x14ac:dyDescent="0.2">
      <c r="A2413" s="102"/>
      <c r="B2413" s="116"/>
    </row>
    <row r="2414" spans="1:2" x14ac:dyDescent="0.2">
      <c r="A2414" s="102"/>
      <c r="B2414" s="116"/>
    </row>
    <row r="2415" spans="1:2" x14ac:dyDescent="0.2">
      <c r="A2415" s="102"/>
      <c r="B2415" s="116"/>
    </row>
    <row r="2416" spans="1:2" x14ac:dyDescent="0.2">
      <c r="A2416" s="102"/>
      <c r="B2416" s="116"/>
    </row>
    <row r="2417" spans="1:2" x14ac:dyDescent="0.2">
      <c r="A2417" s="102"/>
      <c r="B2417" s="116"/>
    </row>
    <row r="2418" spans="1:2" x14ac:dyDescent="0.2">
      <c r="A2418" s="102"/>
      <c r="B2418" s="116"/>
    </row>
    <row r="2419" spans="1:2" x14ac:dyDescent="0.2">
      <c r="A2419" s="102"/>
      <c r="B2419" s="116"/>
    </row>
    <row r="2420" spans="1:2" x14ac:dyDescent="0.2">
      <c r="A2420" s="102"/>
      <c r="B2420" s="116"/>
    </row>
    <row r="2421" spans="1:2" x14ac:dyDescent="0.2">
      <c r="A2421" s="102"/>
      <c r="B2421" s="116"/>
    </row>
    <row r="2422" spans="1:2" x14ac:dyDescent="0.2">
      <c r="A2422" s="102"/>
      <c r="B2422" s="116"/>
    </row>
    <row r="2423" spans="1:2" x14ac:dyDescent="0.2">
      <c r="A2423" s="102"/>
      <c r="B2423" s="116"/>
    </row>
    <row r="2424" spans="1:2" x14ac:dyDescent="0.2">
      <c r="A2424" s="102"/>
      <c r="B2424" s="116"/>
    </row>
    <row r="2425" spans="1:2" x14ac:dyDescent="0.2">
      <c r="A2425" s="102"/>
      <c r="B2425" s="116"/>
    </row>
    <row r="2426" spans="1:2" x14ac:dyDescent="0.2">
      <c r="A2426" s="102"/>
      <c r="B2426" s="116"/>
    </row>
    <row r="2427" spans="1:2" x14ac:dyDescent="0.2">
      <c r="A2427" s="102"/>
      <c r="B2427" s="116"/>
    </row>
    <row r="2428" spans="1:2" x14ac:dyDescent="0.2">
      <c r="A2428" s="102"/>
      <c r="B2428" s="116"/>
    </row>
    <row r="2429" spans="1:2" x14ac:dyDescent="0.2">
      <c r="A2429" s="102"/>
      <c r="B2429" s="116"/>
    </row>
    <row r="2430" spans="1:2" x14ac:dyDescent="0.2">
      <c r="A2430" s="102"/>
      <c r="B2430" s="116"/>
    </row>
    <row r="2431" spans="1:2" x14ac:dyDescent="0.2">
      <c r="A2431" s="102"/>
      <c r="B2431" s="116"/>
    </row>
    <row r="2432" spans="1:2" x14ac:dyDescent="0.2">
      <c r="A2432" s="102"/>
      <c r="B2432" s="116"/>
    </row>
    <row r="2433" spans="1:2" x14ac:dyDescent="0.2">
      <c r="A2433" s="102"/>
      <c r="B2433" s="116"/>
    </row>
    <row r="2434" spans="1:2" x14ac:dyDescent="0.2">
      <c r="A2434" s="102"/>
      <c r="B2434" s="116"/>
    </row>
    <row r="2435" spans="1:2" x14ac:dyDescent="0.2">
      <c r="A2435" s="102"/>
      <c r="B2435" s="116"/>
    </row>
    <row r="2436" spans="1:2" x14ac:dyDescent="0.2">
      <c r="A2436" s="102"/>
      <c r="B2436" s="116"/>
    </row>
    <row r="2437" spans="1:2" x14ac:dyDescent="0.2">
      <c r="A2437" s="102"/>
      <c r="B2437" s="116"/>
    </row>
    <row r="2438" spans="1:2" x14ac:dyDescent="0.2">
      <c r="A2438" s="102"/>
      <c r="B2438" s="116"/>
    </row>
    <row r="2439" spans="1:2" x14ac:dyDescent="0.2">
      <c r="A2439" s="102"/>
      <c r="B2439" s="116"/>
    </row>
    <row r="2440" spans="1:2" x14ac:dyDescent="0.2">
      <c r="A2440" s="102"/>
      <c r="B2440" s="116"/>
    </row>
    <row r="2441" spans="1:2" x14ac:dyDescent="0.2">
      <c r="A2441" s="102"/>
      <c r="B2441" s="116"/>
    </row>
    <row r="2442" spans="1:2" x14ac:dyDescent="0.2">
      <c r="A2442" s="102"/>
      <c r="B2442" s="116"/>
    </row>
    <row r="2443" spans="1:2" x14ac:dyDescent="0.2">
      <c r="A2443" s="102"/>
      <c r="B2443" s="116"/>
    </row>
    <row r="2444" spans="1:2" x14ac:dyDescent="0.2">
      <c r="A2444" s="102"/>
      <c r="B2444" s="116"/>
    </row>
    <row r="2445" spans="1:2" x14ac:dyDescent="0.2">
      <c r="A2445" s="102"/>
      <c r="B2445" s="116"/>
    </row>
    <row r="2446" spans="1:2" x14ac:dyDescent="0.2">
      <c r="A2446" s="102"/>
      <c r="B2446" s="116"/>
    </row>
    <row r="2447" spans="1:2" x14ac:dyDescent="0.2">
      <c r="A2447" s="102"/>
      <c r="B2447" s="116"/>
    </row>
    <row r="2448" spans="1:2" x14ac:dyDescent="0.2">
      <c r="A2448" s="102"/>
      <c r="B2448" s="116"/>
    </row>
    <row r="2449" spans="1:2" x14ac:dyDescent="0.2">
      <c r="A2449" s="102"/>
      <c r="B2449" s="116"/>
    </row>
    <row r="2450" spans="1:2" x14ac:dyDescent="0.2">
      <c r="A2450" s="102"/>
      <c r="B2450" s="116"/>
    </row>
    <row r="2451" spans="1:2" x14ac:dyDescent="0.2">
      <c r="A2451" s="102"/>
      <c r="B2451" s="116"/>
    </row>
    <row r="2452" spans="1:2" x14ac:dyDescent="0.2">
      <c r="A2452" s="102"/>
      <c r="B2452" s="116"/>
    </row>
    <row r="2453" spans="1:2" x14ac:dyDescent="0.2">
      <c r="A2453" s="102"/>
      <c r="B2453" s="116"/>
    </row>
    <row r="2454" spans="1:2" x14ac:dyDescent="0.2">
      <c r="A2454" s="102"/>
      <c r="B2454" s="116"/>
    </row>
    <row r="2455" spans="1:2" x14ac:dyDescent="0.2">
      <c r="A2455" s="102"/>
      <c r="B2455" s="116"/>
    </row>
    <row r="2456" spans="1:2" x14ac:dyDescent="0.2">
      <c r="A2456" s="102"/>
      <c r="B2456" s="116"/>
    </row>
    <row r="2457" spans="1:2" x14ac:dyDescent="0.2">
      <c r="A2457" s="102"/>
      <c r="B2457" s="116"/>
    </row>
    <row r="2458" spans="1:2" x14ac:dyDescent="0.2">
      <c r="A2458" s="102"/>
      <c r="B2458" s="116"/>
    </row>
    <row r="2459" spans="1:2" x14ac:dyDescent="0.2">
      <c r="A2459" s="102"/>
      <c r="B2459" s="116"/>
    </row>
    <row r="2460" spans="1:2" x14ac:dyDescent="0.2">
      <c r="A2460" s="102"/>
      <c r="B2460" s="116"/>
    </row>
    <row r="2461" spans="1:2" x14ac:dyDescent="0.2">
      <c r="A2461" s="102"/>
      <c r="B2461" s="116"/>
    </row>
    <row r="2462" spans="1:2" x14ac:dyDescent="0.2">
      <c r="A2462" s="102"/>
      <c r="B2462" s="116"/>
    </row>
    <row r="2463" spans="1:2" x14ac:dyDescent="0.2">
      <c r="A2463" s="102"/>
      <c r="B2463" s="116"/>
    </row>
    <row r="2464" spans="1:2" x14ac:dyDescent="0.2">
      <c r="A2464" s="102"/>
      <c r="B2464" s="116"/>
    </row>
    <row r="2465" spans="1:2" x14ac:dyDescent="0.2">
      <c r="A2465" s="102"/>
      <c r="B2465" s="116"/>
    </row>
    <row r="2466" spans="1:2" x14ac:dyDescent="0.2">
      <c r="A2466" s="102"/>
      <c r="B2466" s="116"/>
    </row>
    <row r="2467" spans="1:2" x14ac:dyDescent="0.2">
      <c r="A2467" s="102"/>
      <c r="B2467" s="116"/>
    </row>
    <row r="2468" spans="1:2" x14ac:dyDescent="0.2">
      <c r="A2468" s="102"/>
      <c r="B2468" s="116"/>
    </row>
    <row r="2469" spans="1:2" x14ac:dyDescent="0.2">
      <c r="A2469" s="102"/>
      <c r="B2469" s="116"/>
    </row>
    <row r="2470" spans="1:2" x14ac:dyDescent="0.2">
      <c r="A2470" s="102"/>
      <c r="B2470" s="116"/>
    </row>
    <row r="2471" spans="1:2" x14ac:dyDescent="0.2">
      <c r="A2471" s="102"/>
      <c r="B2471" s="116"/>
    </row>
    <row r="2472" spans="1:2" x14ac:dyDescent="0.2">
      <c r="A2472" s="102"/>
      <c r="B2472" s="116"/>
    </row>
    <row r="2473" spans="1:2" x14ac:dyDescent="0.2">
      <c r="A2473" s="102"/>
      <c r="B2473" s="116"/>
    </row>
    <row r="2474" spans="1:2" x14ac:dyDescent="0.2">
      <c r="A2474" s="102"/>
      <c r="B2474" s="116"/>
    </row>
    <row r="2475" spans="1:2" x14ac:dyDescent="0.2">
      <c r="A2475" s="102"/>
      <c r="B2475" s="116"/>
    </row>
    <row r="2476" spans="1:2" x14ac:dyDescent="0.2">
      <c r="A2476" s="102"/>
      <c r="B2476" s="116"/>
    </row>
    <row r="2477" spans="1:2" x14ac:dyDescent="0.2">
      <c r="A2477" s="102"/>
      <c r="B2477" s="116"/>
    </row>
    <row r="2478" spans="1:2" x14ac:dyDescent="0.2">
      <c r="A2478" s="102"/>
      <c r="B2478" s="116"/>
    </row>
    <row r="2479" spans="1:2" x14ac:dyDescent="0.2">
      <c r="A2479" s="102"/>
      <c r="B2479" s="116"/>
    </row>
    <row r="2480" spans="1:2" x14ac:dyDescent="0.2">
      <c r="A2480" s="102"/>
      <c r="B2480" s="116"/>
    </row>
    <row r="2481" spans="1:2" x14ac:dyDescent="0.2">
      <c r="A2481" s="102"/>
      <c r="B2481" s="116"/>
    </row>
    <row r="2482" spans="1:2" x14ac:dyDescent="0.2">
      <c r="A2482" s="102"/>
      <c r="B2482" s="116"/>
    </row>
    <row r="2483" spans="1:2" x14ac:dyDescent="0.2">
      <c r="A2483" s="102"/>
      <c r="B2483" s="116"/>
    </row>
    <row r="2484" spans="1:2" x14ac:dyDescent="0.2">
      <c r="A2484" s="102"/>
      <c r="B2484" s="116"/>
    </row>
    <row r="2485" spans="1:2" x14ac:dyDescent="0.2">
      <c r="A2485" s="102"/>
      <c r="B2485" s="116"/>
    </row>
    <row r="2486" spans="1:2" x14ac:dyDescent="0.2">
      <c r="A2486" s="102"/>
      <c r="B2486" s="116"/>
    </row>
    <row r="2487" spans="1:2" x14ac:dyDescent="0.2">
      <c r="A2487" s="102"/>
      <c r="B2487" s="116"/>
    </row>
    <row r="2488" spans="1:2" x14ac:dyDescent="0.2">
      <c r="A2488" s="102"/>
      <c r="B2488" s="116"/>
    </row>
    <row r="2489" spans="1:2" x14ac:dyDescent="0.2">
      <c r="A2489" s="102"/>
      <c r="B2489" s="116"/>
    </row>
    <row r="2490" spans="1:2" x14ac:dyDescent="0.2">
      <c r="A2490" s="102"/>
      <c r="B2490" s="116"/>
    </row>
    <row r="2491" spans="1:2" x14ac:dyDescent="0.2">
      <c r="A2491" s="102"/>
      <c r="B2491" s="116"/>
    </row>
    <row r="2492" spans="1:2" x14ac:dyDescent="0.2">
      <c r="A2492" s="102"/>
      <c r="B2492" s="116"/>
    </row>
    <row r="2493" spans="1:2" x14ac:dyDescent="0.2">
      <c r="A2493" s="102"/>
      <c r="B2493" s="116"/>
    </row>
    <row r="2494" spans="1:2" x14ac:dyDescent="0.2">
      <c r="A2494" s="102"/>
      <c r="B2494" s="116"/>
    </row>
    <row r="2495" spans="1:2" x14ac:dyDescent="0.2">
      <c r="A2495" s="102"/>
      <c r="B2495" s="116"/>
    </row>
    <row r="2496" spans="1:2" x14ac:dyDescent="0.2">
      <c r="A2496" s="102"/>
      <c r="B2496" s="116"/>
    </row>
    <row r="2497" spans="1:2" x14ac:dyDescent="0.2">
      <c r="A2497" s="102"/>
      <c r="B2497" s="116"/>
    </row>
    <row r="2498" spans="1:2" x14ac:dyDescent="0.2">
      <c r="A2498" s="102"/>
      <c r="B2498" s="116"/>
    </row>
    <row r="2499" spans="1:2" x14ac:dyDescent="0.2">
      <c r="A2499" s="102"/>
      <c r="B2499" s="116"/>
    </row>
    <row r="2500" spans="1:2" x14ac:dyDescent="0.2">
      <c r="A2500" s="102"/>
      <c r="B2500" s="116"/>
    </row>
    <row r="2501" spans="1:2" x14ac:dyDescent="0.2">
      <c r="A2501" s="102"/>
      <c r="B2501" s="116"/>
    </row>
    <row r="2502" spans="1:2" x14ac:dyDescent="0.2">
      <c r="A2502" s="102"/>
      <c r="B2502" s="116"/>
    </row>
    <row r="2503" spans="1:2" x14ac:dyDescent="0.2">
      <c r="A2503" s="102"/>
      <c r="B2503" s="116"/>
    </row>
    <row r="2504" spans="1:2" x14ac:dyDescent="0.2">
      <c r="A2504" s="102"/>
      <c r="B2504" s="116"/>
    </row>
    <row r="2505" spans="1:2" x14ac:dyDescent="0.2">
      <c r="A2505" s="102"/>
      <c r="B2505" s="116"/>
    </row>
    <row r="2506" spans="1:2" x14ac:dyDescent="0.2">
      <c r="A2506" s="102"/>
      <c r="B2506" s="116"/>
    </row>
    <row r="2507" spans="1:2" x14ac:dyDescent="0.2">
      <c r="A2507" s="102"/>
      <c r="B2507" s="116"/>
    </row>
    <row r="2508" spans="1:2" x14ac:dyDescent="0.2">
      <c r="A2508" s="102"/>
      <c r="B2508" s="116"/>
    </row>
    <row r="2509" spans="1:2" x14ac:dyDescent="0.2">
      <c r="A2509" s="102"/>
      <c r="B2509" s="116"/>
    </row>
    <row r="2510" spans="1:2" x14ac:dyDescent="0.2">
      <c r="A2510" s="102"/>
      <c r="B2510" s="116"/>
    </row>
    <row r="2511" spans="1:2" x14ac:dyDescent="0.2">
      <c r="A2511" s="102"/>
      <c r="B2511" s="116"/>
    </row>
    <row r="2512" spans="1:2" x14ac:dyDescent="0.2">
      <c r="A2512" s="102"/>
      <c r="B2512" s="116"/>
    </row>
    <row r="2513" spans="1:2" x14ac:dyDescent="0.2">
      <c r="A2513" s="102"/>
      <c r="B2513" s="116"/>
    </row>
    <row r="2514" spans="1:2" x14ac:dyDescent="0.2">
      <c r="A2514" s="102"/>
      <c r="B2514" s="116"/>
    </row>
    <row r="2515" spans="1:2" x14ac:dyDescent="0.2">
      <c r="A2515" s="102"/>
      <c r="B2515" s="116"/>
    </row>
    <row r="2516" spans="1:2" x14ac:dyDescent="0.2">
      <c r="A2516" s="102"/>
      <c r="B2516" s="116"/>
    </row>
    <row r="2517" spans="1:2" x14ac:dyDescent="0.2">
      <c r="A2517" s="102"/>
      <c r="B2517" s="116"/>
    </row>
    <row r="2518" spans="1:2" x14ac:dyDescent="0.2">
      <c r="A2518" s="102"/>
      <c r="B2518" s="116"/>
    </row>
    <row r="2519" spans="1:2" x14ac:dyDescent="0.2">
      <c r="A2519" s="102"/>
      <c r="B2519" s="116"/>
    </row>
    <row r="2520" spans="1:2" x14ac:dyDescent="0.2">
      <c r="A2520" s="102"/>
      <c r="B2520" s="116"/>
    </row>
    <row r="2521" spans="1:2" x14ac:dyDescent="0.2">
      <c r="A2521" s="102"/>
      <c r="B2521" s="116"/>
    </row>
    <row r="2522" spans="1:2" x14ac:dyDescent="0.2">
      <c r="A2522" s="102"/>
      <c r="B2522" s="116"/>
    </row>
    <row r="2523" spans="1:2" x14ac:dyDescent="0.2">
      <c r="A2523" s="102"/>
      <c r="B2523" s="116"/>
    </row>
    <row r="2524" spans="1:2" x14ac:dyDescent="0.2">
      <c r="A2524" s="102"/>
      <c r="B2524" s="116"/>
    </row>
    <row r="2525" spans="1:2" x14ac:dyDescent="0.2">
      <c r="A2525" s="102"/>
      <c r="B2525" s="116"/>
    </row>
    <row r="2526" spans="1:2" x14ac:dyDescent="0.2">
      <c r="A2526" s="102"/>
      <c r="B2526" s="116"/>
    </row>
    <row r="2527" spans="1:2" x14ac:dyDescent="0.2">
      <c r="A2527" s="102"/>
      <c r="B2527" s="116"/>
    </row>
    <row r="2528" spans="1:2" x14ac:dyDescent="0.2">
      <c r="A2528" s="102"/>
      <c r="B2528" s="116"/>
    </row>
    <row r="2529" spans="1:2" x14ac:dyDescent="0.2">
      <c r="A2529" s="102"/>
      <c r="B2529" s="116"/>
    </row>
    <row r="2530" spans="1:2" x14ac:dyDescent="0.2">
      <c r="A2530" s="102"/>
      <c r="B2530" s="116"/>
    </row>
    <row r="2531" spans="1:2" x14ac:dyDescent="0.2">
      <c r="A2531" s="102"/>
      <c r="B2531" s="116"/>
    </row>
    <row r="2532" spans="1:2" x14ac:dyDescent="0.2">
      <c r="A2532" s="102"/>
      <c r="B2532" s="116"/>
    </row>
    <row r="2533" spans="1:2" x14ac:dyDescent="0.2">
      <c r="A2533" s="102"/>
      <c r="B2533" s="116"/>
    </row>
    <row r="2534" spans="1:2" x14ac:dyDescent="0.2">
      <c r="A2534" s="102"/>
      <c r="B2534" s="116"/>
    </row>
    <row r="2535" spans="1:2" x14ac:dyDescent="0.2">
      <c r="A2535" s="102"/>
      <c r="B2535" s="116"/>
    </row>
    <row r="2536" spans="1:2" x14ac:dyDescent="0.2">
      <c r="A2536" s="102"/>
      <c r="B2536" s="116"/>
    </row>
    <row r="2537" spans="1:2" x14ac:dyDescent="0.2">
      <c r="A2537" s="102"/>
      <c r="B2537" s="116"/>
    </row>
    <row r="2538" spans="1:2" x14ac:dyDescent="0.2">
      <c r="A2538" s="102"/>
      <c r="B2538" s="116"/>
    </row>
    <row r="2539" spans="1:2" x14ac:dyDescent="0.2">
      <c r="A2539" s="102"/>
      <c r="B2539" s="116"/>
    </row>
    <row r="2540" spans="1:2" x14ac:dyDescent="0.2">
      <c r="A2540" s="102"/>
      <c r="B2540" s="116"/>
    </row>
    <row r="2541" spans="1:2" x14ac:dyDescent="0.2">
      <c r="A2541" s="102"/>
      <c r="B2541" s="116"/>
    </row>
    <row r="2542" spans="1:2" x14ac:dyDescent="0.2">
      <c r="A2542" s="102"/>
      <c r="B2542" s="116"/>
    </row>
    <row r="2543" spans="1:2" x14ac:dyDescent="0.2">
      <c r="A2543" s="102"/>
      <c r="B2543" s="116"/>
    </row>
    <row r="2544" spans="1:2" x14ac:dyDescent="0.2">
      <c r="A2544" s="102"/>
      <c r="B2544" s="116"/>
    </row>
    <row r="2545" spans="1:2" x14ac:dyDescent="0.2">
      <c r="A2545" s="102"/>
      <c r="B2545" s="116"/>
    </row>
    <row r="2546" spans="1:2" x14ac:dyDescent="0.2">
      <c r="A2546" s="102"/>
      <c r="B2546" s="116"/>
    </row>
    <row r="2547" spans="1:2" x14ac:dyDescent="0.2">
      <c r="A2547" s="102"/>
      <c r="B2547" s="116"/>
    </row>
    <row r="2548" spans="1:2" x14ac:dyDescent="0.2">
      <c r="A2548" s="102"/>
      <c r="B2548" s="116"/>
    </row>
    <row r="2549" spans="1:2" x14ac:dyDescent="0.2">
      <c r="A2549" s="102"/>
      <c r="B2549" s="116"/>
    </row>
    <row r="2550" spans="1:2" x14ac:dyDescent="0.2">
      <c r="A2550" s="102"/>
      <c r="B2550" s="116"/>
    </row>
    <row r="2551" spans="1:2" x14ac:dyDescent="0.2">
      <c r="A2551" s="102"/>
      <c r="B2551" s="116"/>
    </row>
    <row r="2552" spans="1:2" x14ac:dyDescent="0.2">
      <c r="A2552" s="102"/>
      <c r="B2552" s="116"/>
    </row>
    <row r="2553" spans="1:2" x14ac:dyDescent="0.2">
      <c r="A2553" s="102"/>
      <c r="B2553" s="116"/>
    </row>
    <row r="2554" spans="1:2" x14ac:dyDescent="0.2">
      <c r="A2554" s="102"/>
      <c r="B2554" s="116"/>
    </row>
    <row r="2555" spans="1:2" x14ac:dyDescent="0.2">
      <c r="A2555" s="102"/>
      <c r="B2555" s="116"/>
    </row>
    <row r="2556" spans="1:2" x14ac:dyDescent="0.2">
      <c r="A2556" s="102"/>
      <c r="B2556" s="116"/>
    </row>
    <row r="2557" spans="1:2" x14ac:dyDescent="0.2">
      <c r="A2557" s="102"/>
      <c r="B2557" s="116"/>
    </row>
    <row r="2558" spans="1:2" x14ac:dyDescent="0.2">
      <c r="A2558" s="102"/>
      <c r="B2558" s="116"/>
    </row>
    <row r="2559" spans="1:2" x14ac:dyDescent="0.2">
      <c r="A2559" s="102"/>
      <c r="B2559" s="116"/>
    </row>
    <row r="2560" spans="1:2" x14ac:dyDescent="0.2">
      <c r="A2560" s="102"/>
      <c r="B2560" s="116"/>
    </row>
    <row r="2561" spans="1:2" x14ac:dyDescent="0.2">
      <c r="A2561" s="102"/>
      <c r="B2561" s="116"/>
    </row>
    <row r="2562" spans="1:2" x14ac:dyDescent="0.2">
      <c r="A2562" s="102"/>
      <c r="B2562" s="116"/>
    </row>
    <row r="2563" spans="1:2" x14ac:dyDescent="0.2">
      <c r="A2563" s="102"/>
      <c r="B2563" s="116"/>
    </row>
    <row r="2564" spans="1:2" x14ac:dyDescent="0.2">
      <c r="A2564" s="102"/>
      <c r="B2564" s="116"/>
    </row>
    <row r="2565" spans="1:2" x14ac:dyDescent="0.2">
      <c r="A2565" s="102"/>
      <c r="B2565" s="116"/>
    </row>
    <row r="2566" spans="1:2" x14ac:dyDescent="0.2">
      <c r="A2566" s="102"/>
      <c r="B2566" s="116"/>
    </row>
    <row r="2567" spans="1:2" x14ac:dyDescent="0.2">
      <c r="A2567" s="102"/>
      <c r="B2567" s="116"/>
    </row>
    <row r="2568" spans="1:2" x14ac:dyDescent="0.2">
      <c r="A2568" s="102"/>
      <c r="B2568" s="116"/>
    </row>
    <row r="2569" spans="1:2" x14ac:dyDescent="0.2">
      <c r="A2569" s="102"/>
      <c r="B2569" s="116"/>
    </row>
    <row r="2570" spans="1:2" x14ac:dyDescent="0.2">
      <c r="A2570" s="102"/>
      <c r="B2570" s="116"/>
    </row>
    <row r="2571" spans="1:2" x14ac:dyDescent="0.2">
      <c r="A2571" s="102"/>
      <c r="B2571" s="116"/>
    </row>
    <row r="2572" spans="1:2" x14ac:dyDescent="0.2">
      <c r="A2572" s="102"/>
      <c r="B2572" s="116"/>
    </row>
    <row r="2573" spans="1:2" x14ac:dyDescent="0.2">
      <c r="A2573" s="102"/>
      <c r="B2573" s="116"/>
    </row>
    <row r="2574" spans="1:2" x14ac:dyDescent="0.2">
      <c r="A2574" s="102"/>
      <c r="B2574" s="116"/>
    </row>
    <row r="2575" spans="1:2" x14ac:dyDescent="0.2">
      <c r="A2575" s="102"/>
      <c r="B2575" s="116"/>
    </row>
    <row r="2576" spans="1:2" x14ac:dyDescent="0.2">
      <c r="A2576" s="102"/>
      <c r="B2576" s="116"/>
    </row>
    <row r="2577" spans="1:2" x14ac:dyDescent="0.2">
      <c r="A2577" s="102"/>
      <c r="B2577" s="116"/>
    </row>
    <row r="2578" spans="1:2" x14ac:dyDescent="0.2">
      <c r="A2578" s="102"/>
      <c r="B2578" s="116"/>
    </row>
    <row r="2579" spans="1:2" x14ac:dyDescent="0.2">
      <c r="A2579" s="102"/>
      <c r="B2579" s="116"/>
    </row>
    <row r="2580" spans="1:2" x14ac:dyDescent="0.2">
      <c r="A2580" s="102"/>
      <c r="B2580" s="116"/>
    </row>
    <row r="2581" spans="1:2" x14ac:dyDescent="0.2">
      <c r="A2581" s="102"/>
      <c r="B2581" s="116"/>
    </row>
    <row r="2582" spans="1:2" x14ac:dyDescent="0.2">
      <c r="A2582" s="102"/>
      <c r="B2582" s="116"/>
    </row>
    <row r="2583" spans="1:2" x14ac:dyDescent="0.2">
      <c r="A2583" s="102"/>
      <c r="B2583" s="116"/>
    </row>
    <row r="2584" spans="1:2" x14ac:dyDescent="0.2">
      <c r="A2584" s="102"/>
      <c r="B2584" s="116"/>
    </row>
    <row r="2585" spans="1:2" x14ac:dyDescent="0.2">
      <c r="A2585" s="102"/>
      <c r="B2585" s="116"/>
    </row>
    <row r="2586" spans="1:2" x14ac:dyDescent="0.2">
      <c r="A2586" s="102"/>
      <c r="B2586" s="116"/>
    </row>
    <row r="2587" spans="1:2" x14ac:dyDescent="0.2">
      <c r="A2587" s="102"/>
      <c r="B2587" s="116"/>
    </row>
    <row r="2588" spans="1:2" x14ac:dyDescent="0.2">
      <c r="A2588" s="102"/>
      <c r="B2588" s="116"/>
    </row>
    <row r="2589" spans="1:2" x14ac:dyDescent="0.2">
      <c r="A2589" s="102"/>
      <c r="B2589" s="116"/>
    </row>
    <row r="2590" spans="1:2" x14ac:dyDescent="0.2">
      <c r="A2590" s="102"/>
      <c r="B2590" s="116"/>
    </row>
    <row r="2591" spans="1:2" x14ac:dyDescent="0.2">
      <c r="A2591" s="102"/>
      <c r="B2591" s="116"/>
    </row>
    <row r="2592" spans="1:2" x14ac:dyDescent="0.2">
      <c r="A2592" s="102"/>
      <c r="B2592" s="116"/>
    </row>
    <row r="2593" spans="1:2" x14ac:dyDescent="0.2">
      <c r="A2593" s="102"/>
      <c r="B2593" s="116"/>
    </row>
    <row r="2594" spans="1:2" x14ac:dyDescent="0.2">
      <c r="A2594" s="102"/>
      <c r="B2594" s="116"/>
    </row>
    <row r="2595" spans="1:2" x14ac:dyDescent="0.2">
      <c r="A2595" s="102"/>
      <c r="B2595" s="116"/>
    </row>
    <row r="2596" spans="1:2" x14ac:dyDescent="0.2">
      <c r="A2596" s="102"/>
      <c r="B2596" s="116"/>
    </row>
    <row r="2597" spans="1:2" x14ac:dyDescent="0.2">
      <c r="A2597" s="102"/>
      <c r="B2597" s="116"/>
    </row>
    <row r="2598" spans="1:2" x14ac:dyDescent="0.2">
      <c r="A2598" s="102"/>
      <c r="B2598" s="116"/>
    </row>
    <row r="2599" spans="1:2" x14ac:dyDescent="0.2">
      <c r="A2599" s="102"/>
      <c r="B2599" s="116"/>
    </row>
    <row r="2600" spans="1:2" x14ac:dyDescent="0.2">
      <c r="A2600" s="102"/>
      <c r="B2600" s="116"/>
    </row>
    <row r="2601" spans="1:2" x14ac:dyDescent="0.2">
      <c r="A2601" s="102"/>
      <c r="B2601" s="116"/>
    </row>
    <row r="2602" spans="1:2" x14ac:dyDescent="0.2">
      <c r="A2602" s="102"/>
      <c r="B2602" s="116"/>
    </row>
    <row r="2603" spans="1:2" x14ac:dyDescent="0.2">
      <c r="A2603" s="102"/>
      <c r="B2603" s="116"/>
    </row>
    <row r="2604" spans="1:2" x14ac:dyDescent="0.2">
      <c r="A2604" s="102"/>
      <c r="B2604" s="116"/>
    </row>
    <row r="2605" spans="1:2" x14ac:dyDescent="0.2">
      <c r="A2605" s="102"/>
      <c r="B2605" s="116"/>
    </row>
    <row r="2606" spans="1:2" x14ac:dyDescent="0.2">
      <c r="A2606" s="102"/>
      <c r="B2606" s="116"/>
    </row>
    <row r="2607" spans="1:2" x14ac:dyDescent="0.2">
      <c r="A2607" s="102"/>
      <c r="B2607" s="116"/>
    </row>
    <row r="2608" spans="1:2" x14ac:dyDescent="0.2">
      <c r="A2608" s="102"/>
      <c r="B2608" s="116"/>
    </row>
    <row r="2609" spans="1:2" x14ac:dyDescent="0.2">
      <c r="A2609" s="102"/>
      <c r="B2609" s="116"/>
    </row>
    <row r="2610" spans="1:2" x14ac:dyDescent="0.2">
      <c r="A2610" s="102"/>
      <c r="B2610" s="116"/>
    </row>
    <row r="2611" spans="1:2" x14ac:dyDescent="0.2">
      <c r="A2611" s="102"/>
      <c r="B2611" s="116"/>
    </row>
    <row r="2612" spans="1:2" x14ac:dyDescent="0.2">
      <c r="A2612" s="102"/>
      <c r="B2612" s="116"/>
    </row>
    <row r="2613" spans="1:2" x14ac:dyDescent="0.2">
      <c r="A2613" s="102"/>
      <c r="B2613" s="116"/>
    </row>
    <row r="2614" spans="1:2" x14ac:dyDescent="0.2">
      <c r="A2614" s="102"/>
      <c r="B2614" s="116"/>
    </row>
    <row r="2615" spans="1:2" x14ac:dyDescent="0.2">
      <c r="A2615" s="102"/>
      <c r="B2615" s="116"/>
    </row>
    <row r="2616" spans="1:2" x14ac:dyDescent="0.2">
      <c r="A2616" s="102"/>
      <c r="B2616" s="116"/>
    </row>
    <row r="2617" spans="1:2" x14ac:dyDescent="0.2">
      <c r="A2617" s="102"/>
      <c r="B2617" s="116"/>
    </row>
    <row r="2618" spans="1:2" x14ac:dyDescent="0.2">
      <c r="A2618" s="102"/>
      <c r="B2618" s="116"/>
    </row>
    <row r="2619" spans="1:2" x14ac:dyDescent="0.2">
      <c r="A2619" s="102"/>
      <c r="B2619" s="116"/>
    </row>
    <row r="2620" spans="1:2" x14ac:dyDescent="0.2">
      <c r="A2620" s="102"/>
      <c r="B2620" s="116"/>
    </row>
    <row r="2621" spans="1:2" x14ac:dyDescent="0.2">
      <c r="A2621" s="102"/>
      <c r="B2621" s="116"/>
    </row>
    <row r="2622" spans="1:2" x14ac:dyDescent="0.2">
      <c r="A2622" s="102"/>
      <c r="B2622" s="116"/>
    </row>
    <row r="2623" spans="1:2" x14ac:dyDescent="0.2">
      <c r="A2623" s="102"/>
      <c r="B2623" s="116"/>
    </row>
    <row r="2624" spans="1:2" x14ac:dyDescent="0.2">
      <c r="A2624" s="102"/>
      <c r="B2624" s="116"/>
    </row>
    <row r="2625" spans="1:2" x14ac:dyDescent="0.2">
      <c r="A2625" s="102"/>
      <c r="B2625" s="116"/>
    </row>
    <row r="2626" spans="1:2" x14ac:dyDescent="0.2">
      <c r="A2626" s="102"/>
      <c r="B2626" s="116"/>
    </row>
    <row r="2627" spans="1:2" x14ac:dyDescent="0.2">
      <c r="A2627" s="102"/>
      <c r="B2627" s="116"/>
    </row>
    <row r="2628" spans="1:2" x14ac:dyDescent="0.2">
      <c r="A2628" s="102"/>
      <c r="B2628" s="116"/>
    </row>
    <row r="2629" spans="1:2" x14ac:dyDescent="0.2">
      <c r="A2629" s="102"/>
      <c r="B2629" s="116"/>
    </row>
    <row r="2630" spans="1:2" x14ac:dyDescent="0.2">
      <c r="A2630" s="102"/>
      <c r="B2630" s="116"/>
    </row>
    <row r="2631" spans="1:2" x14ac:dyDescent="0.2">
      <c r="A2631" s="102"/>
      <c r="B2631" s="116"/>
    </row>
    <row r="2632" spans="1:2" x14ac:dyDescent="0.2">
      <c r="A2632" s="102"/>
      <c r="B2632" s="116"/>
    </row>
    <row r="2633" spans="1:2" x14ac:dyDescent="0.2">
      <c r="A2633" s="102"/>
      <c r="B2633" s="116"/>
    </row>
    <row r="2634" spans="1:2" x14ac:dyDescent="0.2">
      <c r="A2634" s="102"/>
      <c r="B2634" s="116"/>
    </row>
    <row r="2635" spans="1:2" x14ac:dyDescent="0.2">
      <c r="A2635" s="102"/>
      <c r="B2635" s="116"/>
    </row>
    <row r="2636" spans="1:2" x14ac:dyDescent="0.2">
      <c r="A2636" s="102"/>
      <c r="B2636" s="116"/>
    </row>
    <row r="2637" spans="1:2" x14ac:dyDescent="0.2">
      <c r="A2637" s="102"/>
      <c r="B2637" s="116"/>
    </row>
    <row r="2638" spans="1:2" x14ac:dyDescent="0.2">
      <c r="A2638" s="102"/>
      <c r="B2638" s="116"/>
    </row>
    <row r="2639" spans="1:2" x14ac:dyDescent="0.2">
      <c r="A2639" s="102"/>
      <c r="B2639" s="116"/>
    </row>
    <row r="2640" spans="1:2" x14ac:dyDescent="0.2">
      <c r="A2640" s="102"/>
      <c r="B2640" s="116"/>
    </row>
    <row r="2641" spans="1:2" x14ac:dyDescent="0.2">
      <c r="A2641" s="102"/>
      <c r="B2641" s="116"/>
    </row>
    <row r="2642" spans="1:2" x14ac:dyDescent="0.2">
      <c r="A2642" s="102"/>
      <c r="B2642" s="116"/>
    </row>
    <row r="2643" spans="1:2" x14ac:dyDescent="0.2">
      <c r="A2643" s="102"/>
      <c r="B2643" s="116"/>
    </row>
    <row r="2644" spans="1:2" x14ac:dyDescent="0.2">
      <c r="A2644" s="102"/>
      <c r="B2644" s="116"/>
    </row>
    <row r="2645" spans="1:2" x14ac:dyDescent="0.2">
      <c r="A2645" s="102"/>
      <c r="B2645" s="116"/>
    </row>
    <row r="2646" spans="1:2" x14ac:dyDescent="0.2">
      <c r="A2646" s="102"/>
      <c r="B2646" s="116"/>
    </row>
    <row r="2647" spans="1:2" x14ac:dyDescent="0.2">
      <c r="A2647" s="102"/>
      <c r="B2647" s="116"/>
    </row>
    <row r="2648" spans="1:2" x14ac:dyDescent="0.2">
      <c r="A2648" s="102"/>
      <c r="B2648" s="116"/>
    </row>
    <row r="2649" spans="1:2" x14ac:dyDescent="0.2">
      <c r="A2649" s="102"/>
      <c r="B2649" s="116"/>
    </row>
    <row r="2650" spans="1:2" x14ac:dyDescent="0.2">
      <c r="A2650" s="102"/>
      <c r="B2650" s="116"/>
    </row>
    <row r="2651" spans="1:2" x14ac:dyDescent="0.2">
      <c r="A2651" s="102"/>
      <c r="B2651" s="116"/>
    </row>
    <row r="2652" spans="1:2" x14ac:dyDescent="0.2">
      <c r="A2652" s="102"/>
      <c r="B2652" s="116"/>
    </row>
    <row r="2653" spans="1:2" x14ac:dyDescent="0.2">
      <c r="A2653" s="102"/>
      <c r="B2653" s="116"/>
    </row>
    <row r="2654" spans="1:2" x14ac:dyDescent="0.2">
      <c r="A2654" s="102"/>
      <c r="B2654" s="116"/>
    </row>
    <row r="2655" spans="1:2" x14ac:dyDescent="0.2">
      <c r="A2655" s="102"/>
      <c r="B2655" s="116"/>
    </row>
    <row r="2656" spans="1:2" x14ac:dyDescent="0.2">
      <c r="A2656" s="102"/>
      <c r="B2656" s="116"/>
    </row>
    <row r="2657" spans="1:2" x14ac:dyDescent="0.2">
      <c r="A2657" s="102"/>
      <c r="B2657" s="116"/>
    </row>
    <row r="2658" spans="1:2" x14ac:dyDescent="0.2">
      <c r="A2658" s="102"/>
      <c r="B2658" s="116"/>
    </row>
    <row r="2659" spans="1:2" x14ac:dyDescent="0.2">
      <c r="A2659" s="102"/>
      <c r="B2659" s="116"/>
    </row>
    <row r="2660" spans="1:2" x14ac:dyDescent="0.2">
      <c r="A2660" s="102"/>
      <c r="B2660" s="116"/>
    </row>
    <row r="2661" spans="1:2" x14ac:dyDescent="0.2">
      <c r="A2661" s="102"/>
      <c r="B2661" s="116"/>
    </row>
    <row r="2662" spans="1:2" x14ac:dyDescent="0.2">
      <c r="A2662" s="102"/>
      <c r="B2662" s="116"/>
    </row>
    <row r="2663" spans="1:2" x14ac:dyDescent="0.2">
      <c r="A2663" s="102"/>
      <c r="B2663" s="116"/>
    </row>
    <row r="2664" spans="1:2" x14ac:dyDescent="0.2">
      <c r="A2664" s="102"/>
      <c r="B2664" s="116"/>
    </row>
    <row r="2665" spans="1:2" x14ac:dyDescent="0.2">
      <c r="A2665" s="102"/>
      <c r="B2665" s="116"/>
    </row>
    <row r="2666" spans="1:2" x14ac:dyDescent="0.2">
      <c r="A2666" s="102"/>
      <c r="B2666" s="116"/>
    </row>
    <row r="2667" spans="1:2" x14ac:dyDescent="0.2">
      <c r="A2667" s="102"/>
      <c r="B2667" s="116"/>
    </row>
    <row r="2668" spans="1:2" x14ac:dyDescent="0.2">
      <c r="A2668" s="102"/>
      <c r="B2668" s="116"/>
    </row>
    <row r="2669" spans="1:2" x14ac:dyDescent="0.2">
      <c r="A2669" s="102"/>
      <c r="B2669" s="116"/>
    </row>
    <row r="2670" spans="1:2" x14ac:dyDescent="0.2">
      <c r="A2670" s="102"/>
      <c r="B2670" s="116"/>
    </row>
    <row r="2671" spans="1:2" x14ac:dyDescent="0.2">
      <c r="A2671" s="102"/>
      <c r="B2671" s="116"/>
    </row>
    <row r="2672" spans="1:2" x14ac:dyDescent="0.2">
      <c r="A2672" s="102"/>
      <c r="B2672" s="116"/>
    </row>
    <row r="2673" spans="1:2" x14ac:dyDescent="0.2">
      <c r="A2673" s="102"/>
      <c r="B2673" s="116"/>
    </row>
    <row r="2674" spans="1:2" x14ac:dyDescent="0.2">
      <c r="A2674" s="102"/>
      <c r="B2674" s="116"/>
    </row>
    <row r="2675" spans="1:2" x14ac:dyDescent="0.2">
      <c r="A2675" s="102"/>
      <c r="B2675" s="116"/>
    </row>
    <row r="2676" spans="1:2" x14ac:dyDescent="0.2">
      <c r="A2676" s="102"/>
      <c r="B2676" s="116"/>
    </row>
    <row r="2677" spans="1:2" x14ac:dyDescent="0.2">
      <c r="A2677" s="102"/>
      <c r="B2677" s="116"/>
    </row>
    <row r="2678" spans="1:2" x14ac:dyDescent="0.2">
      <c r="A2678" s="102"/>
      <c r="B2678" s="116"/>
    </row>
    <row r="2679" spans="1:2" x14ac:dyDescent="0.2">
      <c r="A2679" s="102"/>
      <c r="B2679" s="116"/>
    </row>
    <row r="2680" spans="1:2" x14ac:dyDescent="0.2">
      <c r="A2680" s="102"/>
      <c r="B2680" s="116"/>
    </row>
    <row r="2681" spans="1:2" x14ac:dyDescent="0.2">
      <c r="A2681" s="102"/>
      <c r="B2681" s="116"/>
    </row>
    <row r="2682" spans="1:2" x14ac:dyDescent="0.2">
      <c r="A2682" s="102"/>
      <c r="B2682" s="116"/>
    </row>
    <row r="2683" spans="1:2" x14ac:dyDescent="0.2">
      <c r="A2683" s="102"/>
      <c r="B2683" s="116"/>
    </row>
    <row r="2684" spans="1:2" x14ac:dyDescent="0.2">
      <c r="A2684" s="102"/>
      <c r="B2684" s="116"/>
    </row>
    <row r="2685" spans="1:2" x14ac:dyDescent="0.2">
      <c r="A2685" s="102"/>
      <c r="B2685" s="116"/>
    </row>
    <row r="2686" spans="1:2" x14ac:dyDescent="0.2">
      <c r="A2686" s="102"/>
      <c r="B2686" s="116"/>
    </row>
    <row r="2687" spans="1:2" x14ac:dyDescent="0.2">
      <c r="A2687" s="102"/>
      <c r="B2687" s="116"/>
    </row>
    <row r="2688" spans="1:2" x14ac:dyDescent="0.2">
      <c r="A2688" s="102"/>
      <c r="B2688" s="116"/>
    </row>
    <row r="2689" spans="1:2" x14ac:dyDescent="0.2">
      <c r="A2689" s="102"/>
      <c r="B2689" s="116"/>
    </row>
    <row r="2690" spans="1:2" x14ac:dyDescent="0.2">
      <c r="A2690" s="102"/>
      <c r="B2690" s="116"/>
    </row>
    <row r="2691" spans="1:2" x14ac:dyDescent="0.2">
      <c r="A2691" s="102"/>
      <c r="B2691" s="116"/>
    </row>
    <row r="2692" spans="1:2" x14ac:dyDescent="0.2">
      <c r="A2692" s="102"/>
      <c r="B2692" s="116"/>
    </row>
    <row r="2693" spans="1:2" x14ac:dyDescent="0.2">
      <c r="A2693" s="102"/>
      <c r="B2693" s="116"/>
    </row>
    <row r="2694" spans="1:2" x14ac:dyDescent="0.2">
      <c r="A2694" s="102"/>
      <c r="B2694" s="116"/>
    </row>
    <row r="2695" spans="1:2" x14ac:dyDescent="0.2">
      <c r="A2695" s="102"/>
      <c r="B2695" s="116"/>
    </row>
    <row r="2696" spans="1:2" x14ac:dyDescent="0.2">
      <c r="A2696" s="102"/>
      <c r="B2696" s="116"/>
    </row>
    <row r="2697" spans="1:2" x14ac:dyDescent="0.2">
      <c r="A2697" s="102"/>
      <c r="B2697" s="116"/>
    </row>
    <row r="2698" spans="1:2" x14ac:dyDescent="0.2">
      <c r="A2698" s="102"/>
      <c r="B2698" s="116"/>
    </row>
    <row r="2699" spans="1:2" x14ac:dyDescent="0.2">
      <c r="A2699" s="102"/>
      <c r="B2699" s="116"/>
    </row>
    <row r="2700" spans="1:2" x14ac:dyDescent="0.2">
      <c r="A2700" s="102"/>
      <c r="B2700" s="116"/>
    </row>
    <row r="2701" spans="1:2" x14ac:dyDescent="0.2">
      <c r="A2701" s="102"/>
      <c r="B2701" s="116"/>
    </row>
    <row r="2702" spans="1:2" x14ac:dyDescent="0.2">
      <c r="A2702" s="102"/>
      <c r="B2702" s="116"/>
    </row>
    <row r="2703" spans="1:2" x14ac:dyDescent="0.2">
      <c r="A2703" s="102"/>
      <c r="B2703" s="116"/>
    </row>
    <row r="2704" spans="1:2" x14ac:dyDescent="0.2">
      <c r="A2704" s="102"/>
      <c r="B2704" s="116"/>
    </row>
    <row r="2705" spans="1:2" x14ac:dyDescent="0.2">
      <c r="A2705" s="102"/>
      <c r="B2705" s="116"/>
    </row>
    <row r="2706" spans="1:2" x14ac:dyDescent="0.2">
      <c r="A2706" s="102"/>
      <c r="B2706" s="116"/>
    </row>
    <row r="2707" spans="1:2" x14ac:dyDescent="0.2">
      <c r="A2707" s="102"/>
      <c r="B2707" s="116"/>
    </row>
    <row r="2708" spans="1:2" x14ac:dyDescent="0.2">
      <c r="A2708" s="102"/>
      <c r="B2708" s="116"/>
    </row>
    <row r="2709" spans="1:2" x14ac:dyDescent="0.2">
      <c r="A2709" s="102"/>
      <c r="B2709" s="116"/>
    </row>
    <row r="2710" spans="1:2" x14ac:dyDescent="0.2">
      <c r="A2710" s="102"/>
      <c r="B2710" s="116"/>
    </row>
    <row r="2711" spans="1:2" x14ac:dyDescent="0.2">
      <c r="A2711" s="102"/>
      <c r="B2711" s="116"/>
    </row>
    <row r="2712" spans="1:2" x14ac:dyDescent="0.2">
      <c r="A2712" s="102"/>
      <c r="B2712" s="116"/>
    </row>
    <row r="2713" spans="1:2" x14ac:dyDescent="0.2">
      <c r="A2713" s="102"/>
      <c r="B2713" s="116"/>
    </row>
    <row r="2714" spans="1:2" x14ac:dyDescent="0.2">
      <c r="A2714" s="102"/>
      <c r="B2714" s="116"/>
    </row>
    <row r="2715" spans="1:2" x14ac:dyDescent="0.2">
      <c r="A2715" s="102"/>
      <c r="B2715" s="116"/>
    </row>
    <row r="2716" spans="1:2" x14ac:dyDescent="0.2">
      <c r="A2716" s="102"/>
      <c r="B2716" s="116"/>
    </row>
    <row r="2717" spans="1:2" x14ac:dyDescent="0.2">
      <c r="A2717" s="102"/>
      <c r="B2717" s="116"/>
    </row>
    <row r="2718" spans="1:2" x14ac:dyDescent="0.2">
      <c r="A2718" s="102"/>
      <c r="B2718" s="116"/>
    </row>
    <row r="2719" spans="1:2" x14ac:dyDescent="0.2">
      <c r="A2719" s="102"/>
      <c r="B2719" s="116"/>
    </row>
    <row r="2720" spans="1:2" x14ac:dyDescent="0.2">
      <c r="A2720" s="102"/>
      <c r="B2720" s="116"/>
    </row>
    <row r="2721" spans="1:2" x14ac:dyDescent="0.2">
      <c r="A2721" s="102"/>
      <c r="B2721" s="116"/>
    </row>
    <row r="2722" spans="1:2" x14ac:dyDescent="0.2">
      <c r="A2722" s="102"/>
      <c r="B2722" s="116"/>
    </row>
    <row r="2723" spans="1:2" x14ac:dyDescent="0.2">
      <c r="A2723" s="102"/>
      <c r="B2723" s="116"/>
    </row>
    <row r="2724" spans="1:2" x14ac:dyDescent="0.2">
      <c r="A2724" s="102"/>
      <c r="B2724" s="116"/>
    </row>
    <row r="2725" spans="1:2" x14ac:dyDescent="0.2">
      <c r="A2725" s="102"/>
      <c r="B2725" s="116"/>
    </row>
    <row r="2726" spans="1:2" x14ac:dyDescent="0.2">
      <c r="A2726" s="102"/>
      <c r="B2726" s="116"/>
    </row>
    <row r="2727" spans="1:2" x14ac:dyDescent="0.2">
      <c r="A2727" s="102"/>
      <c r="B2727" s="116"/>
    </row>
    <row r="2728" spans="1:2" x14ac:dyDescent="0.2">
      <c r="A2728" s="102"/>
      <c r="B2728" s="116"/>
    </row>
    <row r="2729" spans="1:2" x14ac:dyDescent="0.2">
      <c r="A2729" s="102"/>
      <c r="B2729" s="116"/>
    </row>
    <row r="2730" spans="1:2" x14ac:dyDescent="0.2">
      <c r="A2730" s="102"/>
      <c r="B2730" s="116"/>
    </row>
    <row r="2731" spans="1:2" x14ac:dyDescent="0.2">
      <c r="A2731" s="102"/>
      <c r="B2731" s="116"/>
    </row>
    <row r="2732" spans="1:2" x14ac:dyDescent="0.2">
      <c r="A2732" s="102"/>
      <c r="B2732" s="116"/>
    </row>
    <row r="2733" spans="1:2" x14ac:dyDescent="0.2">
      <c r="A2733" s="102"/>
      <c r="B2733" s="116"/>
    </row>
    <row r="2734" spans="1:2" x14ac:dyDescent="0.2">
      <c r="A2734" s="102"/>
      <c r="B2734" s="116"/>
    </row>
    <row r="2735" spans="1:2" x14ac:dyDescent="0.2">
      <c r="A2735" s="102"/>
      <c r="B2735" s="116"/>
    </row>
    <row r="2736" spans="1:2" x14ac:dyDescent="0.2">
      <c r="A2736" s="102"/>
      <c r="B2736" s="116"/>
    </row>
    <row r="2737" spans="1:2" x14ac:dyDescent="0.2">
      <c r="A2737" s="102"/>
      <c r="B2737" s="116"/>
    </row>
    <row r="2738" spans="1:2" x14ac:dyDescent="0.2">
      <c r="A2738" s="102"/>
      <c r="B2738" s="116"/>
    </row>
    <row r="2739" spans="1:2" x14ac:dyDescent="0.2">
      <c r="A2739" s="102"/>
      <c r="B2739" s="116"/>
    </row>
    <row r="2740" spans="1:2" x14ac:dyDescent="0.2">
      <c r="A2740" s="102"/>
      <c r="B2740" s="116"/>
    </row>
    <row r="2741" spans="1:2" x14ac:dyDescent="0.2">
      <c r="A2741" s="102"/>
      <c r="B2741" s="116"/>
    </row>
    <row r="2742" spans="1:2" x14ac:dyDescent="0.2">
      <c r="A2742" s="102"/>
      <c r="B2742" s="116"/>
    </row>
    <row r="2743" spans="1:2" x14ac:dyDescent="0.2">
      <c r="A2743" s="102"/>
      <c r="B2743" s="116"/>
    </row>
    <row r="2744" spans="1:2" x14ac:dyDescent="0.2">
      <c r="A2744" s="102"/>
      <c r="B2744" s="116"/>
    </row>
    <row r="2745" spans="1:2" x14ac:dyDescent="0.2">
      <c r="A2745" s="102"/>
      <c r="B2745" s="116"/>
    </row>
    <row r="2746" spans="1:2" x14ac:dyDescent="0.2">
      <c r="A2746" s="102"/>
      <c r="B2746" s="116"/>
    </row>
    <row r="2747" spans="1:2" x14ac:dyDescent="0.2">
      <c r="A2747" s="102"/>
      <c r="B2747" s="116"/>
    </row>
    <row r="2748" spans="1:2" x14ac:dyDescent="0.2">
      <c r="A2748" s="102"/>
      <c r="B2748" s="116"/>
    </row>
    <row r="2749" spans="1:2" x14ac:dyDescent="0.2">
      <c r="A2749" s="102"/>
      <c r="B2749" s="116"/>
    </row>
    <row r="2750" spans="1:2" x14ac:dyDescent="0.2">
      <c r="A2750" s="102"/>
      <c r="B2750" s="116"/>
    </row>
    <row r="2751" spans="1:2" x14ac:dyDescent="0.2">
      <c r="A2751" s="102"/>
      <c r="B2751" s="116"/>
    </row>
    <row r="2752" spans="1:2" x14ac:dyDescent="0.2">
      <c r="A2752" s="102"/>
      <c r="B2752" s="116"/>
    </row>
    <row r="2753" spans="1:2" x14ac:dyDescent="0.2">
      <c r="A2753" s="102"/>
      <c r="B2753" s="116"/>
    </row>
    <row r="2754" spans="1:2" x14ac:dyDescent="0.2">
      <c r="A2754" s="102"/>
      <c r="B2754" s="116"/>
    </row>
    <row r="2755" spans="1:2" x14ac:dyDescent="0.2">
      <c r="A2755" s="102"/>
      <c r="B2755" s="116"/>
    </row>
    <row r="2756" spans="1:2" x14ac:dyDescent="0.2">
      <c r="A2756" s="102"/>
      <c r="B2756" s="116"/>
    </row>
    <row r="2757" spans="1:2" x14ac:dyDescent="0.2">
      <c r="A2757" s="102"/>
      <c r="B2757" s="116"/>
    </row>
    <row r="2758" spans="1:2" x14ac:dyDescent="0.2">
      <c r="A2758" s="102"/>
      <c r="B2758" s="116"/>
    </row>
    <row r="2759" spans="1:2" x14ac:dyDescent="0.2">
      <c r="A2759" s="102"/>
      <c r="B2759" s="116"/>
    </row>
    <row r="2760" spans="1:2" x14ac:dyDescent="0.2">
      <c r="A2760" s="102"/>
      <c r="B2760" s="116"/>
    </row>
    <row r="2761" spans="1:2" x14ac:dyDescent="0.2">
      <c r="A2761" s="102"/>
      <c r="B2761" s="116"/>
    </row>
    <row r="2762" spans="1:2" x14ac:dyDescent="0.2">
      <c r="A2762" s="102"/>
      <c r="B2762" s="116"/>
    </row>
    <row r="2763" spans="1:2" x14ac:dyDescent="0.2">
      <c r="A2763" s="102"/>
      <c r="B2763" s="116"/>
    </row>
    <row r="2764" spans="1:2" x14ac:dyDescent="0.2">
      <c r="A2764" s="102"/>
      <c r="B2764" s="116"/>
    </row>
    <row r="2765" spans="1:2" x14ac:dyDescent="0.2">
      <c r="A2765" s="102"/>
      <c r="B2765" s="116"/>
    </row>
    <row r="2766" spans="1:2" x14ac:dyDescent="0.2">
      <c r="A2766" s="102"/>
      <c r="B2766" s="116"/>
    </row>
    <row r="2767" spans="1:2" x14ac:dyDescent="0.2">
      <c r="A2767" s="102"/>
      <c r="B2767" s="116"/>
    </row>
    <row r="2768" spans="1:2" x14ac:dyDescent="0.2">
      <c r="A2768" s="102"/>
      <c r="B2768" s="116"/>
    </row>
    <row r="2769" spans="1:2" x14ac:dyDescent="0.2">
      <c r="A2769" s="102"/>
      <c r="B2769" s="116"/>
    </row>
    <row r="2770" spans="1:2" x14ac:dyDescent="0.2">
      <c r="A2770" s="102"/>
      <c r="B2770" s="116"/>
    </row>
    <row r="2771" spans="1:2" x14ac:dyDescent="0.2">
      <c r="A2771" s="102"/>
      <c r="B2771" s="116"/>
    </row>
    <row r="2772" spans="1:2" x14ac:dyDescent="0.2">
      <c r="A2772" s="102"/>
      <c r="B2772" s="116"/>
    </row>
    <row r="2773" spans="1:2" x14ac:dyDescent="0.2">
      <c r="A2773" s="102"/>
      <c r="B2773" s="116"/>
    </row>
    <row r="2774" spans="1:2" x14ac:dyDescent="0.2">
      <c r="A2774" s="102"/>
      <c r="B2774" s="116"/>
    </row>
    <row r="2775" spans="1:2" x14ac:dyDescent="0.2">
      <c r="A2775" s="102"/>
      <c r="B2775" s="116"/>
    </row>
    <row r="2776" spans="1:2" x14ac:dyDescent="0.2">
      <c r="A2776" s="102"/>
      <c r="B2776" s="116"/>
    </row>
    <row r="2777" spans="1:2" x14ac:dyDescent="0.2">
      <c r="A2777" s="102"/>
      <c r="B2777" s="116"/>
    </row>
    <row r="2778" spans="1:2" x14ac:dyDescent="0.2">
      <c r="A2778" s="102"/>
      <c r="B2778" s="116"/>
    </row>
    <row r="2779" spans="1:2" x14ac:dyDescent="0.2">
      <c r="A2779" s="102"/>
      <c r="B2779" s="116"/>
    </row>
    <row r="2780" spans="1:2" x14ac:dyDescent="0.2">
      <c r="A2780" s="102"/>
      <c r="B2780" s="116"/>
    </row>
    <row r="2781" spans="1:2" x14ac:dyDescent="0.2">
      <c r="A2781" s="102"/>
      <c r="B2781" s="116"/>
    </row>
    <row r="2782" spans="1:2" x14ac:dyDescent="0.2">
      <c r="A2782" s="102"/>
      <c r="B2782" s="116"/>
    </row>
    <row r="2783" spans="1:2" x14ac:dyDescent="0.2">
      <c r="A2783" s="102"/>
      <c r="B2783" s="116"/>
    </row>
    <row r="2784" spans="1:2" x14ac:dyDescent="0.2">
      <c r="A2784" s="102"/>
      <c r="B2784" s="116"/>
    </row>
    <row r="2785" spans="1:2" x14ac:dyDescent="0.2">
      <c r="A2785" s="102"/>
      <c r="B2785" s="116"/>
    </row>
    <row r="2786" spans="1:2" x14ac:dyDescent="0.2">
      <c r="A2786" s="102"/>
      <c r="B2786" s="116"/>
    </row>
    <row r="2787" spans="1:2" x14ac:dyDescent="0.2">
      <c r="A2787" s="102"/>
      <c r="B2787" s="116"/>
    </row>
    <row r="2788" spans="1:2" x14ac:dyDescent="0.2">
      <c r="A2788" s="102"/>
      <c r="B2788" s="116"/>
    </row>
    <row r="2789" spans="1:2" x14ac:dyDescent="0.2">
      <c r="A2789" s="102"/>
      <c r="B2789" s="116"/>
    </row>
    <row r="2790" spans="1:2" x14ac:dyDescent="0.2">
      <c r="A2790" s="102"/>
      <c r="B2790" s="116"/>
    </row>
    <row r="2791" spans="1:2" x14ac:dyDescent="0.2">
      <c r="A2791" s="102"/>
      <c r="B2791" s="116"/>
    </row>
    <row r="2792" spans="1:2" x14ac:dyDescent="0.2">
      <c r="A2792" s="102"/>
      <c r="B2792" s="116"/>
    </row>
    <row r="2793" spans="1:2" x14ac:dyDescent="0.2">
      <c r="A2793" s="102"/>
      <c r="B2793" s="116"/>
    </row>
    <row r="2794" spans="1:2" x14ac:dyDescent="0.2">
      <c r="A2794" s="102"/>
      <c r="B2794" s="116"/>
    </row>
    <row r="2795" spans="1:2" x14ac:dyDescent="0.2">
      <c r="A2795" s="102"/>
      <c r="B2795" s="116"/>
    </row>
    <row r="2796" spans="1:2" x14ac:dyDescent="0.2">
      <c r="A2796" s="102"/>
      <c r="B2796" s="116"/>
    </row>
    <row r="2797" spans="1:2" x14ac:dyDescent="0.2">
      <c r="A2797" s="102"/>
      <c r="B2797" s="116"/>
    </row>
    <row r="2798" spans="1:2" x14ac:dyDescent="0.2">
      <c r="A2798" s="102"/>
      <c r="B2798" s="116"/>
    </row>
    <row r="2799" spans="1:2" x14ac:dyDescent="0.2">
      <c r="A2799" s="102"/>
      <c r="B2799" s="116"/>
    </row>
    <row r="2800" spans="1:2" x14ac:dyDescent="0.2">
      <c r="A2800" s="102"/>
      <c r="B2800" s="116"/>
    </row>
    <row r="2801" spans="1:2" x14ac:dyDescent="0.2">
      <c r="A2801" s="102"/>
      <c r="B2801" s="116"/>
    </row>
    <row r="2802" spans="1:2" x14ac:dyDescent="0.2">
      <c r="A2802" s="102"/>
      <c r="B2802" s="116"/>
    </row>
    <row r="2803" spans="1:2" x14ac:dyDescent="0.2">
      <c r="A2803" s="102"/>
      <c r="B2803" s="116"/>
    </row>
    <row r="2804" spans="1:2" x14ac:dyDescent="0.2">
      <c r="A2804" s="102"/>
      <c r="B2804" s="116"/>
    </row>
    <row r="2805" spans="1:2" x14ac:dyDescent="0.2">
      <c r="A2805" s="102"/>
      <c r="B2805" s="116"/>
    </row>
    <row r="2806" spans="1:2" x14ac:dyDescent="0.2">
      <c r="A2806" s="102"/>
      <c r="B2806" s="116"/>
    </row>
    <row r="2807" spans="1:2" x14ac:dyDescent="0.2">
      <c r="A2807" s="102"/>
      <c r="B2807" s="116"/>
    </row>
    <row r="2808" spans="1:2" x14ac:dyDescent="0.2">
      <c r="A2808" s="102"/>
      <c r="B2808" s="116"/>
    </row>
    <row r="2809" spans="1:2" x14ac:dyDescent="0.2">
      <c r="A2809" s="102"/>
      <c r="B2809" s="116"/>
    </row>
    <row r="2810" spans="1:2" x14ac:dyDescent="0.2">
      <c r="A2810" s="102"/>
      <c r="B2810" s="116"/>
    </row>
    <row r="2811" spans="1:2" x14ac:dyDescent="0.2">
      <c r="A2811" s="102"/>
      <c r="B2811" s="116"/>
    </row>
    <row r="2812" spans="1:2" x14ac:dyDescent="0.2">
      <c r="A2812" s="102"/>
      <c r="B2812" s="116"/>
    </row>
    <row r="2813" spans="1:2" x14ac:dyDescent="0.2">
      <c r="A2813" s="102"/>
      <c r="B2813" s="116"/>
    </row>
    <row r="2814" spans="1:2" x14ac:dyDescent="0.2">
      <c r="A2814" s="102"/>
      <c r="B2814" s="116"/>
    </row>
    <row r="2815" spans="1:2" x14ac:dyDescent="0.2">
      <c r="A2815" s="102"/>
      <c r="B2815" s="116"/>
    </row>
    <row r="2816" spans="1:2" x14ac:dyDescent="0.2">
      <c r="A2816" s="102"/>
      <c r="B2816" s="116"/>
    </row>
    <row r="2817" spans="1:2" x14ac:dyDescent="0.2">
      <c r="A2817" s="102"/>
      <c r="B2817" s="116"/>
    </row>
    <row r="2818" spans="1:2" x14ac:dyDescent="0.2">
      <c r="A2818" s="102"/>
      <c r="B2818" s="116"/>
    </row>
    <row r="2819" spans="1:2" x14ac:dyDescent="0.2">
      <c r="A2819" s="102"/>
      <c r="B2819" s="116"/>
    </row>
    <row r="2820" spans="1:2" x14ac:dyDescent="0.2">
      <c r="A2820" s="102"/>
      <c r="B2820" s="116"/>
    </row>
    <row r="2821" spans="1:2" x14ac:dyDescent="0.2">
      <c r="A2821" s="102"/>
      <c r="B2821" s="116"/>
    </row>
    <row r="2822" spans="1:2" x14ac:dyDescent="0.2">
      <c r="A2822" s="102"/>
      <c r="B2822" s="116"/>
    </row>
    <row r="2823" spans="1:2" x14ac:dyDescent="0.2">
      <c r="A2823" s="102"/>
      <c r="B2823" s="116"/>
    </row>
    <row r="2824" spans="1:2" x14ac:dyDescent="0.2">
      <c r="A2824" s="102"/>
      <c r="B2824" s="116"/>
    </row>
    <row r="2825" spans="1:2" x14ac:dyDescent="0.2">
      <c r="A2825" s="102"/>
      <c r="B2825" s="116"/>
    </row>
    <row r="2826" spans="1:2" x14ac:dyDescent="0.2">
      <c r="A2826" s="102"/>
      <c r="B2826" s="116"/>
    </row>
    <row r="2827" spans="1:2" x14ac:dyDescent="0.2">
      <c r="A2827" s="102"/>
      <c r="B2827" s="116"/>
    </row>
    <row r="2828" spans="1:2" x14ac:dyDescent="0.2">
      <c r="A2828" s="102"/>
      <c r="B2828" s="116"/>
    </row>
    <row r="2829" spans="1:2" x14ac:dyDescent="0.2">
      <c r="A2829" s="102"/>
      <c r="B2829" s="116"/>
    </row>
    <row r="2830" spans="1:2" x14ac:dyDescent="0.2">
      <c r="A2830" s="102"/>
      <c r="B2830" s="116"/>
    </row>
    <row r="2831" spans="1:2" x14ac:dyDescent="0.2">
      <c r="A2831" s="102"/>
      <c r="B2831" s="116"/>
    </row>
    <row r="2832" spans="1:2" x14ac:dyDescent="0.2">
      <c r="A2832" s="102"/>
      <c r="B2832" s="116"/>
    </row>
    <row r="2833" spans="1:2" x14ac:dyDescent="0.2">
      <c r="A2833" s="102"/>
      <c r="B2833" s="116"/>
    </row>
    <row r="2834" spans="1:2" x14ac:dyDescent="0.2">
      <c r="A2834" s="102"/>
      <c r="B2834" s="116"/>
    </row>
    <row r="2835" spans="1:2" x14ac:dyDescent="0.2">
      <c r="A2835" s="102"/>
      <c r="B2835" s="116"/>
    </row>
    <row r="2836" spans="1:2" x14ac:dyDescent="0.2">
      <c r="A2836" s="102"/>
      <c r="B2836" s="116"/>
    </row>
    <row r="2837" spans="1:2" x14ac:dyDescent="0.2">
      <c r="A2837" s="102"/>
      <c r="B2837" s="116"/>
    </row>
    <row r="2838" spans="1:2" x14ac:dyDescent="0.2">
      <c r="A2838" s="102"/>
      <c r="B2838" s="116"/>
    </row>
    <row r="2839" spans="1:2" x14ac:dyDescent="0.2">
      <c r="A2839" s="102"/>
      <c r="B2839" s="116"/>
    </row>
    <row r="2840" spans="1:2" x14ac:dyDescent="0.2">
      <c r="A2840" s="102"/>
      <c r="B2840" s="116"/>
    </row>
    <row r="2841" spans="1:2" x14ac:dyDescent="0.2">
      <c r="A2841" s="102"/>
      <c r="B2841" s="116"/>
    </row>
    <row r="2842" spans="1:2" x14ac:dyDescent="0.2">
      <c r="A2842" s="102"/>
      <c r="B2842" s="116"/>
    </row>
    <row r="2843" spans="1:2" x14ac:dyDescent="0.2">
      <c r="A2843" s="102"/>
      <c r="B2843" s="116"/>
    </row>
    <row r="2844" spans="1:2" x14ac:dyDescent="0.2">
      <c r="A2844" s="102"/>
      <c r="B2844" s="116"/>
    </row>
    <row r="2845" spans="1:2" x14ac:dyDescent="0.2">
      <c r="A2845" s="102"/>
      <c r="B2845" s="116"/>
    </row>
    <row r="2846" spans="1:2" x14ac:dyDescent="0.2">
      <c r="A2846" s="102"/>
      <c r="B2846" s="116"/>
    </row>
    <row r="2847" spans="1:2" x14ac:dyDescent="0.2">
      <c r="A2847" s="102"/>
      <c r="B2847" s="116"/>
    </row>
    <row r="2848" spans="1:2" x14ac:dyDescent="0.2">
      <c r="A2848" s="102"/>
      <c r="B2848" s="116"/>
    </row>
    <row r="2849" spans="1:2" x14ac:dyDescent="0.2">
      <c r="A2849" s="102"/>
      <c r="B2849" s="116"/>
    </row>
    <row r="2850" spans="1:2" x14ac:dyDescent="0.2">
      <c r="A2850" s="102"/>
      <c r="B2850" s="116"/>
    </row>
    <row r="2851" spans="1:2" x14ac:dyDescent="0.2">
      <c r="A2851" s="102"/>
      <c r="B2851" s="116"/>
    </row>
    <row r="2852" spans="1:2" x14ac:dyDescent="0.2">
      <c r="A2852" s="102"/>
      <c r="B2852" s="116"/>
    </row>
    <row r="2853" spans="1:2" x14ac:dyDescent="0.2">
      <c r="A2853" s="102"/>
      <c r="B2853" s="116"/>
    </row>
    <row r="2854" spans="1:2" x14ac:dyDescent="0.2">
      <c r="A2854" s="102"/>
      <c r="B2854" s="116"/>
    </row>
    <row r="2855" spans="1:2" x14ac:dyDescent="0.2">
      <c r="A2855" s="102"/>
      <c r="B2855" s="116"/>
    </row>
    <row r="2856" spans="1:2" x14ac:dyDescent="0.2">
      <c r="A2856" s="102"/>
      <c r="B2856" s="116"/>
    </row>
    <row r="2857" spans="1:2" x14ac:dyDescent="0.2">
      <c r="A2857" s="102"/>
      <c r="B2857" s="116"/>
    </row>
    <row r="2858" spans="1:2" x14ac:dyDescent="0.2">
      <c r="A2858" s="102"/>
      <c r="B2858" s="116"/>
    </row>
    <row r="2859" spans="1:2" x14ac:dyDescent="0.2">
      <c r="A2859" s="102"/>
      <c r="B2859" s="116"/>
    </row>
    <row r="2860" spans="1:2" x14ac:dyDescent="0.2">
      <c r="A2860" s="102"/>
      <c r="B2860" s="116"/>
    </row>
    <row r="2861" spans="1:2" x14ac:dyDescent="0.2">
      <c r="A2861" s="102"/>
      <c r="B2861" s="116"/>
    </row>
    <row r="2862" spans="1:2" x14ac:dyDescent="0.2">
      <c r="A2862" s="102"/>
      <c r="B2862" s="116"/>
    </row>
    <row r="2863" spans="1:2" x14ac:dyDescent="0.2">
      <c r="A2863" s="102"/>
      <c r="B2863" s="116"/>
    </row>
    <row r="2864" spans="1:2" x14ac:dyDescent="0.2">
      <c r="A2864" s="102"/>
      <c r="B2864" s="116"/>
    </row>
    <row r="2865" spans="1:2" x14ac:dyDescent="0.2">
      <c r="A2865" s="102"/>
      <c r="B2865" s="116"/>
    </row>
    <row r="2866" spans="1:2" x14ac:dyDescent="0.2">
      <c r="A2866" s="102"/>
      <c r="B2866" s="116"/>
    </row>
    <row r="2867" spans="1:2" x14ac:dyDescent="0.2">
      <c r="A2867" s="102"/>
      <c r="B2867" s="116"/>
    </row>
    <row r="2868" spans="1:2" x14ac:dyDescent="0.2">
      <c r="A2868" s="102"/>
      <c r="B2868" s="116"/>
    </row>
    <row r="2869" spans="1:2" x14ac:dyDescent="0.2">
      <c r="A2869" s="102"/>
      <c r="B2869" s="116"/>
    </row>
    <row r="2870" spans="1:2" x14ac:dyDescent="0.2">
      <c r="A2870" s="102"/>
      <c r="B2870" s="116"/>
    </row>
    <row r="2871" spans="1:2" x14ac:dyDescent="0.2">
      <c r="A2871" s="102"/>
      <c r="B2871" s="116"/>
    </row>
    <row r="2872" spans="1:2" x14ac:dyDescent="0.2">
      <c r="A2872" s="102"/>
      <c r="B2872" s="116"/>
    </row>
    <row r="2873" spans="1:2" x14ac:dyDescent="0.2">
      <c r="A2873" s="102"/>
      <c r="B2873" s="116"/>
    </row>
    <row r="2874" spans="1:2" x14ac:dyDescent="0.2">
      <c r="A2874" s="102"/>
      <c r="B2874" s="116"/>
    </row>
    <row r="2875" spans="1:2" x14ac:dyDescent="0.2">
      <c r="A2875" s="102"/>
      <c r="B2875" s="116"/>
    </row>
    <row r="2876" spans="1:2" x14ac:dyDescent="0.2">
      <c r="A2876" s="102"/>
      <c r="B2876" s="116"/>
    </row>
    <row r="2877" spans="1:2" x14ac:dyDescent="0.2">
      <c r="A2877" s="102"/>
      <c r="B2877" s="116"/>
    </row>
    <row r="2878" spans="1:2" x14ac:dyDescent="0.2">
      <c r="A2878" s="102"/>
      <c r="B2878" s="116"/>
    </row>
    <row r="2879" spans="1:2" x14ac:dyDescent="0.2">
      <c r="A2879" s="102"/>
      <c r="B2879" s="116"/>
    </row>
    <row r="2880" spans="1:2" x14ac:dyDescent="0.2">
      <c r="A2880" s="102"/>
      <c r="B2880" s="116"/>
    </row>
    <row r="2881" spans="1:2" x14ac:dyDescent="0.2">
      <c r="A2881" s="102"/>
      <c r="B2881" s="116"/>
    </row>
    <row r="2882" spans="1:2" x14ac:dyDescent="0.2">
      <c r="A2882" s="102"/>
      <c r="B2882" s="116"/>
    </row>
    <row r="2883" spans="1:2" x14ac:dyDescent="0.2">
      <c r="A2883" s="102"/>
      <c r="B2883" s="116"/>
    </row>
    <row r="2884" spans="1:2" x14ac:dyDescent="0.2">
      <c r="A2884" s="102"/>
      <c r="B2884" s="116"/>
    </row>
    <row r="2885" spans="1:2" x14ac:dyDescent="0.2">
      <c r="A2885" s="102"/>
      <c r="B2885" s="116"/>
    </row>
    <row r="2886" spans="1:2" x14ac:dyDescent="0.2">
      <c r="A2886" s="102"/>
      <c r="B2886" s="116"/>
    </row>
    <row r="2887" spans="1:2" x14ac:dyDescent="0.2">
      <c r="A2887" s="102"/>
      <c r="B2887" s="116"/>
    </row>
    <row r="2888" spans="1:2" x14ac:dyDescent="0.2">
      <c r="A2888" s="102"/>
      <c r="B2888" s="116"/>
    </row>
    <row r="2889" spans="1:2" x14ac:dyDescent="0.2">
      <c r="A2889" s="102"/>
      <c r="B2889" s="116"/>
    </row>
    <row r="2890" spans="1:2" x14ac:dyDescent="0.2">
      <c r="A2890" s="102"/>
      <c r="B2890" s="116"/>
    </row>
    <row r="2891" spans="1:2" x14ac:dyDescent="0.2">
      <c r="A2891" s="102"/>
      <c r="B2891" s="116"/>
    </row>
    <row r="2892" spans="1:2" x14ac:dyDescent="0.2">
      <c r="A2892" s="102"/>
      <c r="B2892" s="116"/>
    </row>
    <row r="2893" spans="1:2" x14ac:dyDescent="0.2">
      <c r="A2893" s="102"/>
      <c r="B2893" s="116"/>
    </row>
    <row r="2894" spans="1:2" x14ac:dyDescent="0.2">
      <c r="A2894" s="102"/>
      <c r="B2894" s="116"/>
    </row>
    <row r="2895" spans="1:2" x14ac:dyDescent="0.2">
      <c r="A2895" s="102"/>
      <c r="B2895" s="116"/>
    </row>
    <row r="2896" spans="1:2" x14ac:dyDescent="0.2">
      <c r="A2896" s="102"/>
      <c r="B2896" s="116"/>
    </row>
    <row r="2897" spans="1:2" x14ac:dyDescent="0.2">
      <c r="A2897" s="102"/>
      <c r="B2897" s="116"/>
    </row>
    <row r="2898" spans="1:2" x14ac:dyDescent="0.2">
      <c r="A2898" s="102"/>
      <c r="B2898" s="116"/>
    </row>
    <row r="2899" spans="1:2" x14ac:dyDescent="0.2">
      <c r="A2899" s="102"/>
      <c r="B2899" s="116"/>
    </row>
    <row r="2900" spans="1:2" x14ac:dyDescent="0.2">
      <c r="A2900" s="102"/>
      <c r="B2900" s="116"/>
    </row>
    <row r="2901" spans="1:2" x14ac:dyDescent="0.2">
      <c r="A2901" s="102"/>
      <c r="B2901" s="116"/>
    </row>
    <row r="2902" spans="1:2" x14ac:dyDescent="0.2">
      <c r="A2902" s="102"/>
      <c r="B2902" s="116"/>
    </row>
    <row r="2903" spans="1:2" x14ac:dyDescent="0.2">
      <c r="A2903" s="102"/>
      <c r="B2903" s="116"/>
    </row>
    <row r="2904" spans="1:2" x14ac:dyDescent="0.2">
      <c r="A2904" s="102"/>
      <c r="B2904" s="116"/>
    </row>
    <row r="2905" spans="1:2" x14ac:dyDescent="0.2">
      <c r="A2905" s="102"/>
      <c r="B2905" s="116"/>
    </row>
    <row r="2906" spans="1:2" x14ac:dyDescent="0.2">
      <c r="A2906" s="102"/>
      <c r="B2906" s="116"/>
    </row>
    <row r="2907" spans="1:2" x14ac:dyDescent="0.2">
      <c r="A2907" s="102"/>
      <c r="B2907" s="116"/>
    </row>
    <row r="2908" spans="1:2" x14ac:dyDescent="0.2">
      <c r="A2908" s="102"/>
      <c r="B2908" s="116"/>
    </row>
    <row r="2909" spans="1:2" x14ac:dyDescent="0.2">
      <c r="A2909" s="102"/>
      <c r="B2909" s="116"/>
    </row>
    <row r="2910" spans="1:2" x14ac:dyDescent="0.2">
      <c r="A2910" s="102"/>
      <c r="B2910" s="116"/>
    </row>
    <row r="2911" spans="1:2" x14ac:dyDescent="0.2">
      <c r="A2911" s="102"/>
      <c r="B2911" s="116"/>
    </row>
    <row r="2912" spans="1:2" x14ac:dyDescent="0.2">
      <c r="A2912" s="102"/>
      <c r="B2912" s="116"/>
    </row>
    <row r="2913" spans="1:2" x14ac:dyDescent="0.2">
      <c r="A2913" s="102"/>
      <c r="B2913" s="116"/>
    </row>
    <row r="2914" spans="1:2" x14ac:dyDescent="0.2">
      <c r="A2914" s="102"/>
      <c r="B2914" s="116"/>
    </row>
    <row r="2915" spans="1:2" x14ac:dyDescent="0.2">
      <c r="A2915" s="102"/>
      <c r="B2915" s="116"/>
    </row>
    <row r="2916" spans="1:2" x14ac:dyDescent="0.2">
      <c r="A2916" s="102"/>
      <c r="B2916" s="116"/>
    </row>
    <row r="2917" spans="1:2" x14ac:dyDescent="0.2">
      <c r="A2917" s="102"/>
      <c r="B2917" s="116"/>
    </row>
    <row r="2918" spans="1:2" x14ac:dyDescent="0.2">
      <c r="A2918" s="102"/>
      <c r="B2918" s="116"/>
    </row>
    <row r="2919" spans="1:2" x14ac:dyDescent="0.2">
      <c r="A2919" s="102"/>
      <c r="B2919" s="116"/>
    </row>
    <row r="2920" spans="1:2" x14ac:dyDescent="0.2">
      <c r="A2920" s="102"/>
      <c r="B2920" s="116"/>
    </row>
    <row r="2921" spans="1:2" x14ac:dyDescent="0.2">
      <c r="A2921" s="102"/>
      <c r="B2921" s="116"/>
    </row>
    <row r="2922" spans="1:2" x14ac:dyDescent="0.2">
      <c r="A2922" s="102"/>
      <c r="B2922" s="116"/>
    </row>
    <row r="2923" spans="1:2" x14ac:dyDescent="0.2">
      <c r="A2923" s="102"/>
      <c r="B2923" s="116"/>
    </row>
    <row r="2924" spans="1:2" x14ac:dyDescent="0.2">
      <c r="A2924" s="102"/>
      <c r="B2924" s="116"/>
    </row>
    <row r="2925" spans="1:2" x14ac:dyDescent="0.2">
      <c r="A2925" s="102"/>
      <c r="B2925" s="116"/>
    </row>
    <row r="2926" spans="1:2" x14ac:dyDescent="0.2">
      <c r="A2926" s="102"/>
      <c r="B2926" s="116"/>
    </row>
    <row r="2927" spans="1:2" x14ac:dyDescent="0.2">
      <c r="A2927" s="102"/>
      <c r="B2927" s="116"/>
    </row>
    <row r="2928" spans="1:2" x14ac:dyDescent="0.2">
      <c r="A2928" s="102"/>
      <c r="B2928" s="116"/>
    </row>
    <row r="2929" spans="1:2" x14ac:dyDescent="0.2">
      <c r="A2929" s="102"/>
      <c r="B2929" s="116"/>
    </row>
    <row r="2930" spans="1:2" x14ac:dyDescent="0.2">
      <c r="A2930" s="102"/>
      <c r="B2930" s="116"/>
    </row>
    <row r="2931" spans="1:2" x14ac:dyDescent="0.2">
      <c r="A2931" s="102"/>
      <c r="B2931" s="116"/>
    </row>
    <row r="2932" spans="1:2" x14ac:dyDescent="0.2">
      <c r="A2932" s="102"/>
      <c r="B2932" s="116"/>
    </row>
    <row r="2933" spans="1:2" x14ac:dyDescent="0.2">
      <c r="A2933" s="102"/>
      <c r="B2933" s="116"/>
    </row>
    <row r="2934" spans="1:2" x14ac:dyDescent="0.2">
      <c r="A2934" s="102"/>
      <c r="B2934" s="116"/>
    </row>
    <row r="2935" spans="1:2" x14ac:dyDescent="0.2">
      <c r="A2935" s="102"/>
      <c r="B2935" s="116"/>
    </row>
    <row r="2936" spans="1:2" x14ac:dyDescent="0.2">
      <c r="A2936" s="102"/>
      <c r="B2936" s="116"/>
    </row>
    <row r="2937" spans="1:2" x14ac:dyDescent="0.2">
      <c r="A2937" s="102"/>
      <c r="B2937" s="116"/>
    </row>
    <row r="2938" spans="1:2" x14ac:dyDescent="0.2">
      <c r="A2938" s="102"/>
      <c r="B2938" s="116"/>
    </row>
    <row r="2939" spans="1:2" x14ac:dyDescent="0.2">
      <c r="A2939" s="102"/>
      <c r="B2939" s="116"/>
    </row>
    <row r="2940" spans="1:2" x14ac:dyDescent="0.2">
      <c r="A2940" s="102"/>
      <c r="B2940" s="116"/>
    </row>
    <row r="2941" spans="1:2" x14ac:dyDescent="0.2">
      <c r="A2941" s="102"/>
      <c r="B2941" s="116"/>
    </row>
    <row r="2942" spans="1:2" x14ac:dyDescent="0.2">
      <c r="A2942" s="102"/>
      <c r="B2942" s="116"/>
    </row>
    <row r="2943" spans="1:2" x14ac:dyDescent="0.2">
      <c r="A2943" s="102"/>
      <c r="B2943" s="116"/>
    </row>
    <row r="2944" spans="1:2" x14ac:dyDescent="0.2">
      <c r="A2944" s="102"/>
      <c r="B2944" s="116"/>
    </row>
    <row r="2945" spans="1:2" x14ac:dyDescent="0.2">
      <c r="A2945" s="102"/>
      <c r="B2945" s="116"/>
    </row>
    <row r="2946" spans="1:2" x14ac:dyDescent="0.2">
      <c r="A2946" s="102"/>
      <c r="B2946" s="116"/>
    </row>
    <row r="2947" spans="1:2" x14ac:dyDescent="0.2">
      <c r="A2947" s="102"/>
      <c r="B2947" s="116"/>
    </row>
    <row r="2948" spans="1:2" x14ac:dyDescent="0.2">
      <c r="A2948" s="102"/>
      <c r="B2948" s="116"/>
    </row>
    <row r="2949" spans="1:2" x14ac:dyDescent="0.2">
      <c r="A2949" s="102"/>
      <c r="B2949" s="116"/>
    </row>
    <row r="2950" spans="1:2" x14ac:dyDescent="0.2">
      <c r="A2950" s="102"/>
      <c r="B2950" s="116"/>
    </row>
    <row r="2951" spans="1:2" x14ac:dyDescent="0.2">
      <c r="A2951" s="102"/>
      <c r="B2951" s="116"/>
    </row>
    <row r="2952" spans="1:2" x14ac:dyDescent="0.2">
      <c r="A2952" s="102"/>
      <c r="B2952" s="116"/>
    </row>
    <row r="2953" spans="1:2" x14ac:dyDescent="0.2">
      <c r="A2953" s="102"/>
      <c r="B2953" s="116"/>
    </row>
    <row r="2954" spans="1:2" x14ac:dyDescent="0.2">
      <c r="A2954" s="102"/>
      <c r="B2954" s="116"/>
    </row>
    <row r="2955" spans="1:2" x14ac:dyDescent="0.2">
      <c r="A2955" s="102"/>
      <c r="B2955" s="116"/>
    </row>
    <row r="2956" spans="1:2" x14ac:dyDescent="0.2">
      <c r="A2956" s="102"/>
      <c r="B2956" s="116"/>
    </row>
    <row r="2957" spans="1:2" x14ac:dyDescent="0.2">
      <c r="A2957" s="102"/>
      <c r="B2957" s="116"/>
    </row>
    <row r="2958" spans="1:2" x14ac:dyDescent="0.2">
      <c r="A2958" s="102"/>
      <c r="B2958" s="116"/>
    </row>
    <row r="2959" spans="1:2" x14ac:dyDescent="0.2">
      <c r="A2959" s="102"/>
      <c r="B2959" s="116"/>
    </row>
    <row r="2960" spans="1:2" x14ac:dyDescent="0.2">
      <c r="A2960" s="102"/>
      <c r="B2960" s="116"/>
    </row>
    <row r="2961" spans="1:2" x14ac:dyDescent="0.2">
      <c r="A2961" s="102"/>
      <c r="B2961" s="116"/>
    </row>
    <row r="2962" spans="1:2" x14ac:dyDescent="0.2">
      <c r="A2962" s="102"/>
      <c r="B2962" s="116"/>
    </row>
    <row r="2963" spans="1:2" x14ac:dyDescent="0.2">
      <c r="A2963" s="102"/>
      <c r="B2963" s="116"/>
    </row>
    <row r="2964" spans="1:2" x14ac:dyDescent="0.2">
      <c r="A2964" s="102"/>
      <c r="B2964" s="116"/>
    </row>
    <row r="2965" spans="1:2" x14ac:dyDescent="0.2">
      <c r="A2965" s="102"/>
      <c r="B2965" s="116"/>
    </row>
    <row r="2966" spans="1:2" x14ac:dyDescent="0.2">
      <c r="A2966" s="102"/>
      <c r="B2966" s="116"/>
    </row>
    <row r="2967" spans="1:2" x14ac:dyDescent="0.2">
      <c r="A2967" s="102"/>
      <c r="B2967" s="116"/>
    </row>
    <row r="2968" spans="1:2" x14ac:dyDescent="0.2">
      <c r="A2968" s="102"/>
      <c r="B2968" s="116"/>
    </row>
    <row r="2969" spans="1:2" x14ac:dyDescent="0.2">
      <c r="A2969" s="102"/>
      <c r="B2969" s="116"/>
    </row>
    <row r="2970" spans="1:2" x14ac:dyDescent="0.2">
      <c r="A2970" s="102"/>
      <c r="B2970" s="116"/>
    </row>
    <row r="2971" spans="1:2" x14ac:dyDescent="0.2">
      <c r="A2971" s="102"/>
      <c r="B2971" s="116"/>
    </row>
    <row r="2972" spans="1:2" x14ac:dyDescent="0.2">
      <c r="A2972" s="102"/>
      <c r="B2972" s="116"/>
    </row>
    <row r="2973" spans="1:2" x14ac:dyDescent="0.2">
      <c r="A2973" s="102"/>
      <c r="B2973" s="116"/>
    </row>
    <row r="2974" spans="1:2" x14ac:dyDescent="0.2">
      <c r="A2974" s="102"/>
      <c r="B2974" s="116"/>
    </row>
    <row r="2975" spans="1:2" x14ac:dyDescent="0.2">
      <c r="A2975" s="102"/>
      <c r="B2975" s="116"/>
    </row>
    <row r="2976" spans="1:2" x14ac:dyDescent="0.2">
      <c r="A2976" s="102"/>
      <c r="B2976" s="116"/>
    </row>
    <row r="2977" spans="1:2" x14ac:dyDescent="0.2">
      <c r="A2977" s="102"/>
      <c r="B2977" s="116"/>
    </row>
    <row r="2978" spans="1:2" x14ac:dyDescent="0.2">
      <c r="A2978" s="102"/>
      <c r="B2978" s="116"/>
    </row>
    <row r="2979" spans="1:2" x14ac:dyDescent="0.2">
      <c r="A2979" s="102"/>
      <c r="B2979" s="116"/>
    </row>
    <row r="2980" spans="1:2" x14ac:dyDescent="0.2">
      <c r="A2980" s="102"/>
      <c r="B2980" s="116"/>
    </row>
    <row r="2981" spans="1:2" x14ac:dyDescent="0.2">
      <c r="A2981" s="102"/>
      <c r="B2981" s="116"/>
    </row>
    <row r="2982" spans="1:2" x14ac:dyDescent="0.2">
      <c r="A2982" s="102"/>
      <c r="B2982" s="116"/>
    </row>
    <row r="2983" spans="1:2" x14ac:dyDescent="0.2">
      <c r="A2983" s="102"/>
      <c r="B2983" s="116"/>
    </row>
    <row r="2984" spans="1:2" x14ac:dyDescent="0.2">
      <c r="A2984" s="102"/>
      <c r="B2984" s="116"/>
    </row>
    <row r="2985" spans="1:2" x14ac:dyDescent="0.2">
      <c r="A2985" s="102"/>
      <c r="B2985" s="116"/>
    </row>
    <row r="2986" spans="1:2" x14ac:dyDescent="0.2">
      <c r="A2986" s="102"/>
      <c r="B2986" s="116"/>
    </row>
    <row r="2987" spans="1:2" x14ac:dyDescent="0.2">
      <c r="A2987" s="102"/>
      <c r="B2987" s="116"/>
    </row>
    <row r="2988" spans="1:2" x14ac:dyDescent="0.2">
      <c r="A2988" s="102"/>
      <c r="B2988" s="116"/>
    </row>
    <row r="2989" spans="1:2" x14ac:dyDescent="0.2">
      <c r="A2989" s="102"/>
      <c r="B2989" s="116"/>
    </row>
    <row r="2990" spans="1:2" x14ac:dyDescent="0.2">
      <c r="A2990" s="102"/>
      <c r="B2990" s="116"/>
    </row>
    <row r="2991" spans="1:2" x14ac:dyDescent="0.2">
      <c r="A2991" s="102"/>
      <c r="B2991" s="116"/>
    </row>
    <row r="2992" spans="1:2" x14ac:dyDescent="0.2">
      <c r="A2992" s="102"/>
      <c r="B2992" s="116"/>
    </row>
    <row r="2993" spans="1:2" x14ac:dyDescent="0.2">
      <c r="A2993" s="102"/>
      <c r="B2993" s="116"/>
    </row>
    <row r="2994" spans="1:2" x14ac:dyDescent="0.2">
      <c r="A2994" s="102"/>
      <c r="B2994" s="116"/>
    </row>
    <row r="2995" spans="1:2" x14ac:dyDescent="0.2">
      <c r="A2995" s="102"/>
      <c r="B2995" s="116"/>
    </row>
    <row r="2996" spans="1:2" x14ac:dyDescent="0.2">
      <c r="A2996" s="102"/>
      <c r="B2996" s="116"/>
    </row>
    <row r="2997" spans="1:2" x14ac:dyDescent="0.2">
      <c r="A2997" s="102"/>
      <c r="B2997" s="116"/>
    </row>
    <row r="2998" spans="1:2" x14ac:dyDescent="0.2">
      <c r="A2998" s="102"/>
      <c r="B2998" s="116"/>
    </row>
    <row r="2999" spans="1:2" x14ac:dyDescent="0.2">
      <c r="A2999" s="102"/>
      <c r="B2999" s="116"/>
    </row>
    <row r="3000" spans="1:2" x14ac:dyDescent="0.2">
      <c r="A3000" s="102"/>
      <c r="B3000" s="116"/>
    </row>
    <row r="3001" spans="1:2" x14ac:dyDescent="0.2">
      <c r="A3001" s="102"/>
      <c r="B3001" s="116"/>
    </row>
    <row r="3002" spans="1:2" x14ac:dyDescent="0.2">
      <c r="A3002" s="102"/>
      <c r="B3002" s="116"/>
    </row>
    <row r="3003" spans="1:2" x14ac:dyDescent="0.2">
      <c r="A3003" s="102"/>
      <c r="B3003" s="116"/>
    </row>
    <row r="3004" spans="1:2" x14ac:dyDescent="0.2">
      <c r="A3004" s="102"/>
      <c r="B3004" s="116"/>
    </row>
    <row r="3005" spans="1:2" x14ac:dyDescent="0.2">
      <c r="A3005" s="102"/>
      <c r="B3005" s="116"/>
    </row>
    <row r="3006" spans="1:2" x14ac:dyDescent="0.2">
      <c r="A3006" s="102"/>
      <c r="B3006" s="116"/>
    </row>
    <row r="3007" spans="1:2" x14ac:dyDescent="0.2">
      <c r="A3007" s="102"/>
      <c r="B3007" s="116"/>
    </row>
    <row r="3008" spans="1:2" x14ac:dyDescent="0.2">
      <c r="A3008" s="102"/>
      <c r="B3008" s="116"/>
    </row>
    <row r="3009" spans="1:2" x14ac:dyDescent="0.2">
      <c r="A3009" s="102"/>
      <c r="B3009" s="116"/>
    </row>
    <row r="3010" spans="1:2" x14ac:dyDescent="0.2">
      <c r="A3010" s="102"/>
      <c r="B3010" s="116"/>
    </row>
    <row r="3011" spans="1:2" x14ac:dyDescent="0.2">
      <c r="A3011" s="102"/>
      <c r="B3011" s="116"/>
    </row>
    <row r="3012" spans="1:2" x14ac:dyDescent="0.2">
      <c r="A3012" s="102"/>
      <c r="B3012" s="116"/>
    </row>
    <row r="3013" spans="1:2" x14ac:dyDescent="0.2">
      <c r="A3013" s="102"/>
      <c r="B3013" s="116"/>
    </row>
    <row r="3014" spans="1:2" x14ac:dyDescent="0.2">
      <c r="A3014" s="102"/>
      <c r="B3014" s="116"/>
    </row>
    <row r="3015" spans="1:2" x14ac:dyDescent="0.2">
      <c r="A3015" s="102"/>
      <c r="B3015" s="116"/>
    </row>
    <row r="3016" spans="1:2" x14ac:dyDescent="0.2">
      <c r="A3016" s="102"/>
      <c r="B3016" s="116"/>
    </row>
    <row r="3017" spans="1:2" x14ac:dyDescent="0.2">
      <c r="A3017" s="102"/>
      <c r="B3017" s="116"/>
    </row>
    <row r="3018" spans="1:2" x14ac:dyDescent="0.2">
      <c r="A3018" s="102"/>
      <c r="B3018" s="116"/>
    </row>
    <row r="3019" spans="1:2" x14ac:dyDescent="0.2">
      <c r="A3019" s="102"/>
      <c r="B3019" s="116"/>
    </row>
    <row r="3020" spans="1:2" x14ac:dyDescent="0.2">
      <c r="A3020" s="102"/>
      <c r="B3020" s="116"/>
    </row>
    <row r="3021" spans="1:2" x14ac:dyDescent="0.2">
      <c r="A3021" s="102"/>
      <c r="B3021" s="116"/>
    </row>
    <row r="3022" spans="1:2" x14ac:dyDescent="0.2">
      <c r="A3022" s="102"/>
      <c r="B3022" s="116"/>
    </row>
    <row r="3023" spans="1:2" x14ac:dyDescent="0.2">
      <c r="A3023" s="102"/>
      <c r="B3023" s="116"/>
    </row>
    <row r="3024" spans="1:2" x14ac:dyDescent="0.2">
      <c r="A3024" s="102"/>
      <c r="B3024" s="116"/>
    </row>
    <row r="3025" spans="1:2" x14ac:dyDescent="0.2">
      <c r="A3025" s="102"/>
      <c r="B3025" s="116"/>
    </row>
    <row r="3026" spans="1:2" x14ac:dyDescent="0.2">
      <c r="A3026" s="102"/>
      <c r="B3026" s="116"/>
    </row>
    <row r="3027" spans="1:2" x14ac:dyDescent="0.2">
      <c r="A3027" s="102"/>
      <c r="B3027" s="116"/>
    </row>
    <row r="3028" spans="1:2" x14ac:dyDescent="0.2">
      <c r="A3028" s="102"/>
      <c r="B3028" s="116"/>
    </row>
    <row r="3029" spans="1:2" x14ac:dyDescent="0.2">
      <c r="A3029" s="102"/>
      <c r="B3029" s="116"/>
    </row>
    <row r="3030" spans="1:2" x14ac:dyDescent="0.2">
      <c r="A3030" s="102"/>
      <c r="B3030" s="116"/>
    </row>
    <row r="3031" spans="1:2" x14ac:dyDescent="0.2">
      <c r="A3031" s="102"/>
      <c r="B3031" s="116"/>
    </row>
    <row r="3032" spans="1:2" x14ac:dyDescent="0.2">
      <c r="A3032" s="102"/>
      <c r="B3032" s="116"/>
    </row>
    <row r="3033" spans="1:2" x14ac:dyDescent="0.2">
      <c r="A3033" s="102"/>
      <c r="B3033" s="116"/>
    </row>
    <row r="3034" spans="1:2" x14ac:dyDescent="0.2">
      <c r="A3034" s="102"/>
      <c r="B3034" s="116"/>
    </row>
    <row r="3035" spans="1:2" x14ac:dyDescent="0.2">
      <c r="A3035" s="102"/>
      <c r="B3035" s="116"/>
    </row>
    <row r="3036" spans="1:2" x14ac:dyDescent="0.2">
      <c r="A3036" s="102"/>
      <c r="B3036" s="116"/>
    </row>
    <row r="3037" spans="1:2" x14ac:dyDescent="0.2">
      <c r="A3037" s="102"/>
      <c r="B3037" s="116"/>
    </row>
    <row r="3038" spans="1:2" x14ac:dyDescent="0.2">
      <c r="A3038" s="102"/>
      <c r="B3038" s="116"/>
    </row>
    <row r="3039" spans="1:2" x14ac:dyDescent="0.2">
      <c r="A3039" s="102"/>
      <c r="B3039" s="116"/>
    </row>
    <row r="3040" spans="1:2" x14ac:dyDescent="0.2">
      <c r="A3040" s="102"/>
      <c r="B3040" s="116"/>
    </row>
    <row r="3041" spans="1:2" x14ac:dyDescent="0.2">
      <c r="A3041" s="102"/>
      <c r="B3041" s="116"/>
    </row>
    <row r="3042" spans="1:2" x14ac:dyDescent="0.2">
      <c r="A3042" s="102"/>
      <c r="B3042" s="116"/>
    </row>
    <row r="3043" spans="1:2" x14ac:dyDescent="0.2">
      <c r="A3043" s="102"/>
      <c r="B3043" s="116"/>
    </row>
    <row r="3044" spans="1:2" x14ac:dyDescent="0.2">
      <c r="A3044" s="102"/>
      <c r="B3044" s="116"/>
    </row>
    <row r="3045" spans="1:2" x14ac:dyDescent="0.2">
      <c r="A3045" s="102"/>
      <c r="B3045" s="116"/>
    </row>
    <row r="3046" spans="1:2" x14ac:dyDescent="0.2">
      <c r="A3046" s="102"/>
      <c r="B3046" s="116"/>
    </row>
    <row r="3047" spans="1:2" x14ac:dyDescent="0.2">
      <c r="A3047" s="102"/>
      <c r="B3047" s="116"/>
    </row>
    <row r="3048" spans="1:2" x14ac:dyDescent="0.2">
      <c r="A3048" s="102"/>
      <c r="B3048" s="116"/>
    </row>
    <row r="3049" spans="1:2" x14ac:dyDescent="0.2">
      <c r="A3049" s="102"/>
      <c r="B3049" s="116"/>
    </row>
    <row r="3050" spans="1:2" x14ac:dyDescent="0.2">
      <c r="A3050" s="102"/>
      <c r="B3050" s="116"/>
    </row>
    <row r="3051" spans="1:2" x14ac:dyDescent="0.2">
      <c r="A3051" s="102"/>
      <c r="B3051" s="116"/>
    </row>
    <row r="3052" spans="1:2" x14ac:dyDescent="0.2">
      <c r="A3052" s="102"/>
      <c r="B3052" s="116"/>
    </row>
    <row r="3053" spans="1:2" x14ac:dyDescent="0.2">
      <c r="A3053" s="102"/>
      <c r="B3053" s="116"/>
    </row>
    <row r="3054" spans="1:2" x14ac:dyDescent="0.2">
      <c r="A3054" s="102"/>
      <c r="B3054" s="116"/>
    </row>
    <row r="3055" spans="1:2" x14ac:dyDescent="0.2">
      <c r="A3055" s="102"/>
      <c r="B3055" s="116"/>
    </row>
    <row r="3056" spans="1:2" x14ac:dyDescent="0.2">
      <c r="A3056" s="102"/>
      <c r="B3056" s="116"/>
    </row>
    <row r="3057" spans="1:2" x14ac:dyDescent="0.2">
      <c r="A3057" s="102"/>
      <c r="B3057" s="116"/>
    </row>
    <row r="3058" spans="1:2" x14ac:dyDescent="0.2">
      <c r="A3058" s="102"/>
      <c r="B3058" s="116"/>
    </row>
    <row r="3059" spans="1:2" x14ac:dyDescent="0.2">
      <c r="A3059" s="102"/>
      <c r="B3059" s="116"/>
    </row>
    <row r="3060" spans="1:2" x14ac:dyDescent="0.2">
      <c r="A3060" s="102"/>
      <c r="B3060" s="116"/>
    </row>
    <row r="3061" spans="1:2" x14ac:dyDescent="0.2">
      <c r="A3061" s="102"/>
      <c r="B3061" s="116"/>
    </row>
    <row r="3062" spans="1:2" x14ac:dyDescent="0.2">
      <c r="A3062" s="102"/>
      <c r="B3062" s="116"/>
    </row>
    <row r="3063" spans="1:2" x14ac:dyDescent="0.2">
      <c r="A3063" s="102"/>
      <c r="B3063" s="116"/>
    </row>
    <row r="3064" spans="1:2" x14ac:dyDescent="0.2">
      <c r="A3064" s="102"/>
      <c r="B3064" s="116"/>
    </row>
    <row r="3065" spans="1:2" x14ac:dyDescent="0.2">
      <c r="A3065" s="102"/>
      <c r="B3065" s="116"/>
    </row>
    <row r="3066" spans="1:2" x14ac:dyDescent="0.2">
      <c r="A3066" s="102"/>
      <c r="B3066" s="116"/>
    </row>
    <row r="3067" spans="1:2" x14ac:dyDescent="0.2">
      <c r="A3067" s="102"/>
      <c r="B3067" s="116"/>
    </row>
    <row r="3068" spans="1:2" x14ac:dyDescent="0.2">
      <c r="A3068" s="102"/>
      <c r="B3068" s="116"/>
    </row>
    <row r="3069" spans="1:2" x14ac:dyDescent="0.2">
      <c r="A3069" s="102"/>
      <c r="B3069" s="116"/>
    </row>
    <row r="3070" spans="1:2" x14ac:dyDescent="0.2">
      <c r="A3070" s="102"/>
      <c r="B3070" s="116"/>
    </row>
    <row r="3071" spans="1:2" x14ac:dyDescent="0.2">
      <c r="A3071" s="102"/>
      <c r="B3071" s="116"/>
    </row>
    <row r="3072" spans="1:2" x14ac:dyDescent="0.2">
      <c r="A3072" s="102"/>
      <c r="B3072" s="116"/>
    </row>
    <row r="3073" spans="1:2" x14ac:dyDescent="0.2">
      <c r="A3073" s="102"/>
      <c r="B3073" s="116"/>
    </row>
    <row r="3074" spans="1:2" x14ac:dyDescent="0.2">
      <c r="A3074" s="102"/>
      <c r="B3074" s="116"/>
    </row>
    <row r="3075" spans="1:2" x14ac:dyDescent="0.2">
      <c r="A3075" s="102"/>
      <c r="B3075" s="116"/>
    </row>
    <row r="3076" spans="1:2" x14ac:dyDescent="0.2">
      <c r="A3076" s="102"/>
      <c r="B3076" s="116"/>
    </row>
    <row r="3077" spans="1:2" x14ac:dyDescent="0.2">
      <c r="A3077" s="102"/>
      <c r="B3077" s="116"/>
    </row>
    <row r="3078" spans="1:2" x14ac:dyDescent="0.2">
      <c r="A3078" s="102"/>
      <c r="B3078" s="116"/>
    </row>
    <row r="3079" spans="1:2" x14ac:dyDescent="0.2">
      <c r="A3079" s="102"/>
      <c r="B3079" s="116"/>
    </row>
    <row r="3080" spans="1:2" x14ac:dyDescent="0.2">
      <c r="A3080" s="102"/>
      <c r="B3080" s="116"/>
    </row>
    <row r="3081" spans="1:2" x14ac:dyDescent="0.2">
      <c r="A3081" s="102"/>
      <c r="B3081" s="116"/>
    </row>
    <row r="3082" spans="1:2" x14ac:dyDescent="0.2">
      <c r="A3082" s="102"/>
      <c r="B3082" s="116"/>
    </row>
    <row r="3083" spans="1:2" x14ac:dyDescent="0.2">
      <c r="A3083" s="102"/>
      <c r="B3083" s="116"/>
    </row>
    <row r="3084" spans="1:2" x14ac:dyDescent="0.2">
      <c r="A3084" s="102"/>
      <c r="B3084" s="116"/>
    </row>
    <row r="3085" spans="1:2" x14ac:dyDescent="0.2">
      <c r="A3085" s="102"/>
      <c r="B3085" s="116"/>
    </row>
    <row r="3086" spans="1:2" x14ac:dyDescent="0.2">
      <c r="A3086" s="102"/>
      <c r="B3086" s="116"/>
    </row>
    <row r="3087" spans="1:2" x14ac:dyDescent="0.2">
      <c r="A3087" s="102"/>
      <c r="B3087" s="116"/>
    </row>
    <row r="3088" spans="1:2" x14ac:dyDescent="0.2">
      <c r="A3088" s="102"/>
      <c r="B3088" s="116"/>
    </row>
    <row r="3089" spans="1:2" x14ac:dyDescent="0.2">
      <c r="A3089" s="102"/>
      <c r="B3089" s="116"/>
    </row>
    <row r="3090" spans="1:2" x14ac:dyDescent="0.2">
      <c r="A3090" s="102"/>
      <c r="B3090" s="116"/>
    </row>
    <row r="3091" spans="1:2" x14ac:dyDescent="0.2">
      <c r="A3091" s="102"/>
      <c r="B3091" s="116"/>
    </row>
    <row r="3092" spans="1:2" x14ac:dyDescent="0.2">
      <c r="A3092" s="102"/>
      <c r="B3092" s="116"/>
    </row>
    <row r="3093" spans="1:2" x14ac:dyDescent="0.2">
      <c r="A3093" s="102"/>
      <c r="B3093" s="116"/>
    </row>
    <row r="3094" spans="1:2" x14ac:dyDescent="0.2">
      <c r="A3094" s="102"/>
      <c r="B3094" s="116"/>
    </row>
    <row r="3095" spans="1:2" x14ac:dyDescent="0.2">
      <c r="A3095" s="102"/>
      <c r="B3095" s="116"/>
    </row>
    <row r="3096" spans="1:2" x14ac:dyDescent="0.2">
      <c r="A3096" s="102"/>
      <c r="B3096" s="116"/>
    </row>
    <row r="3097" spans="1:2" x14ac:dyDescent="0.2">
      <c r="A3097" s="102"/>
      <c r="B3097" s="116"/>
    </row>
    <row r="3098" spans="1:2" x14ac:dyDescent="0.2">
      <c r="A3098" s="102"/>
      <c r="B3098" s="116"/>
    </row>
    <row r="3099" spans="1:2" x14ac:dyDescent="0.2">
      <c r="A3099" s="102"/>
      <c r="B3099" s="116"/>
    </row>
    <row r="3100" spans="1:2" x14ac:dyDescent="0.2">
      <c r="A3100" s="102"/>
      <c r="B3100" s="116"/>
    </row>
    <row r="3101" spans="1:2" x14ac:dyDescent="0.2">
      <c r="A3101" s="102"/>
      <c r="B3101" s="116"/>
    </row>
    <row r="3102" spans="1:2" x14ac:dyDescent="0.2">
      <c r="A3102" s="102"/>
      <c r="B3102" s="116"/>
    </row>
    <row r="3103" spans="1:2" x14ac:dyDescent="0.2">
      <c r="A3103" s="102"/>
      <c r="B3103" s="116"/>
    </row>
    <row r="3104" spans="1:2" x14ac:dyDescent="0.2">
      <c r="A3104" s="102"/>
      <c r="B3104" s="116"/>
    </row>
    <row r="3105" spans="1:2" x14ac:dyDescent="0.2">
      <c r="A3105" s="102"/>
      <c r="B3105" s="116"/>
    </row>
    <row r="3106" spans="1:2" x14ac:dyDescent="0.2">
      <c r="A3106" s="102"/>
      <c r="B3106" s="116"/>
    </row>
    <row r="3107" spans="1:2" x14ac:dyDescent="0.2">
      <c r="A3107" s="102"/>
      <c r="B3107" s="116"/>
    </row>
    <row r="3108" spans="1:2" x14ac:dyDescent="0.2">
      <c r="A3108" s="102"/>
      <c r="B3108" s="116"/>
    </row>
    <row r="3109" spans="1:2" x14ac:dyDescent="0.2">
      <c r="A3109" s="102"/>
      <c r="B3109" s="116"/>
    </row>
    <row r="3110" spans="1:2" x14ac:dyDescent="0.2">
      <c r="A3110" s="102"/>
      <c r="B3110" s="116"/>
    </row>
    <row r="3111" spans="1:2" x14ac:dyDescent="0.2">
      <c r="A3111" s="102"/>
      <c r="B3111" s="116"/>
    </row>
    <row r="3112" spans="1:2" x14ac:dyDescent="0.2">
      <c r="A3112" s="102"/>
      <c r="B3112" s="116"/>
    </row>
    <row r="3113" spans="1:2" x14ac:dyDescent="0.2">
      <c r="A3113" s="102"/>
      <c r="B3113" s="116"/>
    </row>
    <row r="3114" spans="1:2" x14ac:dyDescent="0.2">
      <c r="A3114" s="102"/>
      <c r="B3114" s="116"/>
    </row>
    <row r="3115" spans="1:2" x14ac:dyDescent="0.2">
      <c r="A3115" s="102"/>
      <c r="B3115" s="116"/>
    </row>
    <row r="3116" spans="1:2" x14ac:dyDescent="0.2">
      <c r="A3116" s="102"/>
      <c r="B3116" s="116"/>
    </row>
    <row r="3117" spans="1:2" x14ac:dyDescent="0.2">
      <c r="A3117" s="102"/>
      <c r="B3117" s="116"/>
    </row>
    <row r="3118" spans="1:2" x14ac:dyDescent="0.2">
      <c r="A3118" s="102"/>
      <c r="B3118" s="116"/>
    </row>
    <row r="3119" spans="1:2" x14ac:dyDescent="0.2">
      <c r="A3119" s="102"/>
      <c r="B3119" s="116"/>
    </row>
    <row r="3120" spans="1:2" x14ac:dyDescent="0.2">
      <c r="A3120" s="102"/>
      <c r="B3120" s="116"/>
    </row>
    <row r="3121" spans="1:2" x14ac:dyDescent="0.2">
      <c r="A3121" s="102"/>
      <c r="B3121" s="116"/>
    </row>
    <row r="3122" spans="1:2" x14ac:dyDescent="0.2">
      <c r="A3122" s="102"/>
      <c r="B3122" s="116"/>
    </row>
    <row r="3123" spans="1:2" x14ac:dyDescent="0.2">
      <c r="A3123" s="102"/>
      <c r="B3123" s="116"/>
    </row>
    <row r="3124" spans="1:2" x14ac:dyDescent="0.2">
      <c r="A3124" s="102"/>
      <c r="B3124" s="116"/>
    </row>
    <row r="3125" spans="1:2" x14ac:dyDescent="0.2">
      <c r="A3125" s="102"/>
      <c r="B3125" s="116"/>
    </row>
    <row r="3126" spans="1:2" x14ac:dyDescent="0.2">
      <c r="A3126" s="102"/>
      <c r="B3126" s="116"/>
    </row>
    <row r="3127" spans="1:2" x14ac:dyDescent="0.2">
      <c r="A3127" s="102"/>
      <c r="B3127" s="116"/>
    </row>
    <row r="3128" spans="1:2" x14ac:dyDescent="0.2">
      <c r="A3128" s="102"/>
      <c r="B3128" s="116"/>
    </row>
    <row r="3129" spans="1:2" x14ac:dyDescent="0.2">
      <c r="A3129" s="102"/>
      <c r="B3129" s="116"/>
    </row>
    <row r="3130" spans="1:2" x14ac:dyDescent="0.2">
      <c r="A3130" s="102"/>
      <c r="B3130" s="116"/>
    </row>
    <row r="3131" spans="1:2" x14ac:dyDescent="0.2">
      <c r="A3131" s="102"/>
      <c r="B3131" s="116"/>
    </row>
    <row r="3132" spans="1:2" x14ac:dyDescent="0.2">
      <c r="A3132" s="102"/>
      <c r="B3132" s="116"/>
    </row>
    <row r="3133" spans="1:2" x14ac:dyDescent="0.2">
      <c r="A3133" s="102"/>
      <c r="B3133" s="116"/>
    </row>
    <row r="3134" spans="1:2" x14ac:dyDescent="0.2">
      <c r="A3134" s="102"/>
      <c r="B3134" s="116"/>
    </row>
    <row r="3135" spans="1:2" x14ac:dyDescent="0.2">
      <c r="A3135" s="102"/>
      <c r="B3135" s="116"/>
    </row>
    <row r="3136" spans="1:2" x14ac:dyDescent="0.2">
      <c r="A3136" s="102"/>
      <c r="B3136" s="116"/>
    </row>
    <row r="3137" spans="1:2" x14ac:dyDescent="0.2">
      <c r="A3137" s="102"/>
      <c r="B3137" s="116"/>
    </row>
    <row r="3138" spans="1:2" x14ac:dyDescent="0.2">
      <c r="A3138" s="102"/>
      <c r="B3138" s="116"/>
    </row>
    <row r="3139" spans="1:2" x14ac:dyDescent="0.2">
      <c r="A3139" s="102"/>
      <c r="B3139" s="116"/>
    </row>
    <row r="3140" spans="1:2" x14ac:dyDescent="0.2">
      <c r="A3140" s="102"/>
      <c r="B3140" s="116"/>
    </row>
    <row r="3141" spans="1:2" x14ac:dyDescent="0.2">
      <c r="A3141" s="102"/>
      <c r="B3141" s="116"/>
    </row>
    <row r="3142" spans="1:2" x14ac:dyDescent="0.2">
      <c r="A3142" s="102"/>
      <c r="B3142" s="116"/>
    </row>
    <row r="3143" spans="1:2" x14ac:dyDescent="0.2">
      <c r="A3143" s="102"/>
      <c r="B3143" s="116"/>
    </row>
    <row r="3144" spans="1:2" x14ac:dyDescent="0.2">
      <c r="A3144" s="102"/>
      <c r="B3144" s="116"/>
    </row>
    <row r="3145" spans="1:2" x14ac:dyDescent="0.2">
      <c r="A3145" s="102"/>
      <c r="B3145" s="116"/>
    </row>
    <row r="3146" spans="1:2" x14ac:dyDescent="0.2">
      <c r="A3146" s="102"/>
      <c r="B3146" s="116"/>
    </row>
    <row r="3147" spans="1:2" x14ac:dyDescent="0.2">
      <c r="A3147" s="102"/>
      <c r="B3147" s="116"/>
    </row>
    <row r="3148" spans="1:2" x14ac:dyDescent="0.2">
      <c r="A3148" s="102"/>
      <c r="B3148" s="116"/>
    </row>
    <row r="3149" spans="1:2" x14ac:dyDescent="0.2">
      <c r="A3149" s="102"/>
      <c r="B3149" s="116"/>
    </row>
    <row r="3150" spans="1:2" x14ac:dyDescent="0.2">
      <c r="A3150" s="102"/>
      <c r="B3150" s="116"/>
    </row>
    <row r="3151" spans="1:2" x14ac:dyDescent="0.2">
      <c r="A3151" s="102"/>
      <c r="B3151" s="116"/>
    </row>
    <row r="3152" spans="1:2" x14ac:dyDescent="0.2">
      <c r="A3152" s="102"/>
      <c r="B3152" s="116"/>
    </row>
    <row r="3153" spans="1:2" x14ac:dyDescent="0.2">
      <c r="A3153" s="102"/>
      <c r="B3153" s="116"/>
    </row>
    <row r="3154" spans="1:2" x14ac:dyDescent="0.2">
      <c r="A3154" s="102"/>
      <c r="B3154" s="116"/>
    </row>
    <row r="3155" spans="1:2" x14ac:dyDescent="0.2">
      <c r="A3155" s="102"/>
      <c r="B3155" s="116"/>
    </row>
    <row r="3156" spans="1:2" x14ac:dyDescent="0.2">
      <c r="A3156" s="102"/>
      <c r="B3156" s="116"/>
    </row>
    <row r="3157" spans="1:2" x14ac:dyDescent="0.2">
      <c r="A3157" s="102"/>
      <c r="B3157" s="116"/>
    </row>
    <row r="3158" spans="1:2" x14ac:dyDescent="0.2">
      <c r="A3158" s="102"/>
      <c r="B3158" s="116"/>
    </row>
    <row r="3159" spans="1:2" x14ac:dyDescent="0.2">
      <c r="A3159" s="102"/>
      <c r="B3159" s="116"/>
    </row>
    <row r="3160" spans="1:2" x14ac:dyDescent="0.2">
      <c r="A3160" s="102"/>
      <c r="B3160" s="116"/>
    </row>
    <row r="3161" spans="1:2" x14ac:dyDescent="0.2">
      <c r="A3161" s="102"/>
      <c r="B3161" s="116"/>
    </row>
    <row r="3162" spans="1:2" x14ac:dyDescent="0.2">
      <c r="A3162" s="102"/>
      <c r="B3162" s="116"/>
    </row>
    <row r="3163" spans="1:2" x14ac:dyDescent="0.2">
      <c r="A3163" s="102"/>
      <c r="B3163" s="116"/>
    </row>
    <row r="3164" spans="1:2" x14ac:dyDescent="0.2">
      <c r="A3164" s="102"/>
      <c r="B3164" s="116"/>
    </row>
    <row r="3165" spans="1:2" x14ac:dyDescent="0.2">
      <c r="A3165" s="102"/>
      <c r="B3165" s="116"/>
    </row>
    <row r="3166" spans="1:2" x14ac:dyDescent="0.2">
      <c r="A3166" s="102"/>
      <c r="B3166" s="116"/>
    </row>
    <row r="3167" spans="1:2" x14ac:dyDescent="0.2">
      <c r="A3167" s="102"/>
      <c r="B3167" s="116"/>
    </row>
    <row r="3168" spans="1:2" x14ac:dyDescent="0.2">
      <c r="A3168" s="102"/>
      <c r="B3168" s="116"/>
    </row>
    <row r="3169" spans="1:2" x14ac:dyDescent="0.2">
      <c r="A3169" s="102"/>
      <c r="B3169" s="116"/>
    </row>
    <row r="3170" spans="1:2" x14ac:dyDescent="0.2">
      <c r="A3170" s="102"/>
      <c r="B3170" s="116"/>
    </row>
    <row r="3171" spans="1:2" x14ac:dyDescent="0.2">
      <c r="A3171" s="102"/>
      <c r="B3171" s="116"/>
    </row>
    <row r="3172" spans="1:2" x14ac:dyDescent="0.2">
      <c r="A3172" s="102"/>
      <c r="B3172" s="116"/>
    </row>
    <row r="3173" spans="1:2" x14ac:dyDescent="0.2">
      <c r="A3173" s="102"/>
      <c r="B3173" s="116"/>
    </row>
    <row r="3174" spans="1:2" x14ac:dyDescent="0.2">
      <c r="A3174" s="102"/>
      <c r="B3174" s="116"/>
    </row>
    <row r="3175" spans="1:2" x14ac:dyDescent="0.2">
      <c r="A3175" s="102"/>
      <c r="B3175" s="116"/>
    </row>
    <row r="3176" spans="1:2" x14ac:dyDescent="0.2">
      <c r="A3176" s="102"/>
      <c r="B3176" s="116"/>
    </row>
    <row r="3177" spans="1:2" x14ac:dyDescent="0.2">
      <c r="A3177" s="102"/>
      <c r="B3177" s="116"/>
    </row>
    <row r="3178" spans="1:2" x14ac:dyDescent="0.2">
      <c r="A3178" s="102"/>
      <c r="B3178" s="116"/>
    </row>
    <row r="3179" spans="1:2" x14ac:dyDescent="0.2">
      <c r="A3179" s="102"/>
      <c r="B3179" s="116"/>
    </row>
    <row r="3180" spans="1:2" x14ac:dyDescent="0.2">
      <c r="A3180" s="102"/>
      <c r="B3180" s="116"/>
    </row>
    <row r="3181" spans="1:2" x14ac:dyDescent="0.2">
      <c r="A3181" s="102"/>
      <c r="B3181" s="116"/>
    </row>
    <row r="3182" spans="1:2" x14ac:dyDescent="0.2">
      <c r="A3182" s="102"/>
      <c r="B3182" s="116"/>
    </row>
    <row r="3183" spans="1:2" x14ac:dyDescent="0.2">
      <c r="A3183" s="102"/>
      <c r="B3183" s="116"/>
    </row>
    <row r="3184" spans="1:2" x14ac:dyDescent="0.2">
      <c r="A3184" s="102"/>
      <c r="B3184" s="116"/>
    </row>
    <row r="3185" spans="1:2" x14ac:dyDescent="0.2">
      <c r="A3185" s="102"/>
      <c r="B3185" s="116"/>
    </row>
    <row r="3186" spans="1:2" x14ac:dyDescent="0.2">
      <c r="A3186" s="102"/>
      <c r="B3186" s="116"/>
    </row>
    <row r="3187" spans="1:2" x14ac:dyDescent="0.2">
      <c r="A3187" s="102"/>
      <c r="B3187" s="116"/>
    </row>
    <row r="3188" spans="1:2" x14ac:dyDescent="0.2">
      <c r="A3188" s="102"/>
      <c r="B3188" s="116"/>
    </row>
    <row r="3189" spans="1:2" x14ac:dyDescent="0.2">
      <c r="A3189" s="102"/>
      <c r="B3189" s="116"/>
    </row>
    <row r="3190" spans="1:2" x14ac:dyDescent="0.2">
      <c r="A3190" s="102"/>
      <c r="B3190" s="116"/>
    </row>
    <row r="3191" spans="1:2" x14ac:dyDescent="0.2">
      <c r="A3191" s="102"/>
      <c r="B3191" s="116"/>
    </row>
    <row r="3192" spans="1:2" x14ac:dyDescent="0.2">
      <c r="A3192" s="102"/>
      <c r="B3192" s="116"/>
    </row>
    <row r="3193" spans="1:2" x14ac:dyDescent="0.2">
      <c r="A3193" s="102"/>
      <c r="B3193" s="116"/>
    </row>
    <row r="3194" spans="1:2" x14ac:dyDescent="0.2">
      <c r="A3194" s="102"/>
      <c r="B3194" s="116"/>
    </row>
    <row r="3195" spans="1:2" x14ac:dyDescent="0.2">
      <c r="A3195" s="102"/>
      <c r="B3195" s="116"/>
    </row>
    <row r="3196" spans="1:2" x14ac:dyDescent="0.2">
      <c r="A3196" s="102"/>
      <c r="B3196" s="116"/>
    </row>
    <row r="3197" spans="1:2" x14ac:dyDescent="0.2">
      <c r="A3197" s="102"/>
      <c r="B3197" s="116"/>
    </row>
    <row r="3198" spans="1:2" x14ac:dyDescent="0.2">
      <c r="A3198" s="102"/>
      <c r="B3198" s="116"/>
    </row>
    <row r="3199" spans="1:2" x14ac:dyDescent="0.2">
      <c r="A3199" s="102"/>
      <c r="B3199" s="116"/>
    </row>
    <row r="3200" spans="1:2" x14ac:dyDescent="0.2">
      <c r="A3200" s="102"/>
      <c r="B3200" s="116"/>
    </row>
    <row r="3201" spans="1:2" x14ac:dyDescent="0.2">
      <c r="A3201" s="102"/>
      <c r="B3201" s="116"/>
    </row>
    <row r="3202" spans="1:2" x14ac:dyDescent="0.2">
      <c r="A3202" s="102"/>
      <c r="B3202" s="116"/>
    </row>
    <row r="3203" spans="1:2" x14ac:dyDescent="0.2">
      <c r="A3203" s="102"/>
      <c r="B3203" s="116"/>
    </row>
    <row r="3204" spans="1:2" x14ac:dyDescent="0.2">
      <c r="A3204" s="102"/>
      <c r="B3204" s="116"/>
    </row>
    <row r="3205" spans="1:2" x14ac:dyDescent="0.2">
      <c r="A3205" s="102"/>
      <c r="B3205" s="116"/>
    </row>
    <row r="3206" spans="1:2" x14ac:dyDescent="0.2">
      <c r="A3206" s="102"/>
      <c r="B3206" s="116"/>
    </row>
    <row r="3207" spans="1:2" x14ac:dyDescent="0.2">
      <c r="A3207" s="102"/>
      <c r="B3207" s="116"/>
    </row>
    <row r="3208" spans="1:2" x14ac:dyDescent="0.2">
      <c r="A3208" s="102"/>
      <c r="B3208" s="116"/>
    </row>
    <row r="3209" spans="1:2" x14ac:dyDescent="0.2">
      <c r="A3209" s="102"/>
      <c r="B3209" s="116"/>
    </row>
    <row r="3210" spans="1:2" x14ac:dyDescent="0.2">
      <c r="A3210" s="102"/>
      <c r="B3210" s="116"/>
    </row>
    <row r="3211" spans="1:2" x14ac:dyDescent="0.2">
      <c r="A3211" s="102"/>
      <c r="B3211" s="116"/>
    </row>
    <row r="3212" spans="1:2" x14ac:dyDescent="0.2">
      <c r="A3212" s="102"/>
      <c r="B3212" s="116"/>
    </row>
    <row r="3213" spans="1:2" x14ac:dyDescent="0.2">
      <c r="A3213" s="102"/>
      <c r="B3213" s="116"/>
    </row>
    <row r="3214" spans="1:2" x14ac:dyDescent="0.2">
      <c r="A3214" s="102"/>
      <c r="B3214" s="116"/>
    </row>
    <row r="3215" spans="1:2" x14ac:dyDescent="0.2">
      <c r="A3215" s="102"/>
      <c r="B3215" s="116"/>
    </row>
    <row r="3216" spans="1:2" x14ac:dyDescent="0.2">
      <c r="A3216" s="102"/>
      <c r="B3216" s="116"/>
    </row>
    <row r="3217" spans="1:2" x14ac:dyDescent="0.2">
      <c r="A3217" s="102"/>
      <c r="B3217" s="116"/>
    </row>
    <row r="3218" spans="1:2" x14ac:dyDescent="0.2">
      <c r="A3218" s="102"/>
      <c r="B3218" s="116"/>
    </row>
    <row r="3219" spans="1:2" x14ac:dyDescent="0.2">
      <c r="A3219" s="102"/>
      <c r="B3219" s="116"/>
    </row>
    <row r="3220" spans="1:2" x14ac:dyDescent="0.2">
      <c r="A3220" s="102"/>
      <c r="B3220" s="116"/>
    </row>
    <row r="3221" spans="1:2" x14ac:dyDescent="0.2">
      <c r="A3221" s="102"/>
      <c r="B3221" s="116"/>
    </row>
    <row r="3222" spans="1:2" x14ac:dyDescent="0.2">
      <c r="A3222" s="102"/>
      <c r="B3222" s="116"/>
    </row>
    <row r="3223" spans="1:2" x14ac:dyDescent="0.2">
      <c r="A3223" s="102"/>
      <c r="B3223" s="116"/>
    </row>
    <row r="3224" spans="1:2" x14ac:dyDescent="0.2">
      <c r="A3224" s="102"/>
      <c r="B3224" s="116"/>
    </row>
    <row r="3225" spans="1:2" x14ac:dyDescent="0.2">
      <c r="A3225" s="102"/>
      <c r="B3225" s="116"/>
    </row>
    <row r="3226" spans="1:2" x14ac:dyDescent="0.2">
      <c r="A3226" s="102"/>
      <c r="B3226" s="116"/>
    </row>
    <row r="3227" spans="1:2" x14ac:dyDescent="0.2">
      <c r="A3227" s="102"/>
      <c r="B3227" s="116"/>
    </row>
    <row r="3228" spans="1:2" x14ac:dyDescent="0.2">
      <c r="A3228" s="102"/>
      <c r="B3228" s="116"/>
    </row>
    <row r="3229" spans="1:2" x14ac:dyDescent="0.2">
      <c r="A3229" s="102"/>
      <c r="B3229" s="116"/>
    </row>
    <row r="3230" spans="1:2" x14ac:dyDescent="0.2">
      <c r="A3230" s="102"/>
      <c r="B3230" s="116"/>
    </row>
    <row r="3231" spans="1:2" x14ac:dyDescent="0.2">
      <c r="A3231" s="102"/>
      <c r="B3231" s="116"/>
    </row>
    <row r="3232" spans="1:2" x14ac:dyDescent="0.2">
      <c r="A3232" s="102"/>
      <c r="B3232" s="116"/>
    </row>
    <row r="3233" spans="1:2" x14ac:dyDescent="0.2">
      <c r="A3233" s="102"/>
      <c r="B3233" s="116"/>
    </row>
    <row r="3234" spans="1:2" x14ac:dyDescent="0.2">
      <c r="A3234" s="102"/>
      <c r="B3234" s="116"/>
    </row>
    <row r="3235" spans="1:2" x14ac:dyDescent="0.2">
      <c r="A3235" s="102"/>
      <c r="B3235" s="116"/>
    </row>
    <row r="3236" spans="1:2" x14ac:dyDescent="0.2">
      <c r="A3236" s="102"/>
      <c r="B3236" s="116"/>
    </row>
    <row r="3237" spans="1:2" x14ac:dyDescent="0.2">
      <c r="A3237" s="102"/>
      <c r="B3237" s="116"/>
    </row>
    <row r="3238" spans="1:2" x14ac:dyDescent="0.2">
      <c r="A3238" s="102"/>
      <c r="B3238" s="116"/>
    </row>
    <row r="3239" spans="1:2" x14ac:dyDescent="0.2">
      <c r="A3239" s="102"/>
      <c r="B3239" s="116"/>
    </row>
    <row r="3240" spans="1:2" x14ac:dyDescent="0.2">
      <c r="A3240" s="102"/>
      <c r="B3240" s="116"/>
    </row>
    <row r="3241" spans="1:2" x14ac:dyDescent="0.2">
      <c r="A3241" s="102"/>
      <c r="B3241" s="116"/>
    </row>
    <row r="3242" spans="1:2" x14ac:dyDescent="0.2">
      <c r="A3242" s="102"/>
      <c r="B3242" s="116"/>
    </row>
    <row r="3243" spans="1:2" x14ac:dyDescent="0.2">
      <c r="A3243" s="102"/>
      <c r="B3243" s="116"/>
    </row>
    <row r="3244" spans="1:2" x14ac:dyDescent="0.2">
      <c r="A3244" s="102"/>
      <c r="B3244" s="116"/>
    </row>
    <row r="3245" spans="1:2" x14ac:dyDescent="0.2">
      <c r="A3245" s="102"/>
      <c r="B3245" s="116"/>
    </row>
    <row r="3246" spans="1:2" x14ac:dyDescent="0.2">
      <c r="A3246" s="102"/>
      <c r="B3246" s="116"/>
    </row>
    <row r="3247" spans="1:2" x14ac:dyDescent="0.2">
      <c r="A3247" s="102"/>
      <c r="B3247" s="116"/>
    </row>
    <row r="3248" spans="1:2" x14ac:dyDescent="0.2">
      <c r="A3248" s="102"/>
      <c r="B3248" s="116"/>
    </row>
    <row r="3249" spans="1:2" x14ac:dyDescent="0.2">
      <c r="A3249" s="102"/>
      <c r="B3249" s="116"/>
    </row>
    <row r="3250" spans="1:2" x14ac:dyDescent="0.2">
      <c r="A3250" s="102"/>
      <c r="B3250" s="116"/>
    </row>
    <row r="3251" spans="1:2" x14ac:dyDescent="0.2">
      <c r="A3251" s="102"/>
      <c r="B3251" s="116"/>
    </row>
    <row r="3252" spans="1:2" x14ac:dyDescent="0.2">
      <c r="A3252" s="102"/>
      <c r="B3252" s="116"/>
    </row>
    <row r="3253" spans="1:2" x14ac:dyDescent="0.2">
      <c r="A3253" s="102"/>
      <c r="B3253" s="116"/>
    </row>
    <row r="3254" spans="1:2" x14ac:dyDescent="0.2">
      <c r="A3254" s="102"/>
      <c r="B3254" s="116"/>
    </row>
    <row r="3255" spans="1:2" x14ac:dyDescent="0.2">
      <c r="A3255" s="102"/>
      <c r="B3255" s="116"/>
    </row>
    <row r="3256" spans="1:2" x14ac:dyDescent="0.2">
      <c r="A3256" s="102"/>
      <c r="B3256" s="116"/>
    </row>
    <row r="3257" spans="1:2" x14ac:dyDescent="0.2">
      <c r="A3257" s="102"/>
      <c r="B3257" s="116"/>
    </row>
    <row r="3258" spans="1:2" x14ac:dyDescent="0.2">
      <c r="A3258" s="102"/>
      <c r="B3258" s="116"/>
    </row>
    <row r="3259" spans="1:2" x14ac:dyDescent="0.2">
      <c r="A3259" s="102"/>
      <c r="B3259" s="116"/>
    </row>
    <row r="3260" spans="1:2" x14ac:dyDescent="0.2">
      <c r="A3260" s="102"/>
      <c r="B3260" s="116"/>
    </row>
    <row r="3261" spans="1:2" x14ac:dyDescent="0.2">
      <c r="A3261" s="102"/>
      <c r="B3261" s="116"/>
    </row>
    <row r="3262" spans="1:2" x14ac:dyDescent="0.2">
      <c r="A3262" s="102"/>
      <c r="B3262" s="116"/>
    </row>
    <row r="3263" spans="1:2" x14ac:dyDescent="0.2">
      <c r="A3263" s="102"/>
      <c r="B3263" s="116"/>
    </row>
    <row r="3264" spans="1:2" x14ac:dyDescent="0.2">
      <c r="A3264" s="102"/>
      <c r="B3264" s="116"/>
    </row>
    <row r="3265" spans="1:2" x14ac:dyDescent="0.2">
      <c r="A3265" s="102"/>
      <c r="B3265" s="116"/>
    </row>
    <row r="3266" spans="1:2" x14ac:dyDescent="0.2">
      <c r="A3266" s="102"/>
      <c r="B3266" s="116"/>
    </row>
    <row r="3267" spans="1:2" x14ac:dyDescent="0.2">
      <c r="A3267" s="102"/>
      <c r="B3267" s="116"/>
    </row>
    <row r="3268" spans="1:2" x14ac:dyDescent="0.2">
      <c r="A3268" s="102"/>
      <c r="B3268" s="116"/>
    </row>
    <row r="3269" spans="1:2" x14ac:dyDescent="0.2">
      <c r="A3269" s="102"/>
      <c r="B3269" s="116"/>
    </row>
    <row r="3270" spans="1:2" x14ac:dyDescent="0.2">
      <c r="A3270" s="102"/>
      <c r="B3270" s="116"/>
    </row>
    <row r="3271" spans="1:2" x14ac:dyDescent="0.2">
      <c r="A3271" s="102"/>
      <c r="B3271" s="116"/>
    </row>
    <row r="3272" spans="1:2" x14ac:dyDescent="0.2">
      <c r="A3272" s="102"/>
      <c r="B3272" s="116"/>
    </row>
    <row r="3273" spans="1:2" x14ac:dyDescent="0.2">
      <c r="A3273" s="102"/>
      <c r="B3273" s="116"/>
    </row>
    <row r="3274" spans="1:2" x14ac:dyDescent="0.2">
      <c r="A3274" s="102"/>
      <c r="B3274" s="116"/>
    </row>
    <row r="3275" spans="1:2" x14ac:dyDescent="0.2">
      <c r="A3275" s="102"/>
      <c r="B3275" s="116"/>
    </row>
    <row r="3276" spans="1:2" x14ac:dyDescent="0.2">
      <c r="A3276" s="102"/>
      <c r="B3276" s="116"/>
    </row>
    <row r="3277" spans="1:2" x14ac:dyDescent="0.2">
      <c r="A3277" s="102"/>
      <c r="B3277" s="116"/>
    </row>
    <row r="3278" spans="1:2" x14ac:dyDescent="0.2">
      <c r="A3278" s="102"/>
      <c r="B3278" s="116"/>
    </row>
    <row r="3279" spans="1:2" x14ac:dyDescent="0.2">
      <c r="A3279" s="102"/>
      <c r="B3279" s="116"/>
    </row>
    <row r="3280" spans="1:2" x14ac:dyDescent="0.2">
      <c r="A3280" s="102"/>
      <c r="B3280" s="116"/>
    </row>
    <row r="3281" spans="1:2" x14ac:dyDescent="0.2">
      <c r="A3281" s="102"/>
      <c r="B3281" s="116"/>
    </row>
    <row r="3282" spans="1:2" x14ac:dyDescent="0.2">
      <c r="A3282" s="102"/>
      <c r="B3282" s="116"/>
    </row>
    <row r="3283" spans="1:2" x14ac:dyDescent="0.2">
      <c r="A3283" s="102"/>
      <c r="B3283" s="116"/>
    </row>
    <row r="3284" spans="1:2" x14ac:dyDescent="0.2">
      <c r="A3284" s="102"/>
      <c r="B3284" s="116"/>
    </row>
    <row r="3285" spans="1:2" x14ac:dyDescent="0.2">
      <c r="A3285" s="102"/>
      <c r="B3285" s="116"/>
    </row>
    <row r="3286" spans="1:2" x14ac:dyDescent="0.2">
      <c r="A3286" s="102"/>
      <c r="B3286" s="116"/>
    </row>
    <row r="3287" spans="1:2" x14ac:dyDescent="0.2">
      <c r="A3287" s="102"/>
      <c r="B3287" s="116"/>
    </row>
    <row r="3288" spans="1:2" x14ac:dyDescent="0.2">
      <c r="A3288" s="102"/>
      <c r="B3288" s="116"/>
    </row>
    <row r="3289" spans="1:2" x14ac:dyDescent="0.2">
      <c r="A3289" s="102"/>
      <c r="B3289" s="116"/>
    </row>
    <row r="3290" spans="1:2" x14ac:dyDescent="0.2">
      <c r="A3290" s="102"/>
      <c r="B3290" s="116"/>
    </row>
    <row r="3291" spans="1:2" x14ac:dyDescent="0.2">
      <c r="A3291" s="102"/>
      <c r="B3291" s="116"/>
    </row>
    <row r="3292" spans="1:2" x14ac:dyDescent="0.2">
      <c r="A3292" s="102"/>
      <c r="B3292" s="116"/>
    </row>
    <row r="3293" spans="1:2" x14ac:dyDescent="0.2">
      <c r="A3293" s="102"/>
      <c r="B3293" s="116"/>
    </row>
    <row r="3294" spans="1:2" x14ac:dyDescent="0.2">
      <c r="A3294" s="102"/>
      <c r="B3294" s="116"/>
    </row>
    <row r="3295" spans="1:2" x14ac:dyDescent="0.2">
      <c r="A3295" s="102"/>
      <c r="B3295" s="116"/>
    </row>
    <row r="3296" spans="1:2" x14ac:dyDescent="0.2">
      <c r="A3296" s="102"/>
      <c r="B3296" s="116"/>
    </row>
    <row r="3297" spans="1:2" x14ac:dyDescent="0.2">
      <c r="A3297" s="102"/>
      <c r="B3297" s="116"/>
    </row>
    <row r="3298" spans="1:2" x14ac:dyDescent="0.2">
      <c r="A3298" s="102"/>
      <c r="B3298" s="116"/>
    </row>
    <row r="3299" spans="1:2" x14ac:dyDescent="0.2">
      <c r="A3299" s="102"/>
      <c r="B3299" s="116"/>
    </row>
    <row r="3300" spans="1:2" x14ac:dyDescent="0.2">
      <c r="A3300" s="102"/>
      <c r="B3300" s="116"/>
    </row>
    <row r="3301" spans="1:2" x14ac:dyDescent="0.2">
      <c r="A3301" s="102"/>
      <c r="B3301" s="116"/>
    </row>
    <row r="3302" spans="1:2" x14ac:dyDescent="0.2">
      <c r="A3302" s="102"/>
      <c r="B3302" s="116"/>
    </row>
    <row r="3303" spans="1:2" x14ac:dyDescent="0.2">
      <c r="A3303" s="102"/>
      <c r="B3303" s="116"/>
    </row>
    <row r="3304" spans="1:2" x14ac:dyDescent="0.2">
      <c r="A3304" s="102"/>
      <c r="B3304" s="116"/>
    </row>
    <row r="3305" spans="1:2" x14ac:dyDescent="0.2">
      <c r="A3305" s="102"/>
      <c r="B3305" s="116"/>
    </row>
    <row r="3306" spans="1:2" x14ac:dyDescent="0.2">
      <c r="A3306" s="102"/>
      <c r="B3306" s="116"/>
    </row>
    <row r="3307" spans="1:2" x14ac:dyDescent="0.2">
      <c r="A3307" s="102"/>
      <c r="B3307" s="116"/>
    </row>
    <row r="3308" spans="1:2" x14ac:dyDescent="0.2">
      <c r="A3308" s="102"/>
      <c r="B3308" s="116"/>
    </row>
    <row r="3309" spans="1:2" x14ac:dyDescent="0.2">
      <c r="A3309" s="102"/>
      <c r="B3309" s="116"/>
    </row>
    <row r="3310" spans="1:2" x14ac:dyDescent="0.2">
      <c r="A3310" s="102"/>
      <c r="B3310" s="116"/>
    </row>
    <row r="3311" spans="1:2" x14ac:dyDescent="0.2">
      <c r="A3311" s="102"/>
      <c r="B3311" s="116"/>
    </row>
    <row r="3312" spans="1:2" x14ac:dyDescent="0.2">
      <c r="A3312" s="102"/>
      <c r="B3312" s="116"/>
    </row>
    <row r="3313" spans="1:2" x14ac:dyDescent="0.2">
      <c r="A3313" s="102"/>
      <c r="B3313" s="116"/>
    </row>
    <row r="3314" spans="1:2" x14ac:dyDescent="0.2">
      <c r="A3314" s="102"/>
      <c r="B3314" s="116"/>
    </row>
    <row r="3315" spans="1:2" x14ac:dyDescent="0.2">
      <c r="A3315" s="102"/>
      <c r="B3315" s="116"/>
    </row>
    <row r="3316" spans="1:2" x14ac:dyDescent="0.2">
      <c r="A3316" s="102"/>
      <c r="B3316" s="116"/>
    </row>
    <row r="3317" spans="1:2" x14ac:dyDescent="0.2">
      <c r="A3317" s="102"/>
      <c r="B3317" s="116"/>
    </row>
    <row r="3318" spans="1:2" x14ac:dyDescent="0.2">
      <c r="A3318" s="102"/>
      <c r="B3318" s="116"/>
    </row>
    <row r="3319" spans="1:2" x14ac:dyDescent="0.2">
      <c r="A3319" s="102"/>
      <c r="B3319" s="116"/>
    </row>
    <row r="3320" spans="1:2" x14ac:dyDescent="0.2">
      <c r="A3320" s="102"/>
      <c r="B3320" s="116"/>
    </row>
    <row r="3321" spans="1:2" x14ac:dyDescent="0.2">
      <c r="A3321" s="102"/>
      <c r="B3321" s="116"/>
    </row>
    <row r="3322" spans="1:2" x14ac:dyDescent="0.2">
      <c r="A3322" s="102"/>
      <c r="B3322" s="116"/>
    </row>
    <row r="3323" spans="1:2" x14ac:dyDescent="0.2">
      <c r="A3323" s="102"/>
      <c r="B3323" s="116"/>
    </row>
    <row r="3324" spans="1:2" x14ac:dyDescent="0.2">
      <c r="A3324" s="102"/>
      <c r="B3324" s="116"/>
    </row>
    <row r="3325" spans="1:2" x14ac:dyDescent="0.2">
      <c r="A3325" s="102"/>
      <c r="B3325" s="116"/>
    </row>
    <row r="3326" spans="1:2" x14ac:dyDescent="0.2">
      <c r="A3326" s="102"/>
      <c r="B3326" s="116"/>
    </row>
    <row r="3327" spans="1:2" x14ac:dyDescent="0.2">
      <c r="A3327" s="102"/>
      <c r="B3327" s="116"/>
    </row>
    <row r="3328" spans="1:2" x14ac:dyDescent="0.2">
      <c r="A3328" s="102"/>
      <c r="B3328" s="116"/>
    </row>
    <row r="3329" spans="1:2" x14ac:dyDescent="0.2">
      <c r="A3329" s="102"/>
      <c r="B3329" s="116"/>
    </row>
    <row r="3330" spans="1:2" x14ac:dyDescent="0.2">
      <c r="A3330" s="102"/>
      <c r="B3330" s="116"/>
    </row>
    <row r="3331" spans="1:2" x14ac:dyDescent="0.2">
      <c r="A3331" s="102"/>
      <c r="B3331" s="116"/>
    </row>
    <row r="3332" spans="1:2" x14ac:dyDescent="0.2">
      <c r="A3332" s="102"/>
      <c r="B3332" s="116"/>
    </row>
    <row r="3333" spans="1:2" x14ac:dyDescent="0.2">
      <c r="A3333" s="102"/>
      <c r="B3333" s="116"/>
    </row>
    <row r="3334" spans="1:2" x14ac:dyDescent="0.2">
      <c r="A3334" s="102"/>
      <c r="B3334" s="116"/>
    </row>
    <row r="3335" spans="1:2" x14ac:dyDescent="0.2">
      <c r="A3335" s="102"/>
      <c r="B3335" s="116"/>
    </row>
    <row r="3336" spans="1:2" x14ac:dyDescent="0.2">
      <c r="A3336" s="102"/>
      <c r="B3336" s="116"/>
    </row>
    <row r="3337" spans="1:2" x14ac:dyDescent="0.2">
      <c r="A3337" s="102"/>
      <c r="B3337" s="116"/>
    </row>
    <row r="3338" spans="1:2" x14ac:dyDescent="0.2">
      <c r="A3338" s="102"/>
      <c r="B3338" s="116"/>
    </row>
    <row r="3339" spans="1:2" x14ac:dyDescent="0.2">
      <c r="A3339" s="102"/>
      <c r="B3339" s="116"/>
    </row>
    <row r="3340" spans="1:2" x14ac:dyDescent="0.2">
      <c r="A3340" s="102"/>
      <c r="B3340" s="116"/>
    </row>
    <row r="3341" spans="1:2" x14ac:dyDescent="0.2">
      <c r="A3341" s="102"/>
      <c r="B3341" s="116"/>
    </row>
    <row r="3342" spans="1:2" x14ac:dyDescent="0.2">
      <c r="A3342" s="102"/>
      <c r="B3342" s="116"/>
    </row>
    <row r="3343" spans="1:2" x14ac:dyDescent="0.2">
      <c r="A3343" s="102"/>
      <c r="B3343" s="116"/>
    </row>
    <row r="3344" spans="1:2" x14ac:dyDescent="0.2">
      <c r="A3344" s="102"/>
      <c r="B3344" s="116"/>
    </row>
    <row r="3345" spans="1:2" x14ac:dyDescent="0.2">
      <c r="A3345" s="102"/>
      <c r="B3345" s="116"/>
    </row>
    <row r="3346" spans="1:2" x14ac:dyDescent="0.2">
      <c r="A3346" s="102"/>
      <c r="B3346" s="116"/>
    </row>
    <row r="3347" spans="1:2" x14ac:dyDescent="0.2">
      <c r="A3347" s="102"/>
      <c r="B3347" s="116"/>
    </row>
    <row r="3348" spans="1:2" x14ac:dyDescent="0.2">
      <c r="A3348" s="102"/>
      <c r="B3348" s="116"/>
    </row>
    <row r="3349" spans="1:2" x14ac:dyDescent="0.2">
      <c r="A3349" s="102"/>
      <c r="B3349" s="116"/>
    </row>
    <row r="3350" spans="1:2" x14ac:dyDescent="0.2">
      <c r="A3350" s="102"/>
      <c r="B3350" s="116"/>
    </row>
    <row r="3351" spans="1:2" x14ac:dyDescent="0.2">
      <c r="A3351" s="102"/>
      <c r="B3351" s="116"/>
    </row>
    <row r="3352" spans="1:2" x14ac:dyDescent="0.2">
      <c r="A3352" s="102"/>
      <c r="B3352" s="116"/>
    </row>
    <row r="3353" spans="1:2" x14ac:dyDescent="0.2">
      <c r="A3353" s="102"/>
      <c r="B3353" s="116"/>
    </row>
    <row r="3354" spans="1:2" x14ac:dyDescent="0.2">
      <c r="A3354" s="102"/>
      <c r="B3354" s="116"/>
    </row>
    <row r="3355" spans="1:2" x14ac:dyDescent="0.2">
      <c r="A3355" s="102"/>
      <c r="B3355" s="116"/>
    </row>
    <row r="3356" spans="1:2" x14ac:dyDescent="0.2">
      <c r="A3356" s="102"/>
      <c r="B3356" s="116"/>
    </row>
    <row r="3357" spans="1:2" x14ac:dyDescent="0.2">
      <c r="A3357" s="102"/>
      <c r="B3357" s="116"/>
    </row>
    <row r="3358" spans="1:2" x14ac:dyDescent="0.2">
      <c r="A3358" s="102"/>
      <c r="B3358" s="116"/>
    </row>
    <row r="3359" spans="1:2" x14ac:dyDescent="0.2">
      <c r="A3359" s="102"/>
      <c r="B3359" s="116"/>
    </row>
    <row r="3360" spans="1:2" x14ac:dyDescent="0.2">
      <c r="A3360" s="102"/>
      <c r="B3360" s="116"/>
    </row>
    <row r="3361" spans="1:2" x14ac:dyDescent="0.2">
      <c r="A3361" s="102"/>
      <c r="B3361" s="116"/>
    </row>
    <row r="3362" spans="1:2" x14ac:dyDescent="0.2">
      <c r="A3362" s="102"/>
      <c r="B3362" s="116"/>
    </row>
    <row r="3363" spans="1:2" x14ac:dyDescent="0.2">
      <c r="A3363" s="102"/>
      <c r="B3363" s="116"/>
    </row>
    <row r="3364" spans="1:2" x14ac:dyDescent="0.2">
      <c r="A3364" s="102"/>
      <c r="B3364" s="116"/>
    </row>
    <row r="3365" spans="1:2" x14ac:dyDescent="0.2">
      <c r="A3365" s="102"/>
      <c r="B3365" s="116"/>
    </row>
    <row r="3366" spans="1:2" x14ac:dyDescent="0.2">
      <c r="A3366" s="102"/>
      <c r="B3366" s="116"/>
    </row>
    <row r="3367" spans="1:2" x14ac:dyDescent="0.2">
      <c r="A3367" s="102"/>
      <c r="B3367" s="116"/>
    </row>
    <row r="3368" spans="1:2" x14ac:dyDescent="0.2">
      <c r="A3368" s="102"/>
      <c r="B3368" s="116"/>
    </row>
    <row r="3369" spans="1:2" x14ac:dyDescent="0.2">
      <c r="A3369" s="102"/>
      <c r="B3369" s="116"/>
    </row>
    <row r="3370" spans="1:2" x14ac:dyDescent="0.2">
      <c r="A3370" s="102"/>
      <c r="B3370" s="116"/>
    </row>
    <row r="3371" spans="1:2" x14ac:dyDescent="0.2">
      <c r="A3371" s="102"/>
      <c r="B3371" s="116"/>
    </row>
    <row r="3372" spans="1:2" x14ac:dyDescent="0.2">
      <c r="A3372" s="102"/>
      <c r="B3372" s="116"/>
    </row>
    <row r="3373" spans="1:2" x14ac:dyDescent="0.2">
      <c r="A3373" s="102"/>
      <c r="B3373" s="116"/>
    </row>
    <row r="3374" spans="1:2" x14ac:dyDescent="0.2">
      <c r="A3374" s="102"/>
      <c r="B3374" s="116"/>
    </row>
    <row r="3375" spans="1:2" x14ac:dyDescent="0.2">
      <c r="A3375" s="102"/>
      <c r="B3375" s="116"/>
    </row>
    <row r="3376" spans="1:2" x14ac:dyDescent="0.2">
      <c r="A3376" s="102"/>
      <c r="B3376" s="116"/>
    </row>
    <row r="3377" spans="1:2" x14ac:dyDescent="0.2">
      <c r="A3377" s="102"/>
      <c r="B3377" s="116"/>
    </row>
    <row r="3378" spans="1:2" x14ac:dyDescent="0.2">
      <c r="A3378" s="102"/>
      <c r="B3378" s="116"/>
    </row>
    <row r="3379" spans="1:2" x14ac:dyDescent="0.2">
      <c r="A3379" s="102"/>
      <c r="B3379" s="116"/>
    </row>
    <row r="3380" spans="1:2" x14ac:dyDescent="0.2">
      <c r="A3380" s="102"/>
      <c r="B3380" s="116"/>
    </row>
    <row r="3381" spans="1:2" x14ac:dyDescent="0.2">
      <c r="A3381" s="102"/>
      <c r="B3381" s="116"/>
    </row>
    <row r="3382" spans="1:2" x14ac:dyDescent="0.2">
      <c r="A3382" s="102"/>
      <c r="B3382" s="116"/>
    </row>
    <row r="3383" spans="1:2" x14ac:dyDescent="0.2">
      <c r="A3383" s="102"/>
      <c r="B3383" s="116"/>
    </row>
    <row r="3384" spans="1:2" x14ac:dyDescent="0.2">
      <c r="A3384" s="102"/>
      <c r="B3384" s="116"/>
    </row>
    <row r="3385" spans="1:2" x14ac:dyDescent="0.2">
      <c r="A3385" s="102"/>
      <c r="B3385" s="116"/>
    </row>
    <row r="3386" spans="1:2" x14ac:dyDescent="0.2">
      <c r="A3386" s="102"/>
      <c r="B3386" s="116"/>
    </row>
    <row r="3387" spans="1:2" x14ac:dyDescent="0.2">
      <c r="A3387" s="102"/>
      <c r="B3387" s="116"/>
    </row>
    <row r="3388" spans="1:2" x14ac:dyDescent="0.2">
      <c r="A3388" s="102"/>
      <c r="B3388" s="116"/>
    </row>
    <row r="3389" spans="1:2" x14ac:dyDescent="0.2">
      <c r="A3389" s="102"/>
      <c r="B3389" s="116"/>
    </row>
    <row r="3390" spans="1:2" x14ac:dyDescent="0.2">
      <c r="A3390" s="102"/>
      <c r="B3390" s="116"/>
    </row>
    <row r="3391" spans="1:2" x14ac:dyDescent="0.2">
      <c r="A3391" s="102"/>
      <c r="B3391" s="116"/>
    </row>
    <row r="3392" spans="1:2" x14ac:dyDescent="0.2">
      <c r="A3392" s="102"/>
      <c r="B3392" s="116"/>
    </row>
    <row r="3393" spans="1:2" x14ac:dyDescent="0.2">
      <c r="A3393" s="102"/>
      <c r="B3393" s="116"/>
    </row>
    <row r="3394" spans="1:2" x14ac:dyDescent="0.2">
      <c r="A3394" s="102"/>
      <c r="B3394" s="116"/>
    </row>
    <row r="3395" spans="1:2" x14ac:dyDescent="0.2">
      <c r="A3395" s="102"/>
      <c r="B3395" s="116"/>
    </row>
    <row r="3396" spans="1:2" x14ac:dyDescent="0.2">
      <c r="A3396" s="102"/>
      <c r="B3396" s="116"/>
    </row>
    <row r="3397" spans="1:2" x14ac:dyDescent="0.2">
      <c r="A3397" s="102"/>
      <c r="B3397" s="116"/>
    </row>
    <row r="3398" spans="1:2" x14ac:dyDescent="0.2">
      <c r="A3398" s="102"/>
      <c r="B3398" s="116"/>
    </row>
    <row r="3399" spans="1:2" x14ac:dyDescent="0.2">
      <c r="A3399" s="102"/>
      <c r="B3399" s="116"/>
    </row>
    <row r="3400" spans="1:2" x14ac:dyDescent="0.2">
      <c r="A3400" s="102"/>
      <c r="B3400" s="116"/>
    </row>
    <row r="3401" spans="1:2" x14ac:dyDescent="0.2">
      <c r="A3401" s="102"/>
      <c r="B3401" s="116"/>
    </row>
    <row r="3402" spans="1:2" x14ac:dyDescent="0.2">
      <c r="A3402" s="102"/>
      <c r="B3402" s="116"/>
    </row>
    <row r="3403" spans="1:2" x14ac:dyDescent="0.2">
      <c r="A3403" s="102"/>
      <c r="B3403" s="116"/>
    </row>
    <row r="3404" spans="1:2" x14ac:dyDescent="0.2">
      <c r="A3404" s="102"/>
      <c r="B3404" s="116"/>
    </row>
    <row r="3405" spans="1:2" x14ac:dyDescent="0.2">
      <c r="A3405" s="102"/>
      <c r="B3405" s="116"/>
    </row>
    <row r="3406" spans="1:2" x14ac:dyDescent="0.2">
      <c r="A3406" s="102"/>
      <c r="B3406" s="116"/>
    </row>
    <row r="3407" spans="1:2" x14ac:dyDescent="0.2">
      <c r="A3407" s="102"/>
      <c r="B3407" s="116"/>
    </row>
    <row r="3408" spans="1:2" x14ac:dyDescent="0.2">
      <c r="A3408" s="102"/>
      <c r="B3408" s="116"/>
    </row>
    <row r="3409" spans="1:2" x14ac:dyDescent="0.2">
      <c r="A3409" s="102"/>
      <c r="B3409" s="116"/>
    </row>
    <row r="3410" spans="1:2" x14ac:dyDescent="0.2">
      <c r="A3410" s="102"/>
      <c r="B3410" s="116"/>
    </row>
    <row r="3411" spans="1:2" x14ac:dyDescent="0.2">
      <c r="A3411" s="102"/>
      <c r="B3411" s="116"/>
    </row>
    <row r="3412" spans="1:2" x14ac:dyDescent="0.2">
      <c r="A3412" s="102"/>
      <c r="B3412" s="116"/>
    </row>
    <row r="3413" spans="1:2" x14ac:dyDescent="0.2">
      <c r="A3413" s="102"/>
      <c r="B3413" s="116"/>
    </row>
    <row r="3414" spans="1:2" x14ac:dyDescent="0.2">
      <c r="A3414" s="102"/>
      <c r="B3414" s="116"/>
    </row>
    <row r="3415" spans="1:2" x14ac:dyDescent="0.2">
      <c r="A3415" s="102"/>
      <c r="B3415" s="116"/>
    </row>
    <row r="3416" spans="1:2" x14ac:dyDescent="0.2">
      <c r="A3416" s="102"/>
      <c r="B3416" s="116"/>
    </row>
    <row r="3417" spans="1:2" x14ac:dyDescent="0.2">
      <c r="A3417" s="102"/>
      <c r="B3417" s="116"/>
    </row>
    <row r="3418" spans="1:2" x14ac:dyDescent="0.2">
      <c r="A3418" s="102"/>
      <c r="B3418" s="116"/>
    </row>
    <row r="3419" spans="1:2" x14ac:dyDescent="0.2">
      <c r="A3419" s="102"/>
      <c r="B3419" s="116"/>
    </row>
    <row r="3420" spans="1:2" x14ac:dyDescent="0.2">
      <c r="A3420" s="102"/>
      <c r="B3420" s="116"/>
    </row>
    <row r="3421" spans="1:2" x14ac:dyDescent="0.2">
      <c r="A3421" s="102"/>
      <c r="B3421" s="116"/>
    </row>
    <row r="3422" spans="1:2" x14ac:dyDescent="0.2">
      <c r="A3422" s="102"/>
      <c r="B3422" s="116"/>
    </row>
    <row r="3423" spans="1:2" x14ac:dyDescent="0.2">
      <c r="A3423" s="102"/>
      <c r="B3423" s="116"/>
    </row>
    <row r="3424" spans="1:2" x14ac:dyDescent="0.2">
      <c r="A3424" s="102"/>
      <c r="B3424" s="116"/>
    </row>
    <row r="3425" spans="1:2" x14ac:dyDescent="0.2">
      <c r="A3425" s="102"/>
      <c r="B3425" s="116"/>
    </row>
    <row r="3426" spans="1:2" x14ac:dyDescent="0.2">
      <c r="A3426" s="102"/>
      <c r="B3426" s="116"/>
    </row>
    <row r="3427" spans="1:2" x14ac:dyDescent="0.2">
      <c r="A3427" s="102"/>
      <c r="B3427" s="116"/>
    </row>
    <row r="3428" spans="1:2" x14ac:dyDescent="0.2">
      <c r="A3428" s="102"/>
      <c r="B3428" s="116"/>
    </row>
    <row r="3429" spans="1:2" x14ac:dyDescent="0.2">
      <c r="A3429" s="102"/>
      <c r="B3429" s="116"/>
    </row>
    <row r="3430" spans="1:2" x14ac:dyDescent="0.2">
      <c r="A3430" s="102"/>
      <c r="B3430" s="116"/>
    </row>
    <row r="3431" spans="1:2" x14ac:dyDescent="0.2">
      <c r="A3431" s="102"/>
      <c r="B3431" s="116"/>
    </row>
    <row r="3432" spans="1:2" x14ac:dyDescent="0.2">
      <c r="A3432" s="102"/>
      <c r="B3432" s="116"/>
    </row>
    <row r="3433" spans="1:2" x14ac:dyDescent="0.2">
      <c r="A3433" s="102"/>
      <c r="B3433" s="116"/>
    </row>
    <row r="3434" spans="1:2" x14ac:dyDescent="0.2">
      <c r="A3434" s="102"/>
      <c r="B3434" s="116"/>
    </row>
    <row r="3435" spans="1:2" x14ac:dyDescent="0.2">
      <c r="A3435" s="102"/>
      <c r="B3435" s="116"/>
    </row>
    <row r="3436" spans="1:2" x14ac:dyDescent="0.2">
      <c r="A3436" s="102"/>
      <c r="B3436" s="116"/>
    </row>
    <row r="3437" spans="1:2" x14ac:dyDescent="0.2">
      <c r="A3437" s="102"/>
      <c r="B3437" s="116"/>
    </row>
    <row r="3438" spans="1:2" x14ac:dyDescent="0.2">
      <c r="A3438" s="102"/>
      <c r="B3438" s="116"/>
    </row>
    <row r="3439" spans="1:2" x14ac:dyDescent="0.2">
      <c r="A3439" s="102"/>
      <c r="B3439" s="116"/>
    </row>
    <row r="3440" spans="1:2" x14ac:dyDescent="0.2">
      <c r="A3440" s="102"/>
      <c r="B3440" s="116"/>
    </row>
    <row r="3441" spans="1:2" x14ac:dyDescent="0.2">
      <c r="A3441" s="102"/>
      <c r="B3441" s="116"/>
    </row>
    <row r="3442" spans="1:2" x14ac:dyDescent="0.2">
      <c r="A3442" s="102"/>
      <c r="B3442" s="116"/>
    </row>
    <row r="3443" spans="1:2" x14ac:dyDescent="0.2">
      <c r="A3443" s="102"/>
      <c r="B3443" s="116"/>
    </row>
    <row r="3444" spans="1:2" x14ac:dyDescent="0.2">
      <c r="A3444" s="102"/>
      <c r="B3444" s="116"/>
    </row>
    <row r="3445" spans="1:2" x14ac:dyDescent="0.2">
      <c r="A3445" s="102"/>
      <c r="B3445" s="116"/>
    </row>
    <row r="3446" spans="1:2" x14ac:dyDescent="0.2">
      <c r="A3446" s="102"/>
      <c r="B3446" s="116"/>
    </row>
    <row r="3447" spans="1:2" x14ac:dyDescent="0.2">
      <c r="A3447" s="102"/>
      <c r="B3447" s="116"/>
    </row>
    <row r="3448" spans="1:2" x14ac:dyDescent="0.2">
      <c r="A3448" s="102"/>
      <c r="B3448" s="116"/>
    </row>
    <row r="3449" spans="1:2" x14ac:dyDescent="0.2">
      <c r="A3449" s="102"/>
      <c r="B3449" s="116"/>
    </row>
    <row r="3450" spans="1:2" x14ac:dyDescent="0.2">
      <c r="A3450" s="102"/>
      <c r="B3450" s="116"/>
    </row>
    <row r="3451" spans="1:2" x14ac:dyDescent="0.2">
      <c r="A3451" s="102"/>
      <c r="B3451" s="116"/>
    </row>
    <row r="3452" spans="1:2" x14ac:dyDescent="0.2">
      <c r="A3452" s="102"/>
      <c r="B3452" s="116"/>
    </row>
    <row r="3453" spans="1:2" x14ac:dyDescent="0.2">
      <c r="A3453" s="102"/>
      <c r="B3453" s="116"/>
    </row>
    <row r="3454" spans="1:2" x14ac:dyDescent="0.2">
      <c r="A3454" s="102"/>
      <c r="B3454" s="116"/>
    </row>
    <row r="3455" spans="1:2" x14ac:dyDescent="0.2">
      <c r="A3455" s="102"/>
      <c r="B3455" s="116"/>
    </row>
    <row r="3456" spans="1:2" x14ac:dyDescent="0.2">
      <c r="A3456" s="102"/>
      <c r="B3456" s="116"/>
    </row>
    <row r="3457" spans="1:2" x14ac:dyDescent="0.2">
      <c r="A3457" s="102"/>
      <c r="B3457" s="116"/>
    </row>
    <row r="3458" spans="1:2" x14ac:dyDescent="0.2">
      <c r="A3458" s="102"/>
      <c r="B3458" s="116"/>
    </row>
    <row r="3459" spans="1:2" x14ac:dyDescent="0.2">
      <c r="A3459" s="102"/>
      <c r="B3459" s="116"/>
    </row>
    <row r="3460" spans="1:2" x14ac:dyDescent="0.2">
      <c r="A3460" s="102"/>
      <c r="B3460" s="116"/>
    </row>
    <row r="3461" spans="1:2" x14ac:dyDescent="0.2">
      <c r="A3461" s="102"/>
      <c r="B3461" s="116"/>
    </row>
    <row r="3462" spans="1:2" x14ac:dyDescent="0.2">
      <c r="A3462" s="102"/>
      <c r="B3462" s="116"/>
    </row>
    <row r="3463" spans="1:2" x14ac:dyDescent="0.2">
      <c r="A3463" s="102"/>
      <c r="B3463" s="116"/>
    </row>
    <row r="3464" spans="1:2" x14ac:dyDescent="0.2">
      <c r="A3464" s="102"/>
      <c r="B3464" s="116"/>
    </row>
    <row r="3465" spans="1:2" x14ac:dyDescent="0.2">
      <c r="A3465" s="102"/>
      <c r="B3465" s="116"/>
    </row>
    <row r="3466" spans="1:2" x14ac:dyDescent="0.2">
      <c r="A3466" s="102"/>
      <c r="B3466" s="116"/>
    </row>
    <row r="3467" spans="1:2" x14ac:dyDescent="0.2">
      <c r="A3467" s="102"/>
      <c r="B3467" s="116"/>
    </row>
    <row r="3468" spans="1:2" x14ac:dyDescent="0.2">
      <c r="A3468" s="102"/>
      <c r="B3468" s="116"/>
    </row>
    <row r="3469" spans="1:2" x14ac:dyDescent="0.2">
      <c r="A3469" s="102"/>
      <c r="B3469" s="116"/>
    </row>
    <row r="3470" spans="1:2" x14ac:dyDescent="0.2">
      <c r="A3470" s="102"/>
      <c r="B3470" s="116"/>
    </row>
    <row r="3471" spans="1:2" x14ac:dyDescent="0.2">
      <c r="A3471" s="102"/>
      <c r="B3471" s="116"/>
    </row>
    <row r="3472" spans="1:2" x14ac:dyDescent="0.2">
      <c r="A3472" s="102"/>
      <c r="B3472" s="116"/>
    </row>
    <row r="3473" spans="1:2" x14ac:dyDescent="0.2">
      <c r="A3473" s="102"/>
      <c r="B3473" s="116"/>
    </row>
    <row r="3474" spans="1:2" x14ac:dyDescent="0.2">
      <c r="A3474" s="102"/>
      <c r="B3474" s="116"/>
    </row>
    <row r="3475" spans="1:2" x14ac:dyDescent="0.2">
      <c r="A3475" s="102"/>
      <c r="B3475" s="116"/>
    </row>
    <row r="3476" spans="1:2" x14ac:dyDescent="0.2">
      <c r="A3476" s="102"/>
      <c r="B3476" s="116"/>
    </row>
    <row r="3477" spans="1:2" x14ac:dyDescent="0.2">
      <c r="A3477" s="102"/>
      <c r="B3477" s="116"/>
    </row>
    <row r="3478" spans="1:2" x14ac:dyDescent="0.2">
      <c r="A3478" s="102"/>
      <c r="B3478" s="116"/>
    </row>
    <row r="3479" spans="1:2" x14ac:dyDescent="0.2">
      <c r="A3479" s="102"/>
      <c r="B3479" s="116"/>
    </row>
    <row r="3480" spans="1:2" x14ac:dyDescent="0.2">
      <c r="A3480" s="102"/>
      <c r="B3480" s="116"/>
    </row>
    <row r="3481" spans="1:2" x14ac:dyDescent="0.2">
      <c r="A3481" s="102"/>
      <c r="B3481" s="116"/>
    </row>
    <row r="3482" spans="1:2" x14ac:dyDescent="0.2">
      <c r="A3482" s="102"/>
      <c r="B3482" s="116"/>
    </row>
    <row r="3483" spans="1:2" x14ac:dyDescent="0.2">
      <c r="A3483" s="102"/>
      <c r="B3483" s="116"/>
    </row>
    <row r="3484" spans="1:2" x14ac:dyDescent="0.2">
      <c r="A3484" s="102"/>
      <c r="B3484" s="116"/>
    </row>
    <row r="3485" spans="1:2" x14ac:dyDescent="0.2">
      <c r="A3485" s="102"/>
      <c r="B3485" s="116"/>
    </row>
    <row r="3486" spans="1:2" x14ac:dyDescent="0.2">
      <c r="A3486" s="102"/>
      <c r="B3486" s="116"/>
    </row>
    <row r="3487" spans="1:2" x14ac:dyDescent="0.2">
      <c r="A3487" s="102"/>
      <c r="B3487" s="116"/>
    </row>
    <row r="3488" spans="1:2" x14ac:dyDescent="0.2">
      <c r="A3488" s="102"/>
      <c r="B3488" s="116"/>
    </row>
    <row r="3489" spans="1:2" x14ac:dyDescent="0.2">
      <c r="A3489" s="102"/>
      <c r="B3489" s="116"/>
    </row>
    <row r="3490" spans="1:2" x14ac:dyDescent="0.2">
      <c r="A3490" s="102"/>
      <c r="B3490" s="116"/>
    </row>
    <row r="3491" spans="1:2" x14ac:dyDescent="0.2">
      <c r="A3491" s="102"/>
      <c r="B3491" s="116"/>
    </row>
    <row r="3492" spans="1:2" x14ac:dyDescent="0.2">
      <c r="A3492" s="102"/>
      <c r="B3492" s="116"/>
    </row>
    <row r="3493" spans="1:2" x14ac:dyDescent="0.2">
      <c r="A3493" s="102"/>
      <c r="B3493" s="116"/>
    </row>
    <row r="3494" spans="1:2" x14ac:dyDescent="0.2">
      <c r="A3494" s="102"/>
      <c r="B3494" s="116"/>
    </row>
    <row r="3495" spans="1:2" x14ac:dyDescent="0.2">
      <c r="A3495" s="102"/>
      <c r="B3495" s="116"/>
    </row>
    <row r="3496" spans="1:2" x14ac:dyDescent="0.2">
      <c r="A3496" s="102"/>
      <c r="B3496" s="116"/>
    </row>
    <row r="3497" spans="1:2" x14ac:dyDescent="0.2">
      <c r="A3497" s="102"/>
      <c r="B3497" s="116"/>
    </row>
    <row r="3498" spans="1:2" x14ac:dyDescent="0.2">
      <c r="A3498" s="102"/>
      <c r="B3498" s="116"/>
    </row>
    <row r="3499" spans="1:2" x14ac:dyDescent="0.2">
      <c r="A3499" s="102"/>
      <c r="B3499" s="116"/>
    </row>
    <row r="3500" spans="1:2" x14ac:dyDescent="0.2">
      <c r="A3500" s="102"/>
      <c r="B3500" s="116"/>
    </row>
    <row r="3501" spans="1:2" x14ac:dyDescent="0.2">
      <c r="A3501" s="102"/>
      <c r="B3501" s="116"/>
    </row>
    <row r="3502" spans="1:2" x14ac:dyDescent="0.2">
      <c r="A3502" s="102"/>
      <c r="B3502" s="116"/>
    </row>
    <row r="3503" spans="1:2" x14ac:dyDescent="0.2">
      <c r="A3503" s="102"/>
      <c r="B3503" s="116"/>
    </row>
    <row r="3504" spans="1:2" x14ac:dyDescent="0.2">
      <c r="A3504" s="102"/>
      <c r="B3504" s="116"/>
    </row>
    <row r="3505" spans="1:2" x14ac:dyDescent="0.2">
      <c r="A3505" s="102"/>
      <c r="B3505" s="116"/>
    </row>
    <row r="3506" spans="1:2" x14ac:dyDescent="0.2">
      <c r="A3506" s="102"/>
      <c r="B3506" s="116"/>
    </row>
    <row r="3507" spans="1:2" x14ac:dyDescent="0.2">
      <c r="A3507" s="102"/>
      <c r="B3507" s="116"/>
    </row>
    <row r="3508" spans="1:2" x14ac:dyDescent="0.2">
      <c r="A3508" s="102"/>
      <c r="B3508" s="116"/>
    </row>
    <row r="3509" spans="1:2" x14ac:dyDescent="0.2">
      <c r="A3509" s="102"/>
      <c r="B3509" s="116"/>
    </row>
    <row r="3510" spans="1:2" x14ac:dyDescent="0.2">
      <c r="A3510" s="102"/>
      <c r="B3510" s="116"/>
    </row>
    <row r="3511" spans="1:2" x14ac:dyDescent="0.2">
      <c r="A3511" s="102"/>
      <c r="B3511" s="116"/>
    </row>
    <row r="3512" spans="1:2" x14ac:dyDescent="0.2">
      <c r="A3512" s="102"/>
      <c r="B3512" s="116"/>
    </row>
    <row r="3513" spans="1:2" x14ac:dyDescent="0.2">
      <c r="A3513" s="102"/>
      <c r="B3513" s="116"/>
    </row>
    <row r="3514" spans="1:2" x14ac:dyDescent="0.2">
      <c r="A3514" s="102"/>
      <c r="B3514" s="116"/>
    </row>
    <row r="3515" spans="1:2" x14ac:dyDescent="0.2">
      <c r="A3515" s="102"/>
      <c r="B3515" s="116"/>
    </row>
    <row r="3516" spans="1:2" x14ac:dyDescent="0.2">
      <c r="A3516" s="102"/>
      <c r="B3516" s="116"/>
    </row>
    <row r="3517" spans="1:2" x14ac:dyDescent="0.2">
      <c r="A3517" s="102"/>
      <c r="B3517" s="116"/>
    </row>
    <row r="3518" spans="1:2" x14ac:dyDescent="0.2">
      <c r="A3518" s="102"/>
      <c r="B3518" s="116"/>
    </row>
    <row r="3519" spans="1:2" x14ac:dyDescent="0.2">
      <c r="A3519" s="102"/>
      <c r="B3519" s="116"/>
    </row>
    <row r="3520" spans="1:2" x14ac:dyDescent="0.2">
      <c r="A3520" s="102"/>
      <c r="B3520" s="116"/>
    </row>
    <row r="3521" spans="1:2" x14ac:dyDescent="0.2">
      <c r="A3521" s="102"/>
      <c r="B3521" s="116"/>
    </row>
    <row r="3522" spans="1:2" x14ac:dyDescent="0.2">
      <c r="A3522" s="102"/>
      <c r="B3522" s="116"/>
    </row>
    <row r="3523" spans="1:2" x14ac:dyDescent="0.2">
      <c r="A3523" s="102"/>
      <c r="B3523" s="116"/>
    </row>
    <row r="3524" spans="1:2" x14ac:dyDescent="0.2">
      <c r="A3524" s="102"/>
      <c r="B3524" s="116"/>
    </row>
    <row r="3525" spans="1:2" x14ac:dyDescent="0.2">
      <c r="A3525" s="102"/>
      <c r="B3525" s="116"/>
    </row>
    <row r="3526" spans="1:2" x14ac:dyDescent="0.2">
      <c r="A3526" s="102"/>
      <c r="B3526" s="116"/>
    </row>
    <row r="3527" spans="1:2" x14ac:dyDescent="0.2">
      <c r="A3527" s="102"/>
      <c r="B3527" s="116"/>
    </row>
    <row r="3528" spans="1:2" x14ac:dyDescent="0.2">
      <c r="A3528" s="102"/>
      <c r="B3528" s="116"/>
    </row>
    <row r="3529" spans="1:2" x14ac:dyDescent="0.2">
      <c r="A3529" s="102"/>
      <c r="B3529" s="116"/>
    </row>
    <row r="3530" spans="1:2" x14ac:dyDescent="0.2">
      <c r="A3530" s="102"/>
      <c r="B3530" s="116"/>
    </row>
    <row r="3531" spans="1:2" x14ac:dyDescent="0.2">
      <c r="A3531" s="102"/>
      <c r="B3531" s="116"/>
    </row>
    <row r="3532" spans="1:2" x14ac:dyDescent="0.2">
      <c r="A3532" s="102"/>
      <c r="B3532" s="116"/>
    </row>
    <row r="3533" spans="1:2" x14ac:dyDescent="0.2">
      <c r="A3533" s="102"/>
      <c r="B3533" s="116"/>
    </row>
    <row r="3534" spans="1:2" x14ac:dyDescent="0.2">
      <c r="A3534" s="102"/>
      <c r="B3534" s="116"/>
    </row>
    <row r="3535" spans="1:2" x14ac:dyDescent="0.2">
      <c r="A3535" s="102"/>
      <c r="B3535" s="116"/>
    </row>
    <row r="3536" spans="1:2" x14ac:dyDescent="0.2">
      <c r="A3536" s="102"/>
      <c r="B3536" s="116"/>
    </row>
    <row r="3537" spans="1:2" x14ac:dyDescent="0.2">
      <c r="A3537" s="102"/>
      <c r="B3537" s="116"/>
    </row>
    <row r="3538" spans="1:2" x14ac:dyDescent="0.2">
      <c r="A3538" s="102"/>
      <c r="B3538" s="116"/>
    </row>
    <row r="3539" spans="1:2" x14ac:dyDescent="0.2">
      <c r="A3539" s="102"/>
      <c r="B3539" s="116"/>
    </row>
    <row r="3540" spans="1:2" x14ac:dyDescent="0.2">
      <c r="A3540" s="102"/>
      <c r="B3540" s="116"/>
    </row>
    <row r="3541" spans="1:2" x14ac:dyDescent="0.2">
      <c r="A3541" s="102"/>
      <c r="B3541" s="116"/>
    </row>
    <row r="3542" spans="1:2" x14ac:dyDescent="0.2">
      <c r="A3542" s="102"/>
      <c r="B3542" s="116"/>
    </row>
    <row r="3543" spans="1:2" x14ac:dyDescent="0.2">
      <c r="A3543" s="102"/>
      <c r="B3543" s="116"/>
    </row>
    <row r="3544" spans="1:2" x14ac:dyDescent="0.2">
      <c r="A3544" s="102"/>
      <c r="B3544" s="116"/>
    </row>
    <row r="3545" spans="1:2" x14ac:dyDescent="0.2">
      <c r="A3545" s="102"/>
      <c r="B3545" s="116"/>
    </row>
    <row r="3546" spans="1:2" x14ac:dyDescent="0.2">
      <c r="A3546" s="102"/>
      <c r="B3546" s="116"/>
    </row>
    <row r="3547" spans="1:2" x14ac:dyDescent="0.2">
      <c r="A3547" s="102"/>
      <c r="B3547" s="116"/>
    </row>
    <row r="3548" spans="1:2" x14ac:dyDescent="0.2">
      <c r="A3548" s="102"/>
      <c r="B3548" s="116"/>
    </row>
    <row r="3549" spans="1:2" x14ac:dyDescent="0.2">
      <c r="A3549" s="102"/>
      <c r="B3549" s="116"/>
    </row>
    <row r="3550" spans="1:2" x14ac:dyDescent="0.2">
      <c r="A3550" s="102"/>
      <c r="B3550" s="116"/>
    </row>
    <row r="3551" spans="1:2" x14ac:dyDescent="0.2">
      <c r="A3551" s="102"/>
      <c r="B3551" s="116"/>
    </row>
    <row r="3552" spans="1:2" x14ac:dyDescent="0.2">
      <c r="A3552" s="102"/>
      <c r="B3552" s="116"/>
    </row>
    <row r="3553" spans="1:2" x14ac:dyDescent="0.2">
      <c r="A3553" s="102"/>
      <c r="B3553" s="116"/>
    </row>
    <row r="3554" spans="1:2" x14ac:dyDescent="0.2">
      <c r="A3554" s="102"/>
      <c r="B3554" s="116"/>
    </row>
    <row r="3555" spans="1:2" x14ac:dyDescent="0.2">
      <c r="A3555" s="102"/>
      <c r="B3555" s="116"/>
    </row>
    <row r="3556" spans="1:2" x14ac:dyDescent="0.2">
      <c r="A3556" s="102"/>
      <c r="B3556" s="116"/>
    </row>
    <row r="3557" spans="1:2" x14ac:dyDescent="0.2">
      <c r="A3557" s="102"/>
      <c r="B3557" s="116"/>
    </row>
    <row r="3558" spans="1:2" x14ac:dyDescent="0.2">
      <c r="A3558" s="102"/>
      <c r="B3558" s="116"/>
    </row>
    <row r="3559" spans="1:2" x14ac:dyDescent="0.2">
      <c r="A3559" s="102"/>
      <c r="B3559" s="116"/>
    </row>
    <row r="3560" spans="1:2" x14ac:dyDescent="0.2">
      <c r="A3560" s="102"/>
      <c r="B3560" s="116"/>
    </row>
    <row r="3561" spans="1:2" x14ac:dyDescent="0.2">
      <c r="A3561" s="102"/>
      <c r="B3561" s="116"/>
    </row>
    <row r="3562" spans="1:2" x14ac:dyDescent="0.2">
      <c r="A3562" s="102"/>
      <c r="B3562" s="116"/>
    </row>
    <row r="3563" spans="1:2" x14ac:dyDescent="0.2">
      <c r="A3563" s="102"/>
      <c r="B3563" s="116"/>
    </row>
    <row r="3564" spans="1:2" x14ac:dyDescent="0.2">
      <c r="A3564" s="102"/>
      <c r="B3564" s="116"/>
    </row>
    <row r="3565" spans="1:2" x14ac:dyDescent="0.2">
      <c r="A3565" s="102"/>
      <c r="B3565" s="116"/>
    </row>
    <row r="3566" spans="1:2" x14ac:dyDescent="0.2">
      <c r="A3566" s="102"/>
      <c r="B3566" s="116"/>
    </row>
    <row r="3567" spans="1:2" x14ac:dyDescent="0.2">
      <c r="A3567" s="102"/>
      <c r="B3567" s="116"/>
    </row>
    <row r="3568" spans="1:2" x14ac:dyDescent="0.2">
      <c r="A3568" s="102"/>
      <c r="B3568" s="116"/>
    </row>
    <row r="3569" spans="1:2" x14ac:dyDescent="0.2">
      <c r="A3569" s="102"/>
      <c r="B3569" s="116"/>
    </row>
    <row r="3570" spans="1:2" x14ac:dyDescent="0.2">
      <c r="A3570" s="102"/>
      <c r="B3570" s="116"/>
    </row>
    <row r="3571" spans="1:2" x14ac:dyDescent="0.2">
      <c r="A3571" s="102"/>
      <c r="B3571" s="116"/>
    </row>
    <row r="3572" spans="1:2" x14ac:dyDescent="0.2">
      <c r="A3572" s="102"/>
      <c r="B3572" s="116"/>
    </row>
    <row r="3573" spans="1:2" x14ac:dyDescent="0.2">
      <c r="A3573" s="102"/>
      <c r="B3573" s="116"/>
    </row>
    <row r="3574" spans="1:2" x14ac:dyDescent="0.2">
      <c r="A3574" s="102"/>
      <c r="B3574" s="116"/>
    </row>
    <row r="3575" spans="1:2" x14ac:dyDescent="0.2">
      <c r="A3575" s="102"/>
      <c r="B3575" s="116"/>
    </row>
    <row r="3576" spans="1:2" x14ac:dyDescent="0.2">
      <c r="A3576" s="102"/>
      <c r="B3576" s="116"/>
    </row>
    <row r="3577" spans="1:2" x14ac:dyDescent="0.2">
      <c r="A3577" s="102"/>
      <c r="B3577" s="116"/>
    </row>
    <row r="3578" spans="1:2" x14ac:dyDescent="0.2">
      <c r="A3578" s="102"/>
      <c r="B3578" s="116"/>
    </row>
    <row r="3579" spans="1:2" x14ac:dyDescent="0.2">
      <c r="A3579" s="102"/>
      <c r="B3579" s="116"/>
    </row>
    <row r="3580" spans="1:2" x14ac:dyDescent="0.2">
      <c r="A3580" s="102"/>
      <c r="B3580" s="116"/>
    </row>
    <row r="3581" spans="1:2" x14ac:dyDescent="0.2">
      <c r="A3581" s="102"/>
      <c r="B3581" s="116"/>
    </row>
    <row r="3582" spans="1:2" x14ac:dyDescent="0.2">
      <c r="A3582" s="102"/>
      <c r="B3582" s="116"/>
    </row>
    <row r="3583" spans="1:2" x14ac:dyDescent="0.2">
      <c r="A3583" s="102"/>
      <c r="B3583" s="116"/>
    </row>
    <row r="3584" spans="1:2" x14ac:dyDescent="0.2">
      <c r="A3584" s="102"/>
      <c r="B3584" s="116"/>
    </row>
    <row r="3585" spans="1:2" x14ac:dyDescent="0.2">
      <c r="A3585" s="102"/>
      <c r="B3585" s="116"/>
    </row>
    <row r="3586" spans="1:2" x14ac:dyDescent="0.2">
      <c r="A3586" s="102"/>
      <c r="B3586" s="116"/>
    </row>
    <row r="3587" spans="1:2" x14ac:dyDescent="0.2">
      <c r="A3587" s="102"/>
      <c r="B3587" s="116"/>
    </row>
    <row r="3588" spans="1:2" x14ac:dyDescent="0.2">
      <c r="A3588" s="102"/>
      <c r="B3588" s="116"/>
    </row>
    <row r="3589" spans="1:2" x14ac:dyDescent="0.2">
      <c r="A3589" s="102"/>
      <c r="B3589" s="116"/>
    </row>
    <row r="3590" spans="1:2" x14ac:dyDescent="0.2">
      <c r="A3590" s="102"/>
      <c r="B3590" s="116"/>
    </row>
    <row r="3591" spans="1:2" x14ac:dyDescent="0.2">
      <c r="A3591" s="102"/>
      <c r="B3591" s="116"/>
    </row>
    <row r="3592" spans="1:2" x14ac:dyDescent="0.2">
      <c r="A3592" s="102"/>
      <c r="B3592" s="116"/>
    </row>
    <row r="3593" spans="1:2" x14ac:dyDescent="0.2">
      <c r="A3593" s="102"/>
      <c r="B3593" s="116"/>
    </row>
    <row r="3594" spans="1:2" x14ac:dyDescent="0.2">
      <c r="A3594" s="102"/>
      <c r="B3594" s="116"/>
    </row>
    <row r="3595" spans="1:2" x14ac:dyDescent="0.2">
      <c r="A3595" s="102"/>
      <c r="B3595" s="116"/>
    </row>
    <row r="3596" spans="1:2" x14ac:dyDescent="0.2">
      <c r="A3596" s="102"/>
      <c r="B3596" s="116"/>
    </row>
    <row r="3597" spans="1:2" x14ac:dyDescent="0.2">
      <c r="A3597" s="102"/>
      <c r="B3597" s="116"/>
    </row>
    <row r="3598" spans="1:2" x14ac:dyDescent="0.2">
      <c r="A3598" s="102"/>
      <c r="B3598" s="116"/>
    </row>
    <row r="3599" spans="1:2" x14ac:dyDescent="0.2">
      <c r="A3599" s="102"/>
      <c r="B3599" s="116"/>
    </row>
    <row r="3600" spans="1:2" x14ac:dyDescent="0.2">
      <c r="A3600" s="102"/>
      <c r="B3600" s="116"/>
    </row>
    <row r="3601" spans="1:2" x14ac:dyDescent="0.2">
      <c r="A3601" s="102"/>
      <c r="B3601" s="116"/>
    </row>
    <row r="3602" spans="1:2" x14ac:dyDescent="0.2">
      <c r="A3602" s="102"/>
      <c r="B3602" s="116"/>
    </row>
    <row r="3603" spans="1:2" x14ac:dyDescent="0.2">
      <c r="A3603" s="102"/>
      <c r="B3603" s="116"/>
    </row>
    <row r="3604" spans="1:2" x14ac:dyDescent="0.2">
      <c r="A3604" s="102"/>
      <c r="B3604" s="116"/>
    </row>
    <row r="3605" spans="1:2" x14ac:dyDescent="0.2">
      <c r="A3605" s="102"/>
      <c r="B3605" s="116"/>
    </row>
    <row r="3606" spans="1:2" x14ac:dyDescent="0.2">
      <c r="A3606" s="102"/>
      <c r="B3606" s="116"/>
    </row>
    <row r="3607" spans="1:2" x14ac:dyDescent="0.2">
      <c r="A3607" s="102"/>
      <c r="B3607" s="116"/>
    </row>
    <row r="3608" spans="1:2" x14ac:dyDescent="0.2">
      <c r="A3608" s="102"/>
      <c r="B3608" s="116"/>
    </row>
    <row r="3609" spans="1:2" x14ac:dyDescent="0.2">
      <c r="A3609" s="102"/>
      <c r="B3609" s="116"/>
    </row>
    <row r="3610" spans="1:2" x14ac:dyDescent="0.2">
      <c r="A3610" s="102"/>
      <c r="B3610" s="116"/>
    </row>
    <row r="3611" spans="1:2" x14ac:dyDescent="0.2">
      <c r="A3611" s="102"/>
      <c r="B3611" s="116"/>
    </row>
    <row r="3612" spans="1:2" x14ac:dyDescent="0.2">
      <c r="A3612" s="102"/>
      <c r="B3612" s="116"/>
    </row>
    <row r="3613" spans="1:2" x14ac:dyDescent="0.2">
      <c r="A3613" s="102"/>
      <c r="B3613" s="116"/>
    </row>
    <row r="3614" spans="1:2" x14ac:dyDescent="0.2">
      <c r="A3614" s="102"/>
      <c r="B3614" s="116"/>
    </row>
    <row r="3615" spans="1:2" x14ac:dyDescent="0.2">
      <c r="A3615" s="102"/>
      <c r="B3615" s="116"/>
    </row>
    <row r="3616" spans="1:2" x14ac:dyDescent="0.2">
      <c r="A3616" s="102"/>
      <c r="B3616" s="116"/>
    </row>
    <row r="3617" spans="1:2" x14ac:dyDescent="0.2">
      <c r="A3617" s="102"/>
      <c r="B3617" s="116"/>
    </row>
    <row r="3618" spans="1:2" x14ac:dyDescent="0.2">
      <c r="A3618" s="102"/>
      <c r="B3618" s="116"/>
    </row>
    <row r="3619" spans="1:2" x14ac:dyDescent="0.2">
      <c r="A3619" s="102"/>
      <c r="B3619" s="116"/>
    </row>
    <row r="3620" spans="1:2" x14ac:dyDescent="0.2">
      <c r="A3620" s="102"/>
      <c r="B3620" s="116"/>
    </row>
    <row r="3621" spans="1:2" x14ac:dyDescent="0.2">
      <c r="A3621" s="102"/>
      <c r="B3621" s="116"/>
    </row>
    <row r="3622" spans="1:2" x14ac:dyDescent="0.2">
      <c r="A3622" s="102"/>
      <c r="B3622" s="116"/>
    </row>
    <row r="3623" spans="1:2" x14ac:dyDescent="0.2">
      <c r="A3623" s="102"/>
      <c r="B3623" s="116"/>
    </row>
    <row r="3624" spans="1:2" x14ac:dyDescent="0.2">
      <c r="A3624" s="102"/>
      <c r="B3624" s="116"/>
    </row>
    <row r="3625" spans="1:2" x14ac:dyDescent="0.2">
      <c r="A3625" s="102"/>
      <c r="B3625" s="116"/>
    </row>
    <row r="3626" spans="1:2" x14ac:dyDescent="0.2">
      <c r="A3626" s="102"/>
      <c r="B3626" s="116"/>
    </row>
    <row r="3627" spans="1:2" x14ac:dyDescent="0.2">
      <c r="A3627" s="102"/>
      <c r="B3627" s="116"/>
    </row>
    <row r="3628" spans="1:2" x14ac:dyDescent="0.2">
      <c r="A3628" s="102"/>
      <c r="B3628" s="116"/>
    </row>
    <row r="3629" spans="1:2" x14ac:dyDescent="0.2">
      <c r="A3629" s="102"/>
      <c r="B3629" s="116"/>
    </row>
    <row r="3630" spans="1:2" x14ac:dyDescent="0.2">
      <c r="A3630" s="102"/>
      <c r="B3630" s="116"/>
    </row>
    <row r="3631" spans="1:2" x14ac:dyDescent="0.2">
      <c r="A3631" s="102"/>
      <c r="B3631" s="116"/>
    </row>
    <row r="3632" spans="1:2" x14ac:dyDescent="0.2">
      <c r="A3632" s="102"/>
      <c r="B3632" s="116"/>
    </row>
    <row r="3633" spans="1:2" x14ac:dyDescent="0.2">
      <c r="A3633" s="102"/>
      <c r="B3633" s="116"/>
    </row>
    <row r="3634" spans="1:2" x14ac:dyDescent="0.2">
      <c r="A3634" s="102"/>
      <c r="B3634" s="116"/>
    </row>
    <row r="3635" spans="1:2" x14ac:dyDescent="0.2">
      <c r="A3635" s="102"/>
      <c r="B3635" s="116"/>
    </row>
    <row r="3636" spans="1:2" x14ac:dyDescent="0.2">
      <c r="A3636" s="102"/>
      <c r="B3636" s="116"/>
    </row>
    <row r="3637" spans="1:2" x14ac:dyDescent="0.2">
      <c r="A3637" s="102"/>
      <c r="B3637" s="116"/>
    </row>
    <row r="3638" spans="1:2" x14ac:dyDescent="0.2">
      <c r="A3638" s="102"/>
      <c r="B3638" s="116"/>
    </row>
    <row r="3639" spans="1:2" x14ac:dyDescent="0.2">
      <c r="A3639" s="102"/>
      <c r="B3639" s="116"/>
    </row>
    <row r="3640" spans="1:2" x14ac:dyDescent="0.2">
      <c r="A3640" s="102"/>
      <c r="B3640" s="116"/>
    </row>
    <row r="3641" spans="1:2" x14ac:dyDescent="0.2">
      <c r="A3641" s="102"/>
      <c r="B3641" s="116"/>
    </row>
    <row r="3642" spans="1:2" x14ac:dyDescent="0.2">
      <c r="A3642" s="102"/>
      <c r="B3642" s="116"/>
    </row>
    <row r="3643" spans="1:2" x14ac:dyDescent="0.2">
      <c r="A3643" s="102"/>
      <c r="B3643" s="116"/>
    </row>
    <row r="3644" spans="1:2" x14ac:dyDescent="0.2">
      <c r="A3644" s="102"/>
      <c r="B3644" s="116"/>
    </row>
    <row r="3645" spans="1:2" x14ac:dyDescent="0.2">
      <c r="A3645" s="102"/>
      <c r="B3645" s="116"/>
    </row>
    <row r="3646" spans="1:2" x14ac:dyDescent="0.2">
      <c r="A3646" s="102"/>
      <c r="B3646" s="116"/>
    </row>
    <row r="3647" spans="1:2" x14ac:dyDescent="0.2">
      <c r="A3647" s="102"/>
      <c r="B3647" s="116"/>
    </row>
    <row r="3648" spans="1:2" x14ac:dyDescent="0.2">
      <c r="A3648" s="102"/>
      <c r="B3648" s="116"/>
    </row>
    <row r="3649" spans="1:2" x14ac:dyDescent="0.2">
      <c r="A3649" s="102"/>
      <c r="B3649" s="116"/>
    </row>
    <row r="3650" spans="1:2" x14ac:dyDescent="0.2">
      <c r="A3650" s="102"/>
      <c r="B3650" s="116"/>
    </row>
    <row r="3651" spans="1:2" x14ac:dyDescent="0.2">
      <c r="A3651" s="102"/>
      <c r="B3651" s="116"/>
    </row>
    <row r="3652" spans="1:2" x14ac:dyDescent="0.2">
      <c r="A3652" s="102"/>
      <c r="B3652" s="116"/>
    </row>
    <row r="3653" spans="1:2" x14ac:dyDescent="0.2">
      <c r="A3653" s="102"/>
      <c r="B3653" s="116"/>
    </row>
    <row r="3654" spans="1:2" x14ac:dyDescent="0.2">
      <c r="A3654" s="102"/>
      <c r="B3654" s="116"/>
    </row>
    <row r="3655" spans="1:2" x14ac:dyDescent="0.2">
      <c r="A3655" s="102"/>
      <c r="B3655" s="116"/>
    </row>
    <row r="3656" spans="1:2" x14ac:dyDescent="0.2">
      <c r="A3656" s="102"/>
      <c r="B3656" s="116"/>
    </row>
    <row r="3657" spans="1:2" x14ac:dyDescent="0.2">
      <c r="A3657" s="102"/>
      <c r="B3657" s="116"/>
    </row>
    <row r="3658" spans="1:2" x14ac:dyDescent="0.2">
      <c r="A3658" s="102"/>
      <c r="B3658" s="116"/>
    </row>
    <row r="3659" spans="1:2" x14ac:dyDescent="0.2">
      <c r="A3659" s="102"/>
      <c r="B3659" s="116"/>
    </row>
    <row r="3660" spans="1:2" x14ac:dyDescent="0.2">
      <c r="A3660" s="102"/>
      <c r="B3660" s="116"/>
    </row>
    <row r="3661" spans="1:2" x14ac:dyDescent="0.2">
      <c r="A3661" s="102"/>
      <c r="B3661" s="116"/>
    </row>
    <row r="3662" spans="1:2" x14ac:dyDescent="0.2">
      <c r="A3662" s="102"/>
      <c r="B3662" s="116"/>
    </row>
    <row r="3663" spans="1:2" x14ac:dyDescent="0.2">
      <c r="A3663" s="102"/>
      <c r="B3663" s="116"/>
    </row>
    <row r="3664" spans="1:2" x14ac:dyDescent="0.2">
      <c r="A3664" s="102"/>
      <c r="B3664" s="116"/>
    </row>
    <row r="3665" spans="1:2" x14ac:dyDescent="0.2">
      <c r="A3665" s="102"/>
      <c r="B3665" s="116"/>
    </row>
    <row r="3666" spans="1:2" x14ac:dyDescent="0.2">
      <c r="A3666" s="102"/>
      <c r="B3666" s="116"/>
    </row>
    <row r="3667" spans="1:2" x14ac:dyDescent="0.2">
      <c r="A3667" s="102"/>
      <c r="B3667" s="116"/>
    </row>
    <row r="3668" spans="1:2" x14ac:dyDescent="0.2">
      <c r="A3668" s="102"/>
      <c r="B3668" s="116"/>
    </row>
    <row r="3669" spans="1:2" x14ac:dyDescent="0.2">
      <c r="A3669" s="102"/>
      <c r="B3669" s="116"/>
    </row>
    <row r="3670" spans="1:2" x14ac:dyDescent="0.2">
      <c r="A3670" s="102"/>
      <c r="B3670" s="116"/>
    </row>
    <row r="3671" spans="1:2" x14ac:dyDescent="0.2">
      <c r="A3671" s="102"/>
      <c r="B3671" s="116"/>
    </row>
    <row r="3672" spans="1:2" x14ac:dyDescent="0.2">
      <c r="A3672" s="102"/>
      <c r="B3672" s="116"/>
    </row>
    <row r="3673" spans="1:2" x14ac:dyDescent="0.2">
      <c r="A3673" s="102"/>
      <c r="B3673" s="116"/>
    </row>
    <row r="3674" spans="1:2" x14ac:dyDescent="0.2">
      <c r="A3674" s="102"/>
      <c r="B3674" s="116"/>
    </row>
    <row r="3675" spans="1:2" x14ac:dyDescent="0.2">
      <c r="A3675" s="102"/>
      <c r="B3675" s="116"/>
    </row>
    <row r="3676" spans="1:2" x14ac:dyDescent="0.2">
      <c r="A3676" s="102"/>
      <c r="B3676" s="116"/>
    </row>
    <row r="3677" spans="1:2" x14ac:dyDescent="0.2">
      <c r="A3677" s="102"/>
      <c r="B3677" s="116"/>
    </row>
    <row r="3678" spans="1:2" x14ac:dyDescent="0.2">
      <c r="A3678" s="102"/>
      <c r="B3678" s="116"/>
    </row>
    <row r="3679" spans="1:2" x14ac:dyDescent="0.2">
      <c r="A3679" s="102"/>
      <c r="B3679" s="116"/>
    </row>
    <row r="3680" spans="1:2" x14ac:dyDescent="0.2">
      <c r="A3680" s="102"/>
      <c r="B3680" s="116"/>
    </row>
    <row r="3681" spans="1:2" x14ac:dyDescent="0.2">
      <c r="A3681" s="102"/>
      <c r="B3681" s="116"/>
    </row>
    <row r="3682" spans="1:2" x14ac:dyDescent="0.2">
      <c r="A3682" s="102"/>
      <c r="B3682" s="116"/>
    </row>
    <row r="3683" spans="1:2" x14ac:dyDescent="0.2">
      <c r="A3683" s="102"/>
      <c r="B3683" s="116"/>
    </row>
    <row r="3684" spans="1:2" x14ac:dyDescent="0.2">
      <c r="A3684" s="102"/>
      <c r="B3684" s="116"/>
    </row>
    <row r="3685" spans="1:2" x14ac:dyDescent="0.2">
      <c r="A3685" s="102"/>
      <c r="B3685" s="116"/>
    </row>
    <row r="3686" spans="1:2" x14ac:dyDescent="0.2">
      <c r="A3686" s="102"/>
      <c r="B3686" s="116"/>
    </row>
    <row r="3687" spans="1:2" x14ac:dyDescent="0.2">
      <c r="A3687" s="102"/>
      <c r="B3687" s="116"/>
    </row>
    <row r="3688" spans="1:2" x14ac:dyDescent="0.2">
      <c r="A3688" s="102"/>
      <c r="B3688" s="116"/>
    </row>
    <row r="3689" spans="1:2" x14ac:dyDescent="0.2">
      <c r="A3689" s="102"/>
      <c r="B3689" s="116"/>
    </row>
    <row r="3690" spans="1:2" x14ac:dyDescent="0.2">
      <c r="A3690" s="102"/>
      <c r="B3690" s="116"/>
    </row>
    <row r="3691" spans="1:2" x14ac:dyDescent="0.2">
      <c r="A3691" s="102"/>
      <c r="B3691" s="116"/>
    </row>
    <row r="3692" spans="1:2" x14ac:dyDescent="0.2">
      <c r="A3692" s="102"/>
      <c r="B3692" s="116"/>
    </row>
    <row r="3693" spans="1:2" x14ac:dyDescent="0.2">
      <c r="A3693" s="102"/>
      <c r="B3693" s="116"/>
    </row>
    <row r="3694" spans="1:2" x14ac:dyDescent="0.2">
      <c r="A3694" s="102"/>
      <c r="B3694" s="116"/>
    </row>
    <row r="3695" spans="1:2" x14ac:dyDescent="0.2">
      <c r="A3695" s="102"/>
      <c r="B3695" s="116"/>
    </row>
    <row r="3696" spans="1:2" x14ac:dyDescent="0.2">
      <c r="A3696" s="102"/>
      <c r="B3696" s="116"/>
    </row>
    <row r="3697" spans="1:2" x14ac:dyDescent="0.2">
      <c r="A3697" s="102"/>
      <c r="B3697" s="116"/>
    </row>
    <row r="3698" spans="1:2" x14ac:dyDescent="0.2">
      <c r="A3698" s="102"/>
      <c r="B3698" s="116"/>
    </row>
    <row r="3699" spans="1:2" x14ac:dyDescent="0.2">
      <c r="A3699" s="102"/>
      <c r="B3699" s="116"/>
    </row>
    <row r="3700" spans="1:2" x14ac:dyDescent="0.2">
      <c r="A3700" s="102"/>
      <c r="B3700" s="116"/>
    </row>
    <row r="3701" spans="1:2" x14ac:dyDescent="0.2">
      <c r="A3701" s="102"/>
      <c r="B3701" s="116"/>
    </row>
    <row r="3702" spans="1:2" x14ac:dyDescent="0.2">
      <c r="A3702" s="102"/>
      <c r="B3702" s="116"/>
    </row>
    <row r="3703" spans="1:2" x14ac:dyDescent="0.2">
      <c r="A3703" s="102"/>
      <c r="B3703" s="116"/>
    </row>
    <row r="3704" spans="1:2" x14ac:dyDescent="0.2">
      <c r="A3704" s="102"/>
      <c r="B3704" s="116"/>
    </row>
    <row r="3705" spans="1:2" x14ac:dyDescent="0.2">
      <c r="A3705" s="102"/>
      <c r="B3705" s="116"/>
    </row>
    <row r="3706" spans="1:2" x14ac:dyDescent="0.2">
      <c r="A3706" s="102"/>
      <c r="B3706" s="116"/>
    </row>
    <row r="3707" spans="1:2" x14ac:dyDescent="0.2">
      <c r="A3707" s="102"/>
      <c r="B3707" s="116"/>
    </row>
    <row r="3708" spans="1:2" x14ac:dyDescent="0.2">
      <c r="A3708" s="102"/>
      <c r="B3708" s="116"/>
    </row>
    <row r="3709" spans="1:2" x14ac:dyDescent="0.2">
      <c r="A3709" s="102"/>
      <c r="B3709" s="116"/>
    </row>
    <row r="3710" spans="1:2" x14ac:dyDescent="0.2">
      <c r="A3710" s="102"/>
      <c r="B3710" s="116"/>
    </row>
    <row r="3711" spans="1:2" x14ac:dyDescent="0.2">
      <c r="A3711" s="102"/>
      <c r="B3711" s="116"/>
    </row>
    <row r="3712" spans="1:2" x14ac:dyDescent="0.2">
      <c r="A3712" s="102"/>
      <c r="B3712" s="116"/>
    </row>
    <row r="3713" spans="1:2" x14ac:dyDescent="0.2">
      <c r="A3713" s="102"/>
      <c r="B3713" s="116"/>
    </row>
    <row r="3714" spans="1:2" x14ac:dyDescent="0.2">
      <c r="A3714" s="102"/>
      <c r="B3714" s="116"/>
    </row>
    <row r="3715" spans="1:2" x14ac:dyDescent="0.2">
      <c r="A3715" s="102"/>
      <c r="B3715" s="116"/>
    </row>
    <row r="3716" spans="1:2" x14ac:dyDescent="0.2">
      <c r="A3716" s="102"/>
      <c r="B3716" s="116"/>
    </row>
    <row r="3717" spans="1:2" x14ac:dyDescent="0.2">
      <c r="A3717" s="102"/>
      <c r="B3717" s="116"/>
    </row>
    <row r="3718" spans="1:2" x14ac:dyDescent="0.2">
      <c r="A3718" s="102"/>
      <c r="B3718" s="116"/>
    </row>
    <row r="3719" spans="1:2" x14ac:dyDescent="0.2">
      <c r="A3719" s="102"/>
      <c r="B3719" s="116"/>
    </row>
    <row r="3720" spans="1:2" x14ac:dyDescent="0.2">
      <c r="A3720" s="102"/>
      <c r="B3720" s="116"/>
    </row>
    <row r="3721" spans="1:2" x14ac:dyDescent="0.2">
      <c r="A3721" s="102"/>
      <c r="B3721" s="116"/>
    </row>
    <row r="3722" spans="1:2" x14ac:dyDescent="0.2">
      <c r="A3722" s="102"/>
      <c r="B3722" s="116"/>
    </row>
    <row r="3723" spans="1:2" x14ac:dyDescent="0.2">
      <c r="A3723" s="102"/>
      <c r="B3723" s="116"/>
    </row>
    <row r="3724" spans="1:2" x14ac:dyDescent="0.2">
      <c r="A3724" s="102"/>
      <c r="B3724" s="116"/>
    </row>
    <row r="3725" spans="1:2" x14ac:dyDescent="0.2">
      <c r="A3725" s="102"/>
      <c r="B3725" s="116"/>
    </row>
    <row r="3726" spans="1:2" x14ac:dyDescent="0.2">
      <c r="A3726" s="102"/>
      <c r="B3726" s="116"/>
    </row>
    <row r="3727" spans="1:2" x14ac:dyDescent="0.2">
      <c r="A3727" s="102"/>
      <c r="B3727" s="116"/>
    </row>
    <row r="3728" spans="1:2" x14ac:dyDescent="0.2">
      <c r="A3728" s="102"/>
      <c r="B3728" s="116"/>
    </row>
    <row r="3729" spans="1:2" x14ac:dyDescent="0.2">
      <c r="A3729" s="102"/>
      <c r="B3729" s="116"/>
    </row>
    <row r="3730" spans="1:2" x14ac:dyDescent="0.2">
      <c r="A3730" s="102"/>
      <c r="B3730" s="116"/>
    </row>
    <row r="3731" spans="1:2" x14ac:dyDescent="0.2">
      <c r="A3731" s="102"/>
      <c r="B3731" s="116"/>
    </row>
    <row r="3732" spans="1:2" x14ac:dyDescent="0.2">
      <c r="A3732" s="102"/>
      <c r="B3732" s="116"/>
    </row>
    <row r="3733" spans="1:2" x14ac:dyDescent="0.2">
      <c r="A3733" s="102"/>
      <c r="B3733" s="116"/>
    </row>
    <row r="3734" spans="1:2" x14ac:dyDescent="0.2">
      <c r="A3734" s="102"/>
      <c r="B3734" s="116"/>
    </row>
    <row r="3735" spans="1:2" x14ac:dyDescent="0.2">
      <c r="A3735" s="102"/>
      <c r="B3735" s="116"/>
    </row>
    <row r="3736" spans="1:2" x14ac:dyDescent="0.2">
      <c r="A3736" s="102"/>
      <c r="B3736" s="116"/>
    </row>
    <row r="3737" spans="1:2" x14ac:dyDescent="0.2">
      <c r="A3737" s="102"/>
      <c r="B3737" s="116"/>
    </row>
    <row r="3738" spans="1:2" x14ac:dyDescent="0.2">
      <c r="A3738" s="102"/>
      <c r="B3738" s="116"/>
    </row>
    <row r="3739" spans="1:2" x14ac:dyDescent="0.2">
      <c r="A3739" s="102"/>
      <c r="B3739" s="116"/>
    </row>
    <row r="3740" spans="1:2" x14ac:dyDescent="0.2">
      <c r="A3740" s="102"/>
      <c r="B3740" s="116"/>
    </row>
    <row r="3741" spans="1:2" x14ac:dyDescent="0.2">
      <c r="A3741" s="102"/>
      <c r="B3741" s="116"/>
    </row>
    <row r="3742" spans="1:2" x14ac:dyDescent="0.2">
      <c r="A3742" s="102"/>
      <c r="B3742" s="116"/>
    </row>
    <row r="3743" spans="1:2" x14ac:dyDescent="0.2">
      <c r="A3743" s="102"/>
      <c r="B3743" s="116"/>
    </row>
    <row r="3744" spans="1:2" x14ac:dyDescent="0.2">
      <c r="A3744" s="102"/>
      <c r="B3744" s="116"/>
    </row>
    <row r="3745" spans="1:2" x14ac:dyDescent="0.2">
      <c r="A3745" s="102"/>
      <c r="B3745" s="116"/>
    </row>
    <row r="3746" spans="1:2" x14ac:dyDescent="0.2">
      <c r="A3746" s="102"/>
      <c r="B3746" s="116"/>
    </row>
    <row r="3747" spans="1:2" x14ac:dyDescent="0.2">
      <c r="A3747" s="102"/>
      <c r="B3747" s="116"/>
    </row>
    <row r="3748" spans="1:2" x14ac:dyDescent="0.2">
      <c r="A3748" s="102"/>
      <c r="B3748" s="116"/>
    </row>
    <row r="3749" spans="1:2" x14ac:dyDescent="0.2">
      <c r="A3749" s="102"/>
      <c r="B3749" s="116"/>
    </row>
    <row r="3750" spans="1:2" x14ac:dyDescent="0.2">
      <c r="A3750" s="102"/>
      <c r="B3750" s="116"/>
    </row>
    <row r="3751" spans="1:2" x14ac:dyDescent="0.2">
      <c r="A3751" s="102"/>
      <c r="B3751" s="116"/>
    </row>
    <row r="3752" spans="1:2" x14ac:dyDescent="0.2">
      <c r="A3752" s="102"/>
      <c r="B3752" s="116"/>
    </row>
    <row r="3753" spans="1:2" x14ac:dyDescent="0.2">
      <c r="A3753" s="102"/>
      <c r="B3753" s="116"/>
    </row>
    <row r="3754" spans="1:2" x14ac:dyDescent="0.2">
      <c r="A3754" s="102"/>
      <c r="B3754" s="116"/>
    </row>
    <row r="3755" spans="1:2" x14ac:dyDescent="0.2">
      <c r="A3755" s="102"/>
      <c r="B3755" s="116"/>
    </row>
    <row r="3756" spans="1:2" x14ac:dyDescent="0.2">
      <c r="A3756" s="102"/>
      <c r="B3756" s="116"/>
    </row>
    <row r="3757" spans="1:2" x14ac:dyDescent="0.2">
      <c r="A3757" s="102"/>
      <c r="B3757" s="116"/>
    </row>
    <row r="3758" spans="1:2" x14ac:dyDescent="0.2">
      <c r="A3758" s="102"/>
      <c r="B3758" s="116"/>
    </row>
    <row r="3759" spans="1:2" x14ac:dyDescent="0.2">
      <c r="A3759" s="102"/>
      <c r="B3759" s="116"/>
    </row>
    <row r="3760" spans="1:2" x14ac:dyDescent="0.2">
      <c r="A3760" s="102"/>
      <c r="B3760" s="116"/>
    </row>
    <row r="3761" spans="1:2" x14ac:dyDescent="0.2">
      <c r="A3761" s="102"/>
      <c r="B3761" s="116"/>
    </row>
    <row r="3762" spans="1:2" x14ac:dyDescent="0.2">
      <c r="A3762" s="102"/>
      <c r="B3762" s="116"/>
    </row>
    <row r="3763" spans="1:2" x14ac:dyDescent="0.2">
      <c r="A3763" s="102"/>
      <c r="B3763" s="116"/>
    </row>
    <row r="3764" spans="1:2" x14ac:dyDescent="0.2">
      <c r="A3764" s="102"/>
      <c r="B3764" s="116"/>
    </row>
    <row r="3765" spans="1:2" x14ac:dyDescent="0.2">
      <c r="A3765" s="102"/>
      <c r="B3765" s="116"/>
    </row>
    <row r="3766" spans="1:2" x14ac:dyDescent="0.2">
      <c r="A3766" s="102"/>
      <c r="B3766" s="116"/>
    </row>
    <row r="3767" spans="1:2" x14ac:dyDescent="0.2">
      <c r="A3767" s="102"/>
      <c r="B3767" s="116"/>
    </row>
    <row r="3768" spans="1:2" x14ac:dyDescent="0.2">
      <c r="A3768" s="102"/>
      <c r="B3768" s="116"/>
    </row>
    <row r="3769" spans="1:2" x14ac:dyDescent="0.2">
      <c r="A3769" s="102"/>
      <c r="B3769" s="116"/>
    </row>
    <row r="3770" spans="1:2" x14ac:dyDescent="0.2">
      <c r="A3770" s="102"/>
      <c r="B3770" s="116"/>
    </row>
    <row r="3771" spans="1:2" x14ac:dyDescent="0.2">
      <c r="A3771" s="102"/>
      <c r="B3771" s="116"/>
    </row>
    <row r="3772" spans="1:2" x14ac:dyDescent="0.2">
      <c r="A3772" s="102"/>
      <c r="B3772" s="116"/>
    </row>
    <row r="3773" spans="1:2" x14ac:dyDescent="0.2">
      <c r="A3773" s="102"/>
      <c r="B3773" s="116"/>
    </row>
    <row r="3774" spans="1:2" x14ac:dyDescent="0.2">
      <c r="A3774" s="102"/>
      <c r="B3774" s="116"/>
    </row>
    <row r="3775" spans="1:2" x14ac:dyDescent="0.2">
      <c r="A3775" s="102"/>
      <c r="B3775" s="116"/>
    </row>
    <row r="3776" spans="1:2" x14ac:dyDescent="0.2">
      <c r="A3776" s="102"/>
      <c r="B3776" s="116"/>
    </row>
    <row r="3777" spans="1:2" x14ac:dyDescent="0.2">
      <c r="A3777" s="102"/>
      <c r="B3777" s="116"/>
    </row>
    <row r="3778" spans="1:2" x14ac:dyDescent="0.2">
      <c r="A3778" s="102"/>
      <c r="B3778" s="116"/>
    </row>
    <row r="3779" spans="1:2" x14ac:dyDescent="0.2">
      <c r="A3779" s="102"/>
      <c r="B3779" s="116"/>
    </row>
    <row r="3780" spans="1:2" x14ac:dyDescent="0.2">
      <c r="A3780" s="102"/>
      <c r="B3780" s="116"/>
    </row>
    <row r="3781" spans="1:2" x14ac:dyDescent="0.2">
      <c r="A3781" s="102"/>
      <c r="B3781" s="116"/>
    </row>
    <row r="3782" spans="1:2" x14ac:dyDescent="0.2">
      <c r="A3782" s="102"/>
      <c r="B3782" s="116"/>
    </row>
    <row r="3783" spans="1:2" x14ac:dyDescent="0.2">
      <c r="A3783" s="102"/>
      <c r="B3783" s="116"/>
    </row>
    <row r="3784" spans="1:2" x14ac:dyDescent="0.2">
      <c r="A3784" s="102"/>
      <c r="B3784" s="116"/>
    </row>
    <row r="3785" spans="1:2" x14ac:dyDescent="0.2">
      <c r="A3785" s="102"/>
      <c r="B3785" s="116"/>
    </row>
    <row r="3786" spans="1:2" x14ac:dyDescent="0.2">
      <c r="A3786" s="102"/>
      <c r="B3786" s="116"/>
    </row>
    <row r="3787" spans="1:2" x14ac:dyDescent="0.2">
      <c r="A3787" s="102"/>
      <c r="B3787" s="116"/>
    </row>
    <row r="3788" spans="1:2" x14ac:dyDescent="0.2">
      <c r="A3788" s="102"/>
      <c r="B3788" s="116"/>
    </row>
    <row r="3789" spans="1:2" x14ac:dyDescent="0.2">
      <c r="A3789" s="102"/>
      <c r="B3789" s="116"/>
    </row>
    <row r="3790" spans="1:2" x14ac:dyDescent="0.2">
      <c r="A3790" s="102"/>
      <c r="B3790" s="116"/>
    </row>
    <row r="3791" spans="1:2" x14ac:dyDescent="0.2">
      <c r="A3791" s="102"/>
      <c r="B3791" s="116"/>
    </row>
    <row r="3792" spans="1:2" x14ac:dyDescent="0.2">
      <c r="A3792" s="102"/>
      <c r="B3792" s="116"/>
    </row>
    <row r="3793" spans="1:2" x14ac:dyDescent="0.2">
      <c r="A3793" s="102"/>
      <c r="B3793" s="116"/>
    </row>
    <row r="3794" spans="1:2" x14ac:dyDescent="0.2">
      <c r="A3794" s="102"/>
      <c r="B3794" s="116"/>
    </row>
    <row r="3795" spans="1:2" x14ac:dyDescent="0.2">
      <c r="A3795" s="102"/>
      <c r="B3795" s="116"/>
    </row>
    <row r="3796" spans="1:2" x14ac:dyDescent="0.2">
      <c r="A3796" s="102"/>
      <c r="B3796" s="116"/>
    </row>
    <row r="3797" spans="1:2" x14ac:dyDescent="0.2">
      <c r="A3797" s="102"/>
      <c r="B3797" s="116"/>
    </row>
    <row r="3798" spans="1:2" x14ac:dyDescent="0.2">
      <c r="A3798" s="102"/>
      <c r="B3798" s="116"/>
    </row>
    <row r="3799" spans="1:2" x14ac:dyDescent="0.2">
      <c r="A3799" s="102"/>
      <c r="B3799" s="116"/>
    </row>
    <row r="3800" spans="1:2" x14ac:dyDescent="0.2">
      <c r="A3800" s="102"/>
      <c r="B3800" s="116"/>
    </row>
    <row r="3801" spans="1:2" x14ac:dyDescent="0.2">
      <c r="A3801" s="102"/>
      <c r="B3801" s="116"/>
    </row>
    <row r="3802" spans="1:2" x14ac:dyDescent="0.2">
      <c r="A3802" s="102"/>
      <c r="B3802" s="116"/>
    </row>
    <row r="3803" spans="1:2" x14ac:dyDescent="0.2">
      <c r="A3803" s="102"/>
      <c r="B3803" s="116"/>
    </row>
    <row r="3804" spans="1:2" x14ac:dyDescent="0.2">
      <c r="A3804" s="102"/>
      <c r="B3804" s="116"/>
    </row>
    <row r="3805" spans="1:2" x14ac:dyDescent="0.2">
      <c r="A3805" s="102"/>
      <c r="B3805" s="116"/>
    </row>
    <row r="3806" spans="1:2" x14ac:dyDescent="0.2">
      <c r="A3806" s="102"/>
      <c r="B3806" s="116"/>
    </row>
    <row r="3807" spans="1:2" x14ac:dyDescent="0.2">
      <c r="A3807" s="102"/>
      <c r="B3807" s="116"/>
    </row>
    <row r="3808" spans="1:2" x14ac:dyDescent="0.2">
      <c r="A3808" s="102"/>
      <c r="B3808" s="116"/>
    </row>
    <row r="3809" spans="1:2" x14ac:dyDescent="0.2">
      <c r="A3809" s="102"/>
      <c r="B3809" s="116"/>
    </row>
    <row r="3810" spans="1:2" x14ac:dyDescent="0.2">
      <c r="A3810" s="102"/>
      <c r="B3810" s="116"/>
    </row>
    <row r="3811" spans="1:2" x14ac:dyDescent="0.2">
      <c r="A3811" s="102"/>
      <c r="B3811" s="116"/>
    </row>
    <row r="3812" spans="1:2" x14ac:dyDescent="0.2">
      <c r="A3812" s="102"/>
      <c r="B3812" s="116"/>
    </row>
    <row r="3813" spans="1:2" x14ac:dyDescent="0.2">
      <c r="A3813" s="102"/>
      <c r="B3813" s="116"/>
    </row>
    <row r="3814" spans="1:2" x14ac:dyDescent="0.2">
      <c r="A3814" s="102"/>
      <c r="B3814" s="116"/>
    </row>
    <row r="3815" spans="1:2" x14ac:dyDescent="0.2">
      <c r="A3815" s="102"/>
      <c r="B3815" s="116"/>
    </row>
    <row r="3816" spans="1:2" x14ac:dyDescent="0.2">
      <c r="A3816" s="102"/>
      <c r="B3816" s="116"/>
    </row>
    <row r="3817" spans="1:2" x14ac:dyDescent="0.2">
      <c r="A3817" s="102"/>
      <c r="B3817" s="116"/>
    </row>
    <row r="3818" spans="1:2" x14ac:dyDescent="0.2">
      <c r="A3818" s="102"/>
      <c r="B3818" s="116"/>
    </row>
    <row r="3819" spans="1:2" x14ac:dyDescent="0.2">
      <c r="A3819" s="102"/>
      <c r="B3819" s="116"/>
    </row>
    <row r="3820" spans="1:2" x14ac:dyDescent="0.2">
      <c r="A3820" s="102"/>
      <c r="B3820" s="116"/>
    </row>
    <row r="3821" spans="1:2" x14ac:dyDescent="0.2">
      <c r="A3821" s="102"/>
      <c r="B3821" s="116"/>
    </row>
    <row r="3822" spans="1:2" x14ac:dyDescent="0.2">
      <c r="A3822" s="102"/>
      <c r="B3822" s="116"/>
    </row>
    <row r="3823" spans="1:2" x14ac:dyDescent="0.2">
      <c r="A3823" s="102"/>
      <c r="B3823" s="116"/>
    </row>
    <row r="3824" spans="1:2" x14ac:dyDescent="0.2">
      <c r="A3824" s="102"/>
      <c r="B3824" s="116"/>
    </row>
    <row r="3825" spans="1:2" x14ac:dyDescent="0.2">
      <c r="A3825" s="102"/>
      <c r="B3825" s="116"/>
    </row>
    <row r="3826" spans="1:2" x14ac:dyDescent="0.2">
      <c r="A3826" s="102"/>
      <c r="B3826" s="116"/>
    </row>
    <row r="3827" spans="1:2" x14ac:dyDescent="0.2">
      <c r="A3827" s="102"/>
      <c r="B3827" s="116"/>
    </row>
    <row r="3828" spans="1:2" x14ac:dyDescent="0.2">
      <c r="A3828" s="102"/>
      <c r="B3828" s="116"/>
    </row>
    <row r="3829" spans="1:2" x14ac:dyDescent="0.2">
      <c r="A3829" s="102"/>
      <c r="B3829" s="116"/>
    </row>
    <row r="3830" spans="1:2" x14ac:dyDescent="0.2">
      <c r="A3830" s="102"/>
      <c r="B3830" s="116"/>
    </row>
    <row r="3831" spans="1:2" x14ac:dyDescent="0.2">
      <c r="A3831" s="102"/>
      <c r="B3831" s="116"/>
    </row>
    <row r="3832" spans="1:2" x14ac:dyDescent="0.2">
      <c r="A3832" s="102"/>
      <c r="B3832" s="116"/>
    </row>
    <row r="3833" spans="1:2" x14ac:dyDescent="0.2">
      <c r="A3833" s="102"/>
      <c r="B3833" s="116"/>
    </row>
    <row r="3834" spans="1:2" x14ac:dyDescent="0.2">
      <c r="A3834" s="102"/>
      <c r="B3834" s="116"/>
    </row>
    <row r="3835" spans="1:2" x14ac:dyDescent="0.2">
      <c r="A3835" s="102"/>
      <c r="B3835" s="116"/>
    </row>
    <row r="3836" spans="1:2" x14ac:dyDescent="0.2">
      <c r="A3836" s="102"/>
      <c r="B3836" s="116"/>
    </row>
    <row r="3837" spans="1:2" x14ac:dyDescent="0.2">
      <c r="A3837" s="102"/>
      <c r="B3837" s="116"/>
    </row>
    <row r="3838" spans="1:2" x14ac:dyDescent="0.2">
      <c r="A3838" s="102"/>
      <c r="B3838" s="116"/>
    </row>
    <row r="3839" spans="1:2" x14ac:dyDescent="0.2">
      <c r="A3839" s="102"/>
      <c r="B3839" s="116"/>
    </row>
    <row r="3840" spans="1:2" x14ac:dyDescent="0.2">
      <c r="A3840" s="102"/>
      <c r="B3840" s="116"/>
    </row>
    <row r="3841" spans="1:2" x14ac:dyDescent="0.2">
      <c r="A3841" s="102"/>
      <c r="B3841" s="116"/>
    </row>
    <row r="3842" spans="1:2" x14ac:dyDescent="0.2">
      <c r="A3842" s="102"/>
      <c r="B3842" s="116"/>
    </row>
    <row r="3843" spans="1:2" x14ac:dyDescent="0.2">
      <c r="A3843" s="102"/>
      <c r="B3843" s="116"/>
    </row>
    <row r="3844" spans="1:2" x14ac:dyDescent="0.2">
      <c r="A3844" s="102"/>
      <c r="B3844" s="116"/>
    </row>
    <row r="3845" spans="1:2" x14ac:dyDescent="0.2">
      <c r="A3845" s="102"/>
      <c r="B3845" s="116"/>
    </row>
    <row r="3846" spans="1:2" x14ac:dyDescent="0.2">
      <c r="A3846" s="102"/>
      <c r="B3846" s="116"/>
    </row>
    <row r="3847" spans="1:2" x14ac:dyDescent="0.2">
      <c r="A3847" s="102"/>
      <c r="B3847" s="116"/>
    </row>
    <row r="3848" spans="1:2" x14ac:dyDescent="0.2">
      <c r="A3848" s="102"/>
      <c r="B3848" s="116"/>
    </row>
    <row r="3849" spans="1:2" x14ac:dyDescent="0.2">
      <c r="A3849" s="102"/>
      <c r="B3849" s="116"/>
    </row>
    <row r="3850" spans="1:2" x14ac:dyDescent="0.2">
      <c r="A3850" s="102"/>
      <c r="B3850" s="116"/>
    </row>
    <row r="3851" spans="1:2" x14ac:dyDescent="0.2">
      <c r="A3851" s="102"/>
      <c r="B3851" s="116"/>
    </row>
    <row r="3852" spans="1:2" x14ac:dyDescent="0.2">
      <c r="A3852" s="102"/>
      <c r="B3852" s="116"/>
    </row>
    <row r="3853" spans="1:2" x14ac:dyDescent="0.2">
      <c r="A3853" s="102"/>
      <c r="B3853" s="116"/>
    </row>
    <row r="3854" spans="1:2" x14ac:dyDescent="0.2">
      <c r="A3854" s="102"/>
      <c r="B3854" s="116"/>
    </row>
    <row r="3855" spans="1:2" x14ac:dyDescent="0.2">
      <c r="A3855" s="102"/>
      <c r="B3855" s="116"/>
    </row>
    <row r="3856" spans="1:2" x14ac:dyDescent="0.2">
      <c r="A3856" s="102"/>
      <c r="B3856" s="116"/>
    </row>
    <row r="3857" spans="1:2" x14ac:dyDescent="0.2">
      <c r="A3857" s="102"/>
      <c r="B3857" s="116"/>
    </row>
    <row r="3858" spans="1:2" x14ac:dyDescent="0.2">
      <c r="A3858" s="102"/>
      <c r="B3858" s="116"/>
    </row>
    <row r="3859" spans="1:2" x14ac:dyDescent="0.2">
      <c r="A3859" s="102"/>
      <c r="B3859" s="116"/>
    </row>
    <row r="3860" spans="1:2" x14ac:dyDescent="0.2">
      <c r="A3860" s="102"/>
      <c r="B3860" s="116"/>
    </row>
    <row r="3861" spans="1:2" x14ac:dyDescent="0.2">
      <c r="A3861" s="102"/>
      <c r="B3861" s="116"/>
    </row>
    <row r="3862" spans="1:2" x14ac:dyDescent="0.2">
      <c r="A3862" s="102"/>
      <c r="B3862" s="116"/>
    </row>
    <row r="3863" spans="1:2" x14ac:dyDescent="0.2">
      <c r="A3863" s="102"/>
      <c r="B3863" s="116"/>
    </row>
    <row r="3864" spans="1:2" x14ac:dyDescent="0.2">
      <c r="A3864" s="102"/>
      <c r="B3864" s="116"/>
    </row>
    <row r="3865" spans="1:2" x14ac:dyDescent="0.2">
      <c r="A3865" s="102"/>
      <c r="B3865" s="116"/>
    </row>
    <row r="3866" spans="1:2" x14ac:dyDescent="0.2">
      <c r="A3866" s="102"/>
      <c r="B3866" s="116"/>
    </row>
    <row r="3867" spans="1:2" x14ac:dyDescent="0.2">
      <c r="A3867" s="102"/>
      <c r="B3867" s="116"/>
    </row>
    <row r="3868" spans="1:2" x14ac:dyDescent="0.2">
      <c r="A3868" s="102"/>
      <c r="B3868" s="116"/>
    </row>
    <row r="3869" spans="1:2" x14ac:dyDescent="0.2">
      <c r="A3869" s="102"/>
      <c r="B3869" s="116"/>
    </row>
    <row r="3870" spans="1:2" x14ac:dyDescent="0.2">
      <c r="A3870" s="102"/>
      <c r="B3870" s="116"/>
    </row>
    <row r="3871" spans="1:2" x14ac:dyDescent="0.2">
      <c r="A3871" s="102"/>
      <c r="B3871" s="116"/>
    </row>
    <row r="3872" spans="1:2" x14ac:dyDescent="0.2">
      <c r="A3872" s="102"/>
      <c r="B3872" s="116"/>
    </row>
    <row r="3873" spans="1:2" x14ac:dyDescent="0.2">
      <c r="A3873" s="102"/>
      <c r="B3873" s="116"/>
    </row>
    <row r="3874" spans="1:2" x14ac:dyDescent="0.2">
      <c r="A3874" s="102"/>
      <c r="B3874" s="116"/>
    </row>
    <row r="3875" spans="1:2" x14ac:dyDescent="0.2">
      <c r="A3875" s="102"/>
      <c r="B3875" s="116"/>
    </row>
    <row r="3876" spans="1:2" x14ac:dyDescent="0.2">
      <c r="A3876" s="102"/>
      <c r="B3876" s="116"/>
    </row>
    <row r="3877" spans="1:2" x14ac:dyDescent="0.2">
      <c r="A3877" s="102"/>
      <c r="B3877" s="116"/>
    </row>
    <row r="3878" spans="1:2" x14ac:dyDescent="0.2">
      <c r="A3878" s="102"/>
      <c r="B3878" s="116"/>
    </row>
    <row r="3879" spans="1:2" x14ac:dyDescent="0.2">
      <c r="A3879" s="102"/>
      <c r="B3879" s="116"/>
    </row>
    <row r="3880" spans="1:2" x14ac:dyDescent="0.2">
      <c r="A3880" s="102"/>
      <c r="B3880" s="116"/>
    </row>
    <row r="3881" spans="1:2" x14ac:dyDescent="0.2">
      <c r="A3881" s="102"/>
      <c r="B3881" s="116"/>
    </row>
    <row r="3882" spans="1:2" x14ac:dyDescent="0.2">
      <c r="A3882" s="102"/>
      <c r="B3882" s="116"/>
    </row>
    <row r="3883" spans="1:2" x14ac:dyDescent="0.2">
      <c r="A3883" s="102"/>
      <c r="B3883" s="116"/>
    </row>
    <row r="3884" spans="1:2" x14ac:dyDescent="0.2">
      <c r="A3884" s="102"/>
      <c r="B3884" s="116"/>
    </row>
    <row r="3885" spans="1:2" x14ac:dyDescent="0.2">
      <c r="A3885" s="102"/>
      <c r="B3885" s="116"/>
    </row>
    <row r="3886" spans="1:2" x14ac:dyDescent="0.2">
      <c r="A3886" s="102"/>
      <c r="B3886" s="116"/>
    </row>
    <row r="3887" spans="1:2" x14ac:dyDescent="0.2">
      <c r="A3887" s="102"/>
      <c r="B3887" s="116"/>
    </row>
    <row r="3888" spans="1:2" x14ac:dyDescent="0.2">
      <c r="A3888" s="102"/>
      <c r="B3888" s="116"/>
    </row>
    <row r="3889" spans="1:2" x14ac:dyDescent="0.2">
      <c r="A3889" s="102"/>
      <c r="B3889" s="116"/>
    </row>
    <row r="3890" spans="1:2" x14ac:dyDescent="0.2">
      <c r="A3890" s="102"/>
      <c r="B3890" s="116"/>
    </row>
    <row r="3891" spans="1:2" x14ac:dyDescent="0.2">
      <c r="A3891" s="102"/>
      <c r="B3891" s="116"/>
    </row>
    <row r="3892" spans="1:2" x14ac:dyDescent="0.2">
      <c r="A3892" s="102"/>
      <c r="B3892" s="116"/>
    </row>
    <row r="3893" spans="1:2" x14ac:dyDescent="0.2">
      <c r="A3893" s="102"/>
      <c r="B3893" s="116"/>
    </row>
    <row r="3894" spans="1:2" x14ac:dyDescent="0.2">
      <c r="A3894" s="102"/>
      <c r="B3894" s="116"/>
    </row>
    <row r="3895" spans="1:2" x14ac:dyDescent="0.2">
      <c r="A3895" s="102"/>
      <c r="B3895" s="116"/>
    </row>
    <row r="3896" spans="1:2" x14ac:dyDescent="0.2">
      <c r="A3896" s="102"/>
      <c r="B3896" s="116"/>
    </row>
    <row r="3897" spans="1:2" x14ac:dyDescent="0.2">
      <c r="A3897" s="102"/>
      <c r="B3897" s="116"/>
    </row>
    <row r="3898" spans="1:2" x14ac:dyDescent="0.2">
      <c r="A3898" s="102"/>
      <c r="B3898" s="116"/>
    </row>
    <row r="3899" spans="1:2" x14ac:dyDescent="0.2">
      <c r="A3899" s="102"/>
      <c r="B3899" s="116"/>
    </row>
    <row r="3900" spans="1:2" x14ac:dyDescent="0.2">
      <c r="A3900" s="102"/>
      <c r="B3900" s="116"/>
    </row>
    <row r="3901" spans="1:2" x14ac:dyDescent="0.2">
      <c r="A3901" s="102"/>
      <c r="B3901" s="116"/>
    </row>
    <row r="3902" spans="1:2" x14ac:dyDescent="0.2">
      <c r="A3902" s="102"/>
      <c r="B3902" s="116"/>
    </row>
    <row r="3903" spans="1:2" x14ac:dyDescent="0.2">
      <c r="A3903" s="102"/>
      <c r="B3903" s="116"/>
    </row>
    <row r="3904" spans="1:2" x14ac:dyDescent="0.2">
      <c r="A3904" s="102"/>
      <c r="B3904" s="116"/>
    </row>
    <row r="3905" spans="1:2" x14ac:dyDescent="0.2">
      <c r="A3905" s="102"/>
      <c r="B3905" s="116"/>
    </row>
    <row r="3906" spans="1:2" x14ac:dyDescent="0.2">
      <c r="A3906" s="102"/>
      <c r="B3906" s="116"/>
    </row>
    <row r="3907" spans="1:2" x14ac:dyDescent="0.2">
      <c r="A3907" s="102"/>
      <c r="B3907" s="116"/>
    </row>
    <row r="3908" spans="1:2" x14ac:dyDescent="0.2">
      <c r="A3908" s="102"/>
      <c r="B3908" s="116"/>
    </row>
    <row r="3909" spans="1:2" x14ac:dyDescent="0.2">
      <c r="A3909" s="102"/>
      <c r="B3909" s="116"/>
    </row>
    <row r="3910" spans="1:2" x14ac:dyDescent="0.2">
      <c r="A3910" s="102"/>
      <c r="B3910" s="116"/>
    </row>
    <row r="3911" spans="1:2" x14ac:dyDescent="0.2">
      <c r="A3911" s="102"/>
      <c r="B3911" s="116"/>
    </row>
    <row r="3912" spans="1:2" x14ac:dyDescent="0.2">
      <c r="A3912" s="102"/>
      <c r="B3912" s="116"/>
    </row>
    <row r="3913" spans="1:2" x14ac:dyDescent="0.2">
      <c r="A3913" s="102"/>
      <c r="B3913" s="116"/>
    </row>
    <row r="3914" spans="1:2" x14ac:dyDescent="0.2">
      <c r="A3914" s="102"/>
      <c r="B3914" s="116"/>
    </row>
    <row r="3915" spans="1:2" x14ac:dyDescent="0.2">
      <c r="A3915" s="102"/>
      <c r="B3915" s="116"/>
    </row>
    <row r="3916" spans="1:2" x14ac:dyDescent="0.2">
      <c r="A3916" s="102"/>
      <c r="B3916" s="116"/>
    </row>
    <row r="3917" spans="1:2" x14ac:dyDescent="0.2">
      <c r="A3917" s="102"/>
      <c r="B3917" s="116"/>
    </row>
    <row r="3918" spans="1:2" x14ac:dyDescent="0.2">
      <c r="A3918" s="102"/>
      <c r="B3918" s="116"/>
    </row>
    <row r="3919" spans="1:2" x14ac:dyDescent="0.2">
      <c r="A3919" s="102"/>
      <c r="B3919" s="116"/>
    </row>
    <row r="3920" spans="1:2" x14ac:dyDescent="0.2">
      <c r="A3920" s="102"/>
      <c r="B3920" s="116"/>
    </row>
    <row r="3921" spans="1:2" x14ac:dyDescent="0.2">
      <c r="A3921" s="102"/>
      <c r="B3921" s="116"/>
    </row>
    <row r="3922" spans="1:2" x14ac:dyDescent="0.2">
      <c r="A3922" s="102"/>
      <c r="B3922" s="116"/>
    </row>
    <row r="3923" spans="1:2" x14ac:dyDescent="0.2">
      <c r="A3923" s="102"/>
      <c r="B3923" s="116"/>
    </row>
    <row r="3924" spans="1:2" x14ac:dyDescent="0.2">
      <c r="A3924" s="102"/>
      <c r="B3924" s="116"/>
    </row>
    <row r="3925" spans="1:2" x14ac:dyDescent="0.2">
      <c r="A3925" s="102"/>
      <c r="B3925" s="116"/>
    </row>
    <row r="3926" spans="1:2" x14ac:dyDescent="0.2">
      <c r="A3926" s="102"/>
      <c r="B3926" s="116"/>
    </row>
    <row r="3927" spans="1:2" x14ac:dyDescent="0.2">
      <c r="A3927" s="102"/>
      <c r="B3927" s="116"/>
    </row>
    <row r="3928" spans="1:2" x14ac:dyDescent="0.2">
      <c r="A3928" s="102"/>
      <c r="B3928" s="116"/>
    </row>
    <row r="3929" spans="1:2" x14ac:dyDescent="0.2">
      <c r="A3929" s="102"/>
      <c r="B3929" s="116"/>
    </row>
    <row r="3930" spans="1:2" x14ac:dyDescent="0.2">
      <c r="A3930" s="102"/>
      <c r="B3930" s="116"/>
    </row>
    <row r="3931" spans="1:2" x14ac:dyDescent="0.2">
      <c r="A3931" s="102"/>
      <c r="B3931" s="116"/>
    </row>
    <row r="3932" spans="1:2" x14ac:dyDescent="0.2">
      <c r="A3932" s="102"/>
      <c r="B3932" s="116"/>
    </row>
    <row r="3933" spans="1:2" x14ac:dyDescent="0.2">
      <c r="A3933" s="102"/>
      <c r="B3933" s="116"/>
    </row>
    <row r="3934" spans="1:2" x14ac:dyDescent="0.2">
      <c r="A3934" s="102"/>
      <c r="B3934" s="116"/>
    </row>
    <row r="3935" spans="1:2" x14ac:dyDescent="0.2">
      <c r="A3935" s="102"/>
      <c r="B3935" s="116"/>
    </row>
    <row r="3936" spans="1:2" x14ac:dyDescent="0.2">
      <c r="A3936" s="102"/>
      <c r="B3936" s="116"/>
    </row>
    <row r="3937" spans="1:2" x14ac:dyDescent="0.2">
      <c r="A3937" s="102"/>
      <c r="B3937" s="116"/>
    </row>
    <row r="3938" spans="1:2" x14ac:dyDescent="0.2">
      <c r="A3938" s="102"/>
      <c r="B3938" s="116"/>
    </row>
    <row r="3939" spans="1:2" x14ac:dyDescent="0.2">
      <c r="A3939" s="102"/>
      <c r="B3939" s="116"/>
    </row>
    <row r="3940" spans="1:2" x14ac:dyDescent="0.2">
      <c r="A3940" s="102"/>
      <c r="B3940" s="116"/>
    </row>
    <row r="3941" spans="1:2" x14ac:dyDescent="0.2">
      <c r="A3941" s="102"/>
      <c r="B3941" s="116"/>
    </row>
    <row r="3942" spans="1:2" x14ac:dyDescent="0.2">
      <c r="A3942" s="102"/>
      <c r="B3942" s="116"/>
    </row>
    <row r="3943" spans="1:2" x14ac:dyDescent="0.2">
      <c r="A3943" s="102"/>
      <c r="B3943" s="116"/>
    </row>
    <row r="3944" spans="1:2" x14ac:dyDescent="0.2">
      <c r="A3944" s="102"/>
      <c r="B3944" s="116"/>
    </row>
    <row r="3945" spans="1:2" x14ac:dyDescent="0.2">
      <c r="A3945" s="102"/>
      <c r="B3945" s="116"/>
    </row>
    <row r="3946" spans="1:2" x14ac:dyDescent="0.2">
      <c r="A3946" s="102"/>
      <c r="B3946" s="116"/>
    </row>
    <row r="3947" spans="1:2" x14ac:dyDescent="0.2">
      <c r="A3947" s="102"/>
      <c r="B3947" s="116"/>
    </row>
    <row r="3948" spans="1:2" x14ac:dyDescent="0.2">
      <c r="A3948" s="102"/>
      <c r="B3948" s="116"/>
    </row>
    <row r="3949" spans="1:2" x14ac:dyDescent="0.2">
      <c r="A3949" s="102"/>
      <c r="B3949" s="116"/>
    </row>
    <row r="3950" spans="1:2" x14ac:dyDescent="0.2">
      <c r="A3950" s="102"/>
      <c r="B3950" s="116"/>
    </row>
    <row r="3951" spans="1:2" x14ac:dyDescent="0.2">
      <c r="A3951" s="102"/>
      <c r="B3951" s="116"/>
    </row>
    <row r="3952" spans="1:2" x14ac:dyDescent="0.2">
      <c r="A3952" s="102"/>
      <c r="B3952" s="116"/>
    </row>
    <row r="3953" spans="1:2" x14ac:dyDescent="0.2">
      <c r="A3953" s="102"/>
      <c r="B3953" s="116"/>
    </row>
    <row r="3954" spans="1:2" x14ac:dyDescent="0.2">
      <c r="A3954" s="102"/>
      <c r="B3954" s="116"/>
    </row>
    <row r="3955" spans="1:2" x14ac:dyDescent="0.2">
      <c r="A3955" s="102"/>
      <c r="B3955" s="116"/>
    </row>
    <row r="3956" spans="1:2" x14ac:dyDescent="0.2">
      <c r="A3956" s="102"/>
      <c r="B3956" s="116"/>
    </row>
    <row r="3957" spans="1:2" x14ac:dyDescent="0.2">
      <c r="A3957" s="102"/>
      <c r="B3957" s="116"/>
    </row>
    <row r="3958" spans="1:2" x14ac:dyDescent="0.2">
      <c r="A3958" s="102"/>
      <c r="B3958" s="116"/>
    </row>
    <row r="3959" spans="1:2" x14ac:dyDescent="0.2">
      <c r="A3959" s="102"/>
      <c r="B3959" s="116"/>
    </row>
    <row r="3960" spans="1:2" x14ac:dyDescent="0.2">
      <c r="A3960" s="102"/>
      <c r="B3960" s="116"/>
    </row>
    <row r="3961" spans="1:2" x14ac:dyDescent="0.2">
      <c r="A3961" s="102"/>
      <c r="B3961" s="116"/>
    </row>
    <row r="3962" spans="1:2" x14ac:dyDescent="0.2">
      <c r="A3962" s="102"/>
      <c r="B3962" s="116"/>
    </row>
    <row r="3963" spans="1:2" x14ac:dyDescent="0.2">
      <c r="A3963" s="102"/>
      <c r="B3963" s="116"/>
    </row>
    <row r="3964" spans="1:2" x14ac:dyDescent="0.2">
      <c r="A3964" s="102"/>
      <c r="B3964" s="116"/>
    </row>
    <row r="3965" spans="1:2" x14ac:dyDescent="0.2">
      <c r="A3965" s="102"/>
      <c r="B3965" s="116"/>
    </row>
    <row r="3966" spans="1:2" x14ac:dyDescent="0.2">
      <c r="A3966" s="102"/>
      <c r="B3966" s="116"/>
    </row>
    <row r="3967" spans="1:2" x14ac:dyDescent="0.2">
      <c r="A3967" s="102"/>
      <c r="B3967" s="116"/>
    </row>
    <row r="3968" spans="1:2" x14ac:dyDescent="0.2">
      <c r="A3968" s="102"/>
      <c r="B3968" s="116"/>
    </row>
    <row r="3969" spans="1:2" x14ac:dyDescent="0.2">
      <c r="A3969" s="102"/>
      <c r="B3969" s="116"/>
    </row>
    <row r="3970" spans="1:2" x14ac:dyDescent="0.2">
      <c r="A3970" s="102"/>
      <c r="B3970" s="116"/>
    </row>
    <row r="3971" spans="1:2" x14ac:dyDescent="0.2">
      <c r="A3971" s="102"/>
      <c r="B3971" s="116"/>
    </row>
    <row r="3972" spans="1:2" x14ac:dyDescent="0.2">
      <c r="A3972" s="102"/>
      <c r="B3972" s="116"/>
    </row>
    <row r="3973" spans="1:2" x14ac:dyDescent="0.2">
      <c r="A3973" s="102"/>
      <c r="B3973" s="116"/>
    </row>
    <row r="3974" spans="1:2" x14ac:dyDescent="0.2">
      <c r="A3974" s="102"/>
      <c r="B3974" s="116"/>
    </row>
    <row r="3975" spans="1:2" x14ac:dyDescent="0.2">
      <c r="A3975" s="102"/>
      <c r="B3975" s="116"/>
    </row>
    <row r="3976" spans="1:2" x14ac:dyDescent="0.2">
      <c r="A3976" s="102"/>
      <c r="B3976" s="116"/>
    </row>
    <row r="3977" spans="1:2" x14ac:dyDescent="0.2">
      <c r="A3977" s="102"/>
      <c r="B3977" s="116"/>
    </row>
    <row r="3978" spans="1:2" x14ac:dyDescent="0.2">
      <c r="A3978" s="102"/>
      <c r="B3978" s="116"/>
    </row>
    <row r="3979" spans="1:2" x14ac:dyDescent="0.2">
      <c r="A3979" s="102"/>
      <c r="B3979" s="116"/>
    </row>
    <row r="3980" spans="1:2" x14ac:dyDescent="0.2">
      <c r="A3980" s="102"/>
      <c r="B3980" s="116"/>
    </row>
    <row r="3981" spans="1:2" x14ac:dyDescent="0.2">
      <c r="A3981" s="102"/>
      <c r="B3981" s="116"/>
    </row>
    <row r="3982" spans="1:2" x14ac:dyDescent="0.2">
      <c r="A3982" s="102"/>
      <c r="B3982" s="116"/>
    </row>
    <row r="3983" spans="1:2" x14ac:dyDescent="0.2">
      <c r="A3983" s="102"/>
      <c r="B3983" s="116"/>
    </row>
    <row r="3984" spans="1:2" x14ac:dyDescent="0.2">
      <c r="A3984" s="102"/>
      <c r="B3984" s="116"/>
    </row>
    <row r="3985" spans="1:2" x14ac:dyDescent="0.2">
      <c r="A3985" s="102"/>
      <c r="B3985" s="116"/>
    </row>
    <row r="3986" spans="1:2" x14ac:dyDescent="0.2">
      <c r="A3986" s="102"/>
      <c r="B3986" s="116"/>
    </row>
    <row r="3987" spans="1:2" x14ac:dyDescent="0.2">
      <c r="A3987" s="102"/>
      <c r="B3987" s="116"/>
    </row>
    <row r="3988" spans="1:2" x14ac:dyDescent="0.2">
      <c r="A3988" s="102"/>
      <c r="B3988" s="116"/>
    </row>
    <row r="3989" spans="1:2" x14ac:dyDescent="0.2">
      <c r="A3989" s="102"/>
      <c r="B3989" s="116"/>
    </row>
    <row r="3990" spans="1:2" x14ac:dyDescent="0.2">
      <c r="A3990" s="102"/>
      <c r="B3990" s="116"/>
    </row>
    <row r="3991" spans="1:2" x14ac:dyDescent="0.2">
      <c r="A3991" s="102"/>
      <c r="B3991" s="116"/>
    </row>
    <row r="3992" spans="1:2" x14ac:dyDescent="0.2">
      <c r="A3992" s="102"/>
      <c r="B3992" s="116"/>
    </row>
    <row r="3993" spans="1:2" x14ac:dyDescent="0.2">
      <c r="A3993" s="102"/>
      <c r="B3993" s="116"/>
    </row>
    <row r="3994" spans="1:2" x14ac:dyDescent="0.2">
      <c r="A3994" s="102"/>
      <c r="B3994" s="116"/>
    </row>
    <row r="3995" spans="1:2" x14ac:dyDescent="0.2">
      <c r="A3995" s="102"/>
      <c r="B3995" s="116"/>
    </row>
    <row r="3996" spans="1:2" x14ac:dyDescent="0.2">
      <c r="A3996" s="102"/>
      <c r="B3996" s="116"/>
    </row>
    <row r="3997" spans="1:2" x14ac:dyDescent="0.2">
      <c r="A3997" s="102"/>
      <c r="B3997" s="116"/>
    </row>
    <row r="3998" spans="1:2" x14ac:dyDescent="0.2">
      <c r="A3998" s="102"/>
      <c r="B3998" s="116"/>
    </row>
    <row r="3999" spans="1:2" x14ac:dyDescent="0.2">
      <c r="A3999" s="102"/>
      <c r="B3999" s="116"/>
    </row>
    <row r="4000" spans="1:2" x14ac:dyDescent="0.2">
      <c r="A4000" s="102"/>
      <c r="B4000" s="116"/>
    </row>
    <row r="4001" spans="1:2" x14ac:dyDescent="0.2">
      <c r="A4001" s="102"/>
      <c r="B4001" s="116"/>
    </row>
    <row r="4002" spans="1:2" x14ac:dyDescent="0.2">
      <c r="A4002" s="102"/>
      <c r="B4002" s="116"/>
    </row>
    <row r="4003" spans="1:2" x14ac:dyDescent="0.2">
      <c r="A4003" s="102"/>
      <c r="B4003" s="116"/>
    </row>
    <row r="4004" spans="1:2" x14ac:dyDescent="0.2">
      <c r="A4004" s="102"/>
      <c r="B4004" s="116"/>
    </row>
    <row r="4005" spans="1:2" x14ac:dyDescent="0.2">
      <c r="A4005" s="102"/>
      <c r="B4005" s="116"/>
    </row>
    <row r="4006" spans="1:2" x14ac:dyDescent="0.2">
      <c r="A4006" s="102"/>
      <c r="B4006" s="116"/>
    </row>
    <row r="4007" spans="1:2" x14ac:dyDescent="0.2">
      <c r="A4007" s="102"/>
      <c r="B4007" s="116"/>
    </row>
    <row r="4008" spans="1:2" x14ac:dyDescent="0.2">
      <c r="A4008" s="102"/>
      <c r="B4008" s="116"/>
    </row>
    <row r="4009" spans="1:2" x14ac:dyDescent="0.2">
      <c r="A4009" s="102"/>
      <c r="B4009" s="116"/>
    </row>
    <row r="4010" spans="1:2" x14ac:dyDescent="0.2">
      <c r="A4010" s="102"/>
      <c r="B4010" s="116"/>
    </row>
    <row r="4011" spans="1:2" x14ac:dyDescent="0.2">
      <c r="A4011" s="102"/>
      <c r="B4011" s="116"/>
    </row>
    <row r="4012" spans="1:2" x14ac:dyDescent="0.2">
      <c r="A4012" s="102"/>
      <c r="B4012" s="116"/>
    </row>
    <row r="4013" spans="1:2" x14ac:dyDescent="0.2">
      <c r="A4013" s="102"/>
      <c r="B4013" s="116"/>
    </row>
    <row r="4014" spans="1:2" x14ac:dyDescent="0.2">
      <c r="A4014" s="102"/>
      <c r="B4014" s="116"/>
    </row>
    <row r="4015" spans="1:2" x14ac:dyDescent="0.2">
      <c r="A4015" s="102"/>
      <c r="B4015" s="116"/>
    </row>
    <row r="4016" spans="1:2" x14ac:dyDescent="0.2">
      <c r="A4016" s="102"/>
      <c r="B4016" s="116"/>
    </row>
    <row r="4017" spans="1:2" x14ac:dyDescent="0.2">
      <c r="A4017" s="102"/>
      <c r="B4017" s="116"/>
    </row>
    <row r="4018" spans="1:2" x14ac:dyDescent="0.2">
      <c r="A4018" s="102"/>
      <c r="B4018" s="116"/>
    </row>
    <row r="4019" spans="1:2" x14ac:dyDescent="0.2">
      <c r="A4019" s="102"/>
      <c r="B4019" s="116"/>
    </row>
    <row r="4020" spans="1:2" x14ac:dyDescent="0.2">
      <c r="A4020" s="102"/>
      <c r="B4020" s="116"/>
    </row>
    <row r="4021" spans="1:2" x14ac:dyDescent="0.2">
      <c r="A4021" s="102"/>
      <c r="B4021" s="116"/>
    </row>
    <row r="4022" spans="1:2" x14ac:dyDescent="0.2">
      <c r="A4022" s="102"/>
      <c r="B4022" s="116"/>
    </row>
    <row r="4023" spans="1:2" x14ac:dyDescent="0.2">
      <c r="A4023" s="102"/>
      <c r="B4023" s="116"/>
    </row>
    <row r="4024" spans="1:2" x14ac:dyDescent="0.2">
      <c r="A4024" s="102"/>
      <c r="B4024" s="116"/>
    </row>
    <row r="4025" spans="1:2" x14ac:dyDescent="0.2">
      <c r="A4025" s="102"/>
      <c r="B4025" s="116"/>
    </row>
    <row r="4026" spans="1:2" x14ac:dyDescent="0.2">
      <c r="A4026" s="102"/>
      <c r="B4026" s="116"/>
    </row>
    <row r="4027" spans="1:2" x14ac:dyDescent="0.2">
      <c r="A4027" s="102"/>
      <c r="B4027" s="116"/>
    </row>
    <row r="4028" spans="1:2" x14ac:dyDescent="0.2">
      <c r="A4028" s="102"/>
      <c r="B4028" s="116"/>
    </row>
    <row r="4029" spans="1:2" x14ac:dyDescent="0.2">
      <c r="A4029" s="102"/>
      <c r="B4029" s="116"/>
    </row>
    <row r="4030" spans="1:2" x14ac:dyDescent="0.2">
      <c r="A4030" s="102"/>
      <c r="B4030" s="116"/>
    </row>
    <row r="4031" spans="1:2" x14ac:dyDescent="0.2">
      <c r="A4031" s="102"/>
      <c r="B4031" s="116"/>
    </row>
    <row r="4032" spans="1:2" x14ac:dyDescent="0.2">
      <c r="A4032" s="102"/>
      <c r="B4032" s="116"/>
    </row>
    <row r="4033" spans="1:2" x14ac:dyDescent="0.2">
      <c r="A4033" s="102"/>
      <c r="B4033" s="116"/>
    </row>
    <row r="4034" spans="1:2" x14ac:dyDescent="0.2">
      <c r="A4034" s="102"/>
      <c r="B4034" s="116"/>
    </row>
    <row r="4035" spans="1:2" x14ac:dyDescent="0.2">
      <c r="A4035" s="102"/>
      <c r="B4035" s="116"/>
    </row>
    <row r="4036" spans="1:2" x14ac:dyDescent="0.2">
      <c r="A4036" s="102"/>
      <c r="B4036" s="116"/>
    </row>
    <row r="4037" spans="1:2" x14ac:dyDescent="0.2">
      <c r="A4037" s="102"/>
      <c r="B4037" s="116"/>
    </row>
    <row r="4038" spans="1:2" x14ac:dyDescent="0.2">
      <c r="A4038" s="102"/>
      <c r="B4038" s="116"/>
    </row>
    <row r="4039" spans="1:2" x14ac:dyDescent="0.2">
      <c r="A4039" s="102"/>
      <c r="B4039" s="116"/>
    </row>
    <row r="4040" spans="1:2" x14ac:dyDescent="0.2">
      <c r="A4040" s="102"/>
      <c r="B4040" s="116"/>
    </row>
    <row r="4041" spans="1:2" x14ac:dyDescent="0.2">
      <c r="A4041" s="102"/>
      <c r="B4041" s="116"/>
    </row>
    <row r="4042" spans="1:2" x14ac:dyDescent="0.2">
      <c r="A4042" s="102"/>
      <c r="B4042" s="116"/>
    </row>
    <row r="4043" spans="1:2" x14ac:dyDescent="0.2">
      <c r="A4043" s="102"/>
      <c r="B4043" s="116"/>
    </row>
    <row r="4044" spans="1:2" x14ac:dyDescent="0.2">
      <c r="A4044" s="102"/>
      <c r="B4044" s="116"/>
    </row>
    <row r="4045" spans="1:2" x14ac:dyDescent="0.2">
      <c r="A4045" s="102"/>
      <c r="B4045" s="116"/>
    </row>
    <row r="4046" spans="1:2" x14ac:dyDescent="0.2">
      <c r="A4046" s="102"/>
      <c r="B4046" s="116"/>
    </row>
    <row r="4047" spans="1:2" x14ac:dyDescent="0.2">
      <c r="A4047" s="102"/>
      <c r="B4047" s="116"/>
    </row>
    <row r="4048" spans="1:2" x14ac:dyDescent="0.2">
      <c r="A4048" s="102"/>
      <c r="B4048" s="116"/>
    </row>
    <row r="4049" spans="1:2" x14ac:dyDescent="0.2">
      <c r="A4049" s="102"/>
      <c r="B4049" s="116"/>
    </row>
    <row r="4050" spans="1:2" x14ac:dyDescent="0.2">
      <c r="A4050" s="102"/>
      <c r="B4050" s="116"/>
    </row>
    <row r="4051" spans="1:2" x14ac:dyDescent="0.2">
      <c r="A4051" s="102"/>
      <c r="B4051" s="116"/>
    </row>
    <row r="4052" spans="1:2" x14ac:dyDescent="0.2">
      <c r="A4052" s="102"/>
      <c r="B4052" s="116"/>
    </row>
    <row r="4053" spans="1:2" x14ac:dyDescent="0.2">
      <c r="A4053" s="102"/>
      <c r="B4053" s="116"/>
    </row>
    <row r="4054" spans="1:2" x14ac:dyDescent="0.2">
      <c r="A4054" s="102"/>
      <c r="B4054" s="116"/>
    </row>
    <row r="4055" spans="1:2" x14ac:dyDescent="0.2">
      <c r="A4055" s="102"/>
      <c r="B4055" s="116"/>
    </row>
    <row r="4056" spans="1:2" x14ac:dyDescent="0.2">
      <c r="A4056" s="102"/>
      <c r="B4056" s="116"/>
    </row>
    <row r="4057" spans="1:2" x14ac:dyDescent="0.2">
      <c r="A4057" s="102"/>
      <c r="B4057" s="116"/>
    </row>
    <row r="4058" spans="1:2" x14ac:dyDescent="0.2">
      <c r="A4058" s="102"/>
      <c r="B4058" s="116"/>
    </row>
    <row r="4059" spans="1:2" x14ac:dyDescent="0.2">
      <c r="A4059" s="102"/>
      <c r="B4059" s="116"/>
    </row>
    <row r="4060" spans="1:2" x14ac:dyDescent="0.2">
      <c r="A4060" s="102"/>
      <c r="B4060" s="116"/>
    </row>
    <row r="4061" spans="1:2" x14ac:dyDescent="0.2">
      <c r="A4061" s="102"/>
      <c r="B4061" s="116"/>
    </row>
    <row r="4062" spans="1:2" x14ac:dyDescent="0.2">
      <c r="A4062" s="102"/>
      <c r="B4062" s="116"/>
    </row>
    <row r="4063" spans="1:2" x14ac:dyDescent="0.2">
      <c r="A4063" s="102"/>
      <c r="B4063" s="116"/>
    </row>
    <row r="4064" spans="1:2" x14ac:dyDescent="0.2">
      <c r="A4064" s="102"/>
      <c r="B4064" s="116"/>
    </row>
    <row r="4065" spans="1:2" x14ac:dyDescent="0.2">
      <c r="A4065" s="102"/>
      <c r="B4065" s="116"/>
    </row>
    <row r="4066" spans="1:2" x14ac:dyDescent="0.2">
      <c r="A4066" s="102"/>
      <c r="B4066" s="116"/>
    </row>
    <row r="4067" spans="1:2" x14ac:dyDescent="0.2">
      <c r="A4067" s="102"/>
      <c r="B4067" s="116"/>
    </row>
    <row r="4068" spans="1:2" x14ac:dyDescent="0.2">
      <c r="A4068" s="102"/>
      <c r="B4068" s="116"/>
    </row>
    <row r="4069" spans="1:2" x14ac:dyDescent="0.2">
      <c r="A4069" s="102"/>
      <c r="B4069" s="116"/>
    </row>
    <row r="4070" spans="1:2" x14ac:dyDescent="0.2">
      <c r="A4070" s="102"/>
      <c r="B4070" s="116"/>
    </row>
    <row r="4071" spans="1:2" x14ac:dyDescent="0.2">
      <c r="A4071" s="102"/>
      <c r="B4071" s="116"/>
    </row>
    <row r="4072" spans="1:2" x14ac:dyDescent="0.2">
      <c r="A4072" s="102"/>
      <c r="B4072" s="116"/>
    </row>
    <row r="4073" spans="1:2" x14ac:dyDescent="0.2">
      <c r="A4073" s="102"/>
      <c r="B4073" s="116"/>
    </row>
    <row r="4074" spans="1:2" x14ac:dyDescent="0.2">
      <c r="A4074" s="102"/>
      <c r="B4074" s="116"/>
    </row>
    <row r="4075" spans="1:2" x14ac:dyDescent="0.2">
      <c r="A4075" s="102"/>
      <c r="B4075" s="116"/>
    </row>
    <row r="4076" spans="1:2" x14ac:dyDescent="0.2">
      <c r="A4076" s="102"/>
      <c r="B4076" s="116"/>
    </row>
    <row r="4077" spans="1:2" x14ac:dyDescent="0.2">
      <c r="A4077" s="102"/>
      <c r="B4077" s="116"/>
    </row>
    <row r="4078" spans="1:2" x14ac:dyDescent="0.2">
      <c r="A4078" s="102"/>
      <c r="B4078" s="116"/>
    </row>
    <row r="4079" spans="1:2" x14ac:dyDescent="0.2">
      <c r="A4079" s="102"/>
      <c r="B4079" s="116"/>
    </row>
    <row r="4080" spans="1:2" x14ac:dyDescent="0.2">
      <c r="A4080" s="102"/>
      <c r="B4080" s="116"/>
    </row>
    <row r="4081" spans="1:2" x14ac:dyDescent="0.2">
      <c r="A4081" s="102"/>
      <c r="B4081" s="116"/>
    </row>
    <row r="4082" spans="1:2" x14ac:dyDescent="0.2">
      <c r="A4082" s="102"/>
      <c r="B4082" s="116"/>
    </row>
    <row r="4083" spans="1:2" x14ac:dyDescent="0.2">
      <c r="A4083" s="102"/>
      <c r="B4083" s="116"/>
    </row>
    <row r="4084" spans="1:2" x14ac:dyDescent="0.2">
      <c r="A4084" s="102"/>
      <c r="B4084" s="116"/>
    </row>
    <row r="4085" spans="1:2" x14ac:dyDescent="0.2">
      <c r="A4085" s="102"/>
      <c r="B4085" s="116"/>
    </row>
    <row r="4086" spans="1:2" x14ac:dyDescent="0.2">
      <c r="A4086" s="102"/>
      <c r="B4086" s="116"/>
    </row>
    <row r="4087" spans="1:2" x14ac:dyDescent="0.2">
      <c r="A4087" s="102"/>
      <c r="B4087" s="116"/>
    </row>
    <row r="4088" spans="1:2" x14ac:dyDescent="0.2">
      <c r="A4088" s="102"/>
      <c r="B4088" s="116"/>
    </row>
    <row r="4089" spans="1:2" x14ac:dyDescent="0.2">
      <c r="A4089" s="102"/>
      <c r="B4089" s="116"/>
    </row>
    <row r="4090" spans="1:2" x14ac:dyDescent="0.2">
      <c r="A4090" s="102"/>
      <c r="B4090" s="116"/>
    </row>
    <row r="4091" spans="1:2" x14ac:dyDescent="0.2">
      <c r="A4091" s="102"/>
      <c r="B4091" s="116"/>
    </row>
    <row r="4092" spans="1:2" x14ac:dyDescent="0.2">
      <c r="A4092" s="102"/>
      <c r="B4092" s="116"/>
    </row>
    <row r="4093" spans="1:2" x14ac:dyDescent="0.2">
      <c r="A4093" s="102"/>
      <c r="B4093" s="116"/>
    </row>
    <row r="4094" spans="1:2" x14ac:dyDescent="0.2">
      <c r="A4094" s="102"/>
      <c r="B4094" s="116"/>
    </row>
    <row r="4095" spans="1:2" x14ac:dyDescent="0.2">
      <c r="A4095" s="102"/>
      <c r="B4095" s="116"/>
    </row>
    <row r="4096" spans="1:2" x14ac:dyDescent="0.2">
      <c r="A4096" s="102"/>
      <c r="B4096" s="116"/>
    </row>
    <row r="4097" spans="1:2" x14ac:dyDescent="0.2">
      <c r="A4097" s="102"/>
      <c r="B4097" s="116"/>
    </row>
    <row r="4098" spans="1:2" x14ac:dyDescent="0.2">
      <c r="A4098" s="102"/>
      <c r="B4098" s="116"/>
    </row>
    <row r="4099" spans="1:2" x14ac:dyDescent="0.2">
      <c r="A4099" s="102"/>
      <c r="B4099" s="116"/>
    </row>
    <row r="4100" spans="1:2" x14ac:dyDescent="0.2">
      <c r="A4100" s="102"/>
      <c r="B4100" s="116"/>
    </row>
    <row r="4101" spans="1:2" x14ac:dyDescent="0.2">
      <c r="A4101" s="102"/>
      <c r="B4101" s="116"/>
    </row>
    <row r="4102" spans="1:2" x14ac:dyDescent="0.2">
      <c r="A4102" s="102"/>
      <c r="B4102" s="116"/>
    </row>
    <row r="4103" spans="1:2" x14ac:dyDescent="0.2">
      <c r="A4103" s="102"/>
      <c r="B4103" s="116"/>
    </row>
    <row r="4104" spans="1:2" x14ac:dyDescent="0.2">
      <c r="A4104" s="102"/>
      <c r="B4104" s="116"/>
    </row>
    <row r="4105" spans="1:2" x14ac:dyDescent="0.2">
      <c r="A4105" s="102"/>
      <c r="B4105" s="116"/>
    </row>
    <row r="4106" spans="1:2" x14ac:dyDescent="0.2">
      <c r="A4106" s="102"/>
      <c r="B4106" s="116"/>
    </row>
    <row r="4107" spans="1:2" x14ac:dyDescent="0.2">
      <c r="A4107" s="102"/>
      <c r="B4107" s="116"/>
    </row>
    <row r="4108" spans="1:2" x14ac:dyDescent="0.2">
      <c r="A4108" s="102"/>
      <c r="B4108" s="116"/>
    </row>
    <row r="4109" spans="1:2" x14ac:dyDescent="0.2">
      <c r="A4109" s="102"/>
      <c r="B4109" s="116"/>
    </row>
    <row r="4110" spans="1:2" x14ac:dyDescent="0.2">
      <c r="A4110" s="102"/>
      <c r="B4110" s="116"/>
    </row>
    <row r="4111" spans="1:2" x14ac:dyDescent="0.2">
      <c r="A4111" s="102"/>
      <c r="B4111" s="116"/>
    </row>
    <row r="4112" spans="1:2" x14ac:dyDescent="0.2">
      <c r="A4112" s="102"/>
      <c r="B4112" s="116"/>
    </row>
    <row r="4113" spans="1:2" x14ac:dyDescent="0.2">
      <c r="A4113" s="102"/>
      <c r="B4113" s="116"/>
    </row>
    <row r="4114" spans="1:2" x14ac:dyDescent="0.2">
      <c r="A4114" s="102"/>
      <c r="B4114" s="116"/>
    </row>
    <row r="4115" spans="1:2" x14ac:dyDescent="0.2">
      <c r="A4115" s="102"/>
      <c r="B4115" s="116"/>
    </row>
    <row r="4116" spans="1:2" x14ac:dyDescent="0.2">
      <c r="A4116" s="102"/>
      <c r="B4116" s="116"/>
    </row>
    <row r="4117" spans="1:2" x14ac:dyDescent="0.2">
      <c r="A4117" s="102"/>
      <c r="B4117" s="116"/>
    </row>
    <row r="4118" spans="1:2" x14ac:dyDescent="0.2">
      <c r="A4118" s="102"/>
      <c r="B4118" s="116"/>
    </row>
    <row r="4119" spans="1:2" x14ac:dyDescent="0.2">
      <c r="A4119" s="102"/>
      <c r="B4119" s="116"/>
    </row>
    <row r="4120" spans="1:2" x14ac:dyDescent="0.2">
      <c r="A4120" s="102"/>
      <c r="B4120" s="116"/>
    </row>
    <row r="4121" spans="1:2" x14ac:dyDescent="0.2">
      <c r="A4121" s="102"/>
      <c r="B4121" s="116"/>
    </row>
    <row r="4122" spans="1:2" x14ac:dyDescent="0.2">
      <c r="A4122" s="102"/>
      <c r="B4122" s="116"/>
    </row>
    <row r="4123" spans="1:2" x14ac:dyDescent="0.2">
      <c r="A4123" s="102"/>
      <c r="B4123" s="116"/>
    </row>
    <row r="4124" spans="1:2" x14ac:dyDescent="0.2">
      <c r="A4124" s="102"/>
      <c r="B4124" s="116"/>
    </row>
    <row r="4125" spans="1:2" x14ac:dyDescent="0.2">
      <c r="A4125" s="102"/>
      <c r="B4125" s="116"/>
    </row>
    <row r="4126" spans="1:2" x14ac:dyDescent="0.2">
      <c r="A4126" s="102"/>
      <c r="B4126" s="116"/>
    </row>
    <row r="4127" spans="1:2" x14ac:dyDescent="0.2">
      <c r="A4127" s="102"/>
      <c r="B4127" s="116"/>
    </row>
    <row r="4128" spans="1:2" x14ac:dyDescent="0.2">
      <c r="A4128" s="102"/>
      <c r="B4128" s="116"/>
    </row>
    <row r="4129" spans="1:2" x14ac:dyDescent="0.2">
      <c r="A4129" s="102"/>
      <c r="B4129" s="116"/>
    </row>
    <row r="4130" spans="1:2" x14ac:dyDescent="0.2">
      <c r="A4130" s="102"/>
      <c r="B4130" s="116"/>
    </row>
    <row r="4131" spans="1:2" x14ac:dyDescent="0.2">
      <c r="A4131" s="102"/>
      <c r="B4131" s="116"/>
    </row>
    <row r="4132" spans="1:2" x14ac:dyDescent="0.2">
      <c r="A4132" s="102"/>
      <c r="B4132" s="116"/>
    </row>
    <row r="4133" spans="1:2" x14ac:dyDescent="0.2">
      <c r="A4133" s="102"/>
      <c r="B4133" s="116"/>
    </row>
    <row r="4134" spans="1:2" x14ac:dyDescent="0.2">
      <c r="A4134" s="102"/>
      <c r="B4134" s="116"/>
    </row>
    <row r="4135" spans="1:2" x14ac:dyDescent="0.2">
      <c r="A4135" s="102"/>
      <c r="B4135" s="116"/>
    </row>
    <row r="4136" spans="1:2" x14ac:dyDescent="0.2">
      <c r="A4136" s="102"/>
      <c r="B4136" s="116"/>
    </row>
    <row r="4137" spans="1:2" x14ac:dyDescent="0.2">
      <c r="A4137" s="102"/>
      <c r="B4137" s="116"/>
    </row>
    <row r="4138" spans="1:2" x14ac:dyDescent="0.2">
      <c r="A4138" s="102"/>
      <c r="B4138" s="116"/>
    </row>
    <row r="4139" spans="1:2" x14ac:dyDescent="0.2">
      <c r="A4139" s="102"/>
      <c r="B4139" s="116"/>
    </row>
    <row r="4140" spans="1:2" x14ac:dyDescent="0.2">
      <c r="A4140" s="102"/>
      <c r="B4140" s="116"/>
    </row>
    <row r="4141" spans="1:2" x14ac:dyDescent="0.2">
      <c r="A4141" s="102"/>
      <c r="B4141" s="116"/>
    </row>
    <row r="4142" spans="1:2" x14ac:dyDescent="0.2">
      <c r="A4142" s="102"/>
      <c r="B4142" s="116"/>
    </row>
    <row r="4143" spans="1:2" x14ac:dyDescent="0.2">
      <c r="A4143" s="102"/>
      <c r="B4143" s="116"/>
    </row>
    <row r="4144" spans="1:2" x14ac:dyDescent="0.2">
      <c r="A4144" s="102"/>
      <c r="B4144" s="116"/>
    </row>
    <row r="4145" spans="1:2" x14ac:dyDescent="0.2">
      <c r="A4145" s="102"/>
      <c r="B4145" s="116"/>
    </row>
    <row r="4146" spans="1:2" x14ac:dyDescent="0.2">
      <c r="A4146" s="102"/>
      <c r="B4146" s="116"/>
    </row>
    <row r="4147" spans="1:2" x14ac:dyDescent="0.2">
      <c r="A4147" s="102"/>
      <c r="B4147" s="116"/>
    </row>
    <row r="4148" spans="1:2" x14ac:dyDescent="0.2">
      <c r="A4148" s="102"/>
      <c r="B4148" s="116"/>
    </row>
    <row r="4149" spans="1:2" x14ac:dyDescent="0.2">
      <c r="A4149" s="102"/>
      <c r="B4149" s="116"/>
    </row>
    <row r="4150" spans="1:2" x14ac:dyDescent="0.2">
      <c r="A4150" s="102"/>
      <c r="B4150" s="116"/>
    </row>
    <row r="4151" spans="1:2" x14ac:dyDescent="0.2">
      <c r="A4151" s="102"/>
      <c r="B4151" s="116"/>
    </row>
    <row r="4152" spans="1:2" x14ac:dyDescent="0.2">
      <c r="A4152" s="102"/>
      <c r="B4152" s="116"/>
    </row>
    <row r="4153" spans="1:2" x14ac:dyDescent="0.2">
      <c r="A4153" s="102"/>
      <c r="B4153" s="116"/>
    </row>
    <row r="4154" spans="1:2" x14ac:dyDescent="0.2">
      <c r="A4154" s="102"/>
      <c r="B4154" s="116"/>
    </row>
    <row r="4155" spans="1:2" x14ac:dyDescent="0.2">
      <c r="A4155" s="102"/>
      <c r="B4155" s="116"/>
    </row>
    <row r="4156" spans="1:2" x14ac:dyDescent="0.2">
      <c r="A4156" s="102"/>
      <c r="B4156" s="116"/>
    </row>
    <row r="4157" spans="1:2" x14ac:dyDescent="0.2">
      <c r="A4157" s="102"/>
      <c r="B4157" s="116"/>
    </row>
    <row r="4158" spans="1:2" x14ac:dyDescent="0.2">
      <c r="A4158" s="102"/>
      <c r="B4158" s="116"/>
    </row>
    <row r="4159" spans="1:2" x14ac:dyDescent="0.2">
      <c r="A4159" s="102"/>
      <c r="B4159" s="116"/>
    </row>
    <row r="4160" spans="1:2" x14ac:dyDescent="0.2">
      <c r="A4160" s="102"/>
      <c r="B4160" s="116"/>
    </row>
    <row r="4161" spans="1:2" x14ac:dyDescent="0.2">
      <c r="A4161" s="102"/>
      <c r="B4161" s="116"/>
    </row>
    <row r="4162" spans="1:2" x14ac:dyDescent="0.2">
      <c r="A4162" s="102"/>
      <c r="B4162" s="116"/>
    </row>
    <row r="4163" spans="1:2" x14ac:dyDescent="0.2">
      <c r="A4163" s="102"/>
      <c r="B4163" s="116"/>
    </row>
    <row r="4164" spans="1:2" x14ac:dyDescent="0.2">
      <c r="A4164" s="102"/>
      <c r="B4164" s="116"/>
    </row>
    <row r="4165" spans="1:2" x14ac:dyDescent="0.2">
      <c r="A4165" s="102"/>
      <c r="B4165" s="116"/>
    </row>
    <row r="4166" spans="1:2" x14ac:dyDescent="0.2">
      <c r="A4166" s="102"/>
      <c r="B4166" s="116"/>
    </row>
    <row r="4167" spans="1:2" x14ac:dyDescent="0.2">
      <c r="A4167" s="102"/>
      <c r="B4167" s="116"/>
    </row>
    <row r="4168" spans="1:2" x14ac:dyDescent="0.2">
      <c r="A4168" s="102"/>
      <c r="B4168" s="116"/>
    </row>
    <row r="4169" spans="1:2" x14ac:dyDescent="0.2">
      <c r="A4169" s="102"/>
      <c r="B4169" s="116"/>
    </row>
    <row r="4170" spans="1:2" x14ac:dyDescent="0.2">
      <c r="A4170" s="102"/>
      <c r="B4170" s="116"/>
    </row>
    <row r="4171" spans="1:2" x14ac:dyDescent="0.2">
      <c r="A4171" s="102"/>
      <c r="B4171" s="116"/>
    </row>
    <row r="4172" spans="1:2" x14ac:dyDescent="0.2">
      <c r="A4172" s="102"/>
      <c r="B4172" s="116"/>
    </row>
    <row r="4173" spans="1:2" x14ac:dyDescent="0.2">
      <c r="A4173" s="102"/>
      <c r="B4173" s="116"/>
    </row>
    <row r="4174" spans="1:2" x14ac:dyDescent="0.2">
      <c r="A4174" s="102"/>
      <c r="B4174" s="116"/>
    </row>
    <row r="4175" spans="1:2" x14ac:dyDescent="0.2">
      <c r="A4175" s="102"/>
      <c r="B4175" s="116"/>
    </row>
    <row r="4176" spans="1:2" x14ac:dyDescent="0.2">
      <c r="A4176" s="102"/>
      <c r="B4176" s="116"/>
    </row>
    <row r="4177" spans="1:2" x14ac:dyDescent="0.2">
      <c r="A4177" s="102"/>
      <c r="B4177" s="116"/>
    </row>
    <row r="4178" spans="1:2" x14ac:dyDescent="0.2">
      <c r="A4178" s="102"/>
      <c r="B4178" s="116"/>
    </row>
    <row r="4179" spans="1:2" x14ac:dyDescent="0.2">
      <c r="A4179" s="102"/>
      <c r="B4179" s="116"/>
    </row>
    <row r="4180" spans="1:2" x14ac:dyDescent="0.2">
      <c r="A4180" s="102"/>
      <c r="B4180" s="116"/>
    </row>
    <row r="4181" spans="1:2" x14ac:dyDescent="0.2">
      <c r="A4181" s="102"/>
      <c r="B4181" s="116"/>
    </row>
    <row r="4182" spans="1:2" x14ac:dyDescent="0.2">
      <c r="A4182" s="102"/>
      <c r="B4182" s="116"/>
    </row>
    <row r="4183" spans="1:2" x14ac:dyDescent="0.2">
      <c r="A4183" s="102"/>
      <c r="B4183" s="116"/>
    </row>
    <row r="4184" spans="1:2" x14ac:dyDescent="0.2">
      <c r="A4184" s="102"/>
      <c r="B4184" s="116"/>
    </row>
    <row r="4185" spans="1:2" x14ac:dyDescent="0.2">
      <c r="A4185" s="102"/>
      <c r="B4185" s="116"/>
    </row>
    <row r="4186" spans="1:2" x14ac:dyDescent="0.2">
      <c r="A4186" s="102"/>
      <c r="B4186" s="116"/>
    </row>
    <row r="4187" spans="1:2" x14ac:dyDescent="0.2">
      <c r="A4187" s="102"/>
      <c r="B4187" s="116"/>
    </row>
    <row r="4188" spans="1:2" x14ac:dyDescent="0.2">
      <c r="A4188" s="102"/>
      <c r="B4188" s="116"/>
    </row>
    <row r="4189" spans="1:2" x14ac:dyDescent="0.2">
      <c r="A4189" s="102"/>
      <c r="B4189" s="116"/>
    </row>
    <row r="4190" spans="1:2" x14ac:dyDescent="0.2">
      <c r="A4190" s="102"/>
      <c r="B4190" s="116"/>
    </row>
    <row r="4191" spans="1:2" x14ac:dyDescent="0.2">
      <c r="A4191" s="102"/>
      <c r="B4191" s="116"/>
    </row>
    <row r="4192" spans="1:2" x14ac:dyDescent="0.2">
      <c r="A4192" s="102"/>
      <c r="B4192" s="116"/>
    </row>
    <row r="4193" spans="1:2" x14ac:dyDescent="0.2">
      <c r="A4193" s="102"/>
      <c r="B4193" s="116"/>
    </row>
    <row r="4194" spans="1:2" x14ac:dyDescent="0.2">
      <c r="A4194" s="102"/>
      <c r="B4194" s="116"/>
    </row>
    <row r="4195" spans="1:2" x14ac:dyDescent="0.2">
      <c r="A4195" s="102"/>
      <c r="B4195" s="116"/>
    </row>
    <row r="4196" spans="1:2" x14ac:dyDescent="0.2">
      <c r="A4196" s="102"/>
      <c r="B4196" s="116"/>
    </row>
    <row r="4197" spans="1:2" x14ac:dyDescent="0.2">
      <c r="A4197" s="102"/>
      <c r="B4197" s="116"/>
    </row>
    <row r="4198" spans="1:2" x14ac:dyDescent="0.2">
      <c r="A4198" s="102"/>
      <c r="B4198" s="116"/>
    </row>
    <row r="4199" spans="1:2" x14ac:dyDescent="0.2">
      <c r="A4199" s="102"/>
      <c r="B4199" s="116"/>
    </row>
    <row r="4200" spans="1:2" x14ac:dyDescent="0.2">
      <c r="A4200" s="102"/>
      <c r="B4200" s="116"/>
    </row>
    <row r="4201" spans="1:2" x14ac:dyDescent="0.2">
      <c r="A4201" s="102"/>
      <c r="B4201" s="116"/>
    </row>
    <row r="4202" spans="1:2" x14ac:dyDescent="0.2">
      <c r="A4202" s="102"/>
      <c r="B4202" s="116"/>
    </row>
    <row r="4203" spans="1:2" x14ac:dyDescent="0.2">
      <c r="A4203" s="102"/>
      <c r="B4203" s="116"/>
    </row>
    <row r="4204" spans="1:2" x14ac:dyDescent="0.2">
      <c r="A4204" s="102"/>
      <c r="B4204" s="116"/>
    </row>
    <row r="4205" spans="1:2" x14ac:dyDescent="0.2">
      <c r="A4205" s="102"/>
      <c r="B4205" s="116"/>
    </row>
    <row r="4206" spans="1:2" x14ac:dyDescent="0.2">
      <c r="A4206" s="102"/>
      <c r="B4206" s="116"/>
    </row>
    <row r="4207" spans="1:2" x14ac:dyDescent="0.2">
      <c r="A4207" s="102"/>
      <c r="B4207" s="116"/>
    </row>
    <row r="4208" spans="1:2" x14ac:dyDescent="0.2">
      <c r="A4208" s="102"/>
      <c r="B4208" s="116"/>
    </row>
    <row r="4209" spans="1:2" x14ac:dyDescent="0.2">
      <c r="A4209" s="102"/>
      <c r="B4209" s="116"/>
    </row>
    <row r="4210" spans="1:2" x14ac:dyDescent="0.2">
      <c r="A4210" s="102"/>
      <c r="B4210" s="116"/>
    </row>
    <row r="4211" spans="1:2" x14ac:dyDescent="0.2">
      <c r="A4211" s="102"/>
      <c r="B4211" s="116"/>
    </row>
    <row r="4212" spans="1:2" x14ac:dyDescent="0.2">
      <c r="A4212" s="102"/>
      <c r="B4212" s="116"/>
    </row>
    <row r="4213" spans="1:2" x14ac:dyDescent="0.2">
      <c r="A4213" s="102"/>
      <c r="B4213" s="116"/>
    </row>
    <row r="4214" spans="1:2" x14ac:dyDescent="0.2">
      <c r="A4214" s="102"/>
      <c r="B4214" s="116"/>
    </row>
    <row r="4215" spans="1:2" x14ac:dyDescent="0.2">
      <c r="A4215" s="102"/>
      <c r="B4215" s="116"/>
    </row>
    <row r="4216" spans="1:2" x14ac:dyDescent="0.2">
      <c r="A4216" s="102"/>
      <c r="B4216" s="116"/>
    </row>
    <row r="4217" spans="1:2" x14ac:dyDescent="0.2">
      <c r="A4217" s="102"/>
      <c r="B4217" s="116"/>
    </row>
    <row r="4218" spans="1:2" x14ac:dyDescent="0.2">
      <c r="A4218" s="102"/>
      <c r="B4218" s="116"/>
    </row>
    <row r="4219" spans="1:2" x14ac:dyDescent="0.2">
      <c r="A4219" s="102"/>
      <c r="B4219" s="116"/>
    </row>
    <row r="4220" spans="1:2" x14ac:dyDescent="0.2">
      <c r="A4220" s="102"/>
      <c r="B4220" s="116"/>
    </row>
    <row r="4221" spans="1:2" x14ac:dyDescent="0.2">
      <c r="A4221" s="102"/>
      <c r="B4221" s="116"/>
    </row>
    <row r="4222" spans="1:2" x14ac:dyDescent="0.2">
      <c r="A4222" s="102"/>
      <c r="B4222" s="116"/>
    </row>
    <row r="4223" spans="1:2" x14ac:dyDescent="0.2">
      <c r="A4223" s="102"/>
      <c r="B4223" s="116"/>
    </row>
    <row r="4224" spans="1:2" x14ac:dyDescent="0.2">
      <c r="A4224" s="102"/>
      <c r="B4224" s="116"/>
    </row>
    <row r="4225" spans="1:2" x14ac:dyDescent="0.2">
      <c r="A4225" s="102"/>
      <c r="B4225" s="116"/>
    </row>
    <row r="4226" spans="1:2" x14ac:dyDescent="0.2">
      <c r="A4226" s="102"/>
      <c r="B4226" s="116"/>
    </row>
    <row r="4227" spans="1:2" x14ac:dyDescent="0.2">
      <c r="A4227" s="102"/>
      <c r="B4227" s="116"/>
    </row>
    <row r="4228" spans="1:2" x14ac:dyDescent="0.2">
      <c r="A4228" s="102"/>
      <c r="B4228" s="116"/>
    </row>
    <row r="4229" spans="1:2" x14ac:dyDescent="0.2">
      <c r="A4229" s="102"/>
      <c r="B4229" s="116"/>
    </row>
    <row r="4230" spans="1:2" x14ac:dyDescent="0.2">
      <c r="A4230" s="102"/>
      <c r="B4230" s="116"/>
    </row>
    <row r="4231" spans="1:2" x14ac:dyDescent="0.2">
      <c r="A4231" s="102"/>
      <c r="B4231" s="116"/>
    </row>
    <row r="4232" spans="1:2" x14ac:dyDescent="0.2">
      <c r="A4232" s="102"/>
      <c r="B4232" s="116"/>
    </row>
    <row r="4233" spans="1:2" x14ac:dyDescent="0.2">
      <c r="A4233" s="102"/>
      <c r="B4233" s="116"/>
    </row>
    <row r="4234" spans="1:2" x14ac:dyDescent="0.2">
      <c r="A4234" s="102"/>
      <c r="B4234" s="116"/>
    </row>
    <row r="4235" spans="1:2" x14ac:dyDescent="0.2">
      <c r="A4235" s="102"/>
      <c r="B4235" s="116"/>
    </row>
    <row r="4236" spans="1:2" x14ac:dyDescent="0.2">
      <c r="A4236" s="102"/>
      <c r="B4236" s="116"/>
    </row>
    <row r="4237" spans="1:2" x14ac:dyDescent="0.2">
      <c r="A4237" s="102"/>
      <c r="B4237" s="116"/>
    </row>
    <row r="4238" spans="1:2" x14ac:dyDescent="0.2">
      <c r="A4238" s="102"/>
      <c r="B4238" s="116"/>
    </row>
    <row r="4239" spans="1:2" x14ac:dyDescent="0.2">
      <c r="A4239" s="102"/>
      <c r="B4239" s="116"/>
    </row>
    <row r="4240" spans="1:2" x14ac:dyDescent="0.2">
      <c r="A4240" s="102"/>
      <c r="B4240" s="116"/>
    </row>
    <row r="4241" spans="1:2" x14ac:dyDescent="0.2">
      <c r="A4241" s="102"/>
      <c r="B4241" s="116"/>
    </row>
    <row r="4242" spans="1:2" x14ac:dyDescent="0.2">
      <c r="A4242" s="102"/>
      <c r="B4242" s="116"/>
    </row>
    <row r="4243" spans="1:2" x14ac:dyDescent="0.2">
      <c r="A4243" s="102"/>
      <c r="B4243" s="116"/>
    </row>
    <row r="4244" spans="1:2" x14ac:dyDescent="0.2">
      <c r="A4244" s="102"/>
      <c r="B4244" s="116"/>
    </row>
    <row r="4245" spans="1:2" x14ac:dyDescent="0.2">
      <c r="A4245" s="102"/>
      <c r="B4245" s="116"/>
    </row>
    <row r="4246" spans="1:2" x14ac:dyDescent="0.2">
      <c r="A4246" s="102"/>
      <c r="B4246" s="116"/>
    </row>
    <row r="4247" spans="1:2" x14ac:dyDescent="0.2">
      <c r="A4247" s="102"/>
      <c r="B4247" s="116"/>
    </row>
    <row r="4248" spans="1:2" x14ac:dyDescent="0.2">
      <c r="A4248" s="102"/>
      <c r="B4248" s="116"/>
    </row>
    <row r="4249" spans="1:2" x14ac:dyDescent="0.2">
      <c r="A4249" s="102"/>
      <c r="B4249" s="116"/>
    </row>
    <row r="4250" spans="1:2" x14ac:dyDescent="0.2">
      <c r="A4250" s="102"/>
      <c r="B4250" s="116"/>
    </row>
    <row r="4251" spans="1:2" x14ac:dyDescent="0.2">
      <c r="A4251" s="102"/>
      <c r="B4251" s="116"/>
    </row>
    <row r="4252" spans="1:2" x14ac:dyDescent="0.2">
      <c r="A4252" s="102"/>
      <c r="B4252" s="116"/>
    </row>
    <row r="4253" spans="1:2" x14ac:dyDescent="0.2">
      <c r="A4253" s="102"/>
      <c r="B4253" s="116"/>
    </row>
    <row r="4254" spans="1:2" x14ac:dyDescent="0.2">
      <c r="A4254" s="102"/>
      <c r="B4254" s="116"/>
    </row>
    <row r="4255" spans="1:2" x14ac:dyDescent="0.2">
      <c r="A4255" s="102"/>
      <c r="B4255" s="116"/>
    </row>
    <row r="4256" spans="1:2" x14ac:dyDescent="0.2">
      <c r="A4256" s="102"/>
      <c r="B4256" s="116"/>
    </row>
    <row r="4257" spans="1:2" x14ac:dyDescent="0.2">
      <c r="A4257" s="102"/>
      <c r="B4257" s="116"/>
    </row>
    <row r="4258" spans="1:2" x14ac:dyDescent="0.2">
      <c r="A4258" s="102"/>
      <c r="B4258" s="116"/>
    </row>
    <row r="4259" spans="1:2" x14ac:dyDescent="0.2">
      <c r="A4259" s="102"/>
      <c r="B4259" s="116"/>
    </row>
    <row r="4260" spans="1:2" x14ac:dyDescent="0.2">
      <c r="A4260" s="102"/>
      <c r="B4260" s="116"/>
    </row>
    <row r="4261" spans="1:2" x14ac:dyDescent="0.2">
      <c r="A4261" s="102"/>
      <c r="B4261" s="116"/>
    </row>
    <row r="4262" spans="1:2" x14ac:dyDescent="0.2">
      <c r="A4262" s="102"/>
      <c r="B4262" s="116"/>
    </row>
    <row r="4263" spans="1:2" x14ac:dyDescent="0.2">
      <c r="A4263" s="102"/>
      <c r="B4263" s="116"/>
    </row>
    <row r="4264" spans="1:2" x14ac:dyDescent="0.2">
      <c r="A4264" s="102"/>
      <c r="B4264" s="116"/>
    </row>
    <row r="4265" spans="1:2" x14ac:dyDescent="0.2">
      <c r="A4265" s="102"/>
      <c r="B4265" s="116"/>
    </row>
    <row r="4266" spans="1:2" x14ac:dyDescent="0.2">
      <c r="A4266" s="102"/>
      <c r="B4266" s="116"/>
    </row>
    <row r="4267" spans="1:2" x14ac:dyDescent="0.2">
      <c r="A4267" s="102"/>
      <c r="B4267" s="116"/>
    </row>
    <row r="4268" spans="1:2" x14ac:dyDescent="0.2">
      <c r="A4268" s="102"/>
      <c r="B4268" s="116"/>
    </row>
    <row r="4269" spans="1:2" x14ac:dyDescent="0.2">
      <c r="A4269" s="102"/>
      <c r="B4269" s="116"/>
    </row>
    <row r="4270" spans="1:2" x14ac:dyDescent="0.2">
      <c r="A4270" s="102"/>
      <c r="B4270" s="116"/>
    </row>
    <row r="4271" spans="1:2" x14ac:dyDescent="0.2">
      <c r="A4271" s="102"/>
      <c r="B4271" s="116"/>
    </row>
    <row r="4272" spans="1:2" x14ac:dyDescent="0.2">
      <c r="A4272" s="102"/>
      <c r="B4272" s="116"/>
    </row>
    <row r="4273" spans="1:2" x14ac:dyDescent="0.2">
      <c r="A4273" s="102"/>
      <c r="B4273" s="116"/>
    </row>
    <row r="4274" spans="1:2" x14ac:dyDescent="0.2">
      <c r="A4274" s="102"/>
      <c r="B4274" s="116"/>
    </row>
    <row r="4275" spans="1:2" x14ac:dyDescent="0.2">
      <c r="A4275" s="102"/>
      <c r="B4275" s="116"/>
    </row>
    <row r="4276" spans="1:2" x14ac:dyDescent="0.2">
      <c r="A4276" s="102"/>
      <c r="B4276" s="116"/>
    </row>
    <row r="4277" spans="1:2" x14ac:dyDescent="0.2">
      <c r="A4277" s="102"/>
      <c r="B4277" s="116"/>
    </row>
    <row r="4278" spans="1:2" x14ac:dyDescent="0.2">
      <c r="A4278" s="102"/>
      <c r="B4278" s="116"/>
    </row>
    <row r="4279" spans="1:2" x14ac:dyDescent="0.2">
      <c r="A4279" s="102"/>
      <c r="B4279" s="116"/>
    </row>
    <row r="4280" spans="1:2" x14ac:dyDescent="0.2">
      <c r="A4280" s="102"/>
      <c r="B4280" s="116"/>
    </row>
    <row r="4281" spans="1:2" x14ac:dyDescent="0.2">
      <c r="A4281" s="102"/>
      <c r="B4281" s="116"/>
    </row>
    <row r="4282" spans="1:2" x14ac:dyDescent="0.2">
      <c r="A4282" s="102"/>
      <c r="B4282" s="116"/>
    </row>
    <row r="4283" spans="1:2" x14ac:dyDescent="0.2">
      <c r="A4283" s="102"/>
      <c r="B4283" s="116"/>
    </row>
    <row r="4284" spans="1:2" x14ac:dyDescent="0.2">
      <c r="A4284" s="102"/>
      <c r="B4284" s="116"/>
    </row>
    <row r="4285" spans="1:2" x14ac:dyDescent="0.2">
      <c r="A4285" s="102"/>
      <c r="B4285" s="116"/>
    </row>
    <row r="4286" spans="1:2" x14ac:dyDescent="0.2">
      <c r="A4286" s="102"/>
      <c r="B4286" s="116"/>
    </row>
    <row r="4287" spans="1:2" x14ac:dyDescent="0.2">
      <c r="A4287" s="102"/>
      <c r="B4287" s="116"/>
    </row>
    <row r="4288" spans="1:2" x14ac:dyDescent="0.2">
      <c r="A4288" s="102"/>
      <c r="B4288" s="116"/>
    </row>
    <row r="4289" spans="1:2" x14ac:dyDescent="0.2">
      <c r="A4289" s="102"/>
      <c r="B4289" s="116"/>
    </row>
    <row r="4290" spans="1:2" x14ac:dyDescent="0.2">
      <c r="A4290" s="102"/>
      <c r="B4290" s="116"/>
    </row>
    <row r="4291" spans="1:2" x14ac:dyDescent="0.2">
      <c r="A4291" s="102"/>
      <c r="B4291" s="116"/>
    </row>
    <row r="4292" spans="1:2" x14ac:dyDescent="0.2">
      <c r="A4292" s="102"/>
      <c r="B4292" s="116"/>
    </row>
    <row r="4293" spans="1:2" x14ac:dyDescent="0.2">
      <c r="A4293" s="102"/>
      <c r="B4293" s="116"/>
    </row>
    <row r="4294" spans="1:2" x14ac:dyDescent="0.2">
      <c r="A4294" s="102"/>
      <c r="B4294" s="116"/>
    </row>
    <row r="4295" spans="1:2" x14ac:dyDescent="0.2">
      <c r="A4295" s="102"/>
      <c r="B4295" s="116"/>
    </row>
    <row r="4296" spans="1:2" x14ac:dyDescent="0.2">
      <c r="A4296" s="102"/>
      <c r="B4296" s="116"/>
    </row>
    <row r="4297" spans="1:2" x14ac:dyDescent="0.2">
      <c r="A4297" s="102"/>
      <c r="B4297" s="116"/>
    </row>
    <row r="4298" spans="1:2" x14ac:dyDescent="0.2">
      <c r="A4298" s="102"/>
      <c r="B4298" s="116"/>
    </row>
    <row r="4299" spans="1:2" x14ac:dyDescent="0.2">
      <c r="A4299" s="102"/>
      <c r="B4299" s="116"/>
    </row>
    <row r="4300" spans="1:2" x14ac:dyDescent="0.2">
      <c r="A4300" s="102"/>
      <c r="B4300" s="116"/>
    </row>
    <row r="4301" spans="1:2" x14ac:dyDescent="0.2">
      <c r="A4301" s="102"/>
      <c r="B4301" s="116"/>
    </row>
    <row r="4302" spans="1:2" x14ac:dyDescent="0.2">
      <c r="A4302" s="102"/>
      <c r="B4302" s="116"/>
    </row>
    <row r="4303" spans="1:2" x14ac:dyDescent="0.2">
      <c r="A4303" s="102"/>
      <c r="B4303" s="116"/>
    </row>
    <row r="4304" spans="1:2" x14ac:dyDescent="0.2">
      <c r="A4304" s="102"/>
      <c r="B4304" s="116"/>
    </row>
    <row r="4305" spans="1:2" x14ac:dyDescent="0.2">
      <c r="A4305" s="102"/>
      <c r="B4305" s="116"/>
    </row>
    <row r="4306" spans="1:2" x14ac:dyDescent="0.2">
      <c r="A4306" s="102"/>
      <c r="B4306" s="116"/>
    </row>
    <row r="4307" spans="1:2" x14ac:dyDescent="0.2">
      <c r="A4307" s="102"/>
      <c r="B4307" s="116"/>
    </row>
    <row r="4308" spans="1:2" x14ac:dyDescent="0.2">
      <c r="A4308" s="102"/>
      <c r="B4308" s="116"/>
    </row>
    <row r="4309" spans="1:2" x14ac:dyDescent="0.2">
      <c r="A4309" s="102"/>
      <c r="B4309" s="116"/>
    </row>
    <row r="4310" spans="1:2" x14ac:dyDescent="0.2">
      <c r="A4310" s="102"/>
      <c r="B4310" s="116"/>
    </row>
    <row r="4311" spans="1:2" x14ac:dyDescent="0.2">
      <c r="A4311" s="102"/>
      <c r="B4311" s="116"/>
    </row>
    <row r="4312" spans="1:2" x14ac:dyDescent="0.2">
      <c r="A4312" s="102"/>
      <c r="B4312" s="116"/>
    </row>
    <row r="4313" spans="1:2" x14ac:dyDescent="0.2">
      <c r="A4313" s="102"/>
      <c r="B4313" s="116"/>
    </row>
    <row r="4314" spans="1:2" x14ac:dyDescent="0.2">
      <c r="A4314" s="102"/>
      <c r="B4314" s="116"/>
    </row>
    <row r="4315" spans="1:2" x14ac:dyDescent="0.2">
      <c r="A4315" s="102"/>
      <c r="B4315" s="116"/>
    </row>
    <row r="4316" spans="1:2" x14ac:dyDescent="0.2">
      <c r="A4316" s="102"/>
      <c r="B4316" s="116"/>
    </row>
    <row r="4317" spans="1:2" x14ac:dyDescent="0.2">
      <c r="A4317" s="102"/>
      <c r="B4317" s="116"/>
    </row>
    <row r="4318" spans="1:2" x14ac:dyDescent="0.2">
      <c r="A4318" s="102"/>
      <c r="B4318" s="116"/>
    </row>
    <row r="4319" spans="1:2" x14ac:dyDescent="0.2">
      <c r="A4319" s="102"/>
      <c r="B4319" s="116"/>
    </row>
    <row r="4320" spans="1:2" x14ac:dyDescent="0.2">
      <c r="A4320" s="102"/>
      <c r="B4320" s="116"/>
    </row>
    <row r="4321" spans="1:2" x14ac:dyDescent="0.2">
      <c r="A4321" s="102"/>
      <c r="B4321" s="116"/>
    </row>
    <row r="4322" spans="1:2" x14ac:dyDescent="0.2">
      <c r="A4322" s="102"/>
      <c r="B4322" s="116"/>
    </row>
    <row r="4323" spans="1:2" x14ac:dyDescent="0.2">
      <c r="A4323" s="102"/>
      <c r="B4323" s="116"/>
    </row>
    <row r="4324" spans="1:2" x14ac:dyDescent="0.2">
      <c r="A4324" s="102"/>
      <c r="B4324" s="116"/>
    </row>
    <row r="4325" spans="1:2" x14ac:dyDescent="0.2">
      <c r="A4325" s="102"/>
      <c r="B4325" s="116"/>
    </row>
    <row r="4326" spans="1:2" x14ac:dyDescent="0.2">
      <c r="A4326" s="102"/>
      <c r="B4326" s="116"/>
    </row>
    <row r="4327" spans="1:2" x14ac:dyDescent="0.2">
      <c r="A4327" s="102"/>
      <c r="B4327" s="116"/>
    </row>
    <row r="4328" spans="1:2" x14ac:dyDescent="0.2">
      <c r="A4328" s="102"/>
      <c r="B4328" s="116"/>
    </row>
    <row r="4329" spans="1:2" x14ac:dyDescent="0.2">
      <c r="A4329" s="102"/>
      <c r="B4329" s="116"/>
    </row>
    <row r="4330" spans="1:2" x14ac:dyDescent="0.2">
      <c r="A4330" s="102"/>
      <c r="B4330" s="116"/>
    </row>
    <row r="4331" spans="1:2" x14ac:dyDescent="0.2">
      <c r="A4331" s="102"/>
      <c r="B4331" s="116"/>
    </row>
    <row r="4332" spans="1:2" x14ac:dyDescent="0.2">
      <c r="A4332" s="102"/>
      <c r="B4332" s="116"/>
    </row>
    <row r="4333" spans="1:2" x14ac:dyDescent="0.2">
      <c r="A4333" s="102"/>
      <c r="B4333" s="116"/>
    </row>
    <row r="4334" spans="1:2" x14ac:dyDescent="0.2">
      <c r="A4334" s="102"/>
      <c r="B4334" s="116"/>
    </row>
    <row r="4335" spans="1:2" x14ac:dyDescent="0.2">
      <c r="A4335" s="102"/>
      <c r="B4335" s="116"/>
    </row>
    <row r="4336" spans="1:2" x14ac:dyDescent="0.2">
      <c r="A4336" s="102"/>
      <c r="B4336" s="116"/>
    </row>
    <row r="4337" spans="1:2" x14ac:dyDescent="0.2">
      <c r="A4337" s="102"/>
      <c r="B4337" s="116"/>
    </row>
    <row r="4338" spans="1:2" x14ac:dyDescent="0.2">
      <c r="A4338" s="102"/>
      <c r="B4338" s="116"/>
    </row>
    <row r="4339" spans="1:2" x14ac:dyDescent="0.2">
      <c r="A4339" s="102"/>
      <c r="B4339" s="116"/>
    </row>
    <row r="4340" spans="1:2" x14ac:dyDescent="0.2">
      <c r="A4340" s="102"/>
      <c r="B4340" s="116"/>
    </row>
    <row r="4341" spans="1:2" x14ac:dyDescent="0.2">
      <c r="A4341" s="102"/>
      <c r="B4341" s="116"/>
    </row>
    <row r="4342" spans="1:2" x14ac:dyDescent="0.2">
      <c r="A4342" s="102"/>
      <c r="B4342" s="116"/>
    </row>
    <row r="4343" spans="1:2" x14ac:dyDescent="0.2">
      <c r="A4343" s="102"/>
      <c r="B4343" s="116"/>
    </row>
    <row r="4344" spans="1:2" x14ac:dyDescent="0.2">
      <c r="A4344" s="102"/>
      <c r="B4344" s="116"/>
    </row>
    <row r="4345" spans="1:2" x14ac:dyDescent="0.2">
      <c r="A4345" s="102"/>
      <c r="B4345" s="116"/>
    </row>
    <row r="4346" spans="1:2" x14ac:dyDescent="0.2">
      <c r="A4346" s="102"/>
      <c r="B4346" s="116"/>
    </row>
    <row r="4347" spans="1:2" x14ac:dyDescent="0.2">
      <c r="A4347" s="102"/>
      <c r="B4347" s="116"/>
    </row>
    <row r="4348" spans="1:2" x14ac:dyDescent="0.2">
      <c r="A4348" s="102"/>
      <c r="B4348" s="116"/>
    </row>
    <row r="4349" spans="1:2" x14ac:dyDescent="0.2">
      <c r="A4349" s="102"/>
      <c r="B4349" s="116"/>
    </row>
    <row r="4350" spans="1:2" x14ac:dyDescent="0.2">
      <c r="A4350" s="102"/>
      <c r="B4350" s="116"/>
    </row>
    <row r="4351" spans="1:2" x14ac:dyDescent="0.2">
      <c r="A4351" s="102"/>
      <c r="B4351" s="116"/>
    </row>
    <row r="4352" spans="1:2" x14ac:dyDescent="0.2">
      <c r="A4352" s="102"/>
      <c r="B4352" s="116"/>
    </row>
    <row r="4353" spans="1:2" x14ac:dyDescent="0.2">
      <c r="A4353" s="102"/>
      <c r="B4353" s="116"/>
    </row>
    <row r="4354" spans="1:2" x14ac:dyDescent="0.2">
      <c r="A4354" s="102"/>
      <c r="B4354" s="116"/>
    </row>
    <row r="4355" spans="1:2" x14ac:dyDescent="0.2">
      <c r="A4355" s="102"/>
      <c r="B4355" s="116"/>
    </row>
    <row r="4356" spans="1:2" x14ac:dyDescent="0.2">
      <c r="A4356" s="102"/>
      <c r="B4356" s="116"/>
    </row>
    <row r="4357" spans="1:2" x14ac:dyDescent="0.2">
      <c r="A4357" s="102"/>
      <c r="B4357" s="116"/>
    </row>
    <row r="4358" spans="1:2" x14ac:dyDescent="0.2">
      <c r="A4358" s="102"/>
      <c r="B4358" s="116"/>
    </row>
    <row r="4359" spans="1:2" x14ac:dyDescent="0.2">
      <c r="A4359" s="102"/>
      <c r="B4359" s="116"/>
    </row>
    <row r="4360" spans="1:2" x14ac:dyDescent="0.2">
      <c r="A4360" s="102"/>
      <c r="B4360" s="116"/>
    </row>
    <row r="4361" spans="1:2" x14ac:dyDescent="0.2">
      <c r="A4361" s="102"/>
      <c r="B4361" s="116"/>
    </row>
    <row r="4362" spans="1:2" x14ac:dyDescent="0.2">
      <c r="A4362" s="102"/>
      <c r="B4362" s="116"/>
    </row>
    <row r="4363" spans="1:2" x14ac:dyDescent="0.2">
      <c r="A4363" s="102"/>
      <c r="B4363" s="116"/>
    </row>
    <row r="4364" spans="1:2" x14ac:dyDescent="0.2">
      <c r="A4364" s="102"/>
      <c r="B4364" s="116"/>
    </row>
    <row r="4365" spans="1:2" x14ac:dyDescent="0.2">
      <c r="A4365" s="102"/>
      <c r="B4365" s="116"/>
    </row>
    <row r="4366" spans="1:2" x14ac:dyDescent="0.2">
      <c r="A4366" s="102"/>
      <c r="B4366" s="116"/>
    </row>
    <row r="4367" spans="1:2" x14ac:dyDescent="0.2">
      <c r="A4367" s="102"/>
      <c r="B4367" s="116"/>
    </row>
    <row r="4368" spans="1:2" x14ac:dyDescent="0.2">
      <c r="A4368" s="102"/>
      <c r="B4368" s="116"/>
    </row>
    <row r="4369" spans="1:2" x14ac:dyDescent="0.2">
      <c r="A4369" s="102"/>
      <c r="B4369" s="116"/>
    </row>
    <row r="4370" spans="1:2" x14ac:dyDescent="0.2">
      <c r="A4370" s="102"/>
      <c r="B4370" s="116"/>
    </row>
    <row r="4371" spans="1:2" x14ac:dyDescent="0.2">
      <c r="A4371" s="102"/>
      <c r="B4371" s="116"/>
    </row>
    <row r="4372" spans="1:2" x14ac:dyDescent="0.2">
      <c r="A4372" s="102"/>
      <c r="B4372" s="116"/>
    </row>
    <row r="4373" spans="1:2" x14ac:dyDescent="0.2">
      <c r="A4373" s="102"/>
      <c r="B4373" s="116"/>
    </row>
    <row r="4374" spans="1:2" x14ac:dyDescent="0.2">
      <c r="A4374" s="102"/>
      <c r="B4374" s="116"/>
    </row>
    <row r="4375" spans="1:2" x14ac:dyDescent="0.2">
      <c r="A4375" s="102"/>
      <c r="B4375" s="116"/>
    </row>
    <row r="4376" spans="1:2" x14ac:dyDescent="0.2">
      <c r="A4376" s="102"/>
      <c r="B4376" s="116"/>
    </row>
    <row r="4377" spans="1:2" x14ac:dyDescent="0.2">
      <c r="A4377" s="102"/>
      <c r="B4377" s="116"/>
    </row>
    <row r="4378" spans="1:2" x14ac:dyDescent="0.2">
      <c r="A4378" s="102"/>
      <c r="B4378" s="116"/>
    </row>
    <row r="4379" spans="1:2" x14ac:dyDescent="0.2">
      <c r="A4379" s="102"/>
      <c r="B4379" s="116"/>
    </row>
    <row r="4380" spans="1:2" x14ac:dyDescent="0.2">
      <c r="A4380" s="102"/>
      <c r="B4380" s="116"/>
    </row>
    <row r="4381" spans="1:2" x14ac:dyDescent="0.2">
      <c r="A4381" s="102"/>
      <c r="B4381" s="116"/>
    </row>
    <row r="4382" spans="1:2" x14ac:dyDescent="0.2">
      <c r="A4382" s="102"/>
      <c r="B4382" s="116"/>
    </row>
    <row r="4383" spans="1:2" x14ac:dyDescent="0.2">
      <c r="A4383" s="102"/>
      <c r="B4383" s="116"/>
    </row>
    <row r="4384" spans="1:2" x14ac:dyDescent="0.2">
      <c r="A4384" s="102"/>
      <c r="B4384" s="116"/>
    </row>
    <row r="4385" spans="1:2" x14ac:dyDescent="0.2">
      <c r="A4385" s="102"/>
      <c r="B4385" s="116"/>
    </row>
    <row r="4386" spans="1:2" x14ac:dyDescent="0.2">
      <c r="A4386" s="102"/>
      <c r="B4386" s="116"/>
    </row>
    <row r="4387" spans="1:2" x14ac:dyDescent="0.2">
      <c r="A4387" s="102"/>
      <c r="B4387" s="116"/>
    </row>
    <row r="4388" spans="1:2" x14ac:dyDescent="0.2">
      <c r="A4388" s="102"/>
      <c r="B4388" s="116"/>
    </row>
    <row r="4389" spans="1:2" x14ac:dyDescent="0.2">
      <c r="A4389" s="102"/>
      <c r="B4389" s="116"/>
    </row>
    <row r="4390" spans="1:2" x14ac:dyDescent="0.2">
      <c r="A4390" s="102"/>
      <c r="B4390" s="116"/>
    </row>
    <row r="4391" spans="1:2" x14ac:dyDescent="0.2">
      <c r="A4391" s="102"/>
      <c r="B4391" s="116"/>
    </row>
    <row r="4392" spans="1:2" x14ac:dyDescent="0.2">
      <c r="A4392" s="102"/>
      <c r="B4392" s="116"/>
    </row>
    <row r="4393" spans="1:2" x14ac:dyDescent="0.2">
      <c r="A4393" s="102"/>
      <c r="B4393" s="116"/>
    </row>
    <row r="4394" spans="1:2" x14ac:dyDescent="0.2">
      <c r="A4394" s="102"/>
      <c r="B4394" s="116"/>
    </row>
    <row r="4395" spans="1:2" x14ac:dyDescent="0.2">
      <c r="A4395" s="102"/>
      <c r="B4395" s="116"/>
    </row>
    <row r="4396" spans="1:2" x14ac:dyDescent="0.2">
      <c r="A4396" s="102"/>
      <c r="B4396" s="116"/>
    </row>
    <row r="4397" spans="1:2" x14ac:dyDescent="0.2">
      <c r="A4397" s="102"/>
      <c r="B4397" s="116"/>
    </row>
    <row r="4398" spans="1:2" x14ac:dyDescent="0.2">
      <c r="A4398" s="102"/>
      <c r="B4398" s="116"/>
    </row>
    <row r="4399" spans="1:2" x14ac:dyDescent="0.2">
      <c r="A4399" s="102"/>
      <c r="B4399" s="116"/>
    </row>
    <row r="4400" spans="1:2" x14ac:dyDescent="0.2">
      <c r="A4400" s="102"/>
      <c r="B4400" s="116"/>
    </row>
    <row r="4401" spans="1:2" x14ac:dyDescent="0.2">
      <c r="A4401" s="102"/>
      <c r="B4401" s="116"/>
    </row>
    <row r="4402" spans="1:2" x14ac:dyDescent="0.2">
      <c r="A4402" s="102"/>
      <c r="B4402" s="116"/>
    </row>
    <row r="4403" spans="1:2" x14ac:dyDescent="0.2">
      <c r="A4403" s="102"/>
      <c r="B4403" s="116"/>
    </row>
    <row r="4404" spans="1:2" x14ac:dyDescent="0.2">
      <c r="A4404" s="102"/>
      <c r="B4404" s="116"/>
    </row>
    <row r="4405" spans="1:2" x14ac:dyDescent="0.2">
      <c r="A4405" s="102"/>
      <c r="B4405" s="116"/>
    </row>
    <row r="4406" spans="1:2" x14ac:dyDescent="0.2">
      <c r="A4406" s="102"/>
      <c r="B4406" s="116"/>
    </row>
    <row r="4407" spans="1:2" x14ac:dyDescent="0.2">
      <c r="A4407" s="102"/>
      <c r="B4407" s="116"/>
    </row>
    <row r="4408" spans="1:2" x14ac:dyDescent="0.2">
      <c r="A4408" s="102"/>
      <c r="B4408" s="116"/>
    </row>
    <row r="4409" spans="1:2" x14ac:dyDescent="0.2">
      <c r="A4409" s="102"/>
      <c r="B4409" s="116"/>
    </row>
    <row r="4410" spans="1:2" x14ac:dyDescent="0.2">
      <c r="A4410" s="102"/>
      <c r="B4410" s="116"/>
    </row>
    <row r="4411" spans="1:2" x14ac:dyDescent="0.2">
      <c r="A4411" s="102"/>
      <c r="B4411" s="116"/>
    </row>
    <row r="4412" spans="1:2" x14ac:dyDescent="0.2">
      <c r="A4412" s="102"/>
      <c r="B4412" s="116"/>
    </row>
    <row r="4413" spans="1:2" x14ac:dyDescent="0.2">
      <c r="A4413" s="102"/>
      <c r="B4413" s="116"/>
    </row>
    <row r="4414" spans="1:2" x14ac:dyDescent="0.2">
      <c r="A4414" s="102"/>
      <c r="B4414" s="116"/>
    </row>
    <row r="4415" spans="1:2" x14ac:dyDescent="0.2">
      <c r="A4415" s="102"/>
      <c r="B4415" s="116"/>
    </row>
    <row r="4416" spans="1:2" x14ac:dyDescent="0.2">
      <c r="A4416" s="102"/>
      <c r="B4416" s="116"/>
    </row>
    <row r="4417" spans="1:2" x14ac:dyDescent="0.2">
      <c r="A4417" s="102"/>
      <c r="B4417" s="116"/>
    </row>
    <row r="4418" spans="1:2" x14ac:dyDescent="0.2">
      <c r="A4418" s="102"/>
      <c r="B4418" s="116"/>
    </row>
    <row r="4419" spans="1:2" x14ac:dyDescent="0.2">
      <c r="A4419" s="102"/>
      <c r="B4419" s="116"/>
    </row>
    <row r="4420" spans="1:2" x14ac:dyDescent="0.2">
      <c r="A4420" s="102"/>
      <c r="B4420" s="116"/>
    </row>
    <row r="4421" spans="1:2" x14ac:dyDescent="0.2">
      <c r="A4421" s="102"/>
      <c r="B4421" s="116"/>
    </row>
    <row r="4422" spans="1:2" x14ac:dyDescent="0.2">
      <c r="A4422" s="102"/>
      <c r="B4422" s="116"/>
    </row>
    <row r="4423" spans="1:2" x14ac:dyDescent="0.2">
      <c r="A4423" s="102"/>
      <c r="B4423" s="116"/>
    </row>
    <row r="4424" spans="1:2" x14ac:dyDescent="0.2">
      <c r="A4424" s="102"/>
      <c r="B4424" s="116"/>
    </row>
    <row r="4425" spans="1:2" x14ac:dyDescent="0.2">
      <c r="A4425" s="102"/>
      <c r="B4425" s="116"/>
    </row>
    <row r="4426" spans="1:2" x14ac:dyDescent="0.2">
      <c r="A4426" s="102"/>
      <c r="B4426" s="116"/>
    </row>
    <row r="4427" spans="1:2" x14ac:dyDescent="0.2">
      <c r="A4427" s="102"/>
      <c r="B4427" s="116"/>
    </row>
    <row r="4428" spans="1:2" x14ac:dyDescent="0.2">
      <c r="A4428" s="102"/>
      <c r="B4428" s="116"/>
    </row>
    <row r="4429" spans="1:2" x14ac:dyDescent="0.2">
      <c r="A4429" s="102"/>
      <c r="B4429" s="116"/>
    </row>
    <row r="4430" spans="1:2" x14ac:dyDescent="0.2">
      <c r="A4430" s="102"/>
      <c r="B4430" s="116"/>
    </row>
    <row r="4431" spans="1:2" x14ac:dyDescent="0.2">
      <c r="A4431" s="102"/>
      <c r="B4431" s="116"/>
    </row>
    <row r="4432" spans="1:2" x14ac:dyDescent="0.2">
      <c r="A4432" s="102"/>
      <c r="B4432" s="116"/>
    </row>
    <row r="4433" spans="1:2" x14ac:dyDescent="0.2">
      <c r="A4433" s="102"/>
      <c r="B4433" s="116"/>
    </row>
    <row r="4434" spans="1:2" x14ac:dyDescent="0.2">
      <c r="A4434" s="102"/>
      <c r="B4434" s="116"/>
    </row>
    <row r="4435" spans="1:2" x14ac:dyDescent="0.2">
      <c r="A4435" s="102"/>
      <c r="B4435" s="116"/>
    </row>
    <row r="4436" spans="1:2" x14ac:dyDescent="0.2">
      <c r="A4436" s="102"/>
      <c r="B4436" s="116"/>
    </row>
    <row r="4437" spans="1:2" x14ac:dyDescent="0.2">
      <c r="A4437" s="102"/>
      <c r="B4437" s="116"/>
    </row>
    <row r="4438" spans="1:2" x14ac:dyDescent="0.2">
      <c r="A4438" s="102"/>
      <c r="B4438" s="116"/>
    </row>
    <row r="4439" spans="1:2" x14ac:dyDescent="0.2">
      <c r="A4439" s="102"/>
      <c r="B4439" s="116"/>
    </row>
    <row r="4440" spans="1:2" x14ac:dyDescent="0.2">
      <c r="A4440" s="102"/>
      <c r="B4440" s="116"/>
    </row>
    <row r="4441" spans="1:2" x14ac:dyDescent="0.2">
      <c r="A4441" s="102"/>
      <c r="B4441" s="116"/>
    </row>
    <row r="4442" spans="1:2" x14ac:dyDescent="0.2">
      <c r="A4442" s="102"/>
      <c r="B4442" s="116"/>
    </row>
    <row r="4443" spans="1:2" x14ac:dyDescent="0.2">
      <c r="A4443" s="102"/>
      <c r="B4443" s="116"/>
    </row>
    <row r="4444" spans="1:2" x14ac:dyDescent="0.2">
      <c r="A4444" s="102"/>
      <c r="B4444" s="116"/>
    </row>
    <row r="4445" spans="1:2" x14ac:dyDescent="0.2">
      <c r="A4445" s="102"/>
      <c r="B4445" s="116"/>
    </row>
    <row r="4446" spans="1:2" x14ac:dyDescent="0.2">
      <c r="A4446" s="102"/>
      <c r="B4446" s="116"/>
    </row>
    <row r="4447" spans="1:2" x14ac:dyDescent="0.2">
      <c r="A4447" s="102"/>
      <c r="B4447" s="116"/>
    </row>
    <row r="4448" spans="1:2" x14ac:dyDescent="0.2">
      <c r="A4448" s="102"/>
      <c r="B4448" s="116"/>
    </row>
    <row r="4449" spans="1:2" x14ac:dyDescent="0.2">
      <c r="A4449" s="102"/>
      <c r="B4449" s="116"/>
    </row>
    <row r="4450" spans="1:2" x14ac:dyDescent="0.2">
      <c r="A4450" s="102"/>
      <c r="B4450" s="116"/>
    </row>
    <row r="4451" spans="1:2" x14ac:dyDescent="0.2">
      <c r="A4451" s="102"/>
      <c r="B4451" s="116"/>
    </row>
    <row r="4452" spans="1:2" x14ac:dyDescent="0.2">
      <c r="A4452" s="102"/>
      <c r="B4452" s="116"/>
    </row>
    <row r="4453" spans="1:2" x14ac:dyDescent="0.2">
      <c r="A4453" s="102"/>
      <c r="B4453" s="116"/>
    </row>
    <row r="4454" spans="1:2" x14ac:dyDescent="0.2">
      <c r="A4454" s="102"/>
      <c r="B4454" s="116"/>
    </row>
    <row r="4455" spans="1:2" x14ac:dyDescent="0.2">
      <c r="A4455" s="102"/>
      <c r="B4455" s="116"/>
    </row>
    <row r="4456" spans="1:2" x14ac:dyDescent="0.2">
      <c r="A4456" s="102"/>
      <c r="B4456" s="116"/>
    </row>
    <row r="4457" spans="1:2" x14ac:dyDescent="0.2">
      <c r="A4457" s="102"/>
      <c r="B4457" s="116"/>
    </row>
    <row r="4458" spans="1:2" x14ac:dyDescent="0.2">
      <c r="A4458" s="102"/>
      <c r="B4458" s="116"/>
    </row>
    <row r="4459" spans="1:2" x14ac:dyDescent="0.2">
      <c r="A4459" s="102"/>
      <c r="B4459" s="116"/>
    </row>
    <row r="4460" spans="1:2" x14ac:dyDescent="0.2">
      <c r="A4460" s="102"/>
      <c r="B4460" s="116"/>
    </row>
    <row r="4461" spans="1:2" x14ac:dyDescent="0.2">
      <c r="A4461" s="102"/>
      <c r="B4461" s="116"/>
    </row>
    <row r="4462" spans="1:2" x14ac:dyDescent="0.2">
      <c r="A4462" s="102"/>
      <c r="B4462" s="116"/>
    </row>
    <row r="4463" spans="1:2" x14ac:dyDescent="0.2">
      <c r="A4463" s="102"/>
      <c r="B4463" s="116"/>
    </row>
    <row r="4464" spans="1:2" x14ac:dyDescent="0.2">
      <c r="A4464" s="102"/>
      <c r="B4464" s="116"/>
    </row>
    <row r="4465" spans="1:2" x14ac:dyDescent="0.2">
      <c r="A4465" s="102"/>
      <c r="B4465" s="116"/>
    </row>
    <row r="4466" spans="1:2" x14ac:dyDescent="0.2">
      <c r="A4466" s="102"/>
      <c r="B4466" s="116"/>
    </row>
    <row r="4467" spans="1:2" x14ac:dyDescent="0.2">
      <c r="A4467" s="102"/>
      <c r="B4467" s="116"/>
    </row>
    <row r="4468" spans="1:2" x14ac:dyDescent="0.2">
      <c r="A4468" s="102"/>
      <c r="B4468" s="116"/>
    </row>
    <row r="4469" spans="1:2" x14ac:dyDescent="0.2">
      <c r="A4469" s="102"/>
      <c r="B4469" s="116"/>
    </row>
    <row r="4470" spans="1:2" x14ac:dyDescent="0.2">
      <c r="A4470" s="102"/>
      <c r="B4470" s="116"/>
    </row>
    <row r="4471" spans="1:2" x14ac:dyDescent="0.2">
      <c r="A4471" s="102"/>
      <c r="B4471" s="116"/>
    </row>
    <row r="4472" spans="1:2" x14ac:dyDescent="0.2">
      <c r="A4472" s="102"/>
      <c r="B4472" s="116"/>
    </row>
    <row r="4473" spans="1:2" x14ac:dyDescent="0.2">
      <c r="A4473" s="102"/>
      <c r="B4473" s="116"/>
    </row>
    <row r="4474" spans="1:2" x14ac:dyDescent="0.2">
      <c r="A4474" s="102"/>
      <c r="B4474" s="116"/>
    </row>
    <row r="4475" spans="1:2" x14ac:dyDescent="0.2">
      <c r="A4475" s="102"/>
      <c r="B4475" s="116"/>
    </row>
    <row r="4476" spans="1:2" x14ac:dyDescent="0.2">
      <c r="A4476" s="102"/>
      <c r="B4476" s="116"/>
    </row>
    <row r="4477" spans="1:2" x14ac:dyDescent="0.2">
      <c r="A4477" s="102"/>
      <c r="B4477" s="116"/>
    </row>
    <row r="4478" spans="1:2" x14ac:dyDescent="0.2">
      <c r="A4478" s="102"/>
      <c r="B4478" s="116"/>
    </row>
    <row r="4479" spans="1:2" x14ac:dyDescent="0.2">
      <c r="A4479" s="102"/>
      <c r="B4479" s="116"/>
    </row>
    <row r="4480" spans="1:2" x14ac:dyDescent="0.2">
      <c r="A4480" s="102"/>
      <c r="B4480" s="116"/>
    </row>
    <row r="4481" spans="1:2" x14ac:dyDescent="0.2">
      <c r="A4481" s="102"/>
      <c r="B4481" s="116"/>
    </row>
    <row r="4482" spans="1:2" x14ac:dyDescent="0.2">
      <c r="A4482" s="102"/>
      <c r="B4482" s="116"/>
    </row>
    <row r="4483" spans="1:2" x14ac:dyDescent="0.2">
      <c r="A4483" s="102"/>
      <c r="B4483" s="116"/>
    </row>
    <row r="4484" spans="1:2" x14ac:dyDescent="0.2">
      <c r="A4484" s="102"/>
      <c r="B4484" s="116"/>
    </row>
    <row r="4485" spans="1:2" x14ac:dyDescent="0.2">
      <c r="A4485" s="102"/>
      <c r="B4485" s="116"/>
    </row>
    <row r="4486" spans="1:2" x14ac:dyDescent="0.2">
      <c r="A4486" s="102"/>
      <c r="B4486" s="116"/>
    </row>
    <row r="4487" spans="1:2" x14ac:dyDescent="0.2">
      <c r="A4487" s="102"/>
      <c r="B4487" s="116"/>
    </row>
    <row r="4488" spans="1:2" x14ac:dyDescent="0.2">
      <c r="A4488" s="102"/>
      <c r="B4488" s="116"/>
    </row>
    <row r="4489" spans="1:2" x14ac:dyDescent="0.2">
      <c r="A4489" s="102"/>
      <c r="B4489" s="116"/>
    </row>
    <row r="4490" spans="1:2" x14ac:dyDescent="0.2">
      <c r="A4490" s="102"/>
      <c r="B4490" s="116"/>
    </row>
    <row r="4491" spans="1:2" x14ac:dyDescent="0.2">
      <c r="A4491" s="102"/>
      <c r="B4491" s="116"/>
    </row>
    <row r="4492" spans="1:2" x14ac:dyDescent="0.2">
      <c r="A4492" s="102"/>
      <c r="B4492" s="116"/>
    </row>
    <row r="4493" spans="1:2" x14ac:dyDescent="0.2">
      <c r="A4493" s="102"/>
      <c r="B4493" s="116"/>
    </row>
    <row r="4494" spans="1:2" x14ac:dyDescent="0.2">
      <c r="A4494" s="102"/>
      <c r="B4494" s="116"/>
    </row>
    <row r="4495" spans="1:2" x14ac:dyDescent="0.2">
      <c r="A4495" s="102"/>
      <c r="B4495" s="116"/>
    </row>
    <row r="4496" spans="1:2" x14ac:dyDescent="0.2">
      <c r="A4496" s="102"/>
      <c r="B4496" s="116"/>
    </row>
    <row r="4497" spans="1:2" x14ac:dyDescent="0.2">
      <c r="A4497" s="102"/>
      <c r="B4497" s="116"/>
    </row>
    <row r="4498" spans="1:2" x14ac:dyDescent="0.2">
      <c r="A4498" s="102"/>
      <c r="B4498" s="116"/>
    </row>
    <row r="4499" spans="1:2" x14ac:dyDescent="0.2">
      <c r="A4499" s="102"/>
      <c r="B4499" s="116"/>
    </row>
    <row r="4500" spans="1:2" x14ac:dyDescent="0.2">
      <c r="A4500" s="102"/>
      <c r="B4500" s="116"/>
    </row>
    <row r="4501" spans="1:2" x14ac:dyDescent="0.2">
      <c r="A4501" s="102"/>
      <c r="B4501" s="116"/>
    </row>
    <row r="4502" spans="1:2" x14ac:dyDescent="0.2">
      <c r="A4502" s="102"/>
      <c r="B4502" s="116"/>
    </row>
    <row r="4503" spans="1:2" x14ac:dyDescent="0.2">
      <c r="A4503" s="102"/>
      <c r="B4503" s="116"/>
    </row>
    <row r="4504" spans="1:2" x14ac:dyDescent="0.2">
      <c r="A4504" s="102"/>
      <c r="B4504" s="116"/>
    </row>
    <row r="4505" spans="1:2" x14ac:dyDescent="0.2">
      <c r="A4505" s="102"/>
      <c r="B4505" s="116"/>
    </row>
    <row r="4506" spans="1:2" x14ac:dyDescent="0.2">
      <c r="A4506" s="102"/>
      <c r="B4506" s="116"/>
    </row>
    <row r="4507" spans="1:2" x14ac:dyDescent="0.2">
      <c r="A4507" s="102"/>
      <c r="B4507" s="116"/>
    </row>
    <row r="4508" spans="1:2" x14ac:dyDescent="0.2">
      <c r="A4508" s="102"/>
      <c r="B4508" s="116"/>
    </row>
    <row r="4509" spans="1:2" x14ac:dyDescent="0.2">
      <c r="A4509" s="102"/>
      <c r="B4509" s="116"/>
    </row>
    <row r="4510" spans="1:2" x14ac:dyDescent="0.2">
      <c r="A4510" s="102"/>
      <c r="B4510" s="116"/>
    </row>
    <row r="4511" spans="1:2" x14ac:dyDescent="0.2">
      <c r="A4511" s="102"/>
      <c r="B4511" s="116"/>
    </row>
    <row r="4512" spans="1:2" x14ac:dyDescent="0.2">
      <c r="A4512" s="102"/>
      <c r="B4512" s="116"/>
    </row>
    <row r="4513" spans="1:2" x14ac:dyDescent="0.2">
      <c r="A4513" s="102"/>
      <c r="B4513" s="116"/>
    </row>
    <row r="4514" spans="1:2" x14ac:dyDescent="0.2">
      <c r="A4514" s="102"/>
      <c r="B4514" s="116"/>
    </row>
    <row r="4515" spans="1:2" x14ac:dyDescent="0.2">
      <c r="A4515" s="102"/>
      <c r="B4515" s="116"/>
    </row>
    <row r="4516" spans="1:2" x14ac:dyDescent="0.2">
      <c r="A4516" s="102"/>
      <c r="B4516" s="116"/>
    </row>
    <row r="4517" spans="1:2" x14ac:dyDescent="0.2">
      <c r="A4517" s="102"/>
      <c r="B4517" s="116"/>
    </row>
    <row r="4518" spans="1:2" x14ac:dyDescent="0.2">
      <c r="A4518" s="102"/>
      <c r="B4518" s="116"/>
    </row>
    <row r="4519" spans="1:2" x14ac:dyDescent="0.2">
      <c r="A4519" s="102"/>
      <c r="B4519" s="116"/>
    </row>
    <row r="4520" spans="1:2" x14ac:dyDescent="0.2">
      <c r="A4520" s="102"/>
      <c r="B4520" s="116"/>
    </row>
    <row r="4521" spans="1:2" x14ac:dyDescent="0.2">
      <c r="A4521" s="102"/>
      <c r="B4521" s="116"/>
    </row>
    <row r="4522" spans="1:2" x14ac:dyDescent="0.2">
      <c r="A4522" s="102"/>
      <c r="B4522" s="116"/>
    </row>
    <row r="4523" spans="1:2" x14ac:dyDescent="0.2">
      <c r="A4523" s="102"/>
      <c r="B4523" s="116"/>
    </row>
    <row r="4524" spans="1:2" x14ac:dyDescent="0.2">
      <c r="A4524" s="102"/>
      <c r="B4524" s="116"/>
    </row>
    <row r="4525" spans="1:2" x14ac:dyDescent="0.2">
      <c r="A4525" s="102"/>
      <c r="B4525" s="116"/>
    </row>
    <row r="4526" spans="1:2" x14ac:dyDescent="0.2">
      <c r="A4526" s="102"/>
      <c r="B4526" s="116"/>
    </row>
    <row r="4527" spans="1:2" x14ac:dyDescent="0.2">
      <c r="A4527" s="102"/>
      <c r="B4527" s="116"/>
    </row>
    <row r="4528" spans="1:2" x14ac:dyDescent="0.2">
      <c r="A4528" s="102"/>
      <c r="B4528" s="116"/>
    </row>
    <row r="4529" spans="1:2" x14ac:dyDescent="0.2">
      <c r="A4529" s="102"/>
      <c r="B4529" s="116"/>
    </row>
    <row r="4530" spans="1:2" x14ac:dyDescent="0.2">
      <c r="A4530" s="102"/>
      <c r="B4530" s="116"/>
    </row>
    <row r="4531" spans="1:2" x14ac:dyDescent="0.2">
      <c r="A4531" s="102"/>
      <c r="B4531" s="116"/>
    </row>
    <row r="4532" spans="1:2" x14ac:dyDescent="0.2">
      <c r="A4532" s="102"/>
      <c r="B4532" s="116"/>
    </row>
    <row r="4533" spans="1:2" x14ac:dyDescent="0.2">
      <c r="A4533" s="102"/>
      <c r="B4533" s="116"/>
    </row>
    <row r="4534" spans="1:2" x14ac:dyDescent="0.2">
      <c r="A4534" s="102"/>
      <c r="B4534" s="116"/>
    </row>
    <row r="4535" spans="1:2" x14ac:dyDescent="0.2">
      <c r="A4535" s="102"/>
      <c r="B4535" s="116"/>
    </row>
    <row r="4536" spans="1:2" x14ac:dyDescent="0.2">
      <c r="A4536" s="102"/>
      <c r="B4536" s="116"/>
    </row>
    <row r="4537" spans="1:2" x14ac:dyDescent="0.2">
      <c r="A4537" s="102"/>
      <c r="B4537" s="116"/>
    </row>
    <row r="4538" spans="1:2" x14ac:dyDescent="0.2">
      <c r="A4538" s="102"/>
      <c r="B4538" s="116"/>
    </row>
    <row r="4539" spans="1:2" x14ac:dyDescent="0.2">
      <c r="A4539" s="102"/>
      <c r="B4539" s="116"/>
    </row>
    <row r="4540" spans="1:2" x14ac:dyDescent="0.2">
      <c r="A4540" s="102"/>
      <c r="B4540" s="116"/>
    </row>
    <row r="4541" spans="1:2" x14ac:dyDescent="0.2">
      <c r="A4541" s="102"/>
      <c r="B4541" s="116"/>
    </row>
    <row r="4542" spans="1:2" x14ac:dyDescent="0.2">
      <c r="A4542" s="102"/>
      <c r="B4542" s="116"/>
    </row>
    <row r="4543" spans="1:2" x14ac:dyDescent="0.2">
      <c r="A4543" s="102"/>
      <c r="B4543" s="116"/>
    </row>
    <row r="4544" spans="1:2" x14ac:dyDescent="0.2">
      <c r="A4544" s="102"/>
      <c r="B4544" s="116"/>
    </row>
    <row r="4545" spans="1:2" x14ac:dyDescent="0.2">
      <c r="A4545" s="102"/>
      <c r="B4545" s="116"/>
    </row>
    <row r="4546" spans="1:2" x14ac:dyDescent="0.2">
      <c r="A4546" s="102"/>
      <c r="B4546" s="116"/>
    </row>
    <row r="4547" spans="1:2" x14ac:dyDescent="0.2">
      <c r="A4547" s="102"/>
      <c r="B4547" s="116"/>
    </row>
    <row r="4548" spans="1:2" x14ac:dyDescent="0.2">
      <c r="A4548" s="102"/>
      <c r="B4548" s="116"/>
    </row>
    <row r="4549" spans="1:2" x14ac:dyDescent="0.2">
      <c r="A4549" s="102"/>
      <c r="B4549" s="116"/>
    </row>
    <row r="4550" spans="1:2" x14ac:dyDescent="0.2">
      <c r="A4550" s="102"/>
      <c r="B4550" s="116"/>
    </row>
    <row r="4551" spans="1:2" x14ac:dyDescent="0.2">
      <c r="A4551" s="102"/>
      <c r="B4551" s="116"/>
    </row>
    <row r="4552" spans="1:2" x14ac:dyDescent="0.2">
      <c r="A4552" s="102"/>
      <c r="B4552" s="116"/>
    </row>
    <row r="4553" spans="1:2" x14ac:dyDescent="0.2">
      <c r="A4553" s="102"/>
      <c r="B4553" s="116"/>
    </row>
    <row r="4554" spans="1:2" x14ac:dyDescent="0.2">
      <c r="A4554" s="102"/>
      <c r="B4554" s="116"/>
    </row>
    <row r="4555" spans="1:2" x14ac:dyDescent="0.2">
      <c r="A4555" s="102"/>
      <c r="B4555" s="116"/>
    </row>
    <row r="4556" spans="1:2" x14ac:dyDescent="0.2">
      <c r="A4556" s="102"/>
      <c r="B4556" s="116"/>
    </row>
    <row r="4557" spans="1:2" x14ac:dyDescent="0.2">
      <c r="A4557" s="102"/>
      <c r="B4557" s="116"/>
    </row>
    <row r="4558" spans="1:2" x14ac:dyDescent="0.2">
      <c r="A4558" s="102"/>
      <c r="B4558" s="116"/>
    </row>
    <row r="4559" spans="1:2" x14ac:dyDescent="0.2">
      <c r="A4559" s="102"/>
      <c r="B4559" s="116"/>
    </row>
    <row r="4560" spans="1:2" x14ac:dyDescent="0.2">
      <c r="A4560" s="102"/>
      <c r="B4560" s="116"/>
    </row>
    <row r="4561" spans="1:2" x14ac:dyDescent="0.2">
      <c r="A4561" s="102"/>
      <c r="B4561" s="116"/>
    </row>
    <row r="4562" spans="1:2" x14ac:dyDescent="0.2">
      <c r="A4562" s="102"/>
      <c r="B4562" s="116"/>
    </row>
    <row r="4563" spans="1:2" x14ac:dyDescent="0.2">
      <c r="A4563" s="102"/>
      <c r="B4563" s="116"/>
    </row>
    <row r="4564" spans="1:2" x14ac:dyDescent="0.2">
      <c r="A4564" s="102"/>
      <c r="B4564" s="116"/>
    </row>
    <row r="4565" spans="1:2" x14ac:dyDescent="0.2">
      <c r="A4565" s="102"/>
      <c r="B4565" s="116"/>
    </row>
    <row r="4566" spans="1:2" x14ac:dyDescent="0.2">
      <c r="A4566" s="102"/>
      <c r="B4566" s="116"/>
    </row>
    <row r="4567" spans="1:2" x14ac:dyDescent="0.2">
      <c r="A4567" s="102"/>
      <c r="B4567" s="116"/>
    </row>
    <row r="4568" spans="1:2" x14ac:dyDescent="0.2">
      <c r="A4568" s="102"/>
      <c r="B4568" s="116"/>
    </row>
    <row r="4569" spans="1:2" x14ac:dyDescent="0.2">
      <c r="A4569" s="102"/>
      <c r="B4569" s="116"/>
    </row>
    <row r="4570" spans="1:2" x14ac:dyDescent="0.2">
      <c r="A4570" s="102"/>
      <c r="B4570" s="116"/>
    </row>
    <row r="4571" spans="1:2" x14ac:dyDescent="0.2">
      <c r="A4571" s="102"/>
      <c r="B4571" s="116"/>
    </row>
    <row r="4572" spans="1:2" x14ac:dyDescent="0.2">
      <c r="A4572" s="102"/>
      <c r="B4572" s="116"/>
    </row>
    <row r="4573" spans="1:2" x14ac:dyDescent="0.2">
      <c r="A4573" s="102"/>
      <c r="B4573" s="116"/>
    </row>
    <row r="4574" spans="1:2" x14ac:dyDescent="0.2">
      <c r="A4574" s="102"/>
      <c r="B4574" s="116"/>
    </row>
    <row r="4575" spans="1:2" x14ac:dyDescent="0.2">
      <c r="A4575" s="102"/>
      <c r="B4575" s="116"/>
    </row>
    <row r="4576" spans="1:2" x14ac:dyDescent="0.2">
      <c r="A4576" s="102"/>
      <c r="B4576" s="116"/>
    </row>
    <row r="4577" spans="1:2" x14ac:dyDescent="0.2">
      <c r="A4577" s="102"/>
      <c r="B4577" s="116"/>
    </row>
    <row r="4578" spans="1:2" x14ac:dyDescent="0.2">
      <c r="A4578" s="102"/>
      <c r="B4578" s="116"/>
    </row>
    <row r="4579" spans="1:2" x14ac:dyDescent="0.2">
      <c r="A4579" s="102"/>
      <c r="B4579" s="116"/>
    </row>
    <row r="4580" spans="1:2" x14ac:dyDescent="0.2">
      <c r="A4580" s="102"/>
      <c r="B4580" s="116"/>
    </row>
    <row r="4581" spans="1:2" x14ac:dyDescent="0.2">
      <c r="A4581" s="102"/>
      <c r="B4581" s="116"/>
    </row>
    <row r="4582" spans="1:2" x14ac:dyDescent="0.2">
      <c r="A4582" s="102"/>
      <c r="B4582" s="116"/>
    </row>
    <row r="4583" spans="1:2" x14ac:dyDescent="0.2">
      <c r="A4583" s="102"/>
      <c r="B4583" s="116"/>
    </row>
    <row r="4584" spans="1:2" x14ac:dyDescent="0.2">
      <c r="A4584" s="102"/>
      <c r="B4584" s="116"/>
    </row>
    <row r="4585" spans="1:2" x14ac:dyDescent="0.2">
      <c r="A4585" s="102"/>
      <c r="B4585" s="116"/>
    </row>
    <row r="4586" spans="1:2" x14ac:dyDescent="0.2">
      <c r="A4586" s="102"/>
      <c r="B4586" s="116"/>
    </row>
    <row r="4587" spans="1:2" x14ac:dyDescent="0.2">
      <c r="A4587" s="102"/>
      <c r="B4587" s="116"/>
    </row>
    <row r="4588" spans="1:2" x14ac:dyDescent="0.2">
      <c r="A4588" s="102"/>
      <c r="B4588" s="116"/>
    </row>
    <row r="4589" spans="1:2" x14ac:dyDescent="0.2">
      <c r="A4589" s="102"/>
      <c r="B4589" s="116"/>
    </row>
    <row r="4590" spans="1:2" x14ac:dyDescent="0.2">
      <c r="A4590" s="102"/>
      <c r="B4590" s="116"/>
    </row>
    <row r="4591" spans="1:2" x14ac:dyDescent="0.2">
      <c r="A4591" s="102"/>
      <c r="B4591" s="116"/>
    </row>
    <row r="4592" spans="1:2" x14ac:dyDescent="0.2">
      <c r="A4592" s="102"/>
      <c r="B4592" s="116"/>
    </row>
    <row r="4593" spans="1:2" x14ac:dyDescent="0.2">
      <c r="A4593" s="102"/>
      <c r="B4593" s="116"/>
    </row>
    <row r="4594" spans="1:2" x14ac:dyDescent="0.2">
      <c r="A4594" s="102"/>
      <c r="B4594" s="116"/>
    </row>
    <row r="4595" spans="1:2" x14ac:dyDescent="0.2">
      <c r="A4595" s="102"/>
      <c r="B4595" s="116"/>
    </row>
    <row r="4596" spans="1:2" x14ac:dyDescent="0.2">
      <c r="A4596" s="102"/>
      <c r="B4596" s="116"/>
    </row>
    <row r="4597" spans="1:2" x14ac:dyDescent="0.2">
      <c r="A4597" s="102"/>
      <c r="B4597" s="116"/>
    </row>
    <row r="4598" spans="1:2" x14ac:dyDescent="0.2">
      <c r="A4598" s="102"/>
      <c r="B4598" s="116"/>
    </row>
    <row r="4599" spans="1:2" x14ac:dyDescent="0.2">
      <c r="A4599" s="102"/>
      <c r="B4599" s="116"/>
    </row>
    <row r="4600" spans="1:2" x14ac:dyDescent="0.2">
      <c r="A4600" s="102"/>
      <c r="B4600" s="116"/>
    </row>
    <row r="4601" spans="1:2" x14ac:dyDescent="0.2">
      <c r="A4601" s="102"/>
      <c r="B4601" s="116"/>
    </row>
    <row r="4602" spans="1:2" x14ac:dyDescent="0.2">
      <c r="A4602" s="102"/>
      <c r="B4602" s="116"/>
    </row>
    <row r="4603" spans="1:2" x14ac:dyDescent="0.2">
      <c r="A4603" s="102"/>
      <c r="B4603" s="116"/>
    </row>
    <row r="4604" spans="1:2" x14ac:dyDescent="0.2">
      <c r="A4604" s="102"/>
      <c r="B4604" s="116"/>
    </row>
    <row r="4605" spans="1:2" x14ac:dyDescent="0.2">
      <c r="A4605" s="102"/>
      <c r="B4605" s="116"/>
    </row>
    <row r="4606" spans="1:2" x14ac:dyDescent="0.2">
      <c r="A4606" s="102"/>
      <c r="B4606" s="116"/>
    </row>
    <row r="4607" spans="1:2" x14ac:dyDescent="0.2">
      <c r="A4607" s="102"/>
      <c r="B4607" s="116"/>
    </row>
    <row r="4608" spans="1:2" x14ac:dyDescent="0.2">
      <c r="A4608" s="102"/>
      <c r="B4608" s="116"/>
    </row>
    <row r="4609" spans="1:2" x14ac:dyDescent="0.2">
      <c r="A4609" s="102"/>
      <c r="B4609" s="116"/>
    </row>
    <row r="4610" spans="1:2" x14ac:dyDescent="0.2">
      <c r="A4610" s="102"/>
      <c r="B4610" s="116"/>
    </row>
    <row r="4611" spans="1:2" x14ac:dyDescent="0.2">
      <c r="A4611" s="102"/>
      <c r="B4611" s="116"/>
    </row>
    <row r="4612" spans="1:2" x14ac:dyDescent="0.2">
      <c r="A4612" s="102"/>
      <c r="B4612" s="116"/>
    </row>
    <row r="4613" spans="1:2" x14ac:dyDescent="0.2">
      <c r="A4613" s="102"/>
      <c r="B4613" s="116"/>
    </row>
    <row r="4614" spans="1:2" x14ac:dyDescent="0.2">
      <c r="A4614" s="102"/>
      <c r="B4614" s="116"/>
    </row>
    <row r="4615" spans="1:2" x14ac:dyDescent="0.2">
      <c r="A4615" s="102"/>
      <c r="B4615" s="116"/>
    </row>
    <row r="4616" spans="1:2" x14ac:dyDescent="0.2">
      <c r="A4616" s="102"/>
      <c r="B4616" s="116"/>
    </row>
    <row r="4617" spans="1:2" x14ac:dyDescent="0.2">
      <c r="A4617" s="102"/>
      <c r="B4617" s="116"/>
    </row>
    <row r="4618" spans="1:2" x14ac:dyDescent="0.2">
      <c r="A4618" s="102"/>
      <c r="B4618" s="116"/>
    </row>
    <row r="4619" spans="1:2" x14ac:dyDescent="0.2">
      <c r="A4619" s="102"/>
      <c r="B4619" s="116"/>
    </row>
    <row r="4620" spans="1:2" x14ac:dyDescent="0.2">
      <c r="A4620" s="102"/>
      <c r="B4620" s="116"/>
    </row>
    <row r="4621" spans="1:2" x14ac:dyDescent="0.2">
      <c r="A4621" s="102"/>
      <c r="B4621" s="116"/>
    </row>
    <row r="4622" spans="1:2" x14ac:dyDescent="0.2">
      <c r="A4622" s="102"/>
      <c r="B4622" s="116"/>
    </row>
    <row r="4623" spans="1:2" x14ac:dyDescent="0.2">
      <c r="A4623" s="102"/>
      <c r="B4623" s="116"/>
    </row>
    <row r="4624" spans="1:2" x14ac:dyDescent="0.2">
      <c r="A4624" s="102"/>
      <c r="B4624" s="116"/>
    </row>
    <row r="4625" spans="1:2" x14ac:dyDescent="0.2">
      <c r="A4625" s="102"/>
      <c r="B4625" s="116"/>
    </row>
    <row r="4626" spans="1:2" x14ac:dyDescent="0.2">
      <c r="A4626" s="102"/>
      <c r="B4626" s="116"/>
    </row>
    <row r="4627" spans="1:2" x14ac:dyDescent="0.2">
      <c r="A4627" s="102"/>
      <c r="B4627" s="116"/>
    </row>
    <row r="4628" spans="1:2" x14ac:dyDescent="0.2">
      <c r="A4628" s="102"/>
      <c r="B4628" s="116"/>
    </row>
    <row r="4629" spans="1:2" x14ac:dyDescent="0.2">
      <c r="A4629" s="102"/>
      <c r="B4629" s="116"/>
    </row>
    <row r="4630" spans="1:2" x14ac:dyDescent="0.2">
      <c r="A4630" s="102"/>
      <c r="B4630" s="116"/>
    </row>
    <row r="4631" spans="1:2" x14ac:dyDescent="0.2">
      <c r="A4631" s="102"/>
      <c r="B4631" s="116"/>
    </row>
    <row r="4632" spans="1:2" x14ac:dyDescent="0.2">
      <c r="A4632" s="102"/>
      <c r="B4632" s="116"/>
    </row>
    <row r="4633" spans="1:2" x14ac:dyDescent="0.2">
      <c r="A4633" s="102"/>
      <c r="B4633" s="116"/>
    </row>
    <row r="4634" spans="1:2" x14ac:dyDescent="0.2">
      <c r="A4634" s="102"/>
      <c r="B4634" s="116"/>
    </row>
    <row r="4635" spans="1:2" x14ac:dyDescent="0.2">
      <c r="A4635" s="102"/>
      <c r="B4635" s="116"/>
    </row>
    <row r="4636" spans="1:2" x14ac:dyDescent="0.2">
      <c r="A4636" s="102"/>
      <c r="B4636" s="116"/>
    </row>
    <row r="4637" spans="1:2" x14ac:dyDescent="0.2">
      <c r="A4637" s="102"/>
      <c r="B4637" s="116"/>
    </row>
    <row r="4638" spans="1:2" x14ac:dyDescent="0.2">
      <c r="A4638" s="102"/>
      <c r="B4638" s="116"/>
    </row>
    <row r="4639" spans="1:2" x14ac:dyDescent="0.2">
      <c r="A4639" s="102"/>
      <c r="B4639" s="116"/>
    </row>
    <row r="4640" spans="1:2" x14ac:dyDescent="0.2">
      <c r="A4640" s="102"/>
      <c r="B4640" s="116"/>
    </row>
    <row r="4641" spans="1:2" x14ac:dyDescent="0.2">
      <c r="A4641" s="102"/>
      <c r="B4641" s="116"/>
    </row>
    <row r="4642" spans="1:2" x14ac:dyDescent="0.2">
      <c r="A4642" s="102"/>
      <c r="B4642" s="116"/>
    </row>
    <row r="4643" spans="1:2" x14ac:dyDescent="0.2">
      <c r="A4643" s="102"/>
      <c r="B4643" s="116"/>
    </row>
    <row r="4644" spans="1:2" x14ac:dyDescent="0.2">
      <c r="A4644" s="102"/>
      <c r="B4644" s="116"/>
    </row>
    <row r="4645" spans="1:2" x14ac:dyDescent="0.2">
      <c r="A4645" s="102"/>
      <c r="B4645" s="116"/>
    </row>
    <row r="4646" spans="1:2" x14ac:dyDescent="0.2">
      <c r="A4646" s="102"/>
      <c r="B4646" s="116"/>
    </row>
    <row r="4647" spans="1:2" x14ac:dyDescent="0.2">
      <c r="A4647" s="102"/>
      <c r="B4647" s="116"/>
    </row>
    <row r="4648" spans="1:2" x14ac:dyDescent="0.2">
      <c r="A4648" s="102"/>
      <c r="B4648" s="116"/>
    </row>
    <row r="4649" spans="1:2" x14ac:dyDescent="0.2">
      <c r="A4649" s="102"/>
      <c r="B4649" s="116"/>
    </row>
    <row r="4650" spans="1:2" x14ac:dyDescent="0.2">
      <c r="A4650" s="102"/>
      <c r="B4650" s="116"/>
    </row>
    <row r="4651" spans="1:2" x14ac:dyDescent="0.2">
      <c r="A4651" s="102"/>
      <c r="B4651" s="116"/>
    </row>
    <row r="4652" spans="1:2" x14ac:dyDescent="0.2">
      <c r="A4652" s="102"/>
      <c r="B4652" s="116"/>
    </row>
    <row r="4653" spans="1:2" x14ac:dyDescent="0.2">
      <c r="A4653" s="102"/>
      <c r="B4653" s="116"/>
    </row>
    <row r="4654" spans="1:2" x14ac:dyDescent="0.2">
      <c r="A4654" s="102"/>
      <c r="B4654" s="116"/>
    </row>
    <row r="4655" spans="1:2" x14ac:dyDescent="0.2">
      <c r="A4655" s="102"/>
      <c r="B4655" s="116"/>
    </row>
    <row r="4656" spans="1:2" x14ac:dyDescent="0.2">
      <c r="A4656" s="102"/>
      <c r="B4656" s="116"/>
    </row>
    <row r="4657" spans="1:2" x14ac:dyDescent="0.2">
      <c r="A4657" s="102"/>
      <c r="B4657" s="116"/>
    </row>
    <row r="4658" spans="1:2" x14ac:dyDescent="0.2">
      <c r="A4658" s="102"/>
      <c r="B4658" s="116"/>
    </row>
    <row r="4659" spans="1:2" x14ac:dyDescent="0.2">
      <c r="A4659" s="102"/>
      <c r="B4659" s="116"/>
    </row>
    <row r="4660" spans="1:2" x14ac:dyDescent="0.2">
      <c r="A4660" s="102"/>
      <c r="B4660" s="116"/>
    </row>
    <row r="4661" spans="1:2" x14ac:dyDescent="0.2">
      <c r="A4661" s="102"/>
      <c r="B4661" s="116"/>
    </row>
    <row r="4662" spans="1:2" x14ac:dyDescent="0.2">
      <c r="A4662" s="102"/>
      <c r="B4662" s="116"/>
    </row>
    <row r="4663" spans="1:2" x14ac:dyDescent="0.2">
      <c r="A4663" s="102"/>
      <c r="B4663" s="116"/>
    </row>
    <row r="4664" spans="1:2" x14ac:dyDescent="0.2">
      <c r="A4664" s="102"/>
      <c r="B4664" s="116"/>
    </row>
    <row r="4665" spans="1:2" x14ac:dyDescent="0.2">
      <c r="A4665" s="102"/>
      <c r="B4665" s="116"/>
    </row>
    <row r="4666" spans="1:2" x14ac:dyDescent="0.2">
      <c r="A4666" s="102"/>
      <c r="B4666" s="116"/>
    </row>
    <row r="4667" spans="1:2" x14ac:dyDescent="0.2">
      <c r="A4667" s="102"/>
      <c r="B4667" s="116"/>
    </row>
    <row r="4668" spans="1:2" x14ac:dyDescent="0.2">
      <c r="A4668" s="102"/>
      <c r="B4668" s="116"/>
    </row>
    <row r="4669" spans="1:2" x14ac:dyDescent="0.2">
      <c r="A4669" s="102"/>
      <c r="B4669" s="116"/>
    </row>
    <row r="4670" spans="1:2" x14ac:dyDescent="0.2">
      <c r="A4670" s="102"/>
      <c r="B4670" s="116"/>
    </row>
    <row r="4671" spans="1:2" x14ac:dyDescent="0.2">
      <c r="A4671" s="102"/>
      <c r="B4671" s="116"/>
    </row>
    <row r="4672" spans="1:2" x14ac:dyDescent="0.2">
      <c r="A4672" s="102"/>
      <c r="B4672" s="116"/>
    </row>
    <row r="4673" spans="1:2" x14ac:dyDescent="0.2">
      <c r="A4673" s="102"/>
      <c r="B4673" s="116"/>
    </row>
    <row r="4674" spans="1:2" x14ac:dyDescent="0.2">
      <c r="A4674" s="102"/>
      <c r="B4674" s="116"/>
    </row>
    <row r="4675" spans="1:2" x14ac:dyDescent="0.2">
      <c r="A4675" s="102"/>
      <c r="B4675" s="116"/>
    </row>
    <row r="4676" spans="1:2" x14ac:dyDescent="0.2">
      <c r="A4676" s="102"/>
      <c r="B4676" s="116"/>
    </row>
    <row r="4677" spans="1:2" x14ac:dyDescent="0.2">
      <c r="A4677" s="102"/>
      <c r="B4677" s="116"/>
    </row>
    <row r="4678" spans="1:2" x14ac:dyDescent="0.2">
      <c r="A4678" s="102"/>
      <c r="B4678" s="116"/>
    </row>
    <row r="4679" spans="1:2" x14ac:dyDescent="0.2">
      <c r="A4679" s="102"/>
      <c r="B4679" s="116"/>
    </row>
    <row r="4680" spans="1:2" x14ac:dyDescent="0.2">
      <c r="A4680" s="102"/>
      <c r="B4680" s="116"/>
    </row>
    <row r="4681" spans="1:2" x14ac:dyDescent="0.2">
      <c r="A4681" s="102"/>
      <c r="B4681" s="116"/>
    </row>
    <row r="4682" spans="1:2" x14ac:dyDescent="0.2">
      <c r="A4682" s="102"/>
      <c r="B4682" s="116"/>
    </row>
    <row r="4683" spans="1:2" x14ac:dyDescent="0.2">
      <c r="A4683" s="102"/>
      <c r="B4683" s="116"/>
    </row>
    <row r="4684" spans="1:2" x14ac:dyDescent="0.2">
      <c r="A4684" s="102"/>
      <c r="B4684" s="116"/>
    </row>
    <row r="4685" spans="1:2" x14ac:dyDescent="0.2">
      <c r="A4685" s="102"/>
      <c r="B4685" s="116"/>
    </row>
    <row r="4686" spans="1:2" x14ac:dyDescent="0.2">
      <c r="A4686" s="102"/>
      <c r="B4686" s="116"/>
    </row>
    <row r="4687" spans="1:2" x14ac:dyDescent="0.2">
      <c r="A4687" s="102"/>
      <c r="B4687" s="116"/>
    </row>
    <row r="4688" spans="1:2" x14ac:dyDescent="0.2">
      <c r="A4688" s="102"/>
      <c r="B4688" s="116"/>
    </row>
    <row r="4689" spans="1:2" x14ac:dyDescent="0.2">
      <c r="A4689" s="102"/>
      <c r="B4689" s="116"/>
    </row>
    <row r="4690" spans="1:2" x14ac:dyDescent="0.2">
      <c r="A4690" s="102"/>
      <c r="B4690" s="116"/>
    </row>
    <row r="4691" spans="1:2" x14ac:dyDescent="0.2">
      <c r="A4691" s="102"/>
      <c r="B4691" s="116"/>
    </row>
    <row r="4692" spans="1:2" x14ac:dyDescent="0.2">
      <c r="A4692" s="102"/>
      <c r="B4692" s="116"/>
    </row>
    <row r="4693" spans="1:2" x14ac:dyDescent="0.2">
      <c r="A4693" s="102"/>
      <c r="B4693" s="116"/>
    </row>
    <row r="4694" spans="1:2" x14ac:dyDescent="0.2">
      <c r="A4694" s="102"/>
      <c r="B4694" s="116"/>
    </row>
    <row r="4695" spans="1:2" x14ac:dyDescent="0.2">
      <c r="A4695" s="102"/>
      <c r="B4695" s="116"/>
    </row>
    <row r="4696" spans="1:2" x14ac:dyDescent="0.2">
      <c r="A4696" s="102"/>
      <c r="B4696" s="116"/>
    </row>
    <row r="4697" spans="1:2" x14ac:dyDescent="0.2">
      <c r="A4697" s="102"/>
      <c r="B4697" s="116"/>
    </row>
    <row r="4698" spans="1:2" x14ac:dyDescent="0.2">
      <c r="A4698" s="102"/>
      <c r="B4698" s="116"/>
    </row>
    <row r="4699" spans="1:2" x14ac:dyDescent="0.2">
      <c r="A4699" s="102"/>
      <c r="B4699" s="116"/>
    </row>
    <row r="4700" spans="1:2" x14ac:dyDescent="0.2">
      <c r="A4700" s="102"/>
      <c r="B4700" s="116"/>
    </row>
    <row r="4701" spans="1:2" x14ac:dyDescent="0.2">
      <c r="A4701" s="102"/>
      <c r="B4701" s="116"/>
    </row>
    <row r="4702" spans="1:2" x14ac:dyDescent="0.2">
      <c r="A4702" s="102"/>
      <c r="B4702" s="116"/>
    </row>
    <row r="4703" spans="1:2" x14ac:dyDescent="0.2">
      <c r="A4703" s="102"/>
      <c r="B4703" s="116"/>
    </row>
    <row r="4704" spans="1:2" x14ac:dyDescent="0.2">
      <c r="A4704" s="102"/>
      <c r="B4704" s="116"/>
    </row>
    <row r="4705" spans="1:2" x14ac:dyDescent="0.2">
      <c r="A4705" s="102"/>
      <c r="B4705" s="116"/>
    </row>
    <row r="4706" spans="1:2" x14ac:dyDescent="0.2">
      <c r="A4706" s="102"/>
      <c r="B4706" s="116"/>
    </row>
    <row r="4707" spans="1:2" x14ac:dyDescent="0.2">
      <c r="A4707" s="102"/>
      <c r="B4707" s="116"/>
    </row>
    <row r="4708" spans="1:2" x14ac:dyDescent="0.2">
      <c r="A4708" s="102"/>
      <c r="B4708" s="116"/>
    </row>
    <row r="4709" spans="1:2" x14ac:dyDescent="0.2">
      <c r="A4709" s="102"/>
      <c r="B4709" s="116"/>
    </row>
    <row r="4710" spans="1:2" x14ac:dyDescent="0.2">
      <c r="A4710" s="102"/>
      <c r="B4710" s="116"/>
    </row>
    <row r="4711" spans="1:2" x14ac:dyDescent="0.2">
      <c r="A4711" s="102"/>
      <c r="B4711" s="116"/>
    </row>
    <row r="4712" spans="1:2" x14ac:dyDescent="0.2">
      <c r="A4712" s="102"/>
      <c r="B4712" s="116"/>
    </row>
    <row r="4713" spans="1:2" x14ac:dyDescent="0.2">
      <c r="A4713" s="102"/>
      <c r="B4713" s="116"/>
    </row>
    <row r="4714" spans="1:2" x14ac:dyDescent="0.2">
      <c r="A4714" s="102"/>
      <c r="B4714" s="116"/>
    </row>
    <row r="4715" spans="1:2" x14ac:dyDescent="0.2">
      <c r="A4715" s="102"/>
      <c r="B4715" s="116"/>
    </row>
    <row r="4716" spans="1:2" x14ac:dyDescent="0.2">
      <c r="A4716" s="102"/>
      <c r="B4716" s="116"/>
    </row>
    <row r="4717" spans="1:2" x14ac:dyDescent="0.2">
      <c r="A4717" s="102"/>
      <c r="B4717" s="116"/>
    </row>
    <row r="4718" spans="1:2" x14ac:dyDescent="0.2">
      <c r="A4718" s="102"/>
      <c r="B4718" s="116"/>
    </row>
    <row r="4719" spans="1:2" x14ac:dyDescent="0.2">
      <c r="A4719" s="102"/>
      <c r="B4719" s="116"/>
    </row>
    <row r="4720" spans="1:2" x14ac:dyDescent="0.2">
      <c r="A4720" s="102"/>
      <c r="B4720" s="116"/>
    </row>
    <row r="4721" spans="1:2" x14ac:dyDescent="0.2">
      <c r="A4721" s="102"/>
      <c r="B4721" s="116"/>
    </row>
    <row r="4722" spans="1:2" x14ac:dyDescent="0.2">
      <c r="A4722" s="102"/>
      <c r="B4722" s="116"/>
    </row>
    <row r="4723" spans="1:2" x14ac:dyDescent="0.2">
      <c r="A4723" s="102"/>
      <c r="B4723" s="116"/>
    </row>
    <row r="4724" spans="1:2" x14ac:dyDescent="0.2">
      <c r="A4724" s="102"/>
      <c r="B4724" s="116"/>
    </row>
    <row r="4725" spans="1:2" x14ac:dyDescent="0.2">
      <c r="A4725" s="102"/>
      <c r="B4725" s="116"/>
    </row>
    <row r="4726" spans="1:2" x14ac:dyDescent="0.2">
      <c r="A4726" s="102"/>
      <c r="B4726" s="116"/>
    </row>
    <row r="4727" spans="1:2" x14ac:dyDescent="0.2">
      <c r="A4727" s="102"/>
      <c r="B4727" s="116"/>
    </row>
    <row r="4728" spans="1:2" x14ac:dyDescent="0.2">
      <c r="A4728" s="102"/>
      <c r="B4728" s="116"/>
    </row>
    <row r="4729" spans="1:2" x14ac:dyDescent="0.2">
      <c r="A4729" s="102"/>
      <c r="B4729" s="116"/>
    </row>
    <row r="4730" spans="1:2" x14ac:dyDescent="0.2">
      <c r="A4730" s="102"/>
      <c r="B4730" s="116"/>
    </row>
    <row r="4731" spans="1:2" x14ac:dyDescent="0.2">
      <c r="A4731" s="102"/>
      <c r="B4731" s="116"/>
    </row>
    <row r="4732" spans="1:2" x14ac:dyDescent="0.2">
      <c r="A4732" s="102"/>
      <c r="B4732" s="116"/>
    </row>
    <row r="4733" spans="1:2" x14ac:dyDescent="0.2">
      <c r="A4733" s="102"/>
      <c r="B4733" s="116"/>
    </row>
    <row r="4734" spans="1:2" x14ac:dyDescent="0.2">
      <c r="A4734" s="102"/>
      <c r="B4734" s="116"/>
    </row>
    <row r="4735" spans="1:2" x14ac:dyDescent="0.2">
      <c r="A4735" s="102"/>
      <c r="B4735" s="116"/>
    </row>
    <row r="4736" spans="1:2" x14ac:dyDescent="0.2">
      <c r="A4736" s="102"/>
      <c r="B4736" s="116"/>
    </row>
    <row r="4737" spans="1:2" x14ac:dyDescent="0.2">
      <c r="A4737" s="102"/>
      <c r="B4737" s="116"/>
    </row>
    <row r="4738" spans="1:2" x14ac:dyDescent="0.2">
      <c r="A4738" s="102"/>
      <c r="B4738" s="116"/>
    </row>
    <row r="4739" spans="1:2" x14ac:dyDescent="0.2">
      <c r="A4739" s="102"/>
      <c r="B4739" s="116"/>
    </row>
    <row r="4740" spans="1:2" x14ac:dyDescent="0.2">
      <c r="A4740" s="102"/>
      <c r="B4740" s="116"/>
    </row>
    <row r="4741" spans="1:2" x14ac:dyDescent="0.2">
      <c r="A4741" s="102"/>
      <c r="B4741" s="116"/>
    </row>
    <row r="4742" spans="1:2" x14ac:dyDescent="0.2">
      <c r="A4742" s="102"/>
      <c r="B4742" s="116"/>
    </row>
    <row r="4743" spans="1:2" x14ac:dyDescent="0.2">
      <c r="A4743" s="102"/>
      <c r="B4743" s="116"/>
    </row>
    <row r="4744" spans="1:2" x14ac:dyDescent="0.2">
      <c r="A4744" s="102"/>
      <c r="B4744" s="116"/>
    </row>
    <row r="4745" spans="1:2" x14ac:dyDescent="0.2">
      <c r="A4745" s="102"/>
      <c r="B4745" s="116"/>
    </row>
    <row r="4746" spans="1:2" x14ac:dyDescent="0.2">
      <c r="A4746" s="102"/>
      <c r="B4746" s="116"/>
    </row>
    <row r="4747" spans="1:2" x14ac:dyDescent="0.2">
      <c r="A4747" s="102"/>
      <c r="B4747" s="116"/>
    </row>
    <row r="4748" spans="1:2" x14ac:dyDescent="0.2">
      <c r="A4748" s="102"/>
      <c r="B4748" s="116"/>
    </row>
    <row r="4749" spans="1:2" x14ac:dyDescent="0.2">
      <c r="A4749" s="102"/>
      <c r="B4749" s="116"/>
    </row>
    <row r="4750" spans="1:2" x14ac:dyDescent="0.2">
      <c r="A4750" s="102"/>
      <c r="B4750" s="116"/>
    </row>
    <row r="4751" spans="1:2" x14ac:dyDescent="0.2">
      <c r="A4751" s="102"/>
      <c r="B4751" s="116"/>
    </row>
    <row r="4752" spans="1:2" x14ac:dyDescent="0.2">
      <c r="A4752" s="102"/>
      <c r="B4752" s="116"/>
    </row>
    <row r="4753" spans="1:2" x14ac:dyDescent="0.2">
      <c r="A4753" s="102"/>
      <c r="B4753" s="116"/>
    </row>
    <row r="4754" spans="1:2" x14ac:dyDescent="0.2">
      <c r="A4754" s="102"/>
      <c r="B4754" s="116"/>
    </row>
    <row r="4755" spans="1:2" x14ac:dyDescent="0.2">
      <c r="A4755" s="102"/>
      <c r="B4755" s="116"/>
    </row>
    <row r="4756" spans="1:2" x14ac:dyDescent="0.2">
      <c r="A4756" s="102"/>
      <c r="B4756" s="116"/>
    </row>
    <row r="4757" spans="1:2" x14ac:dyDescent="0.2">
      <c r="A4757" s="102"/>
      <c r="B4757" s="116"/>
    </row>
    <row r="4758" spans="1:2" x14ac:dyDescent="0.2">
      <c r="A4758" s="102"/>
      <c r="B4758" s="116"/>
    </row>
    <row r="4759" spans="1:2" x14ac:dyDescent="0.2">
      <c r="A4759" s="102"/>
      <c r="B4759" s="116"/>
    </row>
    <row r="4760" spans="1:2" x14ac:dyDescent="0.2">
      <c r="A4760" s="102"/>
      <c r="B4760" s="116"/>
    </row>
    <row r="4761" spans="1:2" x14ac:dyDescent="0.2">
      <c r="A4761" s="102"/>
      <c r="B4761" s="116"/>
    </row>
    <row r="4762" spans="1:2" x14ac:dyDescent="0.2">
      <c r="A4762" s="102"/>
      <c r="B4762" s="116"/>
    </row>
    <row r="4763" spans="1:2" x14ac:dyDescent="0.2">
      <c r="A4763" s="102"/>
      <c r="B4763" s="116"/>
    </row>
    <row r="4764" spans="1:2" x14ac:dyDescent="0.2">
      <c r="A4764" s="102"/>
      <c r="B4764" s="116"/>
    </row>
    <row r="4765" spans="1:2" x14ac:dyDescent="0.2">
      <c r="A4765" s="102"/>
      <c r="B4765" s="116"/>
    </row>
    <row r="4766" spans="1:2" x14ac:dyDescent="0.2">
      <c r="A4766" s="102"/>
      <c r="B4766" s="116"/>
    </row>
    <row r="4767" spans="1:2" x14ac:dyDescent="0.2">
      <c r="A4767" s="102"/>
      <c r="B4767" s="116"/>
    </row>
    <row r="4768" spans="1:2" x14ac:dyDescent="0.2">
      <c r="A4768" s="102"/>
      <c r="B4768" s="116"/>
    </row>
    <row r="4769" spans="1:2" x14ac:dyDescent="0.2">
      <c r="A4769" s="102"/>
      <c r="B4769" s="116"/>
    </row>
    <row r="4770" spans="1:2" x14ac:dyDescent="0.2">
      <c r="A4770" s="102"/>
      <c r="B4770" s="116"/>
    </row>
    <row r="4771" spans="1:2" x14ac:dyDescent="0.2">
      <c r="A4771" s="102"/>
      <c r="B4771" s="116"/>
    </row>
    <row r="4772" spans="1:2" x14ac:dyDescent="0.2">
      <c r="A4772" s="102"/>
      <c r="B4772" s="116"/>
    </row>
    <row r="4773" spans="1:2" x14ac:dyDescent="0.2">
      <c r="A4773" s="102"/>
      <c r="B4773" s="116"/>
    </row>
    <row r="4774" spans="1:2" x14ac:dyDescent="0.2">
      <c r="A4774" s="102"/>
      <c r="B4774" s="116"/>
    </row>
    <row r="4775" spans="1:2" x14ac:dyDescent="0.2">
      <c r="A4775" s="102"/>
      <c r="B4775" s="116"/>
    </row>
    <row r="4776" spans="1:2" x14ac:dyDescent="0.2">
      <c r="A4776" s="102"/>
      <c r="B4776" s="116"/>
    </row>
    <row r="4777" spans="1:2" x14ac:dyDescent="0.2">
      <c r="A4777" s="102"/>
      <c r="B4777" s="116"/>
    </row>
    <row r="4778" spans="1:2" x14ac:dyDescent="0.2">
      <c r="A4778" s="102"/>
      <c r="B4778" s="116"/>
    </row>
    <row r="4779" spans="1:2" x14ac:dyDescent="0.2">
      <c r="A4779" s="102"/>
      <c r="B4779" s="116"/>
    </row>
    <row r="4780" spans="1:2" x14ac:dyDescent="0.2">
      <c r="A4780" s="102"/>
      <c r="B4780" s="116"/>
    </row>
    <row r="4781" spans="1:2" x14ac:dyDescent="0.2">
      <c r="A4781" s="102"/>
      <c r="B4781" s="116"/>
    </row>
    <row r="4782" spans="1:2" x14ac:dyDescent="0.2">
      <c r="A4782" s="102"/>
      <c r="B4782" s="116"/>
    </row>
    <row r="4783" spans="1:2" x14ac:dyDescent="0.2">
      <c r="A4783" s="102"/>
      <c r="B4783" s="116"/>
    </row>
    <row r="4784" spans="1:2" x14ac:dyDescent="0.2">
      <c r="A4784" s="102"/>
      <c r="B4784" s="116"/>
    </row>
    <row r="4785" spans="1:2" x14ac:dyDescent="0.2">
      <c r="A4785" s="102"/>
      <c r="B4785" s="116"/>
    </row>
    <row r="4786" spans="1:2" x14ac:dyDescent="0.2">
      <c r="A4786" s="102"/>
      <c r="B4786" s="116"/>
    </row>
    <row r="4787" spans="1:2" x14ac:dyDescent="0.2">
      <c r="A4787" s="102"/>
      <c r="B4787" s="116"/>
    </row>
    <row r="4788" spans="1:2" x14ac:dyDescent="0.2">
      <c r="A4788" s="102"/>
      <c r="B4788" s="116"/>
    </row>
    <row r="4789" spans="1:2" x14ac:dyDescent="0.2">
      <c r="A4789" s="102"/>
      <c r="B4789" s="116"/>
    </row>
    <row r="4790" spans="1:2" x14ac:dyDescent="0.2">
      <c r="A4790" s="102"/>
      <c r="B4790" s="116"/>
    </row>
    <row r="4791" spans="1:2" x14ac:dyDescent="0.2">
      <c r="A4791" s="102"/>
      <c r="B4791" s="116"/>
    </row>
    <row r="4792" spans="1:2" x14ac:dyDescent="0.2">
      <c r="A4792" s="102"/>
      <c r="B4792" s="116"/>
    </row>
    <row r="4793" spans="1:2" x14ac:dyDescent="0.2">
      <c r="A4793" s="102"/>
      <c r="B4793" s="116"/>
    </row>
    <row r="4794" spans="1:2" x14ac:dyDescent="0.2">
      <c r="A4794" s="102"/>
      <c r="B4794" s="116"/>
    </row>
    <row r="4795" spans="1:2" x14ac:dyDescent="0.2">
      <c r="A4795" s="102"/>
      <c r="B4795" s="116"/>
    </row>
    <row r="4796" spans="1:2" x14ac:dyDescent="0.2">
      <c r="A4796" s="102"/>
      <c r="B4796" s="116"/>
    </row>
    <row r="4797" spans="1:2" x14ac:dyDescent="0.2">
      <c r="A4797" s="102"/>
      <c r="B4797" s="116"/>
    </row>
    <row r="4798" spans="1:2" x14ac:dyDescent="0.2">
      <c r="A4798" s="102"/>
      <c r="B4798" s="116"/>
    </row>
    <row r="4799" spans="1:2" x14ac:dyDescent="0.2">
      <c r="A4799" s="102"/>
      <c r="B4799" s="116"/>
    </row>
    <row r="4800" spans="1:2" x14ac:dyDescent="0.2">
      <c r="A4800" s="102"/>
      <c r="B4800" s="116"/>
    </row>
    <row r="4801" spans="1:2" x14ac:dyDescent="0.2">
      <c r="A4801" s="102"/>
      <c r="B4801" s="116"/>
    </row>
    <row r="4802" spans="1:2" x14ac:dyDescent="0.2">
      <c r="A4802" s="102"/>
      <c r="B4802" s="116"/>
    </row>
    <row r="4803" spans="1:2" x14ac:dyDescent="0.2">
      <c r="A4803" s="102"/>
      <c r="B4803" s="116"/>
    </row>
    <row r="4804" spans="1:2" x14ac:dyDescent="0.2">
      <c r="A4804" s="102"/>
      <c r="B4804" s="116"/>
    </row>
    <row r="4805" spans="1:2" x14ac:dyDescent="0.2">
      <c r="A4805" s="102"/>
      <c r="B4805" s="116"/>
    </row>
    <row r="4806" spans="1:2" x14ac:dyDescent="0.2">
      <c r="A4806" s="102"/>
      <c r="B4806" s="116"/>
    </row>
    <row r="4807" spans="1:2" x14ac:dyDescent="0.2">
      <c r="A4807" s="102"/>
      <c r="B4807" s="116"/>
    </row>
    <row r="4808" spans="1:2" x14ac:dyDescent="0.2">
      <c r="A4808" s="102"/>
      <c r="B4808" s="116"/>
    </row>
    <row r="4809" spans="1:2" x14ac:dyDescent="0.2">
      <c r="A4809" s="102"/>
      <c r="B4809" s="116"/>
    </row>
    <row r="4810" spans="1:2" x14ac:dyDescent="0.2">
      <c r="A4810" s="102"/>
      <c r="B4810" s="116"/>
    </row>
    <row r="4811" spans="1:2" x14ac:dyDescent="0.2">
      <c r="A4811" s="102"/>
      <c r="B4811" s="116"/>
    </row>
    <row r="4812" spans="1:2" x14ac:dyDescent="0.2">
      <c r="A4812" s="102"/>
      <c r="B4812" s="116"/>
    </row>
    <row r="4813" spans="1:2" x14ac:dyDescent="0.2">
      <c r="A4813" s="102"/>
      <c r="B4813" s="116"/>
    </row>
    <row r="4814" spans="1:2" x14ac:dyDescent="0.2">
      <c r="A4814" s="102"/>
      <c r="B4814" s="116"/>
    </row>
    <row r="4815" spans="1:2" x14ac:dyDescent="0.2">
      <c r="A4815" s="102"/>
      <c r="B4815" s="116"/>
    </row>
    <row r="4816" spans="1:2" x14ac:dyDescent="0.2">
      <c r="A4816" s="102"/>
      <c r="B4816" s="116"/>
    </row>
    <row r="4817" spans="1:2" x14ac:dyDescent="0.2">
      <c r="A4817" s="102"/>
      <c r="B4817" s="116"/>
    </row>
    <row r="4818" spans="1:2" x14ac:dyDescent="0.2">
      <c r="A4818" s="102"/>
      <c r="B4818" s="116"/>
    </row>
    <row r="4819" spans="1:2" x14ac:dyDescent="0.2">
      <c r="A4819" s="102"/>
      <c r="B4819" s="116"/>
    </row>
    <row r="4820" spans="1:2" x14ac:dyDescent="0.2">
      <c r="A4820" s="102"/>
      <c r="B4820" s="116"/>
    </row>
    <row r="4821" spans="1:2" x14ac:dyDescent="0.2">
      <c r="A4821" s="102"/>
      <c r="B4821" s="116"/>
    </row>
    <row r="4822" spans="1:2" x14ac:dyDescent="0.2">
      <c r="A4822" s="102"/>
      <c r="B4822" s="116"/>
    </row>
    <row r="4823" spans="1:2" x14ac:dyDescent="0.2">
      <c r="A4823" s="102"/>
      <c r="B4823" s="116"/>
    </row>
    <row r="4824" spans="1:2" x14ac:dyDescent="0.2">
      <c r="A4824" s="102"/>
      <c r="B4824" s="116"/>
    </row>
    <row r="4825" spans="1:2" x14ac:dyDescent="0.2">
      <c r="A4825" s="102"/>
      <c r="B4825" s="116"/>
    </row>
    <row r="4826" spans="1:2" x14ac:dyDescent="0.2">
      <c r="A4826" s="102"/>
      <c r="B4826" s="116"/>
    </row>
    <row r="4827" spans="1:2" x14ac:dyDescent="0.2">
      <c r="A4827" s="102"/>
      <c r="B4827" s="116"/>
    </row>
    <row r="4828" spans="1:2" x14ac:dyDescent="0.2">
      <c r="A4828" s="102"/>
      <c r="B4828" s="116"/>
    </row>
    <row r="4829" spans="1:2" x14ac:dyDescent="0.2">
      <c r="A4829" s="102"/>
      <c r="B4829" s="116"/>
    </row>
    <row r="4830" spans="1:2" x14ac:dyDescent="0.2">
      <c r="A4830" s="102"/>
      <c r="B4830" s="116"/>
    </row>
    <row r="4831" spans="1:2" x14ac:dyDescent="0.2">
      <c r="A4831" s="102"/>
      <c r="B4831" s="116"/>
    </row>
    <row r="4832" spans="1:2" x14ac:dyDescent="0.2">
      <c r="A4832" s="102"/>
      <c r="B4832" s="116"/>
    </row>
    <row r="4833" spans="1:2" x14ac:dyDescent="0.2">
      <c r="A4833" s="102"/>
      <c r="B4833" s="116"/>
    </row>
    <row r="4834" spans="1:2" x14ac:dyDescent="0.2">
      <c r="A4834" s="102"/>
      <c r="B4834" s="116"/>
    </row>
    <row r="4835" spans="1:2" x14ac:dyDescent="0.2">
      <c r="A4835" s="102"/>
      <c r="B4835" s="116"/>
    </row>
    <row r="4836" spans="1:2" x14ac:dyDescent="0.2">
      <c r="A4836" s="102"/>
      <c r="B4836" s="116"/>
    </row>
    <row r="4837" spans="1:2" x14ac:dyDescent="0.2">
      <c r="A4837" s="102"/>
      <c r="B4837" s="116"/>
    </row>
    <row r="4838" spans="1:2" x14ac:dyDescent="0.2">
      <c r="A4838" s="102"/>
      <c r="B4838" s="116"/>
    </row>
    <row r="4839" spans="1:2" x14ac:dyDescent="0.2">
      <c r="A4839" s="102"/>
      <c r="B4839" s="116"/>
    </row>
    <row r="4840" spans="1:2" x14ac:dyDescent="0.2">
      <c r="A4840" s="102"/>
      <c r="B4840" s="116"/>
    </row>
    <row r="4841" spans="1:2" x14ac:dyDescent="0.2">
      <c r="A4841" s="102"/>
      <c r="B4841" s="116"/>
    </row>
    <row r="4842" spans="1:2" x14ac:dyDescent="0.2">
      <c r="A4842" s="102"/>
      <c r="B4842" s="116"/>
    </row>
    <row r="4843" spans="1:2" x14ac:dyDescent="0.2">
      <c r="A4843" s="102"/>
      <c r="B4843" s="116"/>
    </row>
    <row r="4844" spans="1:2" x14ac:dyDescent="0.2">
      <c r="A4844" s="102"/>
      <c r="B4844" s="116"/>
    </row>
    <row r="4845" spans="1:2" x14ac:dyDescent="0.2">
      <c r="A4845" s="102"/>
      <c r="B4845" s="116"/>
    </row>
    <row r="4846" spans="1:2" x14ac:dyDescent="0.2">
      <c r="A4846" s="102"/>
      <c r="B4846" s="116"/>
    </row>
    <row r="4847" spans="1:2" x14ac:dyDescent="0.2">
      <c r="A4847" s="102"/>
      <c r="B4847" s="116"/>
    </row>
    <row r="4848" spans="1:2" x14ac:dyDescent="0.2">
      <c r="A4848" s="102"/>
      <c r="B4848" s="116"/>
    </row>
    <row r="4849" spans="1:2" x14ac:dyDescent="0.2">
      <c r="A4849" s="102"/>
      <c r="B4849" s="116"/>
    </row>
    <row r="4850" spans="1:2" x14ac:dyDescent="0.2">
      <c r="A4850" s="102"/>
      <c r="B4850" s="116"/>
    </row>
    <row r="4851" spans="1:2" x14ac:dyDescent="0.2">
      <c r="A4851" s="102"/>
      <c r="B4851" s="116"/>
    </row>
    <row r="4852" spans="1:2" x14ac:dyDescent="0.2">
      <c r="A4852" s="102"/>
      <c r="B4852" s="116"/>
    </row>
    <row r="4853" spans="1:2" x14ac:dyDescent="0.2">
      <c r="A4853" s="102"/>
      <c r="B4853" s="116"/>
    </row>
    <row r="4854" spans="1:2" x14ac:dyDescent="0.2">
      <c r="A4854" s="102"/>
      <c r="B4854" s="116"/>
    </row>
    <row r="4855" spans="1:2" x14ac:dyDescent="0.2">
      <c r="A4855" s="102"/>
      <c r="B4855" s="116"/>
    </row>
    <row r="4856" spans="1:2" x14ac:dyDescent="0.2">
      <c r="A4856" s="102"/>
      <c r="B4856" s="116"/>
    </row>
    <row r="4857" spans="1:2" x14ac:dyDescent="0.2">
      <c r="A4857" s="102"/>
      <c r="B4857" s="116"/>
    </row>
    <row r="4858" spans="1:2" x14ac:dyDescent="0.2">
      <c r="A4858" s="102"/>
      <c r="B4858" s="116"/>
    </row>
    <row r="4859" spans="1:2" x14ac:dyDescent="0.2">
      <c r="A4859" s="102"/>
      <c r="B4859" s="116"/>
    </row>
    <row r="4860" spans="1:2" x14ac:dyDescent="0.2">
      <c r="A4860" s="102"/>
      <c r="B4860" s="116"/>
    </row>
    <row r="4861" spans="1:2" x14ac:dyDescent="0.2">
      <c r="A4861" s="102"/>
      <c r="B4861" s="116"/>
    </row>
    <row r="4862" spans="1:2" x14ac:dyDescent="0.2">
      <c r="A4862" s="102"/>
      <c r="B4862" s="116"/>
    </row>
    <row r="4863" spans="1:2" x14ac:dyDescent="0.2">
      <c r="A4863" s="102"/>
      <c r="B4863" s="116"/>
    </row>
    <row r="4864" spans="1:2" x14ac:dyDescent="0.2">
      <c r="A4864" s="102"/>
      <c r="B4864" s="116"/>
    </row>
    <row r="4865" spans="1:2" x14ac:dyDescent="0.2">
      <c r="A4865" s="102"/>
      <c r="B4865" s="116"/>
    </row>
    <row r="4866" spans="1:2" x14ac:dyDescent="0.2">
      <c r="A4866" s="102"/>
      <c r="B4866" s="116"/>
    </row>
    <row r="4867" spans="1:2" x14ac:dyDescent="0.2">
      <c r="A4867" s="102"/>
      <c r="B4867" s="116"/>
    </row>
    <row r="4868" spans="1:2" x14ac:dyDescent="0.2">
      <c r="A4868" s="102"/>
      <c r="B4868" s="116"/>
    </row>
    <row r="4869" spans="1:2" x14ac:dyDescent="0.2">
      <c r="A4869" s="102"/>
      <c r="B4869" s="116"/>
    </row>
    <row r="4870" spans="1:2" x14ac:dyDescent="0.2">
      <c r="A4870" s="102"/>
      <c r="B4870" s="116"/>
    </row>
    <row r="4871" spans="1:2" x14ac:dyDescent="0.2">
      <c r="A4871" s="102"/>
      <c r="B4871" s="116"/>
    </row>
    <row r="4872" spans="1:2" x14ac:dyDescent="0.2">
      <c r="A4872" s="102"/>
      <c r="B4872" s="116"/>
    </row>
    <row r="4873" spans="1:2" x14ac:dyDescent="0.2">
      <c r="A4873" s="102"/>
      <c r="B4873" s="116"/>
    </row>
    <row r="4874" spans="1:2" x14ac:dyDescent="0.2">
      <c r="A4874" s="102"/>
      <c r="B4874" s="116"/>
    </row>
    <row r="4875" spans="1:2" x14ac:dyDescent="0.2">
      <c r="A4875" s="102"/>
      <c r="B4875" s="116"/>
    </row>
    <row r="4876" spans="1:2" x14ac:dyDescent="0.2">
      <c r="A4876" s="102"/>
      <c r="B4876" s="116"/>
    </row>
    <row r="4877" spans="1:2" x14ac:dyDescent="0.2">
      <c r="A4877" s="102"/>
      <c r="B4877" s="116"/>
    </row>
    <row r="4878" spans="1:2" x14ac:dyDescent="0.2">
      <c r="A4878" s="102"/>
      <c r="B4878" s="116"/>
    </row>
    <row r="4879" spans="1:2" x14ac:dyDescent="0.2">
      <c r="A4879" s="102"/>
      <c r="B4879" s="116"/>
    </row>
    <row r="4880" spans="1:2" x14ac:dyDescent="0.2">
      <c r="A4880" s="102"/>
      <c r="B4880" s="116"/>
    </row>
    <row r="4881" spans="1:2" x14ac:dyDescent="0.2">
      <c r="A4881" s="102"/>
      <c r="B4881" s="116"/>
    </row>
    <row r="4882" spans="1:2" x14ac:dyDescent="0.2">
      <c r="A4882" s="102"/>
      <c r="B4882" s="116"/>
    </row>
    <row r="4883" spans="1:2" x14ac:dyDescent="0.2">
      <c r="A4883" s="102"/>
      <c r="B4883" s="116"/>
    </row>
    <row r="4884" spans="1:2" x14ac:dyDescent="0.2">
      <c r="A4884" s="102"/>
      <c r="B4884" s="116"/>
    </row>
    <row r="4885" spans="1:2" x14ac:dyDescent="0.2">
      <c r="A4885" s="102"/>
      <c r="B4885" s="116"/>
    </row>
    <row r="4886" spans="1:2" x14ac:dyDescent="0.2">
      <c r="A4886" s="102"/>
      <c r="B4886" s="116"/>
    </row>
    <row r="4887" spans="1:2" x14ac:dyDescent="0.2">
      <c r="A4887" s="102"/>
      <c r="B4887" s="116"/>
    </row>
    <row r="4888" spans="1:2" x14ac:dyDescent="0.2">
      <c r="A4888" s="102"/>
      <c r="B4888" s="116"/>
    </row>
    <row r="4889" spans="1:2" x14ac:dyDescent="0.2">
      <c r="A4889" s="102"/>
      <c r="B4889" s="116"/>
    </row>
    <row r="4890" spans="1:2" x14ac:dyDescent="0.2">
      <c r="A4890" s="102"/>
      <c r="B4890" s="116"/>
    </row>
    <row r="4891" spans="1:2" x14ac:dyDescent="0.2">
      <c r="A4891" s="102"/>
      <c r="B4891" s="116"/>
    </row>
    <row r="4892" spans="1:2" x14ac:dyDescent="0.2">
      <c r="A4892" s="102"/>
      <c r="B4892" s="116"/>
    </row>
    <row r="4893" spans="1:2" x14ac:dyDescent="0.2">
      <c r="A4893" s="102"/>
      <c r="B4893" s="116"/>
    </row>
    <row r="4894" spans="1:2" x14ac:dyDescent="0.2">
      <c r="A4894" s="102"/>
      <c r="B4894" s="116"/>
    </row>
    <row r="4895" spans="1:2" x14ac:dyDescent="0.2">
      <c r="A4895" s="102"/>
      <c r="B4895" s="116"/>
    </row>
    <row r="4896" spans="1:2" x14ac:dyDescent="0.2">
      <c r="A4896" s="102"/>
      <c r="B4896" s="116"/>
    </row>
    <row r="4897" spans="1:2" x14ac:dyDescent="0.2">
      <c r="A4897" s="102"/>
      <c r="B4897" s="116"/>
    </row>
    <row r="4898" spans="1:2" x14ac:dyDescent="0.2">
      <c r="A4898" s="102"/>
      <c r="B4898" s="116"/>
    </row>
    <row r="4899" spans="1:2" x14ac:dyDescent="0.2">
      <c r="A4899" s="102"/>
      <c r="B4899" s="116"/>
    </row>
    <row r="4900" spans="1:2" x14ac:dyDescent="0.2">
      <c r="A4900" s="102"/>
      <c r="B4900" s="116"/>
    </row>
    <row r="4901" spans="1:2" x14ac:dyDescent="0.2">
      <c r="A4901" s="102"/>
      <c r="B4901" s="116"/>
    </row>
    <row r="4902" spans="1:2" x14ac:dyDescent="0.2">
      <c r="A4902" s="102"/>
      <c r="B4902" s="116"/>
    </row>
    <row r="4903" spans="1:2" x14ac:dyDescent="0.2">
      <c r="A4903" s="102"/>
      <c r="B4903" s="116"/>
    </row>
    <row r="4904" spans="1:2" x14ac:dyDescent="0.2">
      <c r="A4904" s="102"/>
      <c r="B4904" s="116"/>
    </row>
    <row r="4905" spans="1:2" x14ac:dyDescent="0.2">
      <c r="A4905" s="102"/>
      <c r="B4905" s="116"/>
    </row>
    <row r="4906" spans="1:2" x14ac:dyDescent="0.2">
      <c r="A4906" s="102"/>
      <c r="B4906" s="116"/>
    </row>
    <row r="4907" spans="1:2" x14ac:dyDescent="0.2">
      <c r="A4907" s="102"/>
      <c r="B4907" s="116"/>
    </row>
    <row r="4908" spans="1:2" x14ac:dyDescent="0.2">
      <c r="A4908" s="102"/>
      <c r="B4908" s="116"/>
    </row>
    <row r="4909" spans="1:2" x14ac:dyDescent="0.2">
      <c r="A4909" s="102"/>
      <c r="B4909" s="116"/>
    </row>
    <row r="4910" spans="1:2" x14ac:dyDescent="0.2">
      <c r="A4910" s="102"/>
      <c r="B4910" s="116"/>
    </row>
    <row r="4911" spans="1:2" x14ac:dyDescent="0.2">
      <c r="A4911" s="102"/>
      <c r="B4911" s="116"/>
    </row>
    <row r="4912" spans="1:2" x14ac:dyDescent="0.2">
      <c r="A4912" s="102"/>
      <c r="B4912" s="116"/>
    </row>
    <row r="4913" spans="1:2" x14ac:dyDescent="0.2">
      <c r="A4913" s="102"/>
      <c r="B4913" s="116"/>
    </row>
    <row r="4914" spans="1:2" x14ac:dyDescent="0.2">
      <c r="A4914" s="102"/>
      <c r="B4914" s="116"/>
    </row>
    <row r="4915" spans="1:2" x14ac:dyDescent="0.2">
      <c r="A4915" s="102"/>
      <c r="B4915" s="116"/>
    </row>
    <row r="4916" spans="1:2" x14ac:dyDescent="0.2">
      <c r="A4916" s="102"/>
      <c r="B4916" s="116"/>
    </row>
    <row r="4917" spans="1:2" x14ac:dyDescent="0.2">
      <c r="A4917" s="102"/>
      <c r="B4917" s="116"/>
    </row>
    <row r="4918" spans="1:2" x14ac:dyDescent="0.2">
      <c r="A4918" s="102"/>
      <c r="B4918" s="116"/>
    </row>
    <row r="4919" spans="1:2" x14ac:dyDescent="0.2">
      <c r="A4919" s="102"/>
      <c r="B4919" s="116"/>
    </row>
    <row r="4920" spans="1:2" x14ac:dyDescent="0.2">
      <c r="A4920" s="102"/>
      <c r="B4920" s="116"/>
    </row>
    <row r="4921" spans="1:2" x14ac:dyDescent="0.2">
      <c r="A4921" s="102"/>
      <c r="B4921" s="116"/>
    </row>
    <row r="4922" spans="1:2" x14ac:dyDescent="0.2">
      <c r="A4922" s="102"/>
      <c r="B4922" s="116"/>
    </row>
    <row r="4923" spans="1:2" x14ac:dyDescent="0.2">
      <c r="A4923" s="102"/>
      <c r="B4923" s="116"/>
    </row>
    <row r="4924" spans="1:2" x14ac:dyDescent="0.2">
      <c r="A4924" s="102"/>
      <c r="B4924" s="116"/>
    </row>
    <row r="4925" spans="1:2" x14ac:dyDescent="0.2">
      <c r="A4925" s="102"/>
      <c r="B4925" s="116"/>
    </row>
    <row r="4926" spans="1:2" x14ac:dyDescent="0.2">
      <c r="A4926" s="102"/>
      <c r="B4926" s="116"/>
    </row>
    <row r="4927" spans="1:2" x14ac:dyDescent="0.2">
      <c r="A4927" s="102"/>
      <c r="B4927" s="116"/>
    </row>
    <row r="4928" spans="1:2" x14ac:dyDescent="0.2">
      <c r="A4928" s="102"/>
      <c r="B4928" s="116"/>
    </row>
    <row r="4929" spans="1:2" x14ac:dyDescent="0.2">
      <c r="A4929" s="102"/>
      <c r="B4929" s="116"/>
    </row>
    <row r="4930" spans="1:2" x14ac:dyDescent="0.2">
      <c r="A4930" s="102"/>
      <c r="B4930" s="116"/>
    </row>
    <row r="4931" spans="1:2" x14ac:dyDescent="0.2">
      <c r="A4931" s="102"/>
      <c r="B4931" s="116"/>
    </row>
    <row r="4932" spans="1:2" x14ac:dyDescent="0.2">
      <c r="A4932" s="102"/>
      <c r="B4932" s="116"/>
    </row>
    <row r="4933" spans="1:2" x14ac:dyDescent="0.2">
      <c r="A4933" s="102"/>
      <c r="B4933" s="116"/>
    </row>
    <row r="4934" spans="1:2" x14ac:dyDescent="0.2">
      <c r="A4934" s="102"/>
      <c r="B4934" s="116"/>
    </row>
    <row r="4935" spans="1:2" x14ac:dyDescent="0.2">
      <c r="A4935" s="102"/>
      <c r="B4935" s="116"/>
    </row>
    <row r="4936" spans="1:2" x14ac:dyDescent="0.2">
      <c r="A4936" s="102"/>
      <c r="B4936" s="116"/>
    </row>
    <row r="4937" spans="1:2" x14ac:dyDescent="0.2">
      <c r="A4937" s="102"/>
      <c r="B4937" s="116"/>
    </row>
    <row r="4938" spans="1:2" x14ac:dyDescent="0.2">
      <c r="A4938" s="102"/>
      <c r="B4938" s="116"/>
    </row>
    <row r="4939" spans="1:2" x14ac:dyDescent="0.2">
      <c r="A4939" s="102"/>
      <c r="B4939" s="116"/>
    </row>
    <row r="4940" spans="1:2" x14ac:dyDescent="0.2">
      <c r="A4940" s="102"/>
      <c r="B4940" s="116"/>
    </row>
    <row r="4941" spans="1:2" x14ac:dyDescent="0.2">
      <c r="A4941" s="102"/>
      <c r="B4941" s="116"/>
    </row>
    <row r="4942" spans="1:2" x14ac:dyDescent="0.2">
      <c r="A4942" s="102"/>
      <c r="B4942" s="116"/>
    </row>
    <row r="4943" spans="1:2" x14ac:dyDescent="0.2">
      <c r="A4943" s="102"/>
      <c r="B4943" s="116"/>
    </row>
    <row r="4944" spans="1:2" x14ac:dyDescent="0.2">
      <c r="A4944" s="102"/>
      <c r="B4944" s="116"/>
    </row>
    <row r="4945" spans="1:2" x14ac:dyDescent="0.2">
      <c r="A4945" s="102"/>
      <c r="B4945" s="116"/>
    </row>
    <row r="4946" spans="1:2" x14ac:dyDescent="0.2">
      <c r="A4946" s="102"/>
      <c r="B4946" s="116"/>
    </row>
    <row r="4947" spans="1:2" x14ac:dyDescent="0.2">
      <c r="A4947" s="102"/>
      <c r="B4947" s="116"/>
    </row>
    <row r="4948" spans="1:2" x14ac:dyDescent="0.2">
      <c r="A4948" s="102"/>
      <c r="B4948" s="116"/>
    </row>
    <row r="4949" spans="1:2" x14ac:dyDescent="0.2">
      <c r="A4949" s="102"/>
      <c r="B4949" s="116"/>
    </row>
    <row r="4950" spans="1:2" x14ac:dyDescent="0.2">
      <c r="A4950" s="102"/>
      <c r="B4950" s="116"/>
    </row>
    <row r="4951" spans="1:2" x14ac:dyDescent="0.2">
      <c r="A4951" s="102"/>
      <c r="B4951" s="116"/>
    </row>
    <row r="4952" spans="1:2" x14ac:dyDescent="0.2">
      <c r="A4952" s="102"/>
      <c r="B4952" s="116"/>
    </row>
    <row r="4953" spans="1:2" x14ac:dyDescent="0.2">
      <c r="A4953" s="102"/>
      <c r="B4953" s="116"/>
    </row>
    <row r="4954" spans="1:2" x14ac:dyDescent="0.2">
      <c r="A4954" s="102"/>
      <c r="B4954" s="116"/>
    </row>
    <row r="4955" spans="1:2" x14ac:dyDescent="0.2">
      <c r="A4955" s="102"/>
      <c r="B4955" s="116"/>
    </row>
    <row r="4956" spans="1:2" x14ac:dyDescent="0.2">
      <c r="A4956" s="102"/>
      <c r="B4956" s="116"/>
    </row>
    <row r="4957" spans="1:2" x14ac:dyDescent="0.2">
      <c r="A4957" s="102"/>
      <c r="B4957" s="116"/>
    </row>
    <row r="4958" spans="1:2" x14ac:dyDescent="0.2">
      <c r="A4958" s="102"/>
      <c r="B4958" s="116"/>
    </row>
    <row r="4959" spans="1:2" x14ac:dyDescent="0.2">
      <c r="A4959" s="102"/>
      <c r="B4959" s="116"/>
    </row>
    <row r="4960" spans="1:2" x14ac:dyDescent="0.2">
      <c r="A4960" s="102"/>
      <c r="B4960" s="116"/>
    </row>
    <row r="4961" spans="1:2" x14ac:dyDescent="0.2">
      <c r="A4961" s="102"/>
      <c r="B4961" s="116"/>
    </row>
    <row r="4962" spans="1:2" x14ac:dyDescent="0.2">
      <c r="A4962" s="102"/>
      <c r="B4962" s="116"/>
    </row>
    <row r="4963" spans="1:2" x14ac:dyDescent="0.2">
      <c r="A4963" s="102"/>
      <c r="B4963" s="116"/>
    </row>
    <row r="4964" spans="1:2" x14ac:dyDescent="0.2">
      <c r="A4964" s="102"/>
      <c r="B4964" s="116"/>
    </row>
    <row r="4965" spans="1:2" x14ac:dyDescent="0.2">
      <c r="A4965" s="102"/>
      <c r="B4965" s="116"/>
    </row>
    <row r="4966" spans="1:2" x14ac:dyDescent="0.2">
      <c r="A4966" s="102"/>
      <c r="B4966" s="116"/>
    </row>
    <row r="4967" spans="1:2" x14ac:dyDescent="0.2">
      <c r="A4967" s="102"/>
      <c r="B4967" s="116"/>
    </row>
    <row r="4968" spans="1:2" x14ac:dyDescent="0.2">
      <c r="A4968" s="102"/>
      <c r="B4968" s="116"/>
    </row>
    <row r="4969" spans="1:2" x14ac:dyDescent="0.2">
      <c r="A4969" s="102"/>
      <c r="B4969" s="116"/>
    </row>
    <row r="4970" spans="1:2" x14ac:dyDescent="0.2">
      <c r="A4970" s="102"/>
      <c r="B4970" s="116"/>
    </row>
    <row r="4971" spans="1:2" x14ac:dyDescent="0.2">
      <c r="A4971" s="102"/>
      <c r="B4971" s="116"/>
    </row>
    <row r="4972" spans="1:2" x14ac:dyDescent="0.2">
      <c r="A4972" s="102"/>
      <c r="B4972" s="116"/>
    </row>
    <row r="4973" spans="1:2" x14ac:dyDescent="0.2">
      <c r="A4973" s="102"/>
      <c r="B4973" s="116"/>
    </row>
    <row r="4974" spans="1:2" x14ac:dyDescent="0.2">
      <c r="A4974" s="102"/>
      <c r="B4974" s="116"/>
    </row>
    <row r="4975" spans="1:2" x14ac:dyDescent="0.2">
      <c r="A4975" s="102"/>
      <c r="B4975" s="116"/>
    </row>
    <row r="4976" spans="1:2" x14ac:dyDescent="0.2">
      <c r="A4976" s="102"/>
      <c r="B4976" s="116"/>
    </row>
    <row r="4977" spans="1:2" x14ac:dyDescent="0.2">
      <c r="A4977" s="102"/>
      <c r="B4977" s="116"/>
    </row>
    <row r="4978" spans="1:2" x14ac:dyDescent="0.2">
      <c r="A4978" s="102"/>
      <c r="B4978" s="116"/>
    </row>
    <row r="4979" spans="1:2" x14ac:dyDescent="0.2">
      <c r="A4979" s="102"/>
      <c r="B4979" s="116"/>
    </row>
    <row r="4980" spans="1:2" x14ac:dyDescent="0.2">
      <c r="A4980" s="102"/>
      <c r="B4980" s="116"/>
    </row>
    <row r="4981" spans="1:2" x14ac:dyDescent="0.2">
      <c r="A4981" s="102"/>
      <c r="B4981" s="116"/>
    </row>
    <row r="4982" spans="1:2" x14ac:dyDescent="0.2">
      <c r="A4982" s="102"/>
      <c r="B4982" s="116"/>
    </row>
    <row r="4983" spans="1:2" x14ac:dyDescent="0.2">
      <c r="A4983" s="102"/>
      <c r="B4983" s="116"/>
    </row>
    <row r="4984" spans="1:2" x14ac:dyDescent="0.2">
      <c r="A4984" s="102"/>
      <c r="B4984" s="116"/>
    </row>
    <row r="4985" spans="1:2" x14ac:dyDescent="0.2">
      <c r="A4985" s="102"/>
      <c r="B4985" s="116"/>
    </row>
    <row r="4986" spans="1:2" x14ac:dyDescent="0.2">
      <c r="A4986" s="102"/>
      <c r="B4986" s="116"/>
    </row>
    <row r="4987" spans="1:2" x14ac:dyDescent="0.2">
      <c r="A4987" s="102"/>
      <c r="B4987" s="116"/>
    </row>
    <row r="4988" spans="1:2" x14ac:dyDescent="0.2">
      <c r="A4988" s="102"/>
      <c r="B4988" s="116"/>
    </row>
    <row r="4989" spans="1:2" x14ac:dyDescent="0.2">
      <c r="A4989" s="102"/>
      <c r="B4989" s="116"/>
    </row>
    <row r="4990" spans="1:2" x14ac:dyDescent="0.2">
      <c r="A4990" s="102"/>
      <c r="B4990" s="116"/>
    </row>
    <row r="4991" spans="1:2" x14ac:dyDescent="0.2">
      <c r="A4991" s="102"/>
      <c r="B4991" s="116"/>
    </row>
    <row r="4992" spans="1:2" x14ac:dyDescent="0.2">
      <c r="A4992" s="102"/>
      <c r="B4992" s="116"/>
    </row>
    <row r="4993" spans="1:2" x14ac:dyDescent="0.2">
      <c r="A4993" s="102"/>
      <c r="B4993" s="116"/>
    </row>
    <row r="4994" spans="1:2" x14ac:dyDescent="0.2">
      <c r="A4994" s="102"/>
      <c r="B4994" s="116"/>
    </row>
    <row r="4995" spans="1:2" x14ac:dyDescent="0.2">
      <c r="A4995" s="102"/>
      <c r="B4995" s="116"/>
    </row>
    <row r="4996" spans="1:2" x14ac:dyDescent="0.2">
      <c r="A4996" s="102"/>
      <c r="B4996" s="116"/>
    </row>
    <row r="4997" spans="1:2" x14ac:dyDescent="0.2">
      <c r="A4997" s="102"/>
      <c r="B4997" s="116"/>
    </row>
    <row r="4998" spans="1:2" x14ac:dyDescent="0.2">
      <c r="A4998" s="102"/>
      <c r="B4998" s="116"/>
    </row>
    <row r="4999" spans="1:2" x14ac:dyDescent="0.2">
      <c r="A4999" s="102"/>
      <c r="B4999" s="116"/>
    </row>
    <row r="5000" spans="1:2" x14ac:dyDescent="0.2">
      <c r="A5000" s="102"/>
      <c r="B5000" s="116"/>
    </row>
    <row r="5001" spans="1:2" x14ac:dyDescent="0.2">
      <c r="A5001" s="102"/>
      <c r="B5001" s="116"/>
    </row>
    <row r="5002" spans="1:2" x14ac:dyDescent="0.2">
      <c r="A5002" s="102"/>
      <c r="B5002" s="116"/>
    </row>
    <row r="5003" spans="1:2" x14ac:dyDescent="0.2">
      <c r="A5003" s="102"/>
      <c r="B5003" s="116"/>
    </row>
    <row r="5004" spans="1:2" x14ac:dyDescent="0.2">
      <c r="A5004" s="102"/>
      <c r="B5004" s="116"/>
    </row>
    <row r="5005" spans="1:2" x14ac:dyDescent="0.2">
      <c r="A5005" s="102"/>
      <c r="B5005" s="116"/>
    </row>
    <row r="5006" spans="1:2" x14ac:dyDescent="0.2">
      <c r="A5006" s="102"/>
      <c r="B5006" s="116"/>
    </row>
    <row r="5007" spans="1:2" x14ac:dyDescent="0.2">
      <c r="A5007" s="102"/>
      <c r="B5007" s="116"/>
    </row>
    <row r="5008" spans="1:2" x14ac:dyDescent="0.2">
      <c r="A5008" s="102"/>
      <c r="B5008" s="116"/>
    </row>
    <row r="5009" spans="1:2" x14ac:dyDescent="0.2">
      <c r="A5009" s="102"/>
      <c r="B5009" s="116"/>
    </row>
    <row r="5010" spans="1:2" x14ac:dyDescent="0.2">
      <c r="A5010" s="102"/>
      <c r="B5010" s="116"/>
    </row>
    <row r="5011" spans="1:2" x14ac:dyDescent="0.2">
      <c r="A5011" s="102"/>
      <c r="B5011" s="116"/>
    </row>
    <row r="5012" spans="1:2" x14ac:dyDescent="0.2">
      <c r="A5012" s="102"/>
      <c r="B5012" s="116"/>
    </row>
    <row r="5013" spans="1:2" x14ac:dyDescent="0.2">
      <c r="A5013" s="102"/>
      <c r="B5013" s="116"/>
    </row>
    <row r="5014" spans="1:2" x14ac:dyDescent="0.2">
      <c r="A5014" s="102"/>
      <c r="B5014" s="116"/>
    </row>
    <row r="5015" spans="1:2" x14ac:dyDescent="0.2">
      <c r="A5015" s="102"/>
      <c r="B5015" s="116"/>
    </row>
    <row r="5016" spans="1:2" x14ac:dyDescent="0.2">
      <c r="A5016" s="102"/>
      <c r="B5016" s="116"/>
    </row>
    <row r="5017" spans="1:2" x14ac:dyDescent="0.2">
      <c r="A5017" s="102"/>
      <c r="B5017" s="116"/>
    </row>
    <row r="5018" spans="1:2" x14ac:dyDescent="0.2">
      <c r="A5018" s="102"/>
      <c r="B5018" s="116"/>
    </row>
    <row r="5019" spans="1:2" x14ac:dyDescent="0.2">
      <c r="A5019" s="102"/>
      <c r="B5019" s="116"/>
    </row>
    <row r="5020" spans="1:2" x14ac:dyDescent="0.2">
      <c r="A5020" s="102"/>
      <c r="B5020" s="116"/>
    </row>
    <row r="5021" spans="1:2" x14ac:dyDescent="0.2">
      <c r="A5021" s="102"/>
      <c r="B5021" s="116"/>
    </row>
    <row r="5022" spans="1:2" x14ac:dyDescent="0.2">
      <c r="A5022" s="102"/>
      <c r="B5022" s="116"/>
    </row>
    <row r="5023" spans="1:2" x14ac:dyDescent="0.2">
      <c r="A5023" s="102"/>
      <c r="B5023" s="116"/>
    </row>
    <row r="5024" spans="1:2" x14ac:dyDescent="0.2">
      <c r="A5024" s="102"/>
      <c r="B5024" s="116"/>
    </row>
    <row r="5025" spans="1:2" x14ac:dyDescent="0.2">
      <c r="A5025" s="102"/>
      <c r="B5025" s="116"/>
    </row>
    <row r="5026" spans="1:2" x14ac:dyDescent="0.2">
      <c r="A5026" s="102"/>
      <c r="B5026" s="116"/>
    </row>
    <row r="5027" spans="1:2" x14ac:dyDescent="0.2">
      <c r="A5027" s="102"/>
      <c r="B5027" s="116"/>
    </row>
    <row r="5028" spans="1:2" x14ac:dyDescent="0.2">
      <c r="A5028" s="102"/>
      <c r="B5028" s="116"/>
    </row>
    <row r="5029" spans="1:2" x14ac:dyDescent="0.2">
      <c r="A5029" s="102"/>
      <c r="B5029" s="116"/>
    </row>
    <row r="5030" spans="1:2" x14ac:dyDescent="0.2">
      <c r="A5030" s="102"/>
      <c r="B5030" s="116"/>
    </row>
    <row r="5031" spans="1:2" x14ac:dyDescent="0.2">
      <c r="A5031" s="102"/>
      <c r="B5031" s="116"/>
    </row>
    <row r="5032" spans="1:2" x14ac:dyDescent="0.2">
      <c r="A5032" s="102"/>
      <c r="B5032" s="116"/>
    </row>
    <row r="5033" spans="1:2" x14ac:dyDescent="0.2">
      <c r="A5033" s="102"/>
      <c r="B5033" s="116"/>
    </row>
    <row r="5034" spans="1:2" x14ac:dyDescent="0.2">
      <c r="A5034" s="102"/>
      <c r="B5034" s="116"/>
    </row>
    <row r="5035" spans="1:2" x14ac:dyDescent="0.2">
      <c r="A5035" s="102"/>
      <c r="B5035" s="116"/>
    </row>
    <row r="5036" spans="1:2" x14ac:dyDescent="0.2">
      <c r="A5036" s="102"/>
      <c r="B5036" s="116"/>
    </row>
    <row r="5037" spans="1:2" x14ac:dyDescent="0.2">
      <c r="A5037" s="102"/>
      <c r="B5037" s="116"/>
    </row>
    <row r="5038" spans="1:2" x14ac:dyDescent="0.2">
      <c r="A5038" s="102"/>
      <c r="B5038" s="116"/>
    </row>
    <row r="5039" spans="1:2" x14ac:dyDescent="0.2">
      <c r="A5039" s="102"/>
      <c r="B5039" s="116"/>
    </row>
    <row r="5040" spans="1:2" x14ac:dyDescent="0.2">
      <c r="A5040" s="102"/>
      <c r="B5040" s="116"/>
    </row>
    <row r="5041" spans="1:2" x14ac:dyDescent="0.2">
      <c r="A5041" s="102"/>
      <c r="B5041" s="116"/>
    </row>
    <row r="5042" spans="1:2" x14ac:dyDescent="0.2">
      <c r="A5042" s="102"/>
      <c r="B5042" s="116"/>
    </row>
    <row r="5043" spans="1:2" x14ac:dyDescent="0.2">
      <c r="A5043" s="102"/>
      <c r="B5043" s="116"/>
    </row>
    <row r="5044" spans="1:2" x14ac:dyDescent="0.2">
      <c r="A5044" s="102"/>
      <c r="B5044" s="116"/>
    </row>
    <row r="5045" spans="1:2" x14ac:dyDescent="0.2">
      <c r="A5045" s="102"/>
      <c r="B5045" s="116"/>
    </row>
    <row r="5046" spans="1:2" x14ac:dyDescent="0.2">
      <c r="A5046" s="102"/>
      <c r="B5046" s="116"/>
    </row>
    <row r="5047" spans="1:2" x14ac:dyDescent="0.2">
      <c r="A5047" s="102"/>
      <c r="B5047" s="116"/>
    </row>
    <row r="5048" spans="1:2" x14ac:dyDescent="0.2">
      <c r="A5048" s="102"/>
      <c r="B5048" s="116"/>
    </row>
    <row r="5049" spans="1:2" x14ac:dyDescent="0.2">
      <c r="A5049" s="102"/>
      <c r="B5049" s="116"/>
    </row>
    <row r="5050" spans="1:2" x14ac:dyDescent="0.2">
      <c r="A5050" s="102"/>
      <c r="B5050" s="116"/>
    </row>
    <row r="5051" spans="1:2" x14ac:dyDescent="0.2">
      <c r="A5051" s="102"/>
      <c r="B5051" s="116"/>
    </row>
    <row r="5052" spans="1:2" x14ac:dyDescent="0.2">
      <c r="A5052" s="102"/>
      <c r="B5052" s="116"/>
    </row>
    <row r="5053" spans="1:2" x14ac:dyDescent="0.2">
      <c r="A5053" s="102"/>
      <c r="B5053" s="116"/>
    </row>
    <row r="5054" spans="1:2" x14ac:dyDescent="0.2">
      <c r="A5054" s="102"/>
      <c r="B5054" s="116"/>
    </row>
    <row r="5055" spans="1:2" x14ac:dyDescent="0.2">
      <c r="A5055" s="102"/>
      <c r="B5055" s="116"/>
    </row>
    <row r="5056" spans="1:2" x14ac:dyDescent="0.2">
      <c r="A5056" s="102"/>
      <c r="B5056" s="116"/>
    </row>
    <row r="5057" spans="1:2" x14ac:dyDescent="0.2">
      <c r="A5057" s="102"/>
      <c r="B5057" s="116"/>
    </row>
    <row r="5058" spans="1:2" x14ac:dyDescent="0.2">
      <c r="A5058" s="102"/>
      <c r="B5058" s="116"/>
    </row>
    <row r="5059" spans="1:2" x14ac:dyDescent="0.2">
      <c r="A5059" s="102"/>
      <c r="B5059" s="116"/>
    </row>
    <row r="5060" spans="1:2" x14ac:dyDescent="0.2">
      <c r="A5060" s="102"/>
      <c r="B5060" s="116"/>
    </row>
    <row r="5061" spans="1:2" x14ac:dyDescent="0.2">
      <c r="A5061" s="102"/>
      <c r="B5061" s="116"/>
    </row>
    <row r="5062" spans="1:2" x14ac:dyDescent="0.2">
      <c r="A5062" s="102"/>
      <c r="B5062" s="116"/>
    </row>
    <row r="5063" spans="1:2" x14ac:dyDescent="0.2">
      <c r="A5063" s="102"/>
      <c r="B5063" s="116"/>
    </row>
    <row r="5064" spans="1:2" x14ac:dyDescent="0.2">
      <c r="A5064" s="102"/>
      <c r="B5064" s="116"/>
    </row>
    <row r="5065" spans="1:2" x14ac:dyDescent="0.2">
      <c r="A5065" s="102"/>
      <c r="B5065" s="116"/>
    </row>
    <row r="5066" spans="1:2" x14ac:dyDescent="0.2">
      <c r="A5066" s="102"/>
      <c r="B5066" s="116"/>
    </row>
    <row r="5067" spans="1:2" x14ac:dyDescent="0.2">
      <c r="A5067" s="102"/>
      <c r="B5067" s="116"/>
    </row>
    <row r="5068" spans="1:2" x14ac:dyDescent="0.2">
      <c r="A5068" s="102"/>
      <c r="B5068" s="116"/>
    </row>
    <row r="5069" spans="1:2" x14ac:dyDescent="0.2">
      <c r="A5069" s="102"/>
      <c r="B5069" s="116"/>
    </row>
    <row r="5070" spans="1:2" x14ac:dyDescent="0.2">
      <c r="A5070" s="102"/>
      <c r="B5070" s="116"/>
    </row>
    <row r="5071" spans="1:2" x14ac:dyDescent="0.2">
      <c r="A5071" s="102"/>
      <c r="B5071" s="116"/>
    </row>
    <row r="5072" spans="1:2" x14ac:dyDescent="0.2">
      <c r="A5072" s="102"/>
      <c r="B5072" s="116"/>
    </row>
    <row r="5073" spans="1:2" x14ac:dyDescent="0.2">
      <c r="A5073" s="102"/>
      <c r="B5073" s="116"/>
    </row>
    <row r="5074" spans="1:2" x14ac:dyDescent="0.2">
      <c r="A5074" s="102"/>
      <c r="B5074" s="116"/>
    </row>
    <row r="5075" spans="1:2" x14ac:dyDescent="0.2">
      <c r="A5075" s="102"/>
      <c r="B5075" s="116"/>
    </row>
    <row r="5076" spans="1:2" x14ac:dyDescent="0.2">
      <c r="A5076" s="102"/>
      <c r="B5076" s="116"/>
    </row>
    <row r="5077" spans="1:2" x14ac:dyDescent="0.2">
      <c r="A5077" s="102"/>
      <c r="B5077" s="116"/>
    </row>
    <row r="5078" spans="1:2" x14ac:dyDescent="0.2">
      <c r="A5078" s="102"/>
      <c r="B5078" s="116"/>
    </row>
    <row r="5079" spans="1:2" x14ac:dyDescent="0.2">
      <c r="A5079" s="102"/>
      <c r="B5079" s="116"/>
    </row>
    <row r="5080" spans="1:2" x14ac:dyDescent="0.2">
      <c r="A5080" s="102"/>
      <c r="B5080" s="116"/>
    </row>
    <row r="5081" spans="1:2" x14ac:dyDescent="0.2">
      <c r="A5081" s="102"/>
      <c r="B5081" s="116"/>
    </row>
    <row r="5082" spans="1:2" x14ac:dyDescent="0.2">
      <c r="A5082" s="102"/>
      <c r="B5082" s="116"/>
    </row>
    <row r="5083" spans="1:2" x14ac:dyDescent="0.2">
      <c r="A5083" s="102"/>
      <c r="B5083" s="116"/>
    </row>
    <row r="5084" spans="1:2" x14ac:dyDescent="0.2">
      <c r="A5084" s="102"/>
      <c r="B5084" s="116"/>
    </row>
    <row r="5085" spans="1:2" x14ac:dyDescent="0.2">
      <c r="A5085" s="102"/>
      <c r="B5085" s="116"/>
    </row>
    <row r="5086" spans="1:2" x14ac:dyDescent="0.2">
      <c r="A5086" s="102"/>
      <c r="B5086" s="116"/>
    </row>
    <row r="5087" spans="1:2" x14ac:dyDescent="0.2">
      <c r="A5087" s="102"/>
      <c r="B5087" s="116"/>
    </row>
    <row r="5088" spans="1:2" x14ac:dyDescent="0.2">
      <c r="A5088" s="102"/>
      <c r="B5088" s="116"/>
    </row>
    <row r="5089" spans="1:2" x14ac:dyDescent="0.2">
      <c r="A5089" s="102"/>
      <c r="B5089" s="116"/>
    </row>
    <row r="5090" spans="1:2" x14ac:dyDescent="0.2">
      <c r="A5090" s="102"/>
      <c r="B5090" s="116"/>
    </row>
    <row r="5091" spans="1:2" x14ac:dyDescent="0.2">
      <c r="A5091" s="102"/>
      <c r="B5091" s="116"/>
    </row>
    <row r="5092" spans="1:2" x14ac:dyDescent="0.2">
      <c r="A5092" s="102"/>
      <c r="B5092" s="116"/>
    </row>
    <row r="5093" spans="1:2" x14ac:dyDescent="0.2">
      <c r="A5093" s="102"/>
      <c r="B5093" s="116"/>
    </row>
    <row r="5094" spans="1:2" x14ac:dyDescent="0.2">
      <c r="A5094" s="102"/>
      <c r="B5094" s="116"/>
    </row>
    <row r="5095" spans="1:2" x14ac:dyDescent="0.2">
      <c r="A5095" s="102"/>
      <c r="B5095" s="116"/>
    </row>
    <row r="5096" spans="1:2" x14ac:dyDescent="0.2">
      <c r="A5096" s="102"/>
      <c r="B5096" s="116"/>
    </row>
    <row r="5097" spans="1:2" x14ac:dyDescent="0.2">
      <c r="A5097" s="102"/>
      <c r="B5097" s="116"/>
    </row>
    <row r="5098" spans="1:2" x14ac:dyDescent="0.2">
      <c r="A5098" s="102"/>
      <c r="B5098" s="116"/>
    </row>
    <row r="5099" spans="1:2" x14ac:dyDescent="0.2">
      <c r="A5099" s="102"/>
      <c r="B5099" s="116"/>
    </row>
    <row r="5100" spans="1:2" x14ac:dyDescent="0.2">
      <c r="A5100" s="102"/>
      <c r="B5100" s="116"/>
    </row>
    <row r="5101" spans="1:2" x14ac:dyDescent="0.2">
      <c r="A5101" s="102"/>
      <c r="B5101" s="116"/>
    </row>
    <row r="5102" spans="1:2" x14ac:dyDescent="0.2">
      <c r="A5102" s="102"/>
      <c r="B5102" s="116"/>
    </row>
    <row r="5103" spans="1:2" x14ac:dyDescent="0.2">
      <c r="A5103" s="102"/>
      <c r="B5103" s="116"/>
    </row>
    <row r="5104" spans="1:2" x14ac:dyDescent="0.2">
      <c r="A5104" s="102"/>
      <c r="B5104" s="116"/>
    </row>
    <row r="5105" spans="1:2" x14ac:dyDescent="0.2">
      <c r="A5105" s="102"/>
      <c r="B5105" s="116"/>
    </row>
    <row r="5106" spans="1:2" x14ac:dyDescent="0.2">
      <c r="A5106" s="102"/>
      <c r="B5106" s="116"/>
    </row>
    <row r="5107" spans="1:2" x14ac:dyDescent="0.2">
      <c r="A5107" s="102"/>
      <c r="B5107" s="116"/>
    </row>
    <row r="5108" spans="1:2" x14ac:dyDescent="0.2">
      <c r="A5108" s="102"/>
      <c r="B5108" s="116"/>
    </row>
    <row r="5109" spans="1:2" x14ac:dyDescent="0.2">
      <c r="A5109" s="102"/>
      <c r="B5109" s="116"/>
    </row>
    <row r="5110" spans="1:2" x14ac:dyDescent="0.2">
      <c r="A5110" s="102"/>
      <c r="B5110" s="116"/>
    </row>
    <row r="5111" spans="1:2" x14ac:dyDescent="0.2">
      <c r="A5111" s="102"/>
      <c r="B5111" s="116"/>
    </row>
    <row r="5112" spans="1:2" x14ac:dyDescent="0.2">
      <c r="A5112" s="102"/>
      <c r="B5112" s="116"/>
    </row>
    <row r="5113" spans="1:2" x14ac:dyDescent="0.2">
      <c r="A5113" s="102"/>
      <c r="B5113" s="116"/>
    </row>
    <row r="5114" spans="1:2" x14ac:dyDescent="0.2">
      <c r="A5114" s="102"/>
      <c r="B5114" s="116"/>
    </row>
    <row r="5115" spans="1:2" x14ac:dyDescent="0.2">
      <c r="A5115" s="102"/>
      <c r="B5115" s="116"/>
    </row>
    <row r="5116" spans="1:2" x14ac:dyDescent="0.2">
      <c r="A5116" s="102"/>
      <c r="B5116" s="116"/>
    </row>
    <row r="5117" spans="1:2" x14ac:dyDescent="0.2">
      <c r="A5117" s="102"/>
      <c r="B5117" s="116"/>
    </row>
    <row r="5118" spans="1:2" x14ac:dyDescent="0.2">
      <c r="A5118" s="102"/>
      <c r="B5118" s="116"/>
    </row>
    <row r="5119" spans="1:2" x14ac:dyDescent="0.2">
      <c r="A5119" s="102"/>
      <c r="B5119" s="116"/>
    </row>
    <row r="5120" spans="1:2" x14ac:dyDescent="0.2">
      <c r="A5120" s="102"/>
      <c r="B5120" s="116"/>
    </row>
    <row r="5121" spans="1:2" x14ac:dyDescent="0.2">
      <c r="A5121" s="102"/>
      <c r="B5121" s="116"/>
    </row>
    <row r="5122" spans="1:2" x14ac:dyDescent="0.2">
      <c r="A5122" s="102"/>
      <c r="B5122" s="116"/>
    </row>
    <row r="5123" spans="1:2" x14ac:dyDescent="0.2">
      <c r="A5123" s="102"/>
      <c r="B5123" s="116"/>
    </row>
    <row r="5124" spans="1:2" x14ac:dyDescent="0.2">
      <c r="A5124" s="102"/>
      <c r="B5124" s="116"/>
    </row>
    <row r="5125" spans="1:2" x14ac:dyDescent="0.2">
      <c r="A5125" s="102"/>
      <c r="B5125" s="116"/>
    </row>
    <row r="5126" spans="1:2" x14ac:dyDescent="0.2">
      <c r="A5126" s="102"/>
      <c r="B5126" s="116"/>
    </row>
    <row r="5127" spans="1:2" x14ac:dyDescent="0.2">
      <c r="A5127" s="102"/>
      <c r="B5127" s="116"/>
    </row>
    <row r="5128" spans="1:2" x14ac:dyDescent="0.2">
      <c r="A5128" s="102"/>
      <c r="B5128" s="116"/>
    </row>
    <row r="5129" spans="1:2" x14ac:dyDescent="0.2">
      <c r="A5129" s="102"/>
      <c r="B5129" s="116"/>
    </row>
    <row r="5130" spans="1:2" x14ac:dyDescent="0.2">
      <c r="A5130" s="102"/>
      <c r="B5130" s="116"/>
    </row>
    <row r="5131" spans="1:2" x14ac:dyDescent="0.2">
      <c r="A5131" s="102"/>
      <c r="B5131" s="116"/>
    </row>
    <row r="5132" spans="1:2" x14ac:dyDescent="0.2">
      <c r="A5132" s="102"/>
      <c r="B5132" s="116"/>
    </row>
    <row r="5133" spans="1:2" x14ac:dyDescent="0.2">
      <c r="A5133" s="102"/>
      <c r="B5133" s="116"/>
    </row>
    <row r="5134" spans="1:2" x14ac:dyDescent="0.2">
      <c r="A5134" s="102"/>
      <c r="B5134" s="116"/>
    </row>
    <row r="5135" spans="1:2" x14ac:dyDescent="0.2">
      <c r="A5135" s="102"/>
      <c r="B5135" s="116"/>
    </row>
    <row r="5136" spans="1:2" x14ac:dyDescent="0.2">
      <c r="A5136" s="102"/>
      <c r="B5136" s="116"/>
    </row>
    <row r="5137" spans="1:2" x14ac:dyDescent="0.2">
      <c r="A5137" s="102"/>
      <c r="B5137" s="116"/>
    </row>
    <row r="5138" spans="1:2" x14ac:dyDescent="0.2">
      <c r="A5138" s="102"/>
      <c r="B5138" s="116"/>
    </row>
    <row r="5139" spans="1:2" x14ac:dyDescent="0.2">
      <c r="A5139" s="102"/>
      <c r="B5139" s="116"/>
    </row>
    <row r="5140" spans="1:2" x14ac:dyDescent="0.2">
      <c r="A5140" s="102"/>
      <c r="B5140" s="116"/>
    </row>
    <row r="5141" spans="1:2" x14ac:dyDescent="0.2">
      <c r="A5141" s="102"/>
      <c r="B5141" s="116"/>
    </row>
    <row r="5142" spans="1:2" x14ac:dyDescent="0.2">
      <c r="A5142" s="102"/>
      <c r="B5142" s="116"/>
    </row>
    <row r="5143" spans="1:2" x14ac:dyDescent="0.2">
      <c r="A5143" s="102"/>
      <c r="B5143" s="116"/>
    </row>
    <row r="5144" spans="1:2" x14ac:dyDescent="0.2">
      <c r="A5144" s="102"/>
      <c r="B5144" s="116"/>
    </row>
    <row r="5145" spans="1:2" x14ac:dyDescent="0.2">
      <c r="A5145" s="102"/>
      <c r="B5145" s="116"/>
    </row>
    <row r="5146" spans="1:2" x14ac:dyDescent="0.2">
      <c r="A5146" s="102"/>
      <c r="B5146" s="116"/>
    </row>
    <row r="5147" spans="1:2" x14ac:dyDescent="0.2">
      <c r="A5147" s="102"/>
      <c r="B5147" s="116"/>
    </row>
    <row r="5148" spans="1:2" x14ac:dyDescent="0.2">
      <c r="A5148" s="102"/>
      <c r="B5148" s="116"/>
    </row>
    <row r="5149" spans="1:2" x14ac:dyDescent="0.2">
      <c r="A5149" s="102"/>
      <c r="B5149" s="116"/>
    </row>
    <row r="5150" spans="1:2" x14ac:dyDescent="0.2">
      <c r="A5150" s="102"/>
      <c r="B5150" s="116"/>
    </row>
    <row r="5151" spans="1:2" x14ac:dyDescent="0.2">
      <c r="A5151" s="102"/>
      <c r="B5151" s="116"/>
    </row>
    <row r="5152" spans="1:2" x14ac:dyDescent="0.2">
      <c r="A5152" s="102"/>
      <c r="B5152" s="116"/>
    </row>
    <row r="5153" spans="1:2" x14ac:dyDescent="0.2">
      <c r="A5153" s="102"/>
      <c r="B5153" s="116"/>
    </row>
    <row r="5154" spans="1:2" x14ac:dyDescent="0.2">
      <c r="A5154" s="102"/>
      <c r="B5154" s="116"/>
    </row>
    <row r="5155" spans="1:2" x14ac:dyDescent="0.2">
      <c r="A5155" s="102"/>
      <c r="B5155" s="116"/>
    </row>
    <row r="5156" spans="1:2" x14ac:dyDescent="0.2">
      <c r="A5156" s="102"/>
      <c r="B5156" s="116"/>
    </row>
    <row r="5157" spans="1:2" x14ac:dyDescent="0.2">
      <c r="A5157" s="102"/>
      <c r="B5157" s="116"/>
    </row>
    <row r="5158" spans="1:2" x14ac:dyDescent="0.2">
      <c r="A5158" s="102"/>
      <c r="B5158" s="116"/>
    </row>
    <row r="5159" spans="1:2" x14ac:dyDescent="0.2">
      <c r="A5159" s="102"/>
      <c r="B5159" s="116"/>
    </row>
    <row r="5160" spans="1:2" x14ac:dyDescent="0.2">
      <c r="A5160" s="102"/>
      <c r="B5160" s="116"/>
    </row>
    <row r="5161" spans="1:2" x14ac:dyDescent="0.2">
      <c r="A5161" s="102"/>
      <c r="B5161" s="116"/>
    </row>
    <row r="5162" spans="1:2" x14ac:dyDescent="0.2">
      <c r="A5162" s="102"/>
      <c r="B5162" s="116"/>
    </row>
    <row r="5163" spans="1:2" x14ac:dyDescent="0.2">
      <c r="A5163" s="102"/>
      <c r="B5163" s="116"/>
    </row>
    <row r="5164" spans="1:2" x14ac:dyDescent="0.2">
      <c r="A5164" s="102"/>
      <c r="B5164" s="116"/>
    </row>
    <row r="5165" spans="1:2" x14ac:dyDescent="0.2">
      <c r="A5165" s="102"/>
      <c r="B5165" s="116"/>
    </row>
    <row r="5166" spans="1:2" x14ac:dyDescent="0.2">
      <c r="A5166" s="102"/>
      <c r="B5166" s="116"/>
    </row>
    <row r="5167" spans="1:2" x14ac:dyDescent="0.2">
      <c r="A5167" s="102"/>
      <c r="B5167" s="116"/>
    </row>
    <row r="5168" spans="1:2" x14ac:dyDescent="0.2">
      <c r="A5168" s="102"/>
      <c r="B5168" s="116"/>
    </row>
    <row r="5169" spans="1:2" x14ac:dyDescent="0.2">
      <c r="A5169" s="102"/>
      <c r="B5169" s="116"/>
    </row>
    <row r="5170" spans="1:2" x14ac:dyDescent="0.2">
      <c r="A5170" s="102"/>
      <c r="B5170" s="116"/>
    </row>
    <row r="5171" spans="1:2" x14ac:dyDescent="0.2">
      <c r="A5171" s="102"/>
      <c r="B5171" s="116"/>
    </row>
    <row r="5172" spans="1:2" x14ac:dyDescent="0.2">
      <c r="A5172" s="102"/>
      <c r="B5172" s="116"/>
    </row>
    <row r="5173" spans="1:2" x14ac:dyDescent="0.2">
      <c r="A5173" s="102"/>
      <c r="B5173" s="116"/>
    </row>
    <row r="5174" spans="1:2" x14ac:dyDescent="0.2">
      <c r="A5174" s="102"/>
      <c r="B5174" s="116"/>
    </row>
    <row r="5175" spans="1:2" x14ac:dyDescent="0.2">
      <c r="A5175" s="102"/>
      <c r="B5175" s="116"/>
    </row>
    <row r="5176" spans="1:2" x14ac:dyDescent="0.2">
      <c r="A5176" s="102"/>
      <c r="B5176" s="116"/>
    </row>
    <row r="5177" spans="1:2" x14ac:dyDescent="0.2">
      <c r="A5177" s="102"/>
      <c r="B5177" s="116"/>
    </row>
    <row r="5178" spans="1:2" x14ac:dyDescent="0.2">
      <c r="A5178" s="102"/>
      <c r="B5178" s="116"/>
    </row>
    <row r="5179" spans="1:2" x14ac:dyDescent="0.2">
      <c r="A5179" s="102"/>
      <c r="B5179" s="116"/>
    </row>
    <row r="5180" spans="1:2" x14ac:dyDescent="0.2">
      <c r="A5180" s="102"/>
      <c r="B5180" s="116"/>
    </row>
    <row r="5181" spans="1:2" x14ac:dyDescent="0.2">
      <c r="A5181" s="102"/>
      <c r="B5181" s="116"/>
    </row>
    <row r="5182" spans="1:2" x14ac:dyDescent="0.2">
      <c r="A5182" s="102"/>
      <c r="B5182" s="116"/>
    </row>
    <row r="5183" spans="1:2" x14ac:dyDescent="0.2">
      <c r="A5183" s="102"/>
      <c r="B5183" s="116"/>
    </row>
    <row r="5184" spans="1:2" x14ac:dyDescent="0.2">
      <c r="A5184" s="102"/>
      <c r="B5184" s="116"/>
    </row>
    <row r="5185" spans="1:2" x14ac:dyDescent="0.2">
      <c r="A5185" s="102"/>
      <c r="B5185" s="116"/>
    </row>
    <row r="5186" spans="1:2" x14ac:dyDescent="0.2">
      <c r="A5186" s="102"/>
      <c r="B5186" s="116"/>
    </row>
    <row r="5187" spans="1:2" x14ac:dyDescent="0.2">
      <c r="A5187" s="102"/>
      <c r="B5187" s="116"/>
    </row>
    <row r="5188" spans="1:2" x14ac:dyDescent="0.2">
      <c r="A5188" s="102"/>
      <c r="B5188" s="116"/>
    </row>
    <row r="5189" spans="1:2" x14ac:dyDescent="0.2">
      <c r="A5189" s="102"/>
      <c r="B5189" s="116"/>
    </row>
    <row r="5190" spans="1:2" x14ac:dyDescent="0.2">
      <c r="A5190" s="102"/>
      <c r="B5190" s="116"/>
    </row>
    <row r="5191" spans="1:2" x14ac:dyDescent="0.2">
      <c r="A5191" s="102"/>
      <c r="B5191" s="116"/>
    </row>
    <row r="5192" spans="1:2" x14ac:dyDescent="0.2">
      <c r="A5192" s="102"/>
      <c r="B5192" s="116"/>
    </row>
    <row r="5193" spans="1:2" x14ac:dyDescent="0.2">
      <c r="A5193" s="102"/>
      <c r="B5193" s="116"/>
    </row>
    <row r="5194" spans="1:2" x14ac:dyDescent="0.2">
      <c r="A5194" s="102"/>
      <c r="B5194" s="116"/>
    </row>
    <row r="5195" spans="1:2" x14ac:dyDescent="0.2">
      <c r="A5195" s="102"/>
      <c r="B5195" s="116"/>
    </row>
    <row r="5196" spans="1:2" x14ac:dyDescent="0.2">
      <c r="A5196" s="102"/>
      <c r="B5196" s="116"/>
    </row>
    <row r="5197" spans="1:2" x14ac:dyDescent="0.2">
      <c r="A5197" s="102"/>
      <c r="B5197" s="116"/>
    </row>
    <row r="5198" spans="1:2" x14ac:dyDescent="0.2">
      <c r="A5198" s="102"/>
      <c r="B5198" s="116"/>
    </row>
    <row r="5199" spans="1:2" x14ac:dyDescent="0.2">
      <c r="A5199" s="102"/>
      <c r="B5199" s="116"/>
    </row>
    <row r="5200" spans="1:2" x14ac:dyDescent="0.2">
      <c r="A5200" s="102"/>
      <c r="B5200" s="116"/>
    </row>
    <row r="5201" spans="1:2" x14ac:dyDescent="0.2">
      <c r="A5201" s="102"/>
      <c r="B5201" s="116"/>
    </row>
    <row r="5202" spans="1:2" x14ac:dyDescent="0.2">
      <c r="A5202" s="102"/>
      <c r="B5202" s="116"/>
    </row>
    <row r="5203" spans="1:2" x14ac:dyDescent="0.2">
      <c r="A5203" s="102"/>
      <c r="B5203" s="116"/>
    </row>
    <row r="5204" spans="1:2" x14ac:dyDescent="0.2">
      <c r="A5204" s="102"/>
      <c r="B5204" s="116"/>
    </row>
    <row r="5205" spans="1:2" x14ac:dyDescent="0.2">
      <c r="A5205" s="102"/>
      <c r="B5205" s="116"/>
    </row>
    <row r="5206" spans="1:2" x14ac:dyDescent="0.2">
      <c r="A5206" s="102"/>
      <c r="B5206" s="116"/>
    </row>
    <row r="5207" spans="1:2" x14ac:dyDescent="0.2">
      <c r="A5207" s="102"/>
      <c r="B5207" s="116"/>
    </row>
    <row r="5208" spans="1:2" x14ac:dyDescent="0.2">
      <c r="A5208" s="102"/>
      <c r="B5208" s="116"/>
    </row>
    <row r="5209" spans="1:2" x14ac:dyDescent="0.2">
      <c r="A5209" s="102"/>
      <c r="B5209" s="116"/>
    </row>
    <row r="5210" spans="1:2" x14ac:dyDescent="0.2">
      <c r="A5210" s="102"/>
      <c r="B5210" s="116"/>
    </row>
    <row r="5211" spans="1:2" x14ac:dyDescent="0.2">
      <c r="A5211" s="102"/>
      <c r="B5211" s="116"/>
    </row>
    <row r="5212" spans="1:2" x14ac:dyDescent="0.2">
      <c r="A5212" s="102"/>
      <c r="B5212" s="116"/>
    </row>
    <row r="5213" spans="1:2" x14ac:dyDescent="0.2">
      <c r="A5213" s="102"/>
      <c r="B5213" s="116"/>
    </row>
    <row r="5214" spans="1:2" x14ac:dyDescent="0.2">
      <c r="A5214" s="102"/>
      <c r="B5214" s="116"/>
    </row>
    <row r="5215" spans="1:2" x14ac:dyDescent="0.2">
      <c r="A5215" s="102"/>
      <c r="B5215" s="116"/>
    </row>
    <row r="5216" spans="1:2" x14ac:dyDescent="0.2">
      <c r="A5216" s="102"/>
      <c r="B5216" s="116"/>
    </row>
    <row r="5217" spans="1:2" x14ac:dyDescent="0.2">
      <c r="A5217" s="102"/>
      <c r="B5217" s="116"/>
    </row>
    <row r="5218" spans="1:2" x14ac:dyDescent="0.2">
      <c r="A5218" s="102"/>
      <c r="B5218" s="116"/>
    </row>
    <row r="5219" spans="1:2" x14ac:dyDescent="0.2">
      <c r="A5219" s="102"/>
      <c r="B5219" s="116"/>
    </row>
    <row r="5220" spans="1:2" x14ac:dyDescent="0.2">
      <c r="A5220" s="102"/>
      <c r="B5220" s="116"/>
    </row>
    <row r="5221" spans="1:2" x14ac:dyDescent="0.2">
      <c r="A5221" s="102"/>
      <c r="B5221" s="116"/>
    </row>
    <row r="5222" spans="1:2" x14ac:dyDescent="0.2">
      <c r="A5222" s="102"/>
      <c r="B5222" s="116"/>
    </row>
    <row r="5223" spans="1:2" x14ac:dyDescent="0.2">
      <c r="A5223" s="102"/>
      <c r="B5223" s="116"/>
    </row>
    <row r="5224" spans="1:2" x14ac:dyDescent="0.2">
      <c r="A5224" s="102"/>
      <c r="B5224" s="116"/>
    </row>
    <row r="5225" spans="1:2" x14ac:dyDescent="0.2">
      <c r="A5225" s="102"/>
      <c r="B5225" s="116"/>
    </row>
    <row r="5226" spans="1:2" x14ac:dyDescent="0.2">
      <c r="A5226" s="102"/>
      <c r="B5226" s="116"/>
    </row>
    <row r="5227" spans="1:2" x14ac:dyDescent="0.2">
      <c r="A5227" s="102"/>
      <c r="B5227" s="116"/>
    </row>
    <row r="5228" spans="1:2" x14ac:dyDescent="0.2">
      <c r="A5228" s="102"/>
      <c r="B5228" s="116"/>
    </row>
    <row r="5229" spans="1:2" x14ac:dyDescent="0.2">
      <c r="A5229" s="102"/>
      <c r="B5229" s="116"/>
    </row>
    <row r="5230" spans="1:2" x14ac:dyDescent="0.2">
      <c r="A5230" s="102"/>
      <c r="B5230" s="116"/>
    </row>
    <row r="5231" spans="1:2" x14ac:dyDescent="0.2">
      <c r="A5231" s="102"/>
      <c r="B5231" s="116"/>
    </row>
    <row r="5232" spans="1:2" x14ac:dyDescent="0.2">
      <c r="A5232" s="102"/>
      <c r="B5232" s="116"/>
    </row>
    <row r="5233" spans="1:2" x14ac:dyDescent="0.2">
      <c r="A5233" s="102"/>
      <c r="B5233" s="116"/>
    </row>
    <row r="5234" spans="1:2" x14ac:dyDescent="0.2">
      <c r="A5234" s="102"/>
      <c r="B5234" s="116"/>
    </row>
    <row r="5235" spans="1:2" x14ac:dyDescent="0.2">
      <c r="A5235" s="102"/>
      <c r="B5235" s="116"/>
    </row>
    <row r="5236" spans="1:2" x14ac:dyDescent="0.2">
      <c r="A5236" s="102"/>
      <c r="B5236" s="116"/>
    </row>
    <row r="5237" spans="1:2" x14ac:dyDescent="0.2">
      <c r="A5237" s="102"/>
      <c r="B5237" s="116"/>
    </row>
    <row r="5238" spans="1:2" x14ac:dyDescent="0.2">
      <c r="A5238" s="102"/>
      <c r="B5238" s="116"/>
    </row>
    <row r="5239" spans="1:2" x14ac:dyDescent="0.2">
      <c r="A5239" s="102"/>
      <c r="B5239" s="116"/>
    </row>
    <row r="5240" spans="1:2" x14ac:dyDescent="0.2">
      <c r="A5240" s="102"/>
      <c r="B5240" s="116"/>
    </row>
    <row r="5241" spans="1:2" x14ac:dyDescent="0.2">
      <c r="A5241" s="102"/>
      <c r="B5241" s="116"/>
    </row>
    <row r="5242" spans="1:2" x14ac:dyDescent="0.2">
      <c r="A5242" s="102"/>
      <c r="B5242" s="116"/>
    </row>
    <row r="5243" spans="1:2" x14ac:dyDescent="0.2">
      <c r="A5243" s="102"/>
      <c r="B5243" s="116"/>
    </row>
    <row r="5244" spans="1:2" x14ac:dyDescent="0.2">
      <c r="A5244" s="102"/>
      <c r="B5244" s="116"/>
    </row>
    <row r="5245" spans="1:2" x14ac:dyDescent="0.2">
      <c r="A5245" s="102"/>
      <c r="B5245" s="116"/>
    </row>
    <row r="5246" spans="1:2" x14ac:dyDescent="0.2">
      <c r="A5246" s="102"/>
      <c r="B5246" s="116"/>
    </row>
    <row r="5247" spans="1:2" x14ac:dyDescent="0.2">
      <c r="A5247" s="102"/>
      <c r="B5247" s="116"/>
    </row>
    <row r="5248" spans="1:2" x14ac:dyDescent="0.2">
      <c r="A5248" s="102"/>
      <c r="B5248" s="116"/>
    </row>
    <row r="5249" spans="1:2" x14ac:dyDescent="0.2">
      <c r="A5249" s="102"/>
      <c r="B5249" s="116"/>
    </row>
    <row r="5250" spans="1:2" x14ac:dyDescent="0.2">
      <c r="A5250" s="102"/>
      <c r="B5250" s="116"/>
    </row>
    <row r="5251" spans="1:2" x14ac:dyDescent="0.2">
      <c r="A5251" s="102"/>
      <c r="B5251" s="116"/>
    </row>
    <row r="5252" spans="1:2" x14ac:dyDescent="0.2">
      <c r="A5252" s="102"/>
      <c r="B5252" s="116"/>
    </row>
    <row r="5253" spans="1:2" x14ac:dyDescent="0.2">
      <c r="A5253" s="102"/>
      <c r="B5253" s="116"/>
    </row>
    <row r="5254" spans="1:2" x14ac:dyDescent="0.2">
      <c r="A5254" s="102"/>
      <c r="B5254" s="116"/>
    </row>
    <row r="5255" spans="1:2" x14ac:dyDescent="0.2">
      <c r="A5255" s="102"/>
      <c r="B5255" s="116"/>
    </row>
    <row r="5256" spans="1:2" x14ac:dyDescent="0.2">
      <c r="A5256" s="102"/>
      <c r="B5256" s="116"/>
    </row>
    <row r="5257" spans="1:2" x14ac:dyDescent="0.2">
      <c r="A5257" s="102"/>
      <c r="B5257" s="116"/>
    </row>
    <row r="5258" spans="1:2" x14ac:dyDescent="0.2">
      <c r="A5258" s="102"/>
      <c r="B5258" s="116"/>
    </row>
    <row r="5259" spans="1:2" x14ac:dyDescent="0.2">
      <c r="A5259" s="102"/>
      <c r="B5259" s="116"/>
    </row>
    <row r="5260" spans="1:2" x14ac:dyDescent="0.2">
      <c r="A5260" s="102"/>
      <c r="B5260" s="116"/>
    </row>
    <row r="5261" spans="1:2" x14ac:dyDescent="0.2">
      <c r="A5261" s="102"/>
      <c r="B5261" s="116"/>
    </row>
    <row r="5262" spans="1:2" x14ac:dyDescent="0.2">
      <c r="A5262" s="102"/>
      <c r="B5262" s="116"/>
    </row>
    <row r="5263" spans="1:2" x14ac:dyDescent="0.2">
      <c r="A5263" s="102"/>
      <c r="B5263" s="116"/>
    </row>
    <row r="5264" spans="1:2" x14ac:dyDescent="0.2">
      <c r="A5264" s="102"/>
      <c r="B5264" s="116"/>
    </row>
    <row r="5265" spans="1:2" x14ac:dyDescent="0.2">
      <c r="A5265" s="102"/>
      <c r="B5265" s="116"/>
    </row>
    <row r="5266" spans="1:2" x14ac:dyDescent="0.2">
      <c r="A5266" s="102"/>
      <c r="B5266" s="116"/>
    </row>
    <row r="5267" spans="1:2" x14ac:dyDescent="0.2">
      <c r="A5267" s="102"/>
      <c r="B5267" s="116"/>
    </row>
    <row r="5268" spans="1:2" x14ac:dyDescent="0.2">
      <c r="A5268" s="102"/>
      <c r="B5268" s="116"/>
    </row>
    <row r="5269" spans="1:2" x14ac:dyDescent="0.2">
      <c r="A5269" s="102"/>
      <c r="B5269" s="116"/>
    </row>
    <row r="5270" spans="1:2" x14ac:dyDescent="0.2">
      <c r="A5270" s="102"/>
      <c r="B5270" s="116"/>
    </row>
    <row r="5271" spans="1:2" x14ac:dyDescent="0.2">
      <c r="A5271" s="102"/>
      <c r="B5271" s="116"/>
    </row>
    <row r="5272" spans="1:2" x14ac:dyDescent="0.2">
      <c r="A5272" s="102"/>
      <c r="B5272" s="116"/>
    </row>
    <row r="5273" spans="1:2" x14ac:dyDescent="0.2">
      <c r="A5273" s="102"/>
      <c r="B5273" s="116"/>
    </row>
    <row r="5274" spans="1:2" x14ac:dyDescent="0.2">
      <c r="A5274" s="102"/>
      <c r="B5274" s="116"/>
    </row>
    <row r="5275" spans="1:2" x14ac:dyDescent="0.2">
      <c r="A5275" s="102"/>
      <c r="B5275" s="116"/>
    </row>
    <row r="5276" spans="1:2" x14ac:dyDescent="0.2">
      <c r="A5276" s="102"/>
      <c r="B5276" s="116"/>
    </row>
    <row r="5277" spans="1:2" x14ac:dyDescent="0.2">
      <c r="A5277" s="102"/>
      <c r="B5277" s="116"/>
    </row>
    <row r="5278" spans="1:2" x14ac:dyDescent="0.2">
      <c r="A5278" s="102"/>
      <c r="B5278" s="116"/>
    </row>
    <row r="5279" spans="1:2" x14ac:dyDescent="0.2">
      <c r="A5279" s="102"/>
      <c r="B5279" s="116"/>
    </row>
    <row r="5280" spans="1:2" x14ac:dyDescent="0.2">
      <c r="A5280" s="102"/>
      <c r="B5280" s="116"/>
    </row>
    <row r="5281" spans="1:2" x14ac:dyDescent="0.2">
      <c r="A5281" s="102"/>
      <c r="B5281" s="116"/>
    </row>
    <row r="5282" spans="1:2" x14ac:dyDescent="0.2">
      <c r="A5282" s="102"/>
      <c r="B5282" s="116"/>
    </row>
    <row r="5283" spans="1:2" x14ac:dyDescent="0.2">
      <c r="A5283" s="102"/>
      <c r="B5283" s="116"/>
    </row>
    <row r="5284" spans="1:2" x14ac:dyDescent="0.2">
      <c r="A5284" s="102"/>
      <c r="B5284" s="116"/>
    </row>
    <row r="5285" spans="1:2" x14ac:dyDescent="0.2">
      <c r="A5285" s="102"/>
      <c r="B5285" s="116"/>
    </row>
    <row r="5286" spans="1:2" x14ac:dyDescent="0.2">
      <c r="A5286" s="102"/>
      <c r="B5286" s="116"/>
    </row>
    <row r="5287" spans="1:2" x14ac:dyDescent="0.2">
      <c r="A5287" s="102"/>
      <c r="B5287" s="116"/>
    </row>
    <row r="5288" spans="1:2" x14ac:dyDescent="0.2">
      <c r="A5288" s="102"/>
      <c r="B5288" s="116"/>
    </row>
    <row r="5289" spans="1:2" x14ac:dyDescent="0.2">
      <c r="A5289" s="102"/>
      <c r="B5289" s="116"/>
    </row>
    <row r="5290" spans="1:2" x14ac:dyDescent="0.2">
      <c r="A5290" s="102"/>
      <c r="B5290" s="116"/>
    </row>
    <row r="5291" spans="1:2" x14ac:dyDescent="0.2">
      <c r="A5291" s="102"/>
      <c r="B5291" s="116"/>
    </row>
    <row r="5292" spans="1:2" x14ac:dyDescent="0.2">
      <c r="A5292" s="102"/>
      <c r="B5292" s="116"/>
    </row>
    <row r="5293" spans="1:2" x14ac:dyDescent="0.2">
      <c r="A5293" s="102"/>
      <c r="B5293" s="116"/>
    </row>
    <row r="5294" spans="1:2" x14ac:dyDescent="0.2">
      <c r="A5294" s="102"/>
      <c r="B5294" s="116"/>
    </row>
    <row r="5295" spans="1:2" x14ac:dyDescent="0.2">
      <c r="A5295" s="102"/>
      <c r="B5295" s="116"/>
    </row>
    <row r="5296" spans="1:2" x14ac:dyDescent="0.2">
      <c r="A5296" s="102"/>
      <c r="B5296" s="116"/>
    </row>
    <row r="5297" spans="1:2" x14ac:dyDescent="0.2">
      <c r="A5297" s="102"/>
      <c r="B5297" s="116"/>
    </row>
    <row r="5298" spans="1:2" x14ac:dyDescent="0.2">
      <c r="A5298" s="102"/>
      <c r="B5298" s="116"/>
    </row>
    <row r="5299" spans="1:2" x14ac:dyDescent="0.2">
      <c r="A5299" s="102"/>
      <c r="B5299" s="116"/>
    </row>
    <row r="5300" spans="1:2" x14ac:dyDescent="0.2">
      <c r="A5300" s="102"/>
      <c r="B5300" s="116"/>
    </row>
    <row r="5301" spans="1:2" x14ac:dyDescent="0.2">
      <c r="A5301" s="102"/>
      <c r="B5301" s="116"/>
    </row>
    <row r="5302" spans="1:2" x14ac:dyDescent="0.2">
      <c r="A5302" s="102"/>
      <c r="B5302" s="116"/>
    </row>
    <row r="5303" spans="1:2" x14ac:dyDescent="0.2">
      <c r="A5303" s="102"/>
      <c r="B5303" s="116"/>
    </row>
    <row r="5304" spans="1:2" x14ac:dyDescent="0.2">
      <c r="A5304" s="102"/>
      <c r="B5304" s="116"/>
    </row>
    <row r="5305" spans="1:2" x14ac:dyDescent="0.2">
      <c r="A5305" s="102"/>
      <c r="B5305" s="116"/>
    </row>
    <row r="5306" spans="1:2" x14ac:dyDescent="0.2">
      <c r="A5306" s="102"/>
      <c r="B5306" s="116"/>
    </row>
    <row r="5307" spans="1:2" x14ac:dyDescent="0.2">
      <c r="A5307" s="102"/>
      <c r="B5307" s="116"/>
    </row>
    <row r="5308" spans="1:2" x14ac:dyDescent="0.2">
      <c r="A5308" s="102"/>
      <c r="B5308" s="116"/>
    </row>
    <row r="5309" spans="1:2" x14ac:dyDescent="0.2">
      <c r="A5309" s="102"/>
      <c r="B5309" s="116"/>
    </row>
    <row r="5310" spans="1:2" x14ac:dyDescent="0.2">
      <c r="A5310" s="102"/>
      <c r="B5310" s="116"/>
    </row>
    <row r="5311" spans="1:2" x14ac:dyDescent="0.2">
      <c r="A5311" s="102"/>
      <c r="B5311" s="116"/>
    </row>
    <row r="5312" spans="1:2" x14ac:dyDescent="0.2">
      <c r="A5312" s="102"/>
      <c r="B5312" s="116"/>
    </row>
    <row r="5313" spans="1:2" x14ac:dyDescent="0.2">
      <c r="A5313" s="102"/>
      <c r="B5313" s="116"/>
    </row>
    <row r="5314" spans="1:2" x14ac:dyDescent="0.2">
      <c r="A5314" s="102"/>
      <c r="B5314" s="116"/>
    </row>
    <row r="5315" spans="1:2" x14ac:dyDescent="0.2">
      <c r="A5315" s="102"/>
      <c r="B5315" s="116"/>
    </row>
    <row r="5316" spans="1:2" x14ac:dyDescent="0.2">
      <c r="A5316" s="102"/>
      <c r="B5316" s="116"/>
    </row>
    <row r="5317" spans="1:2" x14ac:dyDescent="0.2">
      <c r="A5317" s="102"/>
      <c r="B5317" s="116"/>
    </row>
    <row r="5318" spans="1:2" x14ac:dyDescent="0.2">
      <c r="A5318" s="102"/>
      <c r="B5318" s="116"/>
    </row>
    <row r="5319" spans="1:2" x14ac:dyDescent="0.2">
      <c r="A5319" s="102"/>
      <c r="B5319" s="116"/>
    </row>
    <row r="5320" spans="1:2" x14ac:dyDescent="0.2">
      <c r="A5320" s="102"/>
      <c r="B5320" s="116"/>
    </row>
    <row r="5321" spans="1:2" x14ac:dyDescent="0.2">
      <c r="A5321" s="102"/>
      <c r="B5321" s="116"/>
    </row>
    <row r="5322" spans="1:2" x14ac:dyDescent="0.2">
      <c r="A5322" s="102"/>
      <c r="B5322" s="116"/>
    </row>
    <row r="5323" spans="1:2" x14ac:dyDescent="0.2">
      <c r="A5323" s="102"/>
      <c r="B5323" s="116"/>
    </row>
    <row r="5324" spans="1:2" x14ac:dyDescent="0.2">
      <c r="A5324" s="102"/>
      <c r="B5324" s="116"/>
    </row>
    <row r="5325" spans="1:2" x14ac:dyDescent="0.2">
      <c r="A5325" s="102"/>
      <c r="B5325" s="116"/>
    </row>
    <row r="5326" spans="1:2" x14ac:dyDescent="0.2">
      <c r="A5326" s="102"/>
      <c r="B5326" s="116"/>
    </row>
    <row r="5327" spans="1:2" x14ac:dyDescent="0.2">
      <c r="A5327" s="102"/>
      <c r="B5327" s="116"/>
    </row>
    <row r="5328" spans="1:2" x14ac:dyDescent="0.2">
      <c r="A5328" s="102"/>
      <c r="B5328" s="116"/>
    </row>
    <row r="5329" spans="1:2" x14ac:dyDescent="0.2">
      <c r="A5329" s="102"/>
      <c r="B5329" s="116"/>
    </row>
    <row r="5330" spans="1:2" x14ac:dyDescent="0.2">
      <c r="A5330" s="102"/>
      <c r="B5330" s="116"/>
    </row>
    <row r="5331" spans="1:2" x14ac:dyDescent="0.2">
      <c r="A5331" s="102"/>
      <c r="B5331" s="116"/>
    </row>
    <row r="5332" spans="1:2" x14ac:dyDescent="0.2">
      <c r="A5332" s="102"/>
      <c r="B5332" s="116"/>
    </row>
    <row r="5333" spans="1:2" x14ac:dyDescent="0.2">
      <c r="A5333" s="102"/>
      <c r="B5333" s="116"/>
    </row>
    <row r="5334" spans="1:2" x14ac:dyDescent="0.2">
      <c r="A5334" s="102"/>
      <c r="B5334" s="116"/>
    </row>
    <row r="5335" spans="1:2" x14ac:dyDescent="0.2">
      <c r="A5335" s="102"/>
      <c r="B5335" s="116"/>
    </row>
    <row r="5336" spans="1:2" x14ac:dyDescent="0.2">
      <c r="A5336" s="102"/>
      <c r="B5336" s="116"/>
    </row>
    <row r="5337" spans="1:2" x14ac:dyDescent="0.2">
      <c r="A5337" s="102"/>
      <c r="B5337" s="116"/>
    </row>
    <row r="5338" spans="1:2" x14ac:dyDescent="0.2">
      <c r="A5338" s="102"/>
      <c r="B5338" s="116"/>
    </row>
    <row r="5339" spans="1:2" x14ac:dyDescent="0.2">
      <c r="A5339" s="102"/>
      <c r="B5339" s="116"/>
    </row>
    <row r="5340" spans="1:2" x14ac:dyDescent="0.2">
      <c r="A5340" s="102"/>
      <c r="B5340" s="116"/>
    </row>
    <row r="5341" spans="1:2" x14ac:dyDescent="0.2">
      <c r="A5341" s="102"/>
      <c r="B5341" s="116"/>
    </row>
    <row r="5342" spans="1:2" x14ac:dyDescent="0.2">
      <c r="A5342" s="102"/>
      <c r="B5342" s="116"/>
    </row>
    <row r="5343" spans="1:2" x14ac:dyDescent="0.2">
      <c r="A5343" s="102"/>
      <c r="B5343" s="116"/>
    </row>
    <row r="5344" spans="1:2" x14ac:dyDescent="0.2">
      <c r="A5344" s="102"/>
      <c r="B5344" s="116"/>
    </row>
    <row r="5345" spans="1:2" x14ac:dyDescent="0.2">
      <c r="A5345" s="102"/>
      <c r="B5345" s="116"/>
    </row>
    <row r="5346" spans="1:2" x14ac:dyDescent="0.2">
      <c r="A5346" s="102"/>
      <c r="B5346" s="116"/>
    </row>
    <row r="5347" spans="1:2" x14ac:dyDescent="0.2">
      <c r="A5347" s="102"/>
      <c r="B5347" s="116"/>
    </row>
    <row r="5348" spans="1:2" x14ac:dyDescent="0.2">
      <c r="A5348" s="102"/>
      <c r="B5348" s="116"/>
    </row>
    <row r="5349" spans="1:2" x14ac:dyDescent="0.2">
      <c r="A5349" s="102"/>
      <c r="B5349" s="116"/>
    </row>
    <row r="5350" spans="1:2" x14ac:dyDescent="0.2">
      <c r="A5350" s="102"/>
      <c r="B5350" s="116"/>
    </row>
    <row r="5351" spans="1:2" x14ac:dyDescent="0.2">
      <c r="A5351" s="102"/>
      <c r="B5351" s="116"/>
    </row>
    <row r="5352" spans="1:2" x14ac:dyDescent="0.2">
      <c r="A5352" s="102"/>
      <c r="B5352" s="116"/>
    </row>
    <row r="5353" spans="1:2" x14ac:dyDescent="0.2">
      <c r="A5353" s="102"/>
      <c r="B5353" s="116"/>
    </row>
    <row r="5354" spans="1:2" x14ac:dyDescent="0.2">
      <c r="A5354" s="102"/>
      <c r="B5354" s="116"/>
    </row>
    <row r="5355" spans="1:2" x14ac:dyDescent="0.2">
      <c r="A5355" s="102"/>
      <c r="B5355" s="116"/>
    </row>
    <row r="5356" spans="1:2" x14ac:dyDescent="0.2">
      <c r="A5356" s="102"/>
      <c r="B5356" s="116"/>
    </row>
    <row r="5357" spans="1:2" x14ac:dyDescent="0.2">
      <c r="A5357" s="102"/>
      <c r="B5357" s="116"/>
    </row>
    <row r="5358" spans="1:2" x14ac:dyDescent="0.2">
      <c r="A5358" s="102"/>
      <c r="B5358" s="116"/>
    </row>
    <row r="5359" spans="1:2" x14ac:dyDescent="0.2">
      <c r="A5359" s="102"/>
      <c r="B5359" s="116"/>
    </row>
    <row r="5360" spans="1:2" x14ac:dyDescent="0.2">
      <c r="A5360" s="102"/>
      <c r="B5360" s="116"/>
    </row>
    <row r="5361" spans="1:2" x14ac:dyDescent="0.2">
      <c r="A5361" s="102"/>
      <c r="B5361" s="116"/>
    </row>
    <row r="5362" spans="1:2" x14ac:dyDescent="0.2">
      <c r="A5362" s="102"/>
      <c r="B5362" s="116"/>
    </row>
    <row r="5363" spans="1:2" x14ac:dyDescent="0.2">
      <c r="A5363" s="102"/>
      <c r="B5363" s="116"/>
    </row>
    <row r="5364" spans="1:2" x14ac:dyDescent="0.2">
      <c r="A5364" s="102"/>
      <c r="B5364" s="116"/>
    </row>
    <row r="5365" spans="1:2" x14ac:dyDescent="0.2">
      <c r="A5365" s="102"/>
      <c r="B5365" s="116"/>
    </row>
    <row r="5366" spans="1:2" x14ac:dyDescent="0.2">
      <c r="A5366" s="102"/>
      <c r="B5366" s="116"/>
    </row>
    <row r="5367" spans="1:2" x14ac:dyDescent="0.2">
      <c r="A5367" s="102"/>
      <c r="B5367" s="116"/>
    </row>
    <row r="5368" spans="1:2" x14ac:dyDescent="0.2">
      <c r="A5368" s="102"/>
      <c r="B5368" s="116"/>
    </row>
    <row r="5369" spans="1:2" x14ac:dyDescent="0.2">
      <c r="A5369" s="102"/>
      <c r="B5369" s="116"/>
    </row>
    <row r="5370" spans="1:2" x14ac:dyDescent="0.2">
      <c r="A5370" s="102"/>
      <c r="B5370" s="116"/>
    </row>
    <row r="5371" spans="1:2" x14ac:dyDescent="0.2">
      <c r="A5371" s="102"/>
      <c r="B5371" s="116"/>
    </row>
    <row r="5372" spans="1:2" x14ac:dyDescent="0.2">
      <c r="A5372" s="102"/>
      <c r="B5372" s="116"/>
    </row>
    <row r="5373" spans="1:2" x14ac:dyDescent="0.2">
      <c r="A5373" s="102"/>
      <c r="B5373" s="116"/>
    </row>
    <row r="5374" spans="1:2" x14ac:dyDescent="0.2">
      <c r="A5374" s="102"/>
      <c r="B5374" s="116"/>
    </row>
    <row r="5375" spans="1:2" x14ac:dyDescent="0.2">
      <c r="A5375" s="102"/>
      <c r="B5375" s="116"/>
    </row>
    <row r="5376" spans="1:2" x14ac:dyDescent="0.2">
      <c r="A5376" s="102"/>
      <c r="B5376" s="116"/>
    </row>
    <row r="5377" spans="1:2" x14ac:dyDescent="0.2">
      <c r="A5377" s="102"/>
      <c r="B5377" s="116"/>
    </row>
    <row r="5378" spans="1:2" x14ac:dyDescent="0.2">
      <c r="A5378" s="102"/>
      <c r="B5378" s="116"/>
    </row>
    <row r="5379" spans="1:2" x14ac:dyDescent="0.2">
      <c r="A5379" s="102"/>
      <c r="B5379" s="116"/>
    </row>
    <row r="5380" spans="1:2" x14ac:dyDescent="0.2">
      <c r="A5380" s="102"/>
      <c r="B5380" s="116"/>
    </row>
    <row r="5381" spans="1:2" x14ac:dyDescent="0.2">
      <c r="A5381" s="102"/>
      <c r="B5381" s="116"/>
    </row>
    <row r="5382" spans="1:2" x14ac:dyDescent="0.2">
      <c r="A5382" s="102"/>
      <c r="B5382" s="116"/>
    </row>
    <row r="5383" spans="1:2" x14ac:dyDescent="0.2">
      <c r="A5383" s="102"/>
      <c r="B5383" s="116"/>
    </row>
    <row r="5384" spans="1:2" x14ac:dyDescent="0.2">
      <c r="A5384" s="102"/>
      <c r="B5384" s="116"/>
    </row>
    <row r="5385" spans="1:2" x14ac:dyDescent="0.2">
      <c r="A5385" s="102"/>
      <c r="B5385" s="116"/>
    </row>
    <row r="5386" spans="1:2" x14ac:dyDescent="0.2">
      <c r="A5386" s="102"/>
      <c r="B5386" s="116"/>
    </row>
    <row r="5387" spans="1:2" x14ac:dyDescent="0.2">
      <c r="A5387" s="102"/>
      <c r="B5387" s="116"/>
    </row>
    <row r="5388" spans="1:2" x14ac:dyDescent="0.2">
      <c r="A5388" s="102"/>
      <c r="B5388" s="116"/>
    </row>
    <row r="5389" spans="1:2" x14ac:dyDescent="0.2">
      <c r="A5389" s="102"/>
      <c r="B5389" s="116"/>
    </row>
    <row r="5390" spans="1:2" x14ac:dyDescent="0.2">
      <c r="A5390" s="102"/>
      <c r="B5390" s="116"/>
    </row>
    <row r="5391" spans="1:2" x14ac:dyDescent="0.2">
      <c r="A5391" s="102"/>
      <c r="B5391" s="116"/>
    </row>
    <row r="5392" spans="1:2" x14ac:dyDescent="0.2">
      <c r="A5392" s="102"/>
      <c r="B5392" s="116"/>
    </row>
    <row r="5393" spans="1:2" x14ac:dyDescent="0.2">
      <c r="A5393" s="102"/>
      <c r="B5393" s="116"/>
    </row>
    <row r="5394" spans="1:2" x14ac:dyDescent="0.2">
      <c r="A5394" s="102"/>
      <c r="B5394" s="116"/>
    </row>
    <row r="5395" spans="1:2" x14ac:dyDescent="0.2">
      <c r="A5395" s="102"/>
      <c r="B5395" s="116"/>
    </row>
    <row r="5396" spans="1:2" x14ac:dyDescent="0.2">
      <c r="A5396" s="102"/>
      <c r="B5396" s="116"/>
    </row>
    <row r="5397" spans="1:2" x14ac:dyDescent="0.2">
      <c r="A5397" s="102"/>
      <c r="B5397" s="116"/>
    </row>
    <row r="5398" spans="1:2" x14ac:dyDescent="0.2">
      <c r="A5398" s="102"/>
      <c r="B5398" s="116"/>
    </row>
    <row r="5399" spans="1:2" x14ac:dyDescent="0.2">
      <c r="A5399" s="102"/>
      <c r="B5399" s="116"/>
    </row>
    <row r="5400" spans="1:2" x14ac:dyDescent="0.2">
      <c r="A5400" s="102"/>
      <c r="B5400" s="116"/>
    </row>
    <row r="5401" spans="1:2" x14ac:dyDescent="0.2">
      <c r="A5401" s="102"/>
      <c r="B5401" s="116"/>
    </row>
    <row r="5402" spans="1:2" x14ac:dyDescent="0.2">
      <c r="A5402" s="102"/>
      <c r="B5402" s="116"/>
    </row>
    <row r="5403" spans="1:2" x14ac:dyDescent="0.2">
      <c r="A5403" s="102"/>
      <c r="B5403" s="116"/>
    </row>
    <row r="5404" spans="1:2" x14ac:dyDescent="0.2">
      <c r="A5404" s="102"/>
      <c r="B5404" s="116"/>
    </row>
    <row r="5405" spans="1:2" x14ac:dyDescent="0.2">
      <c r="A5405" s="102"/>
      <c r="B5405" s="116"/>
    </row>
    <row r="5406" spans="1:2" x14ac:dyDescent="0.2">
      <c r="A5406" s="102"/>
      <c r="B5406" s="116"/>
    </row>
    <row r="5407" spans="1:2" x14ac:dyDescent="0.2">
      <c r="A5407" s="102"/>
      <c r="B5407" s="116"/>
    </row>
    <row r="5408" spans="1:2" x14ac:dyDescent="0.2">
      <c r="A5408" s="102"/>
      <c r="B5408" s="116"/>
    </row>
    <row r="5409" spans="1:2" x14ac:dyDescent="0.2">
      <c r="A5409" s="102"/>
      <c r="B5409" s="116"/>
    </row>
    <row r="5410" spans="1:2" x14ac:dyDescent="0.2">
      <c r="A5410" s="102"/>
      <c r="B5410" s="116"/>
    </row>
    <row r="5411" spans="1:2" x14ac:dyDescent="0.2">
      <c r="A5411" s="102"/>
      <c r="B5411" s="116"/>
    </row>
    <row r="5412" spans="1:2" x14ac:dyDescent="0.2">
      <c r="A5412" s="102"/>
      <c r="B5412" s="116"/>
    </row>
    <row r="5413" spans="1:2" x14ac:dyDescent="0.2">
      <c r="A5413" s="102"/>
      <c r="B5413" s="116"/>
    </row>
    <row r="5414" spans="1:2" x14ac:dyDescent="0.2">
      <c r="A5414" s="102"/>
      <c r="B5414" s="116"/>
    </row>
    <row r="5415" spans="1:2" x14ac:dyDescent="0.2">
      <c r="A5415" s="102"/>
      <c r="B5415" s="116"/>
    </row>
    <row r="5416" spans="1:2" x14ac:dyDescent="0.2">
      <c r="A5416" s="102"/>
      <c r="B5416" s="116"/>
    </row>
    <row r="5417" spans="1:2" x14ac:dyDescent="0.2">
      <c r="A5417" s="102"/>
      <c r="B5417" s="116"/>
    </row>
    <row r="5418" spans="1:2" x14ac:dyDescent="0.2">
      <c r="A5418" s="102"/>
      <c r="B5418" s="116"/>
    </row>
    <row r="5419" spans="1:2" x14ac:dyDescent="0.2">
      <c r="A5419" s="102"/>
      <c r="B5419" s="116"/>
    </row>
    <row r="5420" spans="1:2" x14ac:dyDescent="0.2">
      <c r="A5420" s="102"/>
      <c r="B5420" s="116"/>
    </row>
    <row r="5421" spans="1:2" x14ac:dyDescent="0.2">
      <c r="A5421" s="102"/>
      <c r="B5421" s="116"/>
    </row>
    <row r="5422" spans="1:2" x14ac:dyDescent="0.2">
      <c r="A5422" s="102"/>
      <c r="B5422" s="116"/>
    </row>
    <row r="5423" spans="1:2" x14ac:dyDescent="0.2">
      <c r="A5423" s="102"/>
      <c r="B5423" s="116"/>
    </row>
    <row r="5424" spans="1:2" x14ac:dyDescent="0.2">
      <c r="A5424" s="102"/>
      <c r="B5424" s="116"/>
    </row>
    <row r="5425" spans="1:2" x14ac:dyDescent="0.2">
      <c r="A5425" s="102"/>
      <c r="B5425" s="116"/>
    </row>
    <row r="5426" spans="1:2" x14ac:dyDescent="0.2">
      <c r="A5426" s="102"/>
      <c r="B5426" s="116"/>
    </row>
    <row r="5427" spans="1:2" x14ac:dyDescent="0.2">
      <c r="A5427" s="102"/>
      <c r="B5427" s="116"/>
    </row>
    <row r="5428" spans="1:2" x14ac:dyDescent="0.2">
      <c r="A5428" s="102"/>
      <c r="B5428" s="116"/>
    </row>
    <row r="5429" spans="1:2" x14ac:dyDescent="0.2">
      <c r="A5429" s="102"/>
      <c r="B5429" s="116"/>
    </row>
    <row r="5430" spans="1:2" x14ac:dyDescent="0.2">
      <c r="A5430" s="102"/>
      <c r="B5430" s="116"/>
    </row>
    <row r="5431" spans="1:2" x14ac:dyDescent="0.2">
      <c r="A5431" s="102"/>
      <c r="B5431" s="116"/>
    </row>
    <row r="5432" spans="1:2" x14ac:dyDescent="0.2">
      <c r="A5432" s="102"/>
      <c r="B5432" s="116"/>
    </row>
    <row r="5433" spans="1:2" x14ac:dyDescent="0.2">
      <c r="A5433" s="102"/>
      <c r="B5433" s="116"/>
    </row>
    <row r="5434" spans="1:2" x14ac:dyDescent="0.2">
      <c r="A5434" s="102"/>
      <c r="B5434" s="116"/>
    </row>
    <row r="5435" spans="1:2" x14ac:dyDescent="0.2">
      <c r="A5435" s="102"/>
      <c r="B5435" s="116"/>
    </row>
    <row r="5436" spans="1:2" x14ac:dyDescent="0.2">
      <c r="A5436" s="102"/>
      <c r="B5436" s="116"/>
    </row>
    <row r="5437" spans="1:2" x14ac:dyDescent="0.2">
      <c r="A5437" s="102"/>
      <c r="B5437" s="116"/>
    </row>
    <row r="5438" spans="1:2" x14ac:dyDescent="0.2">
      <c r="A5438" s="102"/>
      <c r="B5438" s="116"/>
    </row>
    <row r="5439" spans="1:2" x14ac:dyDescent="0.2">
      <c r="A5439" s="102"/>
      <c r="B5439" s="116"/>
    </row>
    <row r="5440" spans="1:2" x14ac:dyDescent="0.2">
      <c r="A5440" s="102"/>
      <c r="B5440" s="116"/>
    </row>
    <row r="5441" spans="1:2" x14ac:dyDescent="0.2">
      <c r="A5441" s="102"/>
      <c r="B5441" s="116"/>
    </row>
    <row r="5442" spans="1:2" x14ac:dyDescent="0.2">
      <c r="A5442" s="102"/>
      <c r="B5442" s="116"/>
    </row>
    <row r="5443" spans="1:2" x14ac:dyDescent="0.2">
      <c r="A5443" s="102"/>
      <c r="B5443" s="116"/>
    </row>
    <row r="5444" spans="1:2" x14ac:dyDescent="0.2">
      <c r="A5444" s="102"/>
      <c r="B5444" s="116"/>
    </row>
    <row r="5445" spans="1:2" x14ac:dyDescent="0.2">
      <c r="A5445" s="102"/>
      <c r="B5445" s="116"/>
    </row>
    <row r="5446" spans="1:2" x14ac:dyDescent="0.2">
      <c r="A5446" s="102"/>
      <c r="B5446" s="116"/>
    </row>
    <row r="5447" spans="1:2" x14ac:dyDescent="0.2">
      <c r="A5447" s="102"/>
      <c r="B5447" s="116"/>
    </row>
    <row r="5448" spans="1:2" x14ac:dyDescent="0.2">
      <c r="A5448" s="102"/>
      <c r="B5448" s="116"/>
    </row>
    <row r="5449" spans="1:2" x14ac:dyDescent="0.2">
      <c r="A5449" s="102"/>
      <c r="B5449" s="116"/>
    </row>
    <row r="5450" spans="1:2" x14ac:dyDescent="0.2">
      <c r="A5450" s="102"/>
      <c r="B5450" s="116"/>
    </row>
    <row r="5451" spans="1:2" x14ac:dyDescent="0.2">
      <c r="A5451" s="102"/>
      <c r="B5451" s="116"/>
    </row>
    <row r="5452" spans="1:2" x14ac:dyDescent="0.2">
      <c r="A5452" s="102"/>
      <c r="B5452" s="116"/>
    </row>
    <row r="5453" spans="1:2" x14ac:dyDescent="0.2">
      <c r="A5453" s="102"/>
      <c r="B5453" s="116"/>
    </row>
    <row r="5454" spans="1:2" x14ac:dyDescent="0.2">
      <c r="A5454" s="102"/>
      <c r="B5454" s="116"/>
    </row>
    <row r="5455" spans="1:2" x14ac:dyDescent="0.2">
      <c r="A5455" s="102"/>
      <c r="B5455" s="116"/>
    </row>
    <row r="5456" spans="1:2" x14ac:dyDescent="0.2">
      <c r="A5456" s="102"/>
      <c r="B5456" s="116"/>
    </row>
    <row r="5457" spans="1:2" x14ac:dyDescent="0.2">
      <c r="A5457" s="102"/>
      <c r="B5457" s="116"/>
    </row>
    <row r="5458" spans="1:2" x14ac:dyDescent="0.2">
      <c r="A5458" s="102"/>
      <c r="B5458" s="116"/>
    </row>
    <row r="5459" spans="1:2" x14ac:dyDescent="0.2">
      <c r="A5459" s="102"/>
      <c r="B5459" s="116"/>
    </row>
    <row r="5460" spans="1:2" x14ac:dyDescent="0.2">
      <c r="A5460" s="102"/>
      <c r="B5460" s="116"/>
    </row>
    <row r="5461" spans="1:2" x14ac:dyDescent="0.2">
      <c r="A5461" s="102"/>
      <c r="B5461" s="116"/>
    </row>
    <row r="5462" spans="1:2" x14ac:dyDescent="0.2">
      <c r="A5462" s="102"/>
      <c r="B5462" s="116"/>
    </row>
    <row r="5463" spans="1:2" x14ac:dyDescent="0.2">
      <c r="A5463" s="102"/>
      <c r="B5463" s="116"/>
    </row>
    <row r="5464" spans="1:2" x14ac:dyDescent="0.2">
      <c r="A5464" s="102"/>
      <c r="B5464" s="116"/>
    </row>
    <row r="5465" spans="1:2" x14ac:dyDescent="0.2">
      <c r="A5465" s="102"/>
      <c r="B5465" s="116"/>
    </row>
    <row r="5466" spans="1:2" x14ac:dyDescent="0.2">
      <c r="A5466" s="102"/>
      <c r="B5466" s="116"/>
    </row>
    <row r="5467" spans="1:2" x14ac:dyDescent="0.2">
      <c r="A5467" s="102"/>
      <c r="B5467" s="116"/>
    </row>
    <row r="5468" spans="1:2" x14ac:dyDescent="0.2">
      <c r="A5468" s="102"/>
      <c r="B5468" s="116"/>
    </row>
    <row r="5469" spans="1:2" x14ac:dyDescent="0.2">
      <c r="A5469" s="102"/>
      <c r="B5469" s="116"/>
    </row>
    <row r="5470" spans="1:2" x14ac:dyDescent="0.2">
      <c r="A5470" s="102"/>
      <c r="B5470" s="116"/>
    </row>
    <row r="5471" spans="1:2" x14ac:dyDescent="0.2">
      <c r="A5471" s="102"/>
      <c r="B5471" s="116"/>
    </row>
    <row r="5472" spans="1:2" x14ac:dyDescent="0.2">
      <c r="A5472" s="102"/>
      <c r="B5472" s="116"/>
    </row>
    <row r="5473" spans="1:2" x14ac:dyDescent="0.2">
      <c r="A5473" s="102"/>
      <c r="B5473" s="116"/>
    </row>
    <row r="5474" spans="1:2" x14ac:dyDescent="0.2">
      <c r="A5474" s="102"/>
      <c r="B5474" s="116"/>
    </row>
    <row r="5475" spans="1:2" x14ac:dyDescent="0.2">
      <c r="A5475" s="102"/>
      <c r="B5475" s="116"/>
    </row>
    <row r="5476" spans="1:2" x14ac:dyDescent="0.2">
      <c r="A5476" s="102"/>
      <c r="B5476" s="116"/>
    </row>
    <row r="5477" spans="1:2" x14ac:dyDescent="0.2">
      <c r="A5477" s="102"/>
      <c r="B5477" s="116"/>
    </row>
    <row r="5478" spans="1:2" x14ac:dyDescent="0.2">
      <c r="A5478" s="102"/>
      <c r="B5478" s="116"/>
    </row>
    <row r="5479" spans="1:2" x14ac:dyDescent="0.2">
      <c r="A5479" s="102"/>
      <c r="B5479" s="116"/>
    </row>
    <row r="5480" spans="1:2" x14ac:dyDescent="0.2">
      <c r="A5480" s="102"/>
      <c r="B5480" s="116"/>
    </row>
    <row r="5481" spans="1:2" x14ac:dyDescent="0.2">
      <c r="A5481" s="102"/>
      <c r="B5481" s="116"/>
    </row>
    <row r="5482" spans="1:2" x14ac:dyDescent="0.2">
      <c r="A5482" s="102"/>
      <c r="B5482" s="116"/>
    </row>
    <row r="5483" spans="1:2" x14ac:dyDescent="0.2">
      <c r="A5483" s="102"/>
      <c r="B5483" s="116"/>
    </row>
    <row r="5484" spans="1:2" x14ac:dyDescent="0.2">
      <c r="A5484" s="102"/>
      <c r="B5484" s="116"/>
    </row>
    <row r="5485" spans="1:2" x14ac:dyDescent="0.2">
      <c r="A5485" s="102"/>
      <c r="B5485" s="116"/>
    </row>
    <row r="5486" spans="1:2" x14ac:dyDescent="0.2">
      <c r="A5486" s="102"/>
      <c r="B5486" s="116"/>
    </row>
    <row r="5487" spans="1:2" x14ac:dyDescent="0.2">
      <c r="A5487" s="102"/>
      <c r="B5487" s="116"/>
    </row>
    <row r="5488" spans="1:2" x14ac:dyDescent="0.2">
      <c r="A5488" s="102"/>
      <c r="B5488" s="116"/>
    </row>
    <row r="5489" spans="1:2" x14ac:dyDescent="0.2">
      <c r="A5489" s="102"/>
      <c r="B5489" s="116"/>
    </row>
    <row r="5490" spans="1:2" x14ac:dyDescent="0.2">
      <c r="A5490" s="102"/>
      <c r="B5490" s="116"/>
    </row>
    <row r="5491" spans="1:2" x14ac:dyDescent="0.2">
      <c r="A5491" s="102"/>
      <c r="B5491" s="116"/>
    </row>
    <row r="5492" spans="1:2" x14ac:dyDescent="0.2">
      <c r="A5492" s="102"/>
      <c r="B5492" s="116"/>
    </row>
    <row r="5493" spans="1:2" x14ac:dyDescent="0.2">
      <c r="A5493" s="102"/>
      <c r="B5493" s="116"/>
    </row>
    <row r="5494" spans="1:2" x14ac:dyDescent="0.2">
      <c r="A5494" s="102"/>
      <c r="B5494" s="116"/>
    </row>
    <row r="5495" spans="1:2" x14ac:dyDescent="0.2">
      <c r="A5495" s="102"/>
      <c r="B5495" s="116"/>
    </row>
    <row r="5496" spans="1:2" x14ac:dyDescent="0.2">
      <c r="A5496" s="102"/>
      <c r="B5496" s="116"/>
    </row>
    <row r="5497" spans="1:2" x14ac:dyDescent="0.2">
      <c r="A5497" s="102"/>
      <c r="B5497" s="116"/>
    </row>
    <row r="5498" spans="1:2" x14ac:dyDescent="0.2">
      <c r="A5498" s="102"/>
      <c r="B5498" s="116"/>
    </row>
    <row r="5499" spans="1:2" x14ac:dyDescent="0.2">
      <c r="A5499" s="102"/>
      <c r="B5499" s="116"/>
    </row>
    <row r="5500" spans="1:2" x14ac:dyDescent="0.2">
      <c r="A5500" s="102"/>
      <c r="B5500" s="116"/>
    </row>
    <row r="5501" spans="1:2" x14ac:dyDescent="0.2">
      <c r="A5501" s="102"/>
      <c r="B5501" s="116"/>
    </row>
    <row r="5502" spans="1:2" x14ac:dyDescent="0.2">
      <c r="A5502" s="102"/>
      <c r="B5502" s="116"/>
    </row>
    <row r="5503" spans="1:2" x14ac:dyDescent="0.2">
      <c r="A5503" s="102"/>
      <c r="B5503" s="116"/>
    </row>
    <row r="5504" spans="1:2" x14ac:dyDescent="0.2">
      <c r="A5504" s="102"/>
      <c r="B5504" s="116"/>
    </row>
    <row r="5505" spans="1:2" x14ac:dyDescent="0.2">
      <c r="A5505" s="102"/>
      <c r="B5505" s="116"/>
    </row>
    <row r="5506" spans="1:2" x14ac:dyDescent="0.2">
      <c r="A5506" s="102"/>
      <c r="B5506" s="116"/>
    </row>
    <row r="5507" spans="1:2" x14ac:dyDescent="0.2">
      <c r="A5507" s="102"/>
      <c r="B5507" s="116"/>
    </row>
    <row r="5508" spans="1:2" x14ac:dyDescent="0.2">
      <c r="A5508" s="102"/>
      <c r="B5508" s="116"/>
    </row>
    <row r="5509" spans="1:2" x14ac:dyDescent="0.2">
      <c r="A5509" s="102"/>
      <c r="B5509" s="116"/>
    </row>
    <row r="5510" spans="1:2" x14ac:dyDescent="0.2">
      <c r="A5510" s="102"/>
      <c r="B5510" s="116"/>
    </row>
    <row r="5511" spans="1:2" x14ac:dyDescent="0.2">
      <c r="A5511" s="102"/>
      <c r="B5511" s="116"/>
    </row>
    <row r="5512" spans="1:2" x14ac:dyDescent="0.2">
      <c r="A5512" s="102"/>
      <c r="B5512" s="116"/>
    </row>
    <row r="5513" spans="1:2" x14ac:dyDescent="0.2">
      <c r="A5513" s="102"/>
      <c r="B5513" s="116"/>
    </row>
    <row r="5514" spans="1:2" x14ac:dyDescent="0.2">
      <c r="A5514" s="102"/>
      <c r="B5514" s="116"/>
    </row>
    <row r="5515" spans="1:2" x14ac:dyDescent="0.2">
      <c r="A5515" s="102"/>
      <c r="B5515" s="116"/>
    </row>
    <row r="5516" spans="1:2" x14ac:dyDescent="0.2">
      <c r="A5516" s="102"/>
      <c r="B5516" s="116"/>
    </row>
    <row r="5517" spans="1:2" x14ac:dyDescent="0.2">
      <c r="A5517" s="102"/>
      <c r="B5517" s="116"/>
    </row>
    <row r="5518" spans="1:2" x14ac:dyDescent="0.2">
      <c r="A5518" s="102"/>
      <c r="B5518" s="116"/>
    </row>
    <row r="5519" spans="1:2" x14ac:dyDescent="0.2">
      <c r="A5519" s="102"/>
      <c r="B5519" s="116"/>
    </row>
    <row r="5520" spans="1:2" x14ac:dyDescent="0.2">
      <c r="A5520" s="102"/>
      <c r="B5520" s="116"/>
    </row>
    <row r="5521" spans="1:2" x14ac:dyDescent="0.2">
      <c r="A5521" s="102"/>
      <c r="B5521" s="116"/>
    </row>
    <row r="5522" spans="1:2" x14ac:dyDescent="0.2">
      <c r="A5522" s="102"/>
      <c r="B5522" s="116"/>
    </row>
    <row r="5523" spans="1:2" x14ac:dyDescent="0.2">
      <c r="A5523" s="102"/>
      <c r="B5523" s="116"/>
    </row>
    <row r="5524" spans="1:2" x14ac:dyDescent="0.2">
      <c r="A5524" s="102"/>
      <c r="B5524" s="116"/>
    </row>
    <row r="5525" spans="1:2" x14ac:dyDescent="0.2">
      <c r="A5525" s="102"/>
      <c r="B5525" s="116"/>
    </row>
    <row r="5526" spans="1:2" x14ac:dyDescent="0.2">
      <c r="A5526" s="102"/>
      <c r="B5526" s="116"/>
    </row>
    <row r="5527" spans="1:2" x14ac:dyDescent="0.2">
      <c r="A5527" s="102"/>
      <c r="B5527" s="116"/>
    </row>
    <row r="5528" spans="1:2" x14ac:dyDescent="0.2">
      <c r="A5528" s="102"/>
      <c r="B5528" s="116"/>
    </row>
    <row r="5529" spans="1:2" x14ac:dyDescent="0.2">
      <c r="A5529" s="102"/>
      <c r="B5529" s="116"/>
    </row>
    <row r="5530" spans="1:2" x14ac:dyDescent="0.2">
      <c r="A5530" s="102"/>
      <c r="B5530" s="116"/>
    </row>
    <row r="5531" spans="1:2" x14ac:dyDescent="0.2">
      <c r="A5531" s="102"/>
      <c r="B5531" s="116"/>
    </row>
    <row r="5532" spans="1:2" x14ac:dyDescent="0.2">
      <c r="A5532" s="102"/>
      <c r="B5532" s="116"/>
    </row>
    <row r="5533" spans="1:2" x14ac:dyDescent="0.2">
      <c r="A5533" s="102"/>
      <c r="B5533" s="116"/>
    </row>
    <row r="5534" spans="1:2" x14ac:dyDescent="0.2">
      <c r="A5534" s="102"/>
      <c r="B5534" s="116"/>
    </row>
    <row r="5535" spans="1:2" x14ac:dyDescent="0.2">
      <c r="A5535" s="102"/>
      <c r="B5535" s="116"/>
    </row>
    <row r="5536" spans="1:2" x14ac:dyDescent="0.2">
      <c r="A5536" s="102"/>
      <c r="B5536" s="116"/>
    </row>
    <row r="5537" spans="1:2" x14ac:dyDescent="0.2">
      <c r="A5537" s="102"/>
      <c r="B5537" s="116"/>
    </row>
    <row r="5538" spans="1:2" x14ac:dyDescent="0.2">
      <c r="A5538" s="102"/>
      <c r="B5538" s="116"/>
    </row>
    <row r="5539" spans="1:2" x14ac:dyDescent="0.2">
      <c r="A5539" s="102"/>
      <c r="B5539" s="116"/>
    </row>
    <row r="5540" spans="1:2" x14ac:dyDescent="0.2">
      <c r="A5540" s="102"/>
      <c r="B5540" s="116"/>
    </row>
    <row r="5541" spans="1:2" x14ac:dyDescent="0.2">
      <c r="A5541" s="102"/>
      <c r="B5541" s="116"/>
    </row>
    <row r="5542" spans="1:2" x14ac:dyDescent="0.2">
      <c r="A5542" s="102"/>
      <c r="B5542" s="116"/>
    </row>
    <row r="5543" spans="1:2" x14ac:dyDescent="0.2">
      <c r="A5543" s="102"/>
      <c r="B5543" s="116"/>
    </row>
    <row r="5544" spans="1:2" x14ac:dyDescent="0.2">
      <c r="A5544" s="102"/>
      <c r="B5544" s="116"/>
    </row>
    <row r="5545" spans="1:2" x14ac:dyDescent="0.2">
      <c r="A5545" s="102"/>
      <c r="B5545" s="116"/>
    </row>
    <row r="5546" spans="1:2" x14ac:dyDescent="0.2">
      <c r="A5546" s="102"/>
      <c r="B5546" s="116"/>
    </row>
    <row r="5547" spans="1:2" x14ac:dyDescent="0.2">
      <c r="A5547" s="102"/>
      <c r="B5547" s="116"/>
    </row>
    <row r="5548" spans="1:2" x14ac:dyDescent="0.2">
      <c r="A5548" s="102"/>
      <c r="B5548" s="116"/>
    </row>
    <row r="5549" spans="1:2" x14ac:dyDescent="0.2">
      <c r="A5549" s="102"/>
      <c r="B5549" s="116"/>
    </row>
    <row r="5550" spans="1:2" x14ac:dyDescent="0.2">
      <c r="A5550" s="102"/>
      <c r="B5550" s="116"/>
    </row>
    <row r="5551" spans="1:2" x14ac:dyDescent="0.2">
      <c r="A5551" s="102"/>
      <c r="B5551" s="116"/>
    </row>
    <row r="5552" spans="1:2" x14ac:dyDescent="0.2">
      <c r="A5552" s="102"/>
      <c r="B5552" s="116"/>
    </row>
    <row r="5553" spans="1:2" x14ac:dyDescent="0.2">
      <c r="A5553" s="102"/>
      <c r="B5553" s="116"/>
    </row>
    <row r="5554" spans="1:2" x14ac:dyDescent="0.2">
      <c r="A5554" s="102"/>
      <c r="B5554" s="116"/>
    </row>
    <row r="5555" spans="1:2" x14ac:dyDescent="0.2">
      <c r="A5555" s="102"/>
      <c r="B5555" s="116"/>
    </row>
    <row r="5556" spans="1:2" x14ac:dyDescent="0.2">
      <c r="A5556" s="102"/>
      <c r="B5556" s="116"/>
    </row>
    <row r="5557" spans="1:2" x14ac:dyDescent="0.2">
      <c r="A5557" s="102"/>
      <c r="B5557" s="116"/>
    </row>
    <row r="5558" spans="1:2" x14ac:dyDescent="0.2">
      <c r="A5558" s="102"/>
      <c r="B5558" s="116"/>
    </row>
    <row r="5559" spans="1:2" x14ac:dyDescent="0.2">
      <c r="A5559" s="102"/>
      <c r="B5559" s="116"/>
    </row>
    <row r="5560" spans="1:2" x14ac:dyDescent="0.2">
      <c r="A5560" s="102"/>
      <c r="B5560" s="116"/>
    </row>
    <row r="5561" spans="1:2" x14ac:dyDescent="0.2">
      <c r="A5561" s="102"/>
      <c r="B5561" s="116"/>
    </row>
    <row r="5562" spans="1:2" x14ac:dyDescent="0.2">
      <c r="A5562" s="102"/>
      <c r="B5562" s="116"/>
    </row>
    <row r="5563" spans="1:2" x14ac:dyDescent="0.2">
      <c r="A5563" s="102"/>
      <c r="B5563" s="116"/>
    </row>
    <row r="5564" spans="1:2" x14ac:dyDescent="0.2">
      <c r="A5564" s="102"/>
      <c r="B5564" s="116"/>
    </row>
    <row r="5565" spans="1:2" x14ac:dyDescent="0.2">
      <c r="A5565" s="102"/>
      <c r="B5565" s="116"/>
    </row>
    <row r="5566" spans="1:2" x14ac:dyDescent="0.2">
      <c r="A5566" s="102"/>
      <c r="B5566" s="116"/>
    </row>
    <row r="5567" spans="1:2" x14ac:dyDescent="0.2">
      <c r="A5567" s="102"/>
      <c r="B5567" s="116"/>
    </row>
    <row r="5568" spans="1:2" x14ac:dyDescent="0.2">
      <c r="A5568" s="102"/>
      <c r="B5568" s="116"/>
    </row>
    <row r="5569" spans="1:2" x14ac:dyDescent="0.2">
      <c r="A5569" s="102"/>
      <c r="B5569" s="116"/>
    </row>
    <row r="5570" spans="1:2" x14ac:dyDescent="0.2">
      <c r="A5570" s="102"/>
      <c r="B5570" s="116"/>
    </row>
    <row r="5571" spans="1:2" x14ac:dyDescent="0.2">
      <c r="A5571" s="102"/>
      <c r="B5571" s="116"/>
    </row>
    <row r="5572" spans="1:2" x14ac:dyDescent="0.2">
      <c r="A5572" s="102"/>
      <c r="B5572" s="116"/>
    </row>
    <row r="5573" spans="1:2" x14ac:dyDescent="0.2">
      <c r="A5573" s="102"/>
      <c r="B5573" s="116"/>
    </row>
    <row r="5574" spans="1:2" x14ac:dyDescent="0.2">
      <c r="A5574" s="102"/>
      <c r="B5574" s="116"/>
    </row>
    <row r="5575" spans="1:2" x14ac:dyDescent="0.2">
      <c r="A5575" s="102"/>
      <c r="B5575" s="116"/>
    </row>
    <row r="5576" spans="1:2" x14ac:dyDescent="0.2">
      <c r="A5576" s="102"/>
      <c r="B5576" s="116"/>
    </row>
    <row r="5577" spans="1:2" x14ac:dyDescent="0.2">
      <c r="A5577" s="102"/>
      <c r="B5577" s="116"/>
    </row>
    <row r="5578" spans="1:2" x14ac:dyDescent="0.2">
      <c r="A5578" s="102"/>
      <c r="B5578" s="116"/>
    </row>
    <row r="5579" spans="1:2" x14ac:dyDescent="0.2">
      <c r="A5579" s="102"/>
      <c r="B5579" s="116"/>
    </row>
    <row r="5580" spans="1:2" x14ac:dyDescent="0.2">
      <c r="A5580" s="102"/>
      <c r="B5580" s="116"/>
    </row>
    <row r="5581" spans="1:2" x14ac:dyDescent="0.2">
      <c r="A5581" s="102"/>
      <c r="B5581" s="116"/>
    </row>
    <row r="5582" spans="1:2" x14ac:dyDescent="0.2">
      <c r="A5582" s="102"/>
      <c r="B5582" s="116"/>
    </row>
    <row r="5583" spans="1:2" x14ac:dyDescent="0.2">
      <c r="A5583" s="102"/>
      <c r="B5583" s="116"/>
    </row>
    <row r="5584" spans="1:2" x14ac:dyDescent="0.2">
      <c r="A5584" s="102"/>
      <c r="B5584" s="116"/>
    </row>
    <row r="5585" spans="1:2" x14ac:dyDescent="0.2">
      <c r="A5585" s="102"/>
      <c r="B5585" s="116"/>
    </row>
    <row r="5586" spans="1:2" x14ac:dyDescent="0.2">
      <c r="A5586" s="102"/>
      <c r="B5586" s="116"/>
    </row>
    <row r="5587" spans="1:2" x14ac:dyDescent="0.2">
      <c r="A5587" s="102"/>
      <c r="B5587" s="116"/>
    </row>
    <row r="5588" spans="1:2" x14ac:dyDescent="0.2">
      <c r="A5588" s="102"/>
      <c r="B5588" s="116"/>
    </row>
    <row r="5589" spans="1:2" x14ac:dyDescent="0.2">
      <c r="A5589" s="102"/>
      <c r="B5589" s="116"/>
    </row>
    <row r="5590" spans="1:2" x14ac:dyDescent="0.2">
      <c r="A5590" s="102"/>
      <c r="B5590" s="116"/>
    </row>
    <row r="5591" spans="1:2" x14ac:dyDescent="0.2">
      <c r="A5591" s="102"/>
      <c r="B5591" s="116"/>
    </row>
    <row r="5592" spans="1:2" x14ac:dyDescent="0.2">
      <c r="A5592" s="102"/>
      <c r="B5592" s="116"/>
    </row>
    <row r="5593" spans="1:2" x14ac:dyDescent="0.2">
      <c r="A5593" s="102"/>
      <c r="B5593" s="116"/>
    </row>
    <row r="5594" spans="1:2" x14ac:dyDescent="0.2">
      <c r="A5594" s="102"/>
      <c r="B5594" s="116"/>
    </row>
    <row r="5595" spans="1:2" x14ac:dyDescent="0.2">
      <c r="A5595" s="102"/>
      <c r="B5595" s="116"/>
    </row>
    <row r="5596" spans="1:2" x14ac:dyDescent="0.2">
      <c r="A5596" s="102"/>
      <c r="B5596" s="116"/>
    </row>
    <row r="5597" spans="1:2" x14ac:dyDescent="0.2">
      <c r="A5597" s="102"/>
      <c r="B5597" s="116"/>
    </row>
    <row r="5598" spans="1:2" x14ac:dyDescent="0.2">
      <c r="A5598" s="102"/>
      <c r="B5598" s="116"/>
    </row>
    <row r="5599" spans="1:2" x14ac:dyDescent="0.2">
      <c r="A5599" s="102"/>
      <c r="B5599" s="116"/>
    </row>
    <row r="5600" spans="1:2" x14ac:dyDescent="0.2">
      <c r="A5600" s="102"/>
      <c r="B5600" s="116"/>
    </row>
    <row r="5601" spans="1:2" x14ac:dyDescent="0.2">
      <c r="A5601" s="102"/>
      <c r="B5601" s="116"/>
    </row>
    <row r="5602" spans="1:2" x14ac:dyDescent="0.2">
      <c r="A5602" s="102"/>
      <c r="B5602" s="116"/>
    </row>
    <row r="5603" spans="1:2" x14ac:dyDescent="0.2">
      <c r="A5603" s="102"/>
      <c r="B5603" s="116"/>
    </row>
    <row r="5604" spans="1:2" x14ac:dyDescent="0.2">
      <c r="A5604" s="102"/>
      <c r="B5604" s="116"/>
    </row>
    <row r="5605" spans="1:2" x14ac:dyDescent="0.2">
      <c r="A5605" s="102"/>
      <c r="B5605" s="116"/>
    </row>
    <row r="5606" spans="1:2" x14ac:dyDescent="0.2">
      <c r="A5606" s="102"/>
      <c r="B5606" s="116"/>
    </row>
    <row r="5607" spans="1:2" x14ac:dyDescent="0.2">
      <c r="A5607" s="102"/>
      <c r="B5607" s="116"/>
    </row>
    <row r="5608" spans="1:2" x14ac:dyDescent="0.2">
      <c r="A5608" s="102"/>
      <c r="B5608" s="116"/>
    </row>
    <row r="5609" spans="1:2" x14ac:dyDescent="0.2">
      <c r="A5609" s="102"/>
      <c r="B5609" s="116"/>
    </row>
    <row r="5610" spans="1:2" x14ac:dyDescent="0.2">
      <c r="A5610" s="102"/>
      <c r="B5610" s="116"/>
    </row>
    <row r="5611" spans="1:2" x14ac:dyDescent="0.2">
      <c r="A5611" s="102"/>
      <c r="B5611" s="116"/>
    </row>
    <row r="5612" spans="1:2" x14ac:dyDescent="0.2">
      <c r="A5612" s="102"/>
      <c r="B5612" s="116"/>
    </row>
    <row r="5613" spans="1:2" x14ac:dyDescent="0.2">
      <c r="A5613" s="102"/>
      <c r="B5613" s="116"/>
    </row>
    <row r="5614" spans="1:2" x14ac:dyDescent="0.2">
      <c r="A5614" s="102"/>
      <c r="B5614" s="116"/>
    </row>
    <row r="5615" spans="1:2" x14ac:dyDescent="0.2">
      <c r="A5615" s="102"/>
      <c r="B5615" s="116"/>
    </row>
    <row r="5616" spans="1:2" x14ac:dyDescent="0.2">
      <c r="A5616" s="102"/>
      <c r="B5616" s="116"/>
    </row>
    <row r="5617" spans="1:2" x14ac:dyDescent="0.2">
      <c r="A5617" s="102"/>
      <c r="B5617" s="116"/>
    </row>
    <row r="5618" spans="1:2" x14ac:dyDescent="0.2">
      <c r="A5618" s="102"/>
      <c r="B5618" s="116"/>
    </row>
    <row r="5619" spans="1:2" x14ac:dyDescent="0.2">
      <c r="A5619" s="102"/>
      <c r="B5619" s="116"/>
    </row>
    <row r="5620" spans="1:2" x14ac:dyDescent="0.2">
      <c r="A5620" s="102"/>
      <c r="B5620" s="116"/>
    </row>
    <row r="5621" spans="1:2" x14ac:dyDescent="0.2">
      <c r="A5621" s="102"/>
      <c r="B5621" s="116"/>
    </row>
    <row r="5622" spans="1:2" x14ac:dyDescent="0.2">
      <c r="A5622" s="102"/>
      <c r="B5622" s="116"/>
    </row>
    <row r="5623" spans="1:2" x14ac:dyDescent="0.2">
      <c r="A5623" s="102"/>
      <c r="B5623" s="116"/>
    </row>
    <row r="5624" spans="1:2" x14ac:dyDescent="0.2">
      <c r="A5624" s="102"/>
      <c r="B5624" s="116"/>
    </row>
    <row r="5625" spans="1:2" x14ac:dyDescent="0.2">
      <c r="A5625" s="102"/>
      <c r="B5625" s="116"/>
    </row>
    <row r="5626" spans="1:2" x14ac:dyDescent="0.2">
      <c r="A5626" s="102"/>
      <c r="B5626" s="116"/>
    </row>
    <row r="5627" spans="1:2" x14ac:dyDescent="0.2">
      <c r="A5627" s="102"/>
      <c r="B5627" s="116"/>
    </row>
    <row r="5628" spans="1:2" x14ac:dyDescent="0.2">
      <c r="A5628" s="102"/>
      <c r="B5628" s="116"/>
    </row>
    <row r="5629" spans="1:2" x14ac:dyDescent="0.2">
      <c r="A5629" s="102"/>
      <c r="B5629" s="116"/>
    </row>
    <row r="5630" spans="1:2" x14ac:dyDescent="0.2">
      <c r="A5630" s="102"/>
      <c r="B5630" s="116"/>
    </row>
    <row r="5631" spans="1:2" x14ac:dyDescent="0.2">
      <c r="A5631" s="102"/>
      <c r="B5631" s="116"/>
    </row>
    <row r="5632" spans="1:2" x14ac:dyDescent="0.2">
      <c r="A5632" s="102"/>
      <c r="B5632" s="116"/>
    </row>
    <row r="5633" spans="1:2" x14ac:dyDescent="0.2">
      <c r="A5633" s="102"/>
      <c r="B5633" s="116"/>
    </row>
    <row r="5634" spans="1:2" x14ac:dyDescent="0.2">
      <c r="A5634" s="102"/>
      <c r="B5634" s="116"/>
    </row>
    <row r="5635" spans="1:2" x14ac:dyDescent="0.2">
      <c r="A5635" s="102"/>
      <c r="B5635" s="116"/>
    </row>
    <row r="5636" spans="1:2" x14ac:dyDescent="0.2">
      <c r="A5636" s="102"/>
      <c r="B5636" s="116"/>
    </row>
    <row r="5637" spans="1:2" x14ac:dyDescent="0.2">
      <c r="A5637" s="102"/>
      <c r="B5637" s="116"/>
    </row>
    <row r="5638" spans="1:2" x14ac:dyDescent="0.2">
      <c r="A5638" s="102"/>
      <c r="B5638" s="116"/>
    </row>
    <row r="5639" spans="1:2" x14ac:dyDescent="0.2">
      <c r="A5639" s="102"/>
      <c r="B5639" s="116"/>
    </row>
    <row r="5640" spans="1:2" x14ac:dyDescent="0.2">
      <c r="A5640" s="102"/>
      <c r="B5640" s="116"/>
    </row>
    <row r="5641" spans="1:2" x14ac:dyDescent="0.2">
      <c r="A5641" s="102"/>
      <c r="B5641" s="116"/>
    </row>
    <row r="5642" spans="1:2" x14ac:dyDescent="0.2">
      <c r="A5642" s="102"/>
      <c r="B5642" s="116"/>
    </row>
    <row r="5643" spans="1:2" x14ac:dyDescent="0.2">
      <c r="A5643" s="102"/>
      <c r="B5643" s="116"/>
    </row>
    <row r="5644" spans="1:2" x14ac:dyDescent="0.2">
      <c r="A5644" s="102"/>
      <c r="B5644" s="116"/>
    </row>
    <row r="5645" spans="1:2" x14ac:dyDescent="0.2">
      <c r="A5645" s="102"/>
      <c r="B5645" s="116"/>
    </row>
    <row r="5646" spans="1:2" x14ac:dyDescent="0.2">
      <c r="A5646" s="102"/>
      <c r="B5646" s="116"/>
    </row>
    <row r="5647" spans="1:2" x14ac:dyDescent="0.2">
      <c r="A5647" s="102"/>
      <c r="B5647" s="116"/>
    </row>
    <row r="5648" spans="1:2" x14ac:dyDescent="0.2">
      <c r="A5648" s="102"/>
      <c r="B5648" s="116"/>
    </row>
    <row r="5649" spans="1:2" x14ac:dyDescent="0.2">
      <c r="A5649" s="102"/>
      <c r="B5649" s="116"/>
    </row>
    <row r="5650" spans="1:2" x14ac:dyDescent="0.2">
      <c r="A5650" s="102"/>
      <c r="B5650" s="116"/>
    </row>
    <row r="5651" spans="1:2" x14ac:dyDescent="0.2">
      <c r="A5651" s="102"/>
      <c r="B5651" s="116"/>
    </row>
    <row r="5652" spans="1:2" x14ac:dyDescent="0.2">
      <c r="A5652" s="102"/>
      <c r="B5652" s="116"/>
    </row>
    <row r="5653" spans="1:2" x14ac:dyDescent="0.2">
      <c r="A5653" s="102"/>
      <c r="B5653" s="116"/>
    </row>
    <row r="5654" spans="1:2" x14ac:dyDescent="0.2">
      <c r="A5654" s="102"/>
      <c r="B5654" s="116"/>
    </row>
    <row r="5655" spans="1:2" x14ac:dyDescent="0.2">
      <c r="A5655" s="102"/>
      <c r="B5655" s="116"/>
    </row>
    <row r="5656" spans="1:2" x14ac:dyDescent="0.2">
      <c r="A5656" s="102"/>
      <c r="B5656" s="116"/>
    </row>
    <row r="5657" spans="1:2" x14ac:dyDescent="0.2">
      <c r="A5657" s="102"/>
      <c r="B5657" s="116"/>
    </row>
    <row r="5658" spans="1:2" x14ac:dyDescent="0.2">
      <c r="A5658" s="102"/>
      <c r="B5658" s="116"/>
    </row>
    <row r="5659" spans="1:2" x14ac:dyDescent="0.2">
      <c r="A5659" s="102"/>
      <c r="B5659" s="116"/>
    </row>
    <row r="5660" spans="1:2" x14ac:dyDescent="0.2">
      <c r="A5660" s="102"/>
      <c r="B5660" s="116"/>
    </row>
    <row r="5661" spans="1:2" x14ac:dyDescent="0.2">
      <c r="A5661" s="102"/>
      <c r="B5661" s="116"/>
    </row>
    <row r="5662" spans="1:2" x14ac:dyDescent="0.2">
      <c r="A5662" s="102"/>
      <c r="B5662" s="116"/>
    </row>
    <row r="5663" spans="1:2" x14ac:dyDescent="0.2">
      <c r="A5663" s="102"/>
      <c r="B5663" s="116"/>
    </row>
    <row r="5664" spans="1:2" x14ac:dyDescent="0.2">
      <c r="A5664" s="102"/>
      <c r="B5664" s="116"/>
    </row>
    <row r="5665" spans="1:2" x14ac:dyDescent="0.2">
      <c r="A5665" s="102"/>
      <c r="B5665" s="116"/>
    </row>
    <row r="5666" spans="1:2" x14ac:dyDescent="0.2">
      <c r="A5666" s="102"/>
      <c r="B5666" s="116"/>
    </row>
    <row r="5667" spans="1:2" x14ac:dyDescent="0.2">
      <c r="A5667" s="102"/>
      <c r="B5667" s="116"/>
    </row>
    <row r="5668" spans="1:2" x14ac:dyDescent="0.2">
      <c r="A5668" s="102"/>
      <c r="B5668" s="116"/>
    </row>
    <row r="5669" spans="1:2" x14ac:dyDescent="0.2">
      <c r="A5669" s="102"/>
      <c r="B5669" s="116"/>
    </row>
    <row r="5670" spans="1:2" x14ac:dyDescent="0.2">
      <c r="A5670" s="102"/>
      <c r="B5670" s="116"/>
    </row>
    <row r="5671" spans="1:2" x14ac:dyDescent="0.2">
      <c r="A5671" s="102"/>
      <c r="B5671" s="116"/>
    </row>
    <row r="5672" spans="1:2" x14ac:dyDescent="0.2">
      <c r="A5672" s="102"/>
      <c r="B5672" s="116"/>
    </row>
    <row r="5673" spans="1:2" x14ac:dyDescent="0.2">
      <c r="A5673" s="102"/>
      <c r="B5673" s="116"/>
    </row>
    <row r="5674" spans="1:2" x14ac:dyDescent="0.2">
      <c r="A5674" s="102"/>
      <c r="B5674" s="116"/>
    </row>
    <row r="5675" spans="1:2" x14ac:dyDescent="0.2">
      <c r="A5675" s="102"/>
      <c r="B5675" s="116"/>
    </row>
    <row r="5676" spans="1:2" x14ac:dyDescent="0.2">
      <c r="A5676" s="102"/>
      <c r="B5676" s="116"/>
    </row>
    <row r="5677" spans="1:2" x14ac:dyDescent="0.2">
      <c r="A5677" s="102"/>
      <c r="B5677" s="116"/>
    </row>
    <row r="5678" spans="1:2" x14ac:dyDescent="0.2">
      <c r="A5678" s="102"/>
      <c r="B5678" s="116"/>
    </row>
    <row r="5679" spans="1:2" x14ac:dyDescent="0.2">
      <c r="A5679" s="102"/>
      <c r="B5679" s="116"/>
    </row>
    <row r="5680" spans="1:2" x14ac:dyDescent="0.2">
      <c r="A5680" s="102"/>
      <c r="B5680" s="116"/>
    </row>
    <row r="5681" spans="1:2" x14ac:dyDescent="0.2">
      <c r="A5681" s="102"/>
      <c r="B5681" s="116"/>
    </row>
    <row r="5682" spans="1:2" x14ac:dyDescent="0.2">
      <c r="A5682" s="102"/>
      <c r="B5682" s="116"/>
    </row>
    <row r="5683" spans="1:2" x14ac:dyDescent="0.2">
      <c r="A5683" s="102"/>
      <c r="B5683" s="116"/>
    </row>
    <row r="5684" spans="1:2" x14ac:dyDescent="0.2">
      <c r="A5684" s="102"/>
      <c r="B5684" s="116"/>
    </row>
    <row r="5685" spans="1:2" x14ac:dyDescent="0.2">
      <c r="A5685" s="102"/>
      <c r="B5685" s="116"/>
    </row>
    <row r="5686" spans="1:2" x14ac:dyDescent="0.2">
      <c r="A5686" s="102"/>
      <c r="B5686" s="116"/>
    </row>
    <row r="5687" spans="1:2" x14ac:dyDescent="0.2">
      <c r="A5687" s="102"/>
      <c r="B5687" s="116"/>
    </row>
    <row r="5688" spans="1:2" x14ac:dyDescent="0.2">
      <c r="A5688" s="102"/>
      <c r="B5688" s="116"/>
    </row>
    <row r="5689" spans="1:2" x14ac:dyDescent="0.2">
      <c r="A5689" s="102"/>
      <c r="B5689" s="116"/>
    </row>
    <row r="5690" spans="1:2" x14ac:dyDescent="0.2">
      <c r="A5690" s="102"/>
      <c r="B5690" s="116"/>
    </row>
    <row r="5691" spans="1:2" x14ac:dyDescent="0.2">
      <c r="A5691" s="102"/>
      <c r="B5691" s="116"/>
    </row>
    <row r="5692" spans="1:2" x14ac:dyDescent="0.2">
      <c r="A5692" s="102"/>
      <c r="B5692" s="116"/>
    </row>
    <row r="5693" spans="1:2" x14ac:dyDescent="0.2">
      <c r="A5693" s="102"/>
      <c r="B5693" s="116"/>
    </row>
    <row r="5694" spans="1:2" x14ac:dyDescent="0.2">
      <c r="A5694" s="102"/>
      <c r="B5694" s="116"/>
    </row>
    <row r="5695" spans="1:2" x14ac:dyDescent="0.2">
      <c r="A5695" s="102"/>
      <c r="B5695" s="116"/>
    </row>
    <row r="5696" spans="1:2" x14ac:dyDescent="0.2">
      <c r="A5696" s="102"/>
      <c r="B5696" s="116"/>
    </row>
    <row r="5697" spans="1:2" x14ac:dyDescent="0.2">
      <c r="A5697" s="102"/>
      <c r="B5697" s="116"/>
    </row>
    <row r="5698" spans="1:2" x14ac:dyDescent="0.2">
      <c r="A5698" s="102"/>
      <c r="B5698" s="116"/>
    </row>
    <row r="5699" spans="1:2" x14ac:dyDescent="0.2">
      <c r="A5699" s="102"/>
      <c r="B5699" s="116"/>
    </row>
    <row r="5700" spans="1:2" x14ac:dyDescent="0.2">
      <c r="A5700" s="102"/>
      <c r="B5700" s="116"/>
    </row>
    <row r="5701" spans="1:2" x14ac:dyDescent="0.2">
      <c r="A5701" s="102"/>
      <c r="B5701" s="116"/>
    </row>
    <row r="5702" spans="1:2" x14ac:dyDescent="0.2">
      <c r="A5702" s="102"/>
      <c r="B5702" s="116"/>
    </row>
    <row r="5703" spans="1:2" x14ac:dyDescent="0.2">
      <c r="A5703" s="102"/>
      <c r="B5703" s="116"/>
    </row>
    <row r="5704" spans="1:2" x14ac:dyDescent="0.2">
      <c r="A5704" s="102"/>
      <c r="B5704" s="116"/>
    </row>
    <row r="5705" spans="1:2" x14ac:dyDescent="0.2">
      <c r="A5705" s="102"/>
      <c r="B5705" s="116"/>
    </row>
    <row r="5706" spans="1:2" x14ac:dyDescent="0.2">
      <c r="A5706" s="102"/>
      <c r="B5706" s="116"/>
    </row>
    <row r="5707" spans="1:2" x14ac:dyDescent="0.2">
      <c r="A5707" s="102"/>
      <c r="B5707" s="116"/>
    </row>
    <row r="5708" spans="1:2" x14ac:dyDescent="0.2">
      <c r="A5708" s="102"/>
      <c r="B5708" s="116"/>
    </row>
    <row r="5709" spans="1:2" x14ac:dyDescent="0.2">
      <c r="A5709" s="102"/>
      <c r="B5709" s="116"/>
    </row>
    <row r="5710" spans="1:2" x14ac:dyDescent="0.2">
      <c r="A5710" s="102"/>
      <c r="B5710" s="116"/>
    </row>
    <row r="5711" spans="1:2" x14ac:dyDescent="0.2">
      <c r="A5711" s="102"/>
      <c r="B5711" s="116"/>
    </row>
    <row r="5712" spans="1:2" x14ac:dyDescent="0.2">
      <c r="A5712" s="102"/>
      <c r="B5712" s="116"/>
    </row>
    <row r="5713" spans="1:2" x14ac:dyDescent="0.2">
      <c r="A5713" s="102"/>
      <c r="B5713" s="116"/>
    </row>
    <row r="5714" spans="1:2" x14ac:dyDescent="0.2">
      <c r="A5714" s="102"/>
      <c r="B5714" s="116"/>
    </row>
    <row r="5715" spans="1:2" x14ac:dyDescent="0.2">
      <c r="A5715" s="102"/>
      <c r="B5715" s="116"/>
    </row>
    <row r="5716" spans="1:2" x14ac:dyDescent="0.2">
      <c r="A5716" s="102"/>
      <c r="B5716" s="116"/>
    </row>
    <row r="5717" spans="1:2" x14ac:dyDescent="0.2">
      <c r="A5717" s="102"/>
      <c r="B5717" s="116"/>
    </row>
    <row r="5718" spans="1:2" x14ac:dyDescent="0.2">
      <c r="A5718" s="102"/>
      <c r="B5718" s="116"/>
    </row>
    <row r="5719" spans="1:2" x14ac:dyDescent="0.2">
      <c r="A5719" s="102"/>
      <c r="B5719" s="116"/>
    </row>
    <row r="5720" spans="1:2" x14ac:dyDescent="0.2">
      <c r="A5720" s="102"/>
      <c r="B5720" s="116"/>
    </row>
    <row r="5721" spans="1:2" x14ac:dyDescent="0.2">
      <c r="A5721" s="102"/>
      <c r="B5721" s="116"/>
    </row>
    <row r="5722" spans="1:2" x14ac:dyDescent="0.2">
      <c r="A5722" s="102"/>
      <c r="B5722" s="116"/>
    </row>
    <row r="5723" spans="1:2" x14ac:dyDescent="0.2">
      <c r="A5723" s="102"/>
      <c r="B5723" s="116"/>
    </row>
    <row r="5724" spans="1:2" x14ac:dyDescent="0.2">
      <c r="A5724" s="102"/>
      <c r="B5724" s="116"/>
    </row>
    <row r="5725" spans="1:2" x14ac:dyDescent="0.2">
      <c r="A5725" s="102"/>
      <c r="B5725" s="116"/>
    </row>
    <row r="5726" spans="1:2" x14ac:dyDescent="0.2">
      <c r="A5726" s="102"/>
      <c r="B5726" s="116"/>
    </row>
    <row r="5727" spans="1:2" x14ac:dyDescent="0.2">
      <c r="A5727" s="102"/>
      <c r="B5727" s="116"/>
    </row>
    <row r="5728" spans="1:2" x14ac:dyDescent="0.2">
      <c r="A5728" s="102"/>
      <c r="B5728" s="116"/>
    </row>
    <row r="5729" spans="1:2" x14ac:dyDescent="0.2">
      <c r="A5729" s="102"/>
      <c r="B5729" s="116"/>
    </row>
    <row r="5730" spans="1:2" x14ac:dyDescent="0.2">
      <c r="A5730" s="102"/>
      <c r="B5730" s="116"/>
    </row>
    <row r="5731" spans="1:2" x14ac:dyDescent="0.2">
      <c r="A5731" s="102"/>
      <c r="B5731" s="116"/>
    </row>
    <row r="5732" spans="1:2" x14ac:dyDescent="0.2">
      <c r="A5732" s="102"/>
      <c r="B5732" s="116"/>
    </row>
    <row r="5733" spans="1:2" x14ac:dyDescent="0.2">
      <c r="A5733" s="102"/>
      <c r="B5733" s="116"/>
    </row>
    <row r="5734" spans="1:2" x14ac:dyDescent="0.2">
      <c r="A5734" s="102"/>
      <c r="B5734" s="116"/>
    </row>
    <row r="5735" spans="1:2" x14ac:dyDescent="0.2">
      <c r="A5735" s="102"/>
      <c r="B5735" s="116"/>
    </row>
    <row r="5736" spans="1:2" x14ac:dyDescent="0.2">
      <c r="A5736" s="102"/>
      <c r="B5736" s="116"/>
    </row>
    <row r="5737" spans="1:2" x14ac:dyDescent="0.2">
      <c r="A5737" s="102"/>
      <c r="B5737" s="116"/>
    </row>
    <row r="5738" spans="1:2" x14ac:dyDescent="0.2">
      <c r="A5738" s="102"/>
      <c r="B5738" s="116"/>
    </row>
    <row r="5739" spans="1:2" x14ac:dyDescent="0.2">
      <c r="A5739" s="102"/>
      <c r="B5739" s="116"/>
    </row>
    <row r="5740" spans="1:2" x14ac:dyDescent="0.2">
      <c r="A5740" s="102"/>
      <c r="B5740" s="116"/>
    </row>
    <row r="5741" spans="1:2" x14ac:dyDescent="0.2">
      <c r="A5741" s="102"/>
      <c r="B5741" s="116"/>
    </row>
    <row r="5742" spans="1:2" x14ac:dyDescent="0.2">
      <c r="A5742" s="102"/>
      <c r="B5742" s="116"/>
    </row>
    <row r="5743" spans="1:2" x14ac:dyDescent="0.2">
      <c r="A5743" s="102"/>
      <c r="B5743" s="116"/>
    </row>
    <row r="5744" spans="1:2" x14ac:dyDescent="0.2">
      <c r="A5744" s="102"/>
      <c r="B5744" s="116"/>
    </row>
    <row r="5745" spans="1:2" x14ac:dyDescent="0.2">
      <c r="A5745" s="102"/>
      <c r="B5745" s="116"/>
    </row>
    <row r="5746" spans="1:2" x14ac:dyDescent="0.2">
      <c r="A5746" s="102"/>
      <c r="B5746" s="116"/>
    </row>
    <row r="5747" spans="1:2" x14ac:dyDescent="0.2">
      <c r="A5747" s="102"/>
      <c r="B5747" s="116"/>
    </row>
    <row r="5748" spans="1:2" x14ac:dyDescent="0.2">
      <c r="A5748" s="102"/>
      <c r="B5748" s="116"/>
    </row>
    <row r="5749" spans="1:2" x14ac:dyDescent="0.2">
      <c r="A5749" s="102"/>
      <c r="B5749" s="116"/>
    </row>
    <row r="5750" spans="1:2" x14ac:dyDescent="0.2">
      <c r="A5750" s="102"/>
      <c r="B5750" s="116"/>
    </row>
    <row r="5751" spans="1:2" x14ac:dyDescent="0.2">
      <c r="A5751" s="102"/>
      <c r="B5751" s="116"/>
    </row>
    <row r="5752" spans="1:2" x14ac:dyDescent="0.2">
      <c r="A5752" s="102"/>
      <c r="B5752" s="116"/>
    </row>
    <row r="5753" spans="1:2" x14ac:dyDescent="0.2">
      <c r="A5753" s="102"/>
      <c r="B5753" s="116"/>
    </row>
    <row r="5754" spans="1:2" x14ac:dyDescent="0.2">
      <c r="A5754" s="102"/>
      <c r="B5754" s="116"/>
    </row>
    <row r="5755" spans="1:2" x14ac:dyDescent="0.2">
      <c r="A5755" s="102"/>
      <c r="B5755" s="116"/>
    </row>
    <row r="5756" spans="1:2" x14ac:dyDescent="0.2">
      <c r="A5756" s="102"/>
      <c r="B5756" s="116"/>
    </row>
    <row r="5757" spans="1:2" x14ac:dyDescent="0.2">
      <c r="A5757" s="102"/>
      <c r="B5757" s="116"/>
    </row>
    <row r="5758" spans="1:2" x14ac:dyDescent="0.2">
      <c r="A5758" s="102"/>
      <c r="B5758" s="116"/>
    </row>
    <row r="5759" spans="1:2" x14ac:dyDescent="0.2">
      <c r="A5759" s="102"/>
      <c r="B5759" s="116"/>
    </row>
    <row r="5760" spans="1:2" x14ac:dyDescent="0.2">
      <c r="A5760" s="102"/>
      <c r="B5760" s="116"/>
    </row>
    <row r="5761" spans="1:2" x14ac:dyDescent="0.2">
      <c r="A5761" s="102"/>
      <c r="B5761" s="116"/>
    </row>
    <row r="5762" spans="1:2" x14ac:dyDescent="0.2">
      <c r="A5762" s="102"/>
      <c r="B5762" s="116"/>
    </row>
    <row r="5763" spans="1:2" x14ac:dyDescent="0.2">
      <c r="A5763" s="102"/>
      <c r="B5763" s="116"/>
    </row>
    <row r="5764" spans="1:2" x14ac:dyDescent="0.2">
      <c r="A5764" s="102"/>
      <c r="B5764" s="116"/>
    </row>
    <row r="5765" spans="1:2" x14ac:dyDescent="0.2">
      <c r="A5765" s="102"/>
      <c r="B5765" s="116"/>
    </row>
    <row r="5766" spans="1:2" x14ac:dyDescent="0.2">
      <c r="A5766" s="102"/>
      <c r="B5766" s="116"/>
    </row>
    <row r="5767" spans="1:2" x14ac:dyDescent="0.2">
      <c r="A5767" s="102"/>
      <c r="B5767" s="116"/>
    </row>
    <row r="5768" spans="1:2" x14ac:dyDescent="0.2">
      <c r="A5768" s="102"/>
      <c r="B5768" s="116"/>
    </row>
    <row r="5769" spans="1:2" x14ac:dyDescent="0.2">
      <c r="A5769" s="102"/>
      <c r="B5769" s="116"/>
    </row>
    <row r="5770" spans="1:2" x14ac:dyDescent="0.2">
      <c r="A5770" s="102"/>
      <c r="B5770" s="116"/>
    </row>
    <row r="5771" spans="1:2" x14ac:dyDescent="0.2">
      <c r="A5771" s="102"/>
      <c r="B5771" s="116"/>
    </row>
    <row r="5772" spans="1:2" x14ac:dyDescent="0.2">
      <c r="A5772" s="102"/>
      <c r="B5772" s="116"/>
    </row>
    <row r="5773" spans="1:2" x14ac:dyDescent="0.2">
      <c r="A5773" s="102"/>
      <c r="B5773" s="116"/>
    </row>
    <row r="5774" spans="1:2" x14ac:dyDescent="0.2">
      <c r="A5774" s="102"/>
      <c r="B5774" s="116"/>
    </row>
    <row r="5775" spans="1:2" x14ac:dyDescent="0.2">
      <c r="A5775" s="102"/>
      <c r="B5775" s="116"/>
    </row>
    <row r="5776" spans="1:2" x14ac:dyDescent="0.2">
      <c r="A5776" s="102"/>
      <c r="B5776" s="116"/>
    </row>
    <row r="5777" spans="1:2" x14ac:dyDescent="0.2">
      <c r="A5777" s="102"/>
      <c r="B5777" s="116"/>
    </row>
    <row r="5778" spans="1:2" x14ac:dyDescent="0.2">
      <c r="A5778" s="102"/>
      <c r="B5778" s="116"/>
    </row>
    <row r="5779" spans="1:2" x14ac:dyDescent="0.2">
      <c r="A5779" s="102"/>
      <c r="B5779" s="116"/>
    </row>
    <row r="5780" spans="1:2" x14ac:dyDescent="0.2">
      <c r="A5780" s="102"/>
      <c r="B5780" s="116"/>
    </row>
    <row r="5781" spans="1:2" x14ac:dyDescent="0.2">
      <c r="A5781" s="102"/>
      <c r="B5781" s="116"/>
    </row>
    <row r="5782" spans="1:2" x14ac:dyDescent="0.2">
      <c r="A5782" s="102"/>
      <c r="B5782" s="116"/>
    </row>
    <row r="5783" spans="1:2" x14ac:dyDescent="0.2">
      <c r="A5783" s="102"/>
      <c r="B5783" s="116"/>
    </row>
    <row r="5784" spans="1:2" x14ac:dyDescent="0.2">
      <c r="A5784" s="102"/>
      <c r="B5784" s="116"/>
    </row>
    <row r="5785" spans="1:2" x14ac:dyDescent="0.2">
      <c r="A5785" s="102"/>
      <c r="B5785" s="116"/>
    </row>
    <row r="5786" spans="1:2" x14ac:dyDescent="0.2">
      <c r="A5786" s="102"/>
      <c r="B5786" s="116"/>
    </row>
    <row r="5787" spans="1:2" x14ac:dyDescent="0.2">
      <c r="A5787" s="102"/>
      <c r="B5787" s="116"/>
    </row>
    <row r="5788" spans="1:2" x14ac:dyDescent="0.2">
      <c r="A5788" s="102"/>
      <c r="B5788" s="116"/>
    </row>
    <row r="5789" spans="1:2" x14ac:dyDescent="0.2">
      <c r="A5789" s="102"/>
      <c r="B5789" s="116"/>
    </row>
    <row r="5790" spans="1:2" x14ac:dyDescent="0.2">
      <c r="A5790" s="102"/>
      <c r="B5790" s="116"/>
    </row>
    <row r="5791" spans="1:2" x14ac:dyDescent="0.2">
      <c r="A5791" s="102"/>
      <c r="B5791" s="116"/>
    </row>
    <row r="5792" spans="1:2" x14ac:dyDescent="0.2">
      <c r="A5792" s="102"/>
      <c r="B5792" s="116"/>
    </row>
    <row r="5793" spans="1:2" x14ac:dyDescent="0.2">
      <c r="A5793" s="102"/>
      <c r="B5793" s="116"/>
    </row>
    <row r="5794" spans="1:2" x14ac:dyDescent="0.2">
      <c r="A5794" s="102"/>
      <c r="B5794" s="116"/>
    </row>
    <row r="5795" spans="1:2" x14ac:dyDescent="0.2">
      <c r="A5795" s="102"/>
      <c r="B5795" s="116"/>
    </row>
    <row r="5796" spans="1:2" x14ac:dyDescent="0.2">
      <c r="A5796" s="102"/>
      <c r="B5796" s="116"/>
    </row>
    <row r="5797" spans="1:2" x14ac:dyDescent="0.2">
      <c r="A5797" s="102"/>
      <c r="B5797" s="116"/>
    </row>
    <row r="5798" spans="1:2" x14ac:dyDescent="0.2">
      <c r="A5798" s="102"/>
      <c r="B5798" s="116"/>
    </row>
    <row r="5799" spans="1:2" x14ac:dyDescent="0.2">
      <c r="A5799" s="102"/>
      <c r="B5799" s="116"/>
    </row>
    <row r="5800" spans="1:2" x14ac:dyDescent="0.2">
      <c r="A5800" s="102"/>
      <c r="B5800" s="116"/>
    </row>
    <row r="5801" spans="1:2" x14ac:dyDescent="0.2">
      <c r="A5801" s="102"/>
      <c r="B5801" s="116"/>
    </row>
    <row r="5802" spans="1:2" x14ac:dyDescent="0.2">
      <c r="A5802" s="102"/>
      <c r="B5802" s="116"/>
    </row>
    <row r="5803" spans="1:2" x14ac:dyDescent="0.2">
      <c r="A5803" s="102"/>
      <c r="B5803" s="116"/>
    </row>
    <row r="5804" spans="1:2" x14ac:dyDescent="0.2">
      <c r="A5804" s="102"/>
      <c r="B5804" s="116"/>
    </row>
    <row r="5805" spans="1:2" x14ac:dyDescent="0.2">
      <c r="A5805" s="102"/>
      <c r="B5805" s="116"/>
    </row>
    <row r="5806" spans="1:2" x14ac:dyDescent="0.2">
      <c r="A5806" s="102"/>
      <c r="B5806" s="116"/>
    </row>
    <row r="5807" spans="1:2" x14ac:dyDescent="0.2">
      <c r="A5807" s="102"/>
      <c r="B5807" s="116"/>
    </row>
    <row r="5808" spans="1:2" x14ac:dyDescent="0.2">
      <c r="A5808" s="102"/>
      <c r="B5808" s="116"/>
    </row>
    <row r="5809" spans="1:2" x14ac:dyDescent="0.2">
      <c r="A5809" s="102"/>
      <c r="B5809" s="116"/>
    </row>
    <row r="5810" spans="1:2" x14ac:dyDescent="0.2">
      <c r="A5810" s="102"/>
      <c r="B5810" s="116"/>
    </row>
    <row r="5811" spans="1:2" x14ac:dyDescent="0.2">
      <c r="A5811" s="102"/>
      <c r="B5811" s="116"/>
    </row>
    <row r="5812" spans="1:2" x14ac:dyDescent="0.2">
      <c r="A5812" s="102"/>
      <c r="B5812" s="116"/>
    </row>
    <row r="5813" spans="1:2" x14ac:dyDescent="0.2">
      <c r="A5813" s="102"/>
      <c r="B5813" s="116"/>
    </row>
    <row r="5814" spans="1:2" x14ac:dyDescent="0.2">
      <c r="A5814" s="102"/>
      <c r="B5814" s="116"/>
    </row>
    <row r="5815" spans="1:2" x14ac:dyDescent="0.2">
      <c r="A5815" s="102"/>
      <c r="B5815" s="116"/>
    </row>
    <row r="5816" spans="1:2" x14ac:dyDescent="0.2">
      <c r="A5816" s="102"/>
      <c r="B5816" s="116"/>
    </row>
    <row r="5817" spans="1:2" x14ac:dyDescent="0.2">
      <c r="A5817" s="102"/>
      <c r="B5817" s="116"/>
    </row>
    <row r="5818" spans="1:2" x14ac:dyDescent="0.2">
      <c r="A5818" s="102"/>
      <c r="B5818" s="116"/>
    </row>
    <row r="5819" spans="1:2" x14ac:dyDescent="0.2">
      <c r="A5819" s="102"/>
      <c r="B5819" s="116"/>
    </row>
    <row r="5820" spans="1:2" x14ac:dyDescent="0.2">
      <c r="A5820" s="102"/>
      <c r="B5820" s="116"/>
    </row>
    <row r="5821" spans="1:2" x14ac:dyDescent="0.2">
      <c r="A5821" s="102"/>
      <c r="B5821" s="116"/>
    </row>
    <row r="5822" spans="1:2" x14ac:dyDescent="0.2">
      <c r="A5822" s="102"/>
      <c r="B5822" s="116"/>
    </row>
    <row r="5823" spans="1:2" x14ac:dyDescent="0.2">
      <c r="A5823" s="102"/>
      <c r="B5823" s="116"/>
    </row>
    <row r="5824" spans="1:2" x14ac:dyDescent="0.2">
      <c r="A5824" s="102"/>
      <c r="B5824" s="116"/>
    </row>
    <row r="5825" spans="1:2" x14ac:dyDescent="0.2">
      <c r="A5825" s="102"/>
      <c r="B5825" s="116"/>
    </row>
    <row r="5826" spans="1:2" x14ac:dyDescent="0.2">
      <c r="A5826" s="102"/>
      <c r="B5826" s="116"/>
    </row>
    <row r="5827" spans="1:2" x14ac:dyDescent="0.2">
      <c r="A5827" s="102"/>
      <c r="B5827" s="116"/>
    </row>
    <row r="5828" spans="1:2" x14ac:dyDescent="0.2">
      <c r="A5828" s="102"/>
      <c r="B5828" s="116"/>
    </row>
    <row r="5829" spans="1:2" x14ac:dyDescent="0.2">
      <c r="A5829" s="102"/>
      <c r="B5829" s="116"/>
    </row>
    <row r="5830" spans="1:2" x14ac:dyDescent="0.2">
      <c r="A5830" s="102"/>
      <c r="B5830" s="116"/>
    </row>
    <row r="5831" spans="1:2" x14ac:dyDescent="0.2">
      <c r="A5831" s="102"/>
      <c r="B5831" s="116"/>
    </row>
    <row r="5832" spans="1:2" x14ac:dyDescent="0.2">
      <c r="A5832" s="102"/>
      <c r="B5832" s="116"/>
    </row>
    <row r="5833" spans="1:2" x14ac:dyDescent="0.2">
      <c r="A5833" s="102"/>
      <c r="B5833" s="116"/>
    </row>
    <row r="5834" spans="1:2" x14ac:dyDescent="0.2">
      <c r="A5834" s="102"/>
      <c r="B5834" s="116"/>
    </row>
    <row r="5835" spans="1:2" x14ac:dyDescent="0.2">
      <c r="A5835" s="102"/>
      <c r="B5835" s="116"/>
    </row>
    <row r="5836" spans="1:2" x14ac:dyDescent="0.2">
      <c r="A5836" s="102"/>
      <c r="B5836" s="116"/>
    </row>
    <row r="5837" spans="1:2" x14ac:dyDescent="0.2">
      <c r="A5837" s="102"/>
      <c r="B5837" s="116"/>
    </row>
    <row r="5838" spans="1:2" x14ac:dyDescent="0.2">
      <c r="A5838" s="102"/>
      <c r="B5838" s="116"/>
    </row>
    <row r="5839" spans="1:2" x14ac:dyDescent="0.2">
      <c r="A5839" s="102"/>
      <c r="B5839" s="116"/>
    </row>
    <row r="5840" spans="1:2" x14ac:dyDescent="0.2">
      <c r="A5840" s="102"/>
      <c r="B5840" s="116"/>
    </row>
    <row r="5841" spans="1:2" x14ac:dyDescent="0.2">
      <c r="A5841" s="102"/>
      <c r="B5841" s="116"/>
    </row>
    <row r="5842" spans="1:2" x14ac:dyDescent="0.2">
      <c r="A5842" s="102"/>
      <c r="B5842" s="116"/>
    </row>
    <row r="5843" spans="1:2" x14ac:dyDescent="0.2">
      <c r="A5843" s="102"/>
      <c r="B5843" s="116"/>
    </row>
    <row r="5844" spans="1:2" x14ac:dyDescent="0.2">
      <c r="A5844" s="102"/>
      <c r="B5844" s="116"/>
    </row>
    <row r="5845" spans="1:2" x14ac:dyDescent="0.2">
      <c r="A5845" s="102"/>
      <c r="B5845" s="116"/>
    </row>
    <row r="5846" spans="1:2" x14ac:dyDescent="0.2">
      <c r="A5846" s="102"/>
      <c r="B5846" s="116"/>
    </row>
    <row r="5847" spans="1:2" x14ac:dyDescent="0.2">
      <c r="A5847" s="102"/>
      <c r="B5847" s="116"/>
    </row>
    <row r="5848" spans="1:2" x14ac:dyDescent="0.2">
      <c r="A5848" s="102"/>
      <c r="B5848" s="116"/>
    </row>
    <row r="5849" spans="1:2" x14ac:dyDescent="0.2">
      <c r="A5849" s="102"/>
      <c r="B5849" s="116"/>
    </row>
    <row r="5850" spans="1:2" x14ac:dyDescent="0.2">
      <c r="A5850" s="102"/>
      <c r="B5850" s="116"/>
    </row>
    <row r="5851" spans="1:2" x14ac:dyDescent="0.2">
      <c r="A5851" s="102"/>
      <c r="B5851" s="116"/>
    </row>
    <row r="5852" spans="1:2" x14ac:dyDescent="0.2">
      <c r="A5852" s="102"/>
      <c r="B5852" s="116"/>
    </row>
    <row r="5853" spans="1:2" x14ac:dyDescent="0.2">
      <c r="A5853" s="102"/>
      <c r="B5853" s="116"/>
    </row>
    <row r="5854" spans="1:2" x14ac:dyDescent="0.2">
      <c r="A5854" s="102"/>
      <c r="B5854" s="116"/>
    </row>
    <row r="5855" spans="1:2" x14ac:dyDescent="0.2">
      <c r="A5855" s="102"/>
      <c r="B5855" s="116"/>
    </row>
    <row r="5856" spans="1:2" x14ac:dyDescent="0.2">
      <c r="A5856" s="102"/>
      <c r="B5856" s="116"/>
    </row>
    <row r="5857" spans="1:2" x14ac:dyDescent="0.2">
      <c r="A5857" s="102"/>
      <c r="B5857" s="116"/>
    </row>
    <row r="5858" spans="1:2" x14ac:dyDescent="0.2">
      <c r="A5858" s="102"/>
      <c r="B5858" s="116"/>
    </row>
    <row r="5859" spans="1:2" x14ac:dyDescent="0.2">
      <c r="A5859" s="102"/>
      <c r="B5859" s="116"/>
    </row>
    <row r="5860" spans="1:2" x14ac:dyDescent="0.2">
      <c r="A5860" s="102"/>
      <c r="B5860" s="116"/>
    </row>
    <row r="5861" spans="1:2" x14ac:dyDescent="0.2">
      <c r="A5861" s="102"/>
      <c r="B5861" s="116"/>
    </row>
    <row r="5862" spans="1:2" x14ac:dyDescent="0.2">
      <c r="A5862" s="102"/>
      <c r="B5862" s="116"/>
    </row>
    <row r="5863" spans="1:2" x14ac:dyDescent="0.2">
      <c r="A5863" s="102"/>
      <c r="B5863" s="116"/>
    </row>
    <row r="5864" spans="1:2" x14ac:dyDescent="0.2">
      <c r="A5864" s="102"/>
      <c r="B5864" s="116"/>
    </row>
    <row r="5865" spans="1:2" x14ac:dyDescent="0.2">
      <c r="A5865" s="102"/>
      <c r="B5865" s="116"/>
    </row>
    <row r="5866" spans="1:2" x14ac:dyDescent="0.2">
      <c r="A5866" s="102"/>
      <c r="B5866" s="116"/>
    </row>
    <row r="5867" spans="1:2" x14ac:dyDescent="0.2">
      <c r="A5867" s="102"/>
      <c r="B5867" s="116"/>
    </row>
    <row r="5868" spans="1:2" x14ac:dyDescent="0.2">
      <c r="A5868" s="102"/>
      <c r="B5868" s="116"/>
    </row>
    <row r="5869" spans="1:2" x14ac:dyDescent="0.2">
      <c r="A5869" s="102"/>
      <c r="B5869" s="116"/>
    </row>
    <row r="5870" spans="1:2" x14ac:dyDescent="0.2">
      <c r="A5870" s="102"/>
      <c r="B5870" s="116"/>
    </row>
    <row r="5871" spans="1:2" x14ac:dyDescent="0.2">
      <c r="A5871" s="102"/>
      <c r="B5871" s="116"/>
    </row>
    <row r="5872" spans="1:2" x14ac:dyDescent="0.2">
      <c r="A5872" s="102"/>
      <c r="B5872" s="116"/>
    </row>
    <row r="5873" spans="1:2" x14ac:dyDescent="0.2">
      <c r="A5873" s="102"/>
      <c r="B5873" s="116"/>
    </row>
    <row r="5874" spans="1:2" x14ac:dyDescent="0.2">
      <c r="A5874" s="102"/>
      <c r="B5874" s="116"/>
    </row>
    <row r="5875" spans="1:2" x14ac:dyDescent="0.2">
      <c r="A5875" s="102"/>
      <c r="B5875" s="116"/>
    </row>
    <row r="5876" spans="1:2" x14ac:dyDescent="0.2">
      <c r="A5876" s="102"/>
      <c r="B5876" s="116"/>
    </row>
    <row r="5877" spans="1:2" x14ac:dyDescent="0.2">
      <c r="A5877" s="102"/>
      <c r="B5877" s="116"/>
    </row>
    <row r="5878" spans="1:2" x14ac:dyDescent="0.2">
      <c r="A5878" s="102"/>
      <c r="B5878" s="116"/>
    </row>
    <row r="5879" spans="1:2" x14ac:dyDescent="0.2">
      <c r="A5879" s="102"/>
      <c r="B5879" s="116"/>
    </row>
    <row r="5880" spans="1:2" x14ac:dyDescent="0.2">
      <c r="A5880" s="102"/>
      <c r="B5880" s="116"/>
    </row>
    <row r="5881" spans="1:2" x14ac:dyDescent="0.2">
      <c r="A5881" s="102"/>
      <c r="B5881" s="116"/>
    </row>
    <row r="5882" spans="1:2" x14ac:dyDescent="0.2">
      <c r="A5882" s="102"/>
      <c r="B5882" s="116"/>
    </row>
    <row r="5883" spans="1:2" x14ac:dyDescent="0.2">
      <c r="A5883" s="102"/>
      <c r="B5883" s="116"/>
    </row>
    <row r="5884" spans="1:2" x14ac:dyDescent="0.2">
      <c r="A5884" s="102"/>
      <c r="B5884" s="116"/>
    </row>
    <row r="5885" spans="1:2" x14ac:dyDescent="0.2">
      <c r="A5885" s="102"/>
      <c r="B5885" s="116"/>
    </row>
    <row r="5886" spans="1:2" x14ac:dyDescent="0.2">
      <c r="A5886" s="102"/>
      <c r="B5886" s="116"/>
    </row>
    <row r="5887" spans="1:2" x14ac:dyDescent="0.2">
      <c r="A5887" s="102"/>
      <c r="B5887" s="116"/>
    </row>
    <row r="5888" spans="1:2" x14ac:dyDescent="0.2">
      <c r="A5888" s="102"/>
      <c r="B5888" s="116"/>
    </row>
    <row r="5889" spans="1:2" x14ac:dyDescent="0.2">
      <c r="A5889" s="102"/>
      <c r="B5889" s="116"/>
    </row>
    <row r="5890" spans="1:2" x14ac:dyDescent="0.2">
      <c r="A5890" s="102"/>
      <c r="B5890" s="116"/>
    </row>
    <row r="5891" spans="1:2" x14ac:dyDescent="0.2">
      <c r="A5891" s="102"/>
      <c r="B5891" s="116"/>
    </row>
    <row r="5892" spans="1:2" x14ac:dyDescent="0.2">
      <c r="A5892" s="102"/>
      <c r="B5892" s="116"/>
    </row>
    <row r="5893" spans="1:2" x14ac:dyDescent="0.2">
      <c r="A5893" s="102"/>
      <c r="B5893" s="116"/>
    </row>
    <row r="5894" spans="1:2" x14ac:dyDescent="0.2">
      <c r="A5894" s="102"/>
      <c r="B5894" s="116"/>
    </row>
    <row r="5895" spans="1:2" x14ac:dyDescent="0.2">
      <c r="A5895" s="102"/>
      <c r="B5895" s="116"/>
    </row>
    <row r="5896" spans="1:2" x14ac:dyDescent="0.2">
      <c r="A5896" s="102"/>
      <c r="B5896" s="116"/>
    </row>
    <row r="5897" spans="1:2" x14ac:dyDescent="0.2">
      <c r="A5897" s="102"/>
      <c r="B5897" s="116"/>
    </row>
    <row r="5898" spans="1:2" x14ac:dyDescent="0.2">
      <c r="A5898" s="102"/>
      <c r="B5898" s="116"/>
    </row>
    <row r="5899" spans="1:2" x14ac:dyDescent="0.2">
      <c r="A5899" s="102"/>
      <c r="B5899" s="116"/>
    </row>
    <row r="5900" spans="1:2" x14ac:dyDescent="0.2">
      <c r="A5900" s="102"/>
      <c r="B5900" s="116"/>
    </row>
    <row r="5901" spans="1:2" x14ac:dyDescent="0.2">
      <c r="A5901" s="102"/>
      <c r="B5901" s="116"/>
    </row>
    <row r="5902" spans="1:2" x14ac:dyDescent="0.2">
      <c r="A5902" s="102"/>
      <c r="B5902" s="116"/>
    </row>
    <row r="5903" spans="1:2" x14ac:dyDescent="0.2">
      <c r="A5903" s="102"/>
      <c r="B5903" s="116"/>
    </row>
    <row r="5904" spans="1:2" x14ac:dyDescent="0.2">
      <c r="A5904" s="102"/>
      <c r="B5904" s="116"/>
    </row>
    <row r="5905" spans="1:2" x14ac:dyDescent="0.2">
      <c r="A5905" s="102"/>
      <c r="B5905" s="116"/>
    </row>
    <row r="5906" spans="1:2" x14ac:dyDescent="0.2">
      <c r="A5906" s="102"/>
      <c r="B5906" s="116"/>
    </row>
    <row r="5907" spans="1:2" x14ac:dyDescent="0.2">
      <c r="A5907" s="102"/>
      <c r="B5907" s="116"/>
    </row>
    <row r="5908" spans="1:2" x14ac:dyDescent="0.2">
      <c r="A5908" s="102"/>
      <c r="B5908" s="116"/>
    </row>
    <row r="5909" spans="1:2" x14ac:dyDescent="0.2">
      <c r="A5909" s="102"/>
      <c r="B5909" s="116"/>
    </row>
    <row r="5910" spans="1:2" x14ac:dyDescent="0.2">
      <c r="A5910" s="102"/>
      <c r="B5910" s="116"/>
    </row>
    <row r="5911" spans="1:2" x14ac:dyDescent="0.2">
      <c r="A5911" s="102"/>
      <c r="B5911" s="116"/>
    </row>
    <row r="5912" spans="1:2" x14ac:dyDescent="0.2">
      <c r="A5912" s="102"/>
      <c r="B5912" s="116"/>
    </row>
    <row r="5913" spans="1:2" x14ac:dyDescent="0.2">
      <c r="A5913" s="102"/>
      <c r="B5913" s="116"/>
    </row>
    <row r="5914" spans="1:2" x14ac:dyDescent="0.2">
      <c r="A5914" s="102"/>
      <c r="B5914" s="116"/>
    </row>
    <row r="5915" spans="1:2" x14ac:dyDescent="0.2">
      <c r="A5915" s="102"/>
      <c r="B5915" s="116"/>
    </row>
    <row r="5916" spans="1:2" x14ac:dyDescent="0.2">
      <c r="A5916" s="102"/>
      <c r="B5916" s="116"/>
    </row>
    <row r="5917" spans="1:2" x14ac:dyDescent="0.2">
      <c r="A5917" s="102"/>
      <c r="B5917" s="116"/>
    </row>
    <row r="5918" spans="1:2" x14ac:dyDescent="0.2">
      <c r="A5918" s="102"/>
      <c r="B5918" s="116"/>
    </row>
    <row r="5919" spans="1:2" x14ac:dyDescent="0.2">
      <c r="A5919" s="102"/>
      <c r="B5919" s="116"/>
    </row>
    <row r="5920" spans="1:2" x14ac:dyDescent="0.2">
      <c r="A5920" s="102"/>
      <c r="B5920" s="116"/>
    </row>
    <row r="5921" spans="1:2" x14ac:dyDescent="0.2">
      <c r="A5921" s="102"/>
      <c r="B5921" s="116"/>
    </row>
    <row r="5922" spans="1:2" x14ac:dyDescent="0.2">
      <c r="A5922" s="102"/>
      <c r="B5922" s="116"/>
    </row>
    <row r="5923" spans="1:2" x14ac:dyDescent="0.2">
      <c r="A5923" s="102"/>
      <c r="B5923" s="116"/>
    </row>
    <row r="5924" spans="1:2" x14ac:dyDescent="0.2">
      <c r="A5924" s="102"/>
      <c r="B5924" s="116"/>
    </row>
    <row r="5925" spans="1:2" x14ac:dyDescent="0.2">
      <c r="A5925" s="102"/>
      <c r="B5925" s="116"/>
    </row>
    <row r="5926" spans="1:2" x14ac:dyDescent="0.2">
      <c r="A5926" s="102"/>
      <c r="B5926" s="116"/>
    </row>
    <row r="5927" spans="1:2" x14ac:dyDescent="0.2">
      <c r="A5927" s="102"/>
      <c r="B5927" s="116"/>
    </row>
    <row r="5928" spans="1:2" x14ac:dyDescent="0.2">
      <c r="A5928" s="102"/>
      <c r="B5928" s="116"/>
    </row>
    <row r="5929" spans="1:2" x14ac:dyDescent="0.2">
      <c r="A5929" s="102"/>
      <c r="B5929" s="116"/>
    </row>
    <row r="5930" spans="1:2" x14ac:dyDescent="0.2">
      <c r="A5930" s="102"/>
      <c r="B5930" s="116"/>
    </row>
    <row r="5931" spans="1:2" x14ac:dyDescent="0.2">
      <c r="A5931" s="102"/>
      <c r="B5931" s="116"/>
    </row>
    <row r="5932" spans="1:2" x14ac:dyDescent="0.2">
      <c r="A5932" s="102"/>
      <c r="B5932" s="116"/>
    </row>
    <row r="5933" spans="1:2" x14ac:dyDescent="0.2">
      <c r="A5933" s="102"/>
      <c r="B5933" s="116"/>
    </row>
    <row r="5934" spans="1:2" x14ac:dyDescent="0.2">
      <c r="A5934" s="102"/>
      <c r="B5934" s="116"/>
    </row>
    <row r="5935" spans="1:2" x14ac:dyDescent="0.2">
      <c r="A5935" s="102"/>
      <c r="B5935" s="116"/>
    </row>
    <row r="5936" spans="1:2" x14ac:dyDescent="0.2">
      <c r="A5936" s="102"/>
      <c r="B5936" s="116"/>
    </row>
    <row r="5937" spans="1:2" x14ac:dyDescent="0.2">
      <c r="A5937" s="102"/>
      <c r="B5937" s="116"/>
    </row>
    <row r="5938" spans="1:2" x14ac:dyDescent="0.2">
      <c r="A5938" s="102"/>
      <c r="B5938" s="116"/>
    </row>
    <row r="5939" spans="1:2" x14ac:dyDescent="0.2">
      <c r="A5939" s="102"/>
      <c r="B5939" s="116"/>
    </row>
    <row r="5940" spans="1:2" x14ac:dyDescent="0.2">
      <c r="A5940" s="102"/>
      <c r="B5940" s="116"/>
    </row>
    <row r="5941" spans="1:2" x14ac:dyDescent="0.2">
      <c r="A5941" s="102"/>
      <c r="B5941" s="116"/>
    </row>
    <row r="5942" spans="1:2" x14ac:dyDescent="0.2">
      <c r="A5942" s="102"/>
      <c r="B5942" s="116"/>
    </row>
    <row r="5943" spans="1:2" x14ac:dyDescent="0.2">
      <c r="A5943" s="102"/>
      <c r="B5943" s="116"/>
    </row>
    <row r="5944" spans="1:2" x14ac:dyDescent="0.2">
      <c r="A5944" s="102"/>
      <c r="B5944" s="116"/>
    </row>
    <row r="5945" spans="1:2" x14ac:dyDescent="0.2">
      <c r="A5945" s="102"/>
      <c r="B5945" s="116"/>
    </row>
    <row r="5946" spans="1:2" x14ac:dyDescent="0.2">
      <c r="A5946" s="102"/>
      <c r="B5946" s="116"/>
    </row>
    <row r="5947" spans="1:2" x14ac:dyDescent="0.2">
      <c r="A5947" s="102"/>
      <c r="B5947" s="116"/>
    </row>
    <row r="5948" spans="1:2" x14ac:dyDescent="0.2">
      <c r="A5948" s="102"/>
      <c r="B5948" s="116"/>
    </row>
    <row r="5949" spans="1:2" x14ac:dyDescent="0.2">
      <c r="A5949" s="102"/>
      <c r="B5949" s="116"/>
    </row>
    <row r="5950" spans="1:2" x14ac:dyDescent="0.2">
      <c r="A5950" s="102"/>
      <c r="B5950" s="116"/>
    </row>
    <row r="5951" spans="1:2" x14ac:dyDescent="0.2">
      <c r="A5951" s="102"/>
      <c r="B5951" s="116"/>
    </row>
    <row r="5952" spans="1:2" x14ac:dyDescent="0.2">
      <c r="A5952" s="102"/>
      <c r="B5952" s="116"/>
    </row>
    <row r="5953" spans="1:2" x14ac:dyDescent="0.2">
      <c r="A5953" s="102"/>
      <c r="B5953" s="116"/>
    </row>
    <row r="5954" spans="1:2" x14ac:dyDescent="0.2">
      <c r="A5954" s="102"/>
      <c r="B5954" s="116"/>
    </row>
    <row r="5955" spans="1:2" x14ac:dyDescent="0.2">
      <c r="A5955" s="102"/>
      <c r="B5955" s="116"/>
    </row>
    <row r="5956" spans="1:2" x14ac:dyDescent="0.2">
      <c r="A5956" s="102"/>
      <c r="B5956" s="116"/>
    </row>
    <row r="5957" spans="1:2" x14ac:dyDescent="0.2">
      <c r="A5957" s="102"/>
      <c r="B5957" s="116"/>
    </row>
    <row r="5958" spans="1:2" x14ac:dyDescent="0.2">
      <c r="A5958" s="102"/>
      <c r="B5958" s="116"/>
    </row>
    <row r="5959" spans="1:2" x14ac:dyDescent="0.2">
      <c r="A5959" s="102"/>
      <c r="B5959" s="116"/>
    </row>
    <row r="5960" spans="1:2" x14ac:dyDescent="0.2">
      <c r="A5960" s="102"/>
      <c r="B5960" s="116"/>
    </row>
    <row r="5961" spans="1:2" x14ac:dyDescent="0.2">
      <c r="A5961" s="102"/>
      <c r="B5961" s="116"/>
    </row>
    <row r="5962" spans="1:2" x14ac:dyDescent="0.2">
      <c r="A5962" s="102"/>
      <c r="B5962" s="116"/>
    </row>
    <row r="5963" spans="1:2" x14ac:dyDescent="0.2">
      <c r="A5963" s="102"/>
      <c r="B5963" s="116"/>
    </row>
    <row r="5964" spans="1:2" x14ac:dyDescent="0.2">
      <c r="A5964" s="102"/>
      <c r="B5964" s="116"/>
    </row>
    <row r="5965" spans="1:2" x14ac:dyDescent="0.2">
      <c r="A5965" s="102"/>
      <c r="B5965" s="116"/>
    </row>
    <row r="5966" spans="1:2" x14ac:dyDescent="0.2">
      <c r="A5966" s="102"/>
      <c r="B5966" s="116"/>
    </row>
    <row r="5967" spans="1:2" x14ac:dyDescent="0.2">
      <c r="A5967" s="102"/>
      <c r="B5967" s="116"/>
    </row>
    <row r="5968" spans="1:2" x14ac:dyDescent="0.2">
      <c r="A5968" s="102"/>
      <c r="B5968" s="116"/>
    </row>
    <row r="5969" spans="1:2" x14ac:dyDescent="0.2">
      <c r="A5969" s="102"/>
      <c r="B5969" s="116"/>
    </row>
    <row r="5970" spans="1:2" x14ac:dyDescent="0.2">
      <c r="A5970" s="102"/>
      <c r="B5970" s="116"/>
    </row>
    <row r="5971" spans="1:2" x14ac:dyDescent="0.2">
      <c r="A5971" s="102"/>
      <c r="B5971" s="116"/>
    </row>
    <row r="5972" spans="1:2" x14ac:dyDescent="0.2">
      <c r="A5972" s="102"/>
      <c r="B5972" s="116"/>
    </row>
    <row r="5973" spans="1:2" x14ac:dyDescent="0.2">
      <c r="A5973" s="102"/>
      <c r="B5973" s="116"/>
    </row>
    <row r="5974" spans="1:2" x14ac:dyDescent="0.2">
      <c r="A5974" s="102"/>
      <c r="B5974" s="116"/>
    </row>
    <row r="5975" spans="1:2" x14ac:dyDescent="0.2">
      <c r="A5975" s="102"/>
      <c r="B5975" s="116"/>
    </row>
    <row r="5976" spans="1:2" x14ac:dyDescent="0.2">
      <c r="A5976" s="102"/>
      <c r="B5976" s="116"/>
    </row>
    <row r="5977" spans="1:2" x14ac:dyDescent="0.2">
      <c r="A5977" s="102"/>
      <c r="B5977" s="116"/>
    </row>
    <row r="5978" spans="1:2" x14ac:dyDescent="0.2">
      <c r="A5978" s="102"/>
      <c r="B5978" s="116"/>
    </row>
    <row r="5979" spans="1:2" x14ac:dyDescent="0.2">
      <c r="A5979" s="102"/>
      <c r="B5979" s="116"/>
    </row>
    <row r="5980" spans="1:2" x14ac:dyDescent="0.2">
      <c r="A5980" s="102"/>
      <c r="B5980" s="116"/>
    </row>
    <row r="5981" spans="1:2" x14ac:dyDescent="0.2">
      <c r="A5981" s="102"/>
      <c r="B5981" s="116"/>
    </row>
    <row r="5982" spans="1:2" x14ac:dyDescent="0.2">
      <c r="A5982" s="102"/>
      <c r="B5982" s="116"/>
    </row>
    <row r="5983" spans="1:2" x14ac:dyDescent="0.2">
      <c r="A5983" s="102"/>
      <c r="B5983" s="116"/>
    </row>
    <row r="5984" spans="1:2" x14ac:dyDescent="0.2">
      <c r="A5984" s="102"/>
      <c r="B5984" s="116"/>
    </row>
    <row r="5985" spans="1:2" x14ac:dyDescent="0.2">
      <c r="A5985" s="102"/>
      <c r="B5985" s="116"/>
    </row>
    <row r="5986" spans="1:2" x14ac:dyDescent="0.2">
      <c r="A5986" s="102"/>
      <c r="B5986" s="116"/>
    </row>
    <row r="5987" spans="1:2" x14ac:dyDescent="0.2">
      <c r="A5987" s="102"/>
      <c r="B5987" s="116"/>
    </row>
    <row r="5988" spans="1:2" x14ac:dyDescent="0.2">
      <c r="A5988" s="102"/>
      <c r="B5988" s="116"/>
    </row>
    <row r="5989" spans="1:2" x14ac:dyDescent="0.2">
      <c r="A5989" s="102"/>
      <c r="B5989" s="116"/>
    </row>
    <row r="5990" spans="1:2" x14ac:dyDescent="0.2">
      <c r="A5990" s="102"/>
      <c r="B5990" s="116"/>
    </row>
    <row r="5991" spans="1:2" x14ac:dyDescent="0.2">
      <c r="A5991" s="102"/>
      <c r="B5991" s="116"/>
    </row>
    <row r="5992" spans="1:2" x14ac:dyDescent="0.2">
      <c r="A5992" s="102"/>
      <c r="B5992" s="116"/>
    </row>
    <row r="5993" spans="1:2" x14ac:dyDescent="0.2">
      <c r="A5993" s="102"/>
      <c r="B5993" s="116"/>
    </row>
    <row r="5994" spans="1:2" x14ac:dyDescent="0.2">
      <c r="A5994" s="102"/>
      <c r="B5994" s="116"/>
    </row>
    <row r="5995" spans="1:2" x14ac:dyDescent="0.2">
      <c r="A5995" s="102"/>
      <c r="B5995" s="116"/>
    </row>
    <row r="5996" spans="1:2" x14ac:dyDescent="0.2">
      <c r="A5996" s="102"/>
      <c r="B5996" s="116"/>
    </row>
    <row r="5997" spans="1:2" x14ac:dyDescent="0.2">
      <c r="A5997" s="102"/>
      <c r="B5997" s="116"/>
    </row>
    <row r="5998" spans="1:2" x14ac:dyDescent="0.2">
      <c r="A5998" s="102"/>
      <c r="B5998" s="116"/>
    </row>
    <row r="5999" spans="1:2" x14ac:dyDescent="0.2">
      <c r="A5999" s="102"/>
      <c r="B5999" s="116"/>
    </row>
    <row r="6000" spans="1:2" x14ac:dyDescent="0.2">
      <c r="A6000" s="102"/>
      <c r="B6000" s="116"/>
    </row>
    <row r="6001" spans="1:2" x14ac:dyDescent="0.2">
      <c r="A6001" s="102"/>
      <c r="B6001" s="116"/>
    </row>
    <row r="6002" spans="1:2" x14ac:dyDescent="0.2">
      <c r="A6002" s="102"/>
      <c r="B6002" s="116"/>
    </row>
    <row r="6003" spans="1:2" x14ac:dyDescent="0.2">
      <c r="A6003" s="102"/>
      <c r="B6003" s="116"/>
    </row>
    <row r="6004" spans="1:2" x14ac:dyDescent="0.2">
      <c r="A6004" s="102"/>
      <c r="B6004" s="116"/>
    </row>
    <row r="6005" spans="1:2" x14ac:dyDescent="0.2">
      <c r="A6005" s="102"/>
      <c r="B6005" s="116"/>
    </row>
    <row r="6006" spans="1:2" x14ac:dyDescent="0.2">
      <c r="A6006" s="102"/>
      <c r="B6006" s="116"/>
    </row>
    <row r="6007" spans="1:2" x14ac:dyDescent="0.2">
      <c r="A6007" s="102"/>
      <c r="B6007" s="116"/>
    </row>
    <row r="6008" spans="1:2" x14ac:dyDescent="0.2">
      <c r="A6008" s="102"/>
      <c r="B6008" s="116"/>
    </row>
    <row r="6009" spans="1:2" x14ac:dyDescent="0.2">
      <c r="A6009" s="102"/>
      <c r="B6009" s="116"/>
    </row>
    <row r="6010" spans="1:2" x14ac:dyDescent="0.2">
      <c r="A6010" s="102"/>
      <c r="B6010" s="116"/>
    </row>
    <row r="6011" spans="1:2" x14ac:dyDescent="0.2">
      <c r="A6011" s="102"/>
      <c r="B6011" s="116"/>
    </row>
    <row r="6012" spans="1:2" x14ac:dyDescent="0.2">
      <c r="A6012" s="102"/>
      <c r="B6012" s="116"/>
    </row>
    <row r="6013" spans="1:2" x14ac:dyDescent="0.2">
      <c r="A6013" s="102"/>
      <c r="B6013" s="116"/>
    </row>
    <row r="6014" spans="1:2" x14ac:dyDescent="0.2">
      <c r="A6014" s="102"/>
      <c r="B6014" s="116"/>
    </row>
    <row r="6015" spans="1:2" x14ac:dyDescent="0.2">
      <c r="A6015" s="102"/>
      <c r="B6015" s="116"/>
    </row>
    <row r="6016" spans="1:2" x14ac:dyDescent="0.2">
      <c r="A6016" s="102"/>
      <c r="B6016" s="116"/>
    </row>
    <row r="6017" spans="1:2" x14ac:dyDescent="0.2">
      <c r="A6017" s="102"/>
      <c r="B6017" s="116"/>
    </row>
    <row r="6018" spans="1:2" x14ac:dyDescent="0.2">
      <c r="A6018" s="102"/>
      <c r="B6018" s="116"/>
    </row>
    <row r="6019" spans="1:2" x14ac:dyDescent="0.2">
      <c r="A6019" s="102"/>
      <c r="B6019" s="116"/>
    </row>
    <row r="6020" spans="1:2" x14ac:dyDescent="0.2">
      <c r="A6020" s="102"/>
      <c r="B6020" s="116"/>
    </row>
    <row r="6021" spans="1:2" x14ac:dyDescent="0.2">
      <c r="A6021" s="102"/>
      <c r="B6021" s="116"/>
    </row>
    <row r="6022" spans="1:2" x14ac:dyDescent="0.2">
      <c r="A6022" s="102"/>
      <c r="B6022" s="116"/>
    </row>
    <row r="6023" spans="1:2" x14ac:dyDescent="0.2">
      <c r="A6023" s="102"/>
      <c r="B6023" s="116"/>
    </row>
    <row r="6024" spans="1:2" x14ac:dyDescent="0.2">
      <c r="A6024" s="102"/>
      <c r="B6024" s="116"/>
    </row>
    <row r="6025" spans="1:2" x14ac:dyDescent="0.2">
      <c r="A6025" s="102"/>
      <c r="B6025" s="116"/>
    </row>
    <row r="6026" spans="1:2" x14ac:dyDescent="0.2">
      <c r="A6026" s="102"/>
      <c r="B6026" s="116"/>
    </row>
    <row r="6027" spans="1:2" x14ac:dyDescent="0.2">
      <c r="A6027" s="102"/>
      <c r="B6027" s="116"/>
    </row>
    <row r="6028" spans="1:2" x14ac:dyDescent="0.2">
      <c r="A6028" s="102"/>
      <c r="B6028" s="116"/>
    </row>
    <row r="6029" spans="1:2" x14ac:dyDescent="0.2">
      <c r="A6029" s="102"/>
      <c r="B6029" s="116"/>
    </row>
    <row r="6030" spans="1:2" x14ac:dyDescent="0.2">
      <c r="A6030" s="102"/>
      <c r="B6030" s="116"/>
    </row>
    <row r="6031" spans="1:2" x14ac:dyDescent="0.2">
      <c r="A6031" s="102"/>
      <c r="B6031" s="116"/>
    </row>
    <row r="6032" spans="1:2" x14ac:dyDescent="0.2">
      <c r="A6032" s="102"/>
      <c r="B6032" s="116"/>
    </row>
    <row r="6033" spans="1:2" x14ac:dyDescent="0.2">
      <c r="A6033" s="102"/>
      <c r="B6033" s="116"/>
    </row>
    <row r="6034" spans="1:2" x14ac:dyDescent="0.2">
      <c r="A6034" s="102"/>
      <c r="B6034" s="116"/>
    </row>
    <row r="6035" spans="1:2" x14ac:dyDescent="0.2">
      <c r="A6035" s="102"/>
      <c r="B6035" s="116"/>
    </row>
    <row r="6036" spans="1:2" x14ac:dyDescent="0.2">
      <c r="A6036" s="102"/>
      <c r="B6036" s="116"/>
    </row>
    <row r="6037" spans="1:2" x14ac:dyDescent="0.2">
      <c r="A6037" s="102"/>
      <c r="B6037" s="116"/>
    </row>
    <row r="6038" spans="1:2" x14ac:dyDescent="0.2">
      <c r="A6038" s="102"/>
      <c r="B6038" s="116"/>
    </row>
    <row r="6039" spans="1:2" x14ac:dyDescent="0.2">
      <c r="A6039" s="102"/>
      <c r="B6039" s="116"/>
    </row>
    <row r="6040" spans="1:2" x14ac:dyDescent="0.2">
      <c r="A6040" s="102"/>
      <c r="B6040" s="116"/>
    </row>
    <row r="6041" spans="1:2" x14ac:dyDescent="0.2">
      <c r="A6041" s="102"/>
      <c r="B6041" s="116"/>
    </row>
    <row r="6042" spans="1:2" x14ac:dyDescent="0.2">
      <c r="A6042" s="102"/>
      <c r="B6042" s="116"/>
    </row>
    <row r="6043" spans="1:2" x14ac:dyDescent="0.2">
      <c r="A6043" s="102"/>
      <c r="B6043" s="116"/>
    </row>
    <row r="6044" spans="1:2" x14ac:dyDescent="0.2">
      <c r="A6044" s="102"/>
      <c r="B6044" s="116"/>
    </row>
    <row r="6045" spans="1:2" x14ac:dyDescent="0.2">
      <c r="A6045" s="102"/>
      <c r="B6045" s="116"/>
    </row>
    <row r="6046" spans="1:2" x14ac:dyDescent="0.2">
      <c r="A6046" s="102"/>
      <c r="B6046" s="116"/>
    </row>
    <row r="6047" spans="1:2" x14ac:dyDescent="0.2">
      <c r="A6047" s="102"/>
      <c r="B6047" s="116"/>
    </row>
    <row r="6048" spans="1:2" x14ac:dyDescent="0.2">
      <c r="A6048" s="102"/>
      <c r="B6048" s="116"/>
    </row>
    <row r="6049" spans="1:2" x14ac:dyDescent="0.2">
      <c r="A6049" s="102"/>
      <c r="B6049" s="116"/>
    </row>
    <row r="6050" spans="1:2" x14ac:dyDescent="0.2">
      <c r="A6050" s="102"/>
      <c r="B6050" s="116"/>
    </row>
    <row r="6051" spans="1:2" x14ac:dyDescent="0.2">
      <c r="A6051" s="102"/>
      <c r="B6051" s="116"/>
    </row>
    <row r="6052" spans="1:2" x14ac:dyDescent="0.2">
      <c r="A6052" s="102"/>
      <c r="B6052" s="116"/>
    </row>
    <row r="6053" spans="1:2" x14ac:dyDescent="0.2">
      <c r="A6053" s="102"/>
      <c r="B6053" s="116"/>
    </row>
    <row r="6054" spans="1:2" x14ac:dyDescent="0.2">
      <c r="A6054" s="102"/>
      <c r="B6054" s="116"/>
    </row>
    <row r="6055" spans="1:2" x14ac:dyDescent="0.2">
      <c r="A6055" s="102"/>
      <c r="B6055" s="116"/>
    </row>
    <row r="6056" spans="1:2" x14ac:dyDescent="0.2">
      <c r="A6056" s="102"/>
      <c r="B6056" s="116"/>
    </row>
    <row r="6057" spans="1:2" x14ac:dyDescent="0.2">
      <c r="A6057" s="102"/>
      <c r="B6057" s="116"/>
    </row>
    <row r="6058" spans="1:2" x14ac:dyDescent="0.2">
      <c r="A6058" s="102"/>
      <c r="B6058" s="116"/>
    </row>
    <row r="6059" spans="1:2" x14ac:dyDescent="0.2">
      <c r="A6059" s="102"/>
      <c r="B6059" s="116"/>
    </row>
    <row r="6060" spans="1:2" x14ac:dyDescent="0.2">
      <c r="A6060" s="102"/>
      <c r="B6060" s="116"/>
    </row>
    <row r="6061" spans="1:2" x14ac:dyDescent="0.2">
      <c r="A6061" s="102"/>
      <c r="B6061" s="116"/>
    </row>
    <row r="6062" spans="1:2" x14ac:dyDescent="0.2">
      <c r="A6062" s="102"/>
      <c r="B6062" s="116"/>
    </row>
    <row r="6063" spans="1:2" x14ac:dyDescent="0.2">
      <c r="A6063" s="102"/>
      <c r="B6063" s="116"/>
    </row>
    <row r="6064" spans="1:2" x14ac:dyDescent="0.2">
      <c r="A6064" s="102"/>
      <c r="B6064" s="116"/>
    </row>
    <row r="6065" spans="1:2" x14ac:dyDescent="0.2">
      <c r="A6065" s="102"/>
      <c r="B6065" s="116"/>
    </row>
    <row r="6066" spans="1:2" x14ac:dyDescent="0.2">
      <c r="A6066" s="102"/>
      <c r="B6066" s="116"/>
    </row>
    <row r="6067" spans="1:2" x14ac:dyDescent="0.2">
      <c r="A6067" s="102"/>
      <c r="B6067" s="116"/>
    </row>
    <row r="6068" spans="1:2" x14ac:dyDescent="0.2">
      <c r="A6068" s="102"/>
      <c r="B6068" s="116"/>
    </row>
    <row r="6069" spans="1:2" x14ac:dyDescent="0.2">
      <c r="A6069" s="102"/>
      <c r="B6069" s="116"/>
    </row>
    <row r="6070" spans="1:2" x14ac:dyDescent="0.2">
      <c r="A6070" s="102"/>
      <c r="B6070" s="116"/>
    </row>
    <row r="6071" spans="1:2" x14ac:dyDescent="0.2">
      <c r="A6071" s="102"/>
      <c r="B6071" s="116"/>
    </row>
    <row r="6072" spans="1:2" x14ac:dyDescent="0.2">
      <c r="A6072" s="102"/>
      <c r="B6072" s="116"/>
    </row>
    <row r="6073" spans="1:2" x14ac:dyDescent="0.2">
      <c r="A6073" s="102"/>
      <c r="B6073" s="116"/>
    </row>
    <row r="6074" spans="1:2" x14ac:dyDescent="0.2">
      <c r="A6074" s="102"/>
      <c r="B6074" s="116"/>
    </row>
    <row r="6075" spans="1:2" x14ac:dyDescent="0.2">
      <c r="A6075" s="102"/>
      <c r="B6075" s="116"/>
    </row>
    <row r="6076" spans="1:2" x14ac:dyDescent="0.2">
      <c r="A6076" s="102"/>
      <c r="B6076" s="116"/>
    </row>
    <row r="6077" spans="1:2" x14ac:dyDescent="0.2">
      <c r="A6077" s="102"/>
      <c r="B6077" s="116"/>
    </row>
    <row r="6078" spans="1:2" x14ac:dyDescent="0.2">
      <c r="A6078" s="102"/>
      <c r="B6078" s="116"/>
    </row>
    <row r="6079" spans="1:2" x14ac:dyDescent="0.2">
      <c r="A6079" s="102"/>
      <c r="B6079" s="116"/>
    </row>
    <row r="6080" spans="1:2" x14ac:dyDescent="0.2">
      <c r="A6080" s="102"/>
      <c r="B6080" s="116"/>
    </row>
    <row r="6081" spans="1:2" x14ac:dyDescent="0.2">
      <c r="A6081" s="102"/>
      <c r="B6081" s="116"/>
    </row>
    <row r="6082" spans="1:2" x14ac:dyDescent="0.2">
      <c r="A6082" s="102"/>
      <c r="B6082" s="116"/>
    </row>
    <row r="6083" spans="1:2" x14ac:dyDescent="0.2">
      <c r="A6083" s="102"/>
      <c r="B6083" s="116"/>
    </row>
    <row r="6084" spans="1:2" x14ac:dyDescent="0.2">
      <c r="A6084" s="102"/>
      <c r="B6084" s="116"/>
    </row>
    <row r="6085" spans="1:2" x14ac:dyDescent="0.2">
      <c r="A6085" s="102"/>
      <c r="B6085" s="116"/>
    </row>
    <row r="6086" spans="1:2" x14ac:dyDescent="0.2">
      <c r="A6086" s="102"/>
      <c r="B6086" s="116"/>
    </row>
    <row r="6087" spans="1:2" x14ac:dyDescent="0.2">
      <c r="A6087" s="102"/>
      <c r="B6087" s="116"/>
    </row>
    <row r="6088" spans="1:2" x14ac:dyDescent="0.2">
      <c r="A6088" s="102"/>
      <c r="B6088" s="116"/>
    </row>
    <row r="6089" spans="1:2" x14ac:dyDescent="0.2">
      <c r="A6089" s="102"/>
      <c r="B6089" s="116"/>
    </row>
    <row r="6090" spans="1:2" x14ac:dyDescent="0.2">
      <c r="A6090" s="102"/>
      <c r="B6090" s="116"/>
    </row>
    <row r="6091" spans="1:2" x14ac:dyDescent="0.2">
      <c r="A6091" s="102"/>
      <c r="B6091" s="116"/>
    </row>
    <row r="6092" spans="1:2" x14ac:dyDescent="0.2">
      <c r="A6092" s="102"/>
      <c r="B6092" s="116"/>
    </row>
    <row r="6093" spans="1:2" x14ac:dyDescent="0.2">
      <c r="A6093" s="102"/>
      <c r="B6093" s="116"/>
    </row>
    <row r="6094" spans="1:2" x14ac:dyDescent="0.2">
      <c r="A6094" s="102"/>
      <c r="B6094" s="116"/>
    </row>
    <row r="6095" spans="1:2" x14ac:dyDescent="0.2">
      <c r="A6095" s="102"/>
      <c r="B6095" s="116"/>
    </row>
    <row r="6096" spans="1:2" x14ac:dyDescent="0.2">
      <c r="A6096" s="102"/>
      <c r="B6096" s="116"/>
    </row>
    <row r="6097" spans="1:2" x14ac:dyDescent="0.2">
      <c r="A6097" s="102"/>
      <c r="B6097" s="116"/>
    </row>
    <row r="6098" spans="1:2" x14ac:dyDescent="0.2">
      <c r="A6098" s="102"/>
      <c r="B6098" s="116"/>
    </row>
    <row r="6099" spans="1:2" x14ac:dyDescent="0.2">
      <c r="A6099" s="102"/>
      <c r="B6099" s="116"/>
    </row>
    <row r="6100" spans="1:2" x14ac:dyDescent="0.2">
      <c r="A6100" s="102"/>
      <c r="B6100" s="116"/>
    </row>
    <row r="6101" spans="1:2" x14ac:dyDescent="0.2">
      <c r="A6101" s="102"/>
      <c r="B6101" s="116"/>
    </row>
    <row r="6102" spans="1:2" x14ac:dyDescent="0.2">
      <c r="A6102" s="102"/>
      <c r="B6102" s="116"/>
    </row>
    <row r="6103" spans="1:2" x14ac:dyDescent="0.2">
      <c r="A6103" s="102"/>
      <c r="B6103" s="116"/>
    </row>
    <row r="6104" spans="1:2" x14ac:dyDescent="0.2">
      <c r="A6104" s="102"/>
      <c r="B6104" s="116"/>
    </row>
    <row r="6105" spans="1:2" x14ac:dyDescent="0.2">
      <c r="A6105" s="102"/>
      <c r="B6105" s="116"/>
    </row>
    <row r="6106" spans="1:2" x14ac:dyDescent="0.2">
      <c r="A6106" s="102"/>
      <c r="B6106" s="116"/>
    </row>
    <row r="6107" spans="1:2" x14ac:dyDescent="0.2">
      <c r="A6107" s="102"/>
      <c r="B6107" s="116"/>
    </row>
    <row r="6108" spans="1:2" x14ac:dyDescent="0.2">
      <c r="A6108" s="102"/>
      <c r="B6108" s="116"/>
    </row>
    <row r="6109" spans="1:2" x14ac:dyDescent="0.2">
      <c r="A6109" s="102"/>
      <c r="B6109" s="116"/>
    </row>
    <row r="6110" spans="1:2" x14ac:dyDescent="0.2">
      <c r="A6110" s="102"/>
      <c r="B6110" s="116"/>
    </row>
    <row r="6111" spans="1:2" x14ac:dyDescent="0.2">
      <c r="A6111" s="102"/>
      <c r="B6111" s="116"/>
    </row>
    <row r="6112" spans="1:2" x14ac:dyDescent="0.2">
      <c r="A6112" s="102"/>
      <c r="B6112" s="116"/>
    </row>
    <row r="6113" spans="1:2" x14ac:dyDescent="0.2">
      <c r="A6113" s="102"/>
      <c r="B6113" s="116"/>
    </row>
    <row r="6114" spans="1:2" x14ac:dyDescent="0.2">
      <c r="A6114" s="102"/>
      <c r="B6114" s="116"/>
    </row>
    <row r="6115" spans="1:2" x14ac:dyDescent="0.2">
      <c r="A6115" s="102"/>
      <c r="B6115" s="116"/>
    </row>
    <row r="6116" spans="1:2" x14ac:dyDescent="0.2">
      <c r="A6116" s="102"/>
      <c r="B6116" s="116"/>
    </row>
    <row r="6117" spans="1:2" x14ac:dyDescent="0.2">
      <c r="A6117" s="102"/>
      <c r="B6117" s="116"/>
    </row>
    <row r="6118" spans="1:2" x14ac:dyDescent="0.2">
      <c r="A6118" s="102"/>
      <c r="B6118" s="116"/>
    </row>
    <row r="6119" spans="1:2" x14ac:dyDescent="0.2">
      <c r="A6119" s="102"/>
      <c r="B6119" s="116"/>
    </row>
    <row r="6120" spans="1:2" x14ac:dyDescent="0.2">
      <c r="A6120" s="102"/>
      <c r="B6120" s="116"/>
    </row>
    <row r="6121" spans="1:2" x14ac:dyDescent="0.2">
      <c r="A6121" s="102"/>
      <c r="B6121" s="116"/>
    </row>
    <row r="6122" spans="1:2" x14ac:dyDescent="0.2">
      <c r="A6122" s="102"/>
      <c r="B6122" s="116"/>
    </row>
    <row r="6123" spans="1:2" x14ac:dyDescent="0.2">
      <c r="A6123" s="102"/>
      <c r="B6123" s="116"/>
    </row>
    <row r="6124" spans="1:2" x14ac:dyDescent="0.2">
      <c r="A6124" s="102"/>
      <c r="B6124" s="116"/>
    </row>
    <row r="6125" spans="1:2" x14ac:dyDescent="0.2">
      <c r="A6125" s="102"/>
      <c r="B6125" s="116"/>
    </row>
    <row r="6126" spans="1:2" x14ac:dyDescent="0.2">
      <c r="A6126" s="102"/>
      <c r="B6126" s="116"/>
    </row>
    <row r="6127" spans="1:2" x14ac:dyDescent="0.2">
      <c r="A6127" s="102"/>
      <c r="B6127" s="116"/>
    </row>
    <row r="6128" spans="1:2" x14ac:dyDescent="0.2">
      <c r="A6128" s="102"/>
      <c r="B6128" s="116"/>
    </row>
    <row r="6129" spans="1:2" x14ac:dyDescent="0.2">
      <c r="A6129" s="102"/>
      <c r="B6129" s="116"/>
    </row>
    <row r="6130" spans="1:2" x14ac:dyDescent="0.2">
      <c r="A6130" s="102"/>
      <c r="B6130" s="116"/>
    </row>
    <row r="6131" spans="1:2" x14ac:dyDescent="0.2">
      <c r="A6131" s="102"/>
      <c r="B6131" s="116"/>
    </row>
    <row r="6132" spans="1:2" x14ac:dyDescent="0.2">
      <c r="A6132" s="102"/>
      <c r="B6132" s="116"/>
    </row>
    <row r="6133" spans="1:2" x14ac:dyDescent="0.2">
      <c r="A6133" s="102"/>
      <c r="B6133" s="116"/>
    </row>
    <row r="6134" spans="1:2" x14ac:dyDescent="0.2">
      <c r="A6134" s="102"/>
      <c r="B6134" s="116"/>
    </row>
    <row r="6135" spans="1:2" x14ac:dyDescent="0.2">
      <c r="A6135" s="102"/>
      <c r="B6135" s="116"/>
    </row>
    <row r="6136" spans="1:2" x14ac:dyDescent="0.2">
      <c r="A6136" s="102"/>
      <c r="B6136" s="116"/>
    </row>
    <row r="6137" spans="1:2" x14ac:dyDescent="0.2">
      <c r="A6137" s="102"/>
      <c r="B6137" s="116"/>
    </row>
    <row r="6138" spans="1:2" x14ac:dyDescent="0.2">
      <c r="A6138" s="102"/>
      <c r="B6138" s="116"/>
    </row>
    <row r="6139" spans="1:2" x14ac:dyDescent="0.2">
      <c r="A6139" s="102"/>
      <c r="B6139" s="116"/>
    </row>
    <row r="6140" spans="1:2" x14ac:dyDescent="0.2">
      <c r="A6140" s="102"/>
      <c r="B6140" s="116"/>
    </row>
    <row r="6141" spans="1:2" x14ac:dyDescent="0.2">
      <c r="A6141" s="102"/>
      <c r="B6141" s="116"/>
    </row>
    <row r="6142" spans="1:2" x14ac:dyDescent="0.2">
      <c r="A6142" s="102"/>
      <c r="B6142" s="116"/>
    </row>
    <row r="6143" spans="1:2" x14ac:dyDescent="0.2">
      <c r="A6143" s="102"/>
      <c r="B6143" s="116"/>
    </row>
    <row r="6144" spans="1:2" x14ac:dyDescent="0.2">
      <c r="A6144" s="102"/>
      <c r="B6144" s="116"/>
    </row>
    <row r="6145" spans="1:2" x14ac:dyDescent="0.2">
      <c r="A6145" s="102"/>
      <c r="B6145" s="116"/>
    </row>
    <row r="6146" spans="1:2" x14ac:dyDescent="0.2">
      <c r="A6146" s="102"/>
      <c r="B6146" s="116"/>
    </row>
    <row r="6147" spans="1:2" x14ac:dyDescent="0.2">
      <c r="A6147" s="102"/>
      <c r="B6147" s="116"/>
    </row>
    <row r="6148" spans="1:2" x14ac:dyDescent="0.2">
      <c r="A6148" s="102"/>
      <c r="B6148" s="116"/>
    </row>
    <row r="6149" spans="1:2" x14ac:dyDescent="0.2">
      <c r="A6149" s="102"/>
      <c r="B6149" s="116"/>
    </row>
    <row r="6150" spans="1:2" x14ac:dyDescent="0.2">
      <c r="A6150" s="102"/>
      <c r="B6150" s="116"/>
    </row>
    <row r="6151" spans="1:2" x14ac:dyDescent="0.2">
      <c r="A6151" s="102"/>
      <c r="B6151" s="116"/>
    </row>
    <row r="6152" spans="1:2" x14ac:dyDescent="0.2">
      <c r="A6152" s="102"/>
      <c r="B6152" s="116"/>
    </row>
    <row r="6153" spans="1:2" x14ac:dyDescent="0.2">
      <c r="A6153" s="102"/>
      <c r="B6153" s="116"/>
    </row>
    <row r="6154" spans="1:2" x14ac:dyDescent="0.2">
      <c r="A6154" s="102"/>
      <c r="B6154" s="116"/>
    </row>
    <row r="6155" spans="1:2" x14ac:dyDescent="0.2">
      <c r="A6155" s="102"/>
      <c r="B6155" s="116"/>
    </row>
    <row r="6156" spans="1:2" x14ac:dyDescent="0.2">
      <c r="A6156" s="102"/>
      <c r="B6156" s="116"/>
    </row>
    <row r="6157" spans="1:2" x14ac:dyDescent="0.2">
      <c r="A6157" s="102"/>
      <c r="B6157" s="116"/>
    </row>
    <row r="6158" spans="1:2" x14ac:dyDescent="0.2">
      <c r="A6158" s="102"/>
      <c r="B6158" s="116"/>
    </row>
    <row r="6159" spans="1:2" x14ac:dyDescent="0.2">
      <c r="A6159" s="102"/>
      <c r="B6159" s="116"/>
    </row>
    <row r="6160" spans="1:2" x14ac:dyDescent="0.2">
      <c r="A6160" s="102"/>
      <c r="B6160" s="116"/>
    </row>
    <row r="6161" spans="1:2" x14ac:dyDescent="0.2">
      <c r="A6161" s="102"/>
      <c r="B6161" s="116"/>
    </row>
    <row r="6162" spans="1:2" x14ac:dyDescent="0.2">
      <c r="A6162" s="102"/>
      <c r="B6162" s="116"/>
    </row>
    <row r="6163" spans="1:2" x14ac:dyDescent="0.2">
      <c r="A6163" s="102"/>
      <c r="B6163" s="116"/>
    </row>
    <row r="6164" spans="1:2" x14ac:dyDescent="0.2">
      <c r="A6164" s="102"/>
      <c r="B6164" s="116"/>
    </row>
    <row r="6165" spans="1:2" x14ac:dyDescent="0.2">
      <c r="A6165" s="102"/>
      <c r="B6165" s="116"/>
    </row>
    <row r="6166" spans="1:2" x14ac:dyDescent="0.2">
      <c r="A6166" s="102"/>
      <c r="B6166" s="116"/>
    </row>
    <row r="6167" spans="1:2" x14ac:dyDescent="0.2">
      <c r="A6167" s="102"/>
      <c r="B6167" s="116"/>
    </row>
    <row r="6168" spans="1:2" x14ac:dyDescent="0.2">
      <c r="A6168" s="102"/>
      <c r="B6168" s="116"/>
    </row>
    <row r="6169" spans="1:2" x14ac:dyDescent="0.2">
      <c r="A6169" s="102"/>
      <c r="B6169" s="116"/>
    </row>
    <row r="6170" spans="1:2" x14ac:dyDescent="0.2">
      <c r="A6170" s="102"/>
      <c r="B6170" s="116"/>
    </row>
    <row r="6171" spans="1:2" x14ac:dyDescent="0.2">
      <c r="A6171" s="102"/>
      <c r="B6171" s="116"/>
    </row>
    <row r="6172" spans="1:2" x14ac:dyDescent="0.2">
      <c r="A6172" s="102"/>
      <c r="B6172" s="116"/>
    </row>
    <row r="6173" spans="1:2" x14ac:dyDescent="0.2">
      <c r="A6173" s="102"/>
      <c r="B6173" s="116"/>
    </row>
    <row r="6174" spans="1:2" x14ac:dyDescent="0.2">
      <c r="A6174" s="102"/>
      <c r="B6174" s="116"/>
    </row>
    <row r="6175" spans="1:2" x14ac:dyDescent="0.2">
      <c r="A6175" s="102"/>
      <c r="B6175" s="116"/>
    </row>
    <row r="6176" spans="1:2" x14ac:dyDescent="0.2">
      <c r="A6176" s="102"/>
      <c r="B6176" s="116"/>
    </row>
    <row r="6177" spans="1:2" x14ac:dyDescent="0.2">
      <c r="A6177" s="102"/>
      <c r="B6177" s="116"/>
    </row>
    <row r="6178" spans="1:2" x14ac:dyDescent="0.2">
      <c r="A6178" s="102"/>
      <c r="B6178" s="116"/>
    </row>
    <row r="6179" spans="1:2" x14ac:dyDescent="0.2">
      <c r="A6179" s="102"/>
      <c r="B6179" s="116"/>
    </row>
    <row r="6180" spans="1:2" x14ac:dyDescent="0.2">
      <c r="A6180" s="102"/>
      <c r="B6180" s="116"/>
    </row>
    <row r="6181" spans="1:2" x14ac:dyDescent="0.2">
      <c r="A6181" s="102"/>
      <c r="B6181" s="116"/>
    </row>
    <row r="6182" spans="1:2" x14ac:dyDescent="0.2">
      <c r="A6182" s="102"/>
      <c r="B6182" s="116"/>
    </row>
    <row r="6183" spans="1:2" x14ac:dyDescent="0.2">
      <c r="A6183" s="102"/>
      <c r="B6183" s="116"/>
    </row>
    <row r="6184" spans="1:2" x14ac:dyDescent="0.2">
      <c r="A6184" s="102"/>
      <c r="B6184" s="116"/>
    </row>
    <row r="6185" spans="1:2" x14ac:dyDescent="0.2">
      <c r="A6185" s="102"/>
      <c r="B6185" s="116"/>
    </row>
    <row r="6186" spans="1:2" x14ac:dyDescent="0.2">
      <c r="A6186" s="102"/>
      <c r="B6186" s="116"/>
    </row>
    <row r="6187" spans="1:2" x14ac:dyDescent="0.2">
      <c r="A6187" s="102"/>
      <c r="B6187" s="116"/>
    </row>
    <row r="6188" spans="1:2" x14ac:dyDescent="0.2">
      <c r="A6188" s="102"/>
      <c r="B6188" s="116"/>
    </row>
    <row r="6189" spans="1:2" x14ac:dyDescent="0.2">
      <c r="A6189" s="102"/>
      <c r="B6189" s="116"/>
    </row>
    <row r="6190" spans="1:2" x14ac:dyDescent="0.2">
      <c r="A6190" s="102"/>
      <c r="B6190" s="116"/>
    </row>
    <row r="6191" spans="1:2" x14ac:dyDescent="0.2">
      <c r="A6191" s="102"/>
      <c r="B6191" s="116"/>
    </row>
    <row r="6192" spans="1:2" x14ac:dyDescent="0.2">
      <c r="A6192" s="102"/>
      <c r="B6192" s="116"/>
    </row>
    <row r="6193" spans="1:2" x14ac:dyDescent="0.2">
      <c r="A6193" s="102"/>
      <c r="B6193" s="116"/>
    </row>
    <row r="6194" spans="1:2" x14ac:dyDescent="0.2">
      <c r="A6194" s="102"/>
      <c r="B6194" s="116"/>
    </row>
    <row r="6195" spans="1:2" x14ac:dyDescent="0.2">
      <c r="A6195" s="102"/>
      <c r="B6195" s="116"/>
    </row>
    <row r="6196" spans="1:2" x14ac:dyDescent="0.2">
      <c r="A6196" s="102"/>
      <c r="B6196" s="116"/>
    </row>
    <row r="6197" spans="1:2" x14ac:dyDescent="0.2">
      <c r="A6197" s="102"/>
      <c r="B6197" s="116"/>
    </row>
    <row r="6198" spans="1:2" x14ac:dyDescent="0.2">
      <c r="A6198" s="102"/>
      <c r="B6198" s="116"/>
    </row>
    <row r="6199" spans="1:2" x14ac:dyDescent="0.2">
      <c r="A6199" s="102"/>
      <c r="B6199" s="116"/>
    </row>
    <row r="6200" spans="1:2" x14ac:dyDescent="0.2">
      <c r="A6200" s="102"/>
      <c r="B6200" s="116"/>
    </row>
    <row r="6201" spans="1:2" x14ac:dyDescent="0.2">
      <c r="A6201" s="102"/>
      <c r="B6201" s="116"/>
    </row>
    <row r="6202" spans="1:2" x14ac:dyDescent="0.2">
      <c r="A6202" s="102"/>
      <c r="B6202" s="116"/>
    </row>
    <row r="6203" spans="1:2" x14ac:dyDescent="0.2">
      <c r="A6203" s="102"/>
      <c r="B6203" s="116"/>
    </row>
    <row r="6204" spans="1:2" x14ac:dyDescent="0.2">
      <c r="A6204" s="102"/>
      <c r="B6204" s="116"/>
    </row>
    <row r="6205" spans="1:2" x14ac:dyDescent="0.2">
      <c r="A6205" s="102"/>
      <c r="B6205" s="116"/>
    </row>
    <row r="6206" spans="1:2" x14ac:dyDescent="0.2">
      <c r="A6206" s="102"/>
      <c r="B6206" s="116"/>
    </row>
    <row r="6207" spans="1:2" x14ac:dyDescent="0.2">
      <c r="A6207" s="102"/>
      <c r="B6207" s="116"/>
    </row>
    <row r="6208" spans="1:2" x14ac:dyDescent="0.2">
      <c r="A6208" s="102"/>
      <c r="B6208" s="116"/>
    </row>
    <row r="6209" spans="1:2" x14ac:dyDescent="0.2">
      <c r="A6209" s="102"/>
      <c r="B6209" s="116"/>
    </row>
    <row r="6210" spans="1:2" x14ac:dyDescent="0.2">
      <c r="A6210" s="102"/>
      <c r="B6210" s="116"/>
    </row>
    <row r="6211" spans="1:2" x14ac:dyDescent="0.2">
      <c r="A6211" s="102"/>
      <c r="B6211" s="116"/>
    </row>
    <row r="6212" spans="1:2" x14ac:dyDescent="0.2">
      <c r="A6212" s="102"/>
      <c r="B6212" s="116"/>
    </row>
    <row r="6213" spans="1:2" x14ac:dyDescent="0.2">
      <c r="A6213" s="102"/>
      <c r="B6213" s="116"/>
    </row>
    <row r="6214" spans="1:2" x14ac:dyDescent="0.2">
      <c r="A6214" s="102"/>
      <c r="B6214" s="116"/>
    </row>
    <row r="6215" spans="1:2" x14ac:dyDescent="0.2">
      <c r="A6215" s="102"/>
      <c r="B6215" s="116"/>
    </row>
    <row r="6216" spans="1:2" x14ac:dyDescent="0.2">
      <c r="A6216" s="102"/>
      <c r="B6216" s="116"/>
    </row>
    <row r="6217" spans="1:2" x14ac:dyDescent="0.2">
      <c r="A6217" s="102"/>
      <c r="B6217" s="116"/>
    </row>
    <row r="6218" spans="1:2" x14ac:dyDescent="0.2">
      <c r="A6218" s="102"/>
      <c r="B6218" s="116"/>
    </row>
    <row r="6219" spans="1:2" x14ac:dyDescent="0.2">
      <c r="A6219" s="102"/>
      <c r="B6219" s="116"/>
    </row>
    <row r="6220" spans="1:2" x14ac:dyDescent="0.2">
      <c r="A6220" s="102"/>
      <c r="B6220" s="116"/>
    </row>
    <row r="6221" spans="1:2" x14ac:dyDescent="0.2">
      <c r="A6221" s="102"/>
      <c r="B6221" s="116"/>
    </row>
    <row r="6222" spans="1:2" x14ac:dyDescent="0.2">
      <c r="A6222" s="102"/>
      <c r="B6222" s="116"/>
    </row>
    <row r="6223" spans="1:2" x14ac:dyDescent="0.2">
      <c r="A6223" s="102"/>
      <c r="B6223" s="116"/>
    </row>
    <row r="6224" spans="1:2" x14ac:dyDescent="0.2">
      <c r="A6224" s="102"/>
      <c r="B6224" s="116"/>
    </row>
    <row r="6225" spans="1:2" x14ac:dyDescent="0.2">
      <c r="A6225" s="102"/>
      <c r="B6225" s="116"/>
    </row>
    <row r="6226" spans="1:2" x14ac:dyDescent="0.2">
      <c r="A6226" s="102"/>
      <c r="B6226" s="116"/>
    </row>
    <row r="6227" spans="1:2" x14ac:dyDescent="0.2">
      <c r="A6227" s="102"/>
      <c r="B6227" s="116"/>
    </row>
    <row r="6228" spans="1:2" x14ac:dyDescent="0.2">
      <c r="A6228" s="102"/>
      <c r="B6228" s="116"/>
    </row>
    <row r="6229" spans="1:2" x14ac:dyDescent="0.2">
      <c r="A6229" s="102"/>
      <c r="B6229" s="116"/>
    </row>
    <row r="6230" spans="1:2" x14ac:dyDescent="0.2">
      <c r="A6230" s="102"/>
      <c r="B6230" s="116"/>
    </row>
    <row r="6231" spans="1:2" x14ac:dyDescent="0.2">
      <c r="A6231" s="102"/>
      <c r="B6231" s="116"/>
    </row>
    <row r="6232" spans="1:2" x14ac:dyDescent="0.2">
      <c r="A6232" s="102"/>
      <c r="B6232" s="116"/>
    </row>
    <row r="6233" spans="1:2" x14ac:dyDescent="0.2">
      <c r="A6233" s="102"/>
      <c r="B6233" s="116"/>
    </row>
    <row r="6234" spans="1:2" x14ac:dyDescent="0.2">
      <c r="A6234" s="102"/>
      <c r="B6234" s="116"/>
    </row>
    <row r="6235" spans="1:2" x14ac:dyDescent="0.2">
      <c r="A6235" s="102"/>
      <c r="B6235" s="116"/>
    </row>
    <row r="6236" spans="1:2" x14ac:dyDescent="0.2">
      <c r="A6236" s="102"/>
      <c r="B6236" s="116"/>
    </row>
    <row r="6237" spans="1:2" x14ac:dyDescent="0.2">
      <c r="A6237" s="102"/>
      <c r="B6237" s="116"/>
    </row>
    <row r="6238" spans="1:2" x14ac:dyDescent="0.2">
      <c r="A6238" s="102"/>
      <c r="B6238" s="116"/>
    </row>
    <row r="6239" spans="1:2" x14ac:dyDescent="0.2">
      <c r="A6239" s="102"/>
      <c r="B6239" s="116"/>
    </row>
    <row r="6240" spans="1:2" x14ac:dyDescent="0.2">
      <c r="A6240" s="102"/>
      <c r="B6240" s="116"/>
    </row>
    <row r="6241" spans="1:2" x14ac:dyDescent="0.2">
      <c r="A6241" s="102"/>
      <c r="B6241" s="116"/>
    </row>
    <row r="6242" spans="1:2" x14ac:dyDescent="0.2">
      <c r="A6242" s="102"/>
      <c r="B6242" s="116"/>
    </row>
    <row r="6243" spans="1:2" x14ac:dyDescent="0.2">
      <c r="A6243" s="102"/>
      <c r="B6243" s="116"/>
    </row>
    <row r="6244" spans="1:2" x14ac:dyDescent="0.2">
      <c r="A6244" s="102"/>
      <c r="B6244" s="116"/>
    </row>
    <row r="6245" spans="1:2" x14ac:dyDescent="0.2">
      <c r="A6245" s="102"/>
      <c r="B6245" s="116"/>
    </row>
    <row r="6246" spans="1:2" x14ac:dyDescent="0.2">
      <c r="A6246" s="102"/>
      <c r="B6246" s="116"/>
    </row>
    <row r="6247" spans="1:2" x14ac:dyDescent="0.2">
      <c r="A6247" s="102"/>
      <c r="B6247" s="116"/>
    </row>
    <row r="6248" spans="1:2" x14ac:dyDescent="0.2">
      <c r="A6248" s="102"/>
      <c r="B6248" s="116"/>
    </row>
    <row r="6249" spans="1:2" x14ac:dyDescent="0.2">
      <c r="A6249" s="102"/>
      <c r="B6249" s="116"/>
    </row>
    <row r="6250" spans="1:2" x14ac:dyDescent="0.2">
      <c r="A6250" s="102"/>
      <c r="B6250" s="116"/>
    </row>
    <row r="6251" spans="1:2" x14ac:dyDescent="0.2">
      <c r="A6251" s="102"/>
      <c r="B6251" s="116"/>
    </row>
    <row r="6252" spans="1:2" x14ac:dyDescent="0.2">
      <c r="A6252" s="102"/>
      <c r="B6252" s="116"/>
    </row>
    <row r="6253" spans="1:2" x14ac:dyDescent="0.2">
      <c r="A6253" s="102"/>
      <c r="B6253" s="116"/>
    </row>
    <row r="6254" spans="1:2" x14ac:dyDescent="0.2">
      <c r="A6254" s="102"/>
      <c r="B6254" s="116"/>
    </row>
    <row r="6255" spans="1:2" x14ac:dyDescent="0.2">
      <c r="A6255" s="102"/>
      <c r="B6255" s="116"/>
    </row>
    <row r="6256" spans="1:2" x14ac:dyDescent="0.2">
      <c r="A6256" s="102"/>
      <c r="B6256" s="116"/>
    </row>
    <row r="6257" spans="1:2" x14ac:dyDescent="0.2">
      <c r="A6257" s="102"/>
      <c r="B6257" s="116"/>
    </row>
    <row r="6258" spans="1:2" x14ac:dyDescent="0.2">
      <c r="A6258" s="102"/>
      <c r="B6258" s="116"/>
    </row>
    <row r="6259" spans="1:2" x14ac:dyDescent="0.2">
      <c r="A6259" s="102"/>
      <c r="B6259" s="116"/>
    </row>
    <row r="6260" spans="1:2" x14ac:dyDescent="0.2">
      <c r="A6260" s="102"/>
      <c r="B6260" s="116"/>
    </row>
    <row r="6261" spans="1:2" x14ac:dyDescent="0.2">
      <c r="A6261" s="102"/>
      <c r="B6261" s="116"/>
    </row>
    <row r="6262" spans="1:2" x14ac:dyDescent="0.2">
      <c r="A6262" s="102"/>
      <c r="B6262" s="116"/>
    </row>
    <row r="6263" spans="1:2" x14ac:dyDescent="0.2">
      <c r="A6263" s="102"/>
      <c r="B6263" s="116"/>
    </row>
    <row r="6264" spans="1:2" x14ac:dyDescent="0.2">
      <c r="A6264" s="102"/>
      <c r="B6264" s="116"/>
    </row>
    <row r="6265" spans="1:2" x14ac:dyDescent="0.2">
      <c r="A6265" s="102"/>
      <c r="B6265" s="116"/>
    </row>
    <row r="6266" spans="1:2" x14ac:dyDescent="0.2">
      <c r="A6266" s="102"/>
      <c r="B6266" s="116"/>
    </row>
    <row r="6267" spans="1:2" x14ac:dyDescent="0.2">
      <c r="A6267" s="102"/>
      <c r="B6267" s="116"/>
    </row>
    <row r="6268" spans="1:2" x14ac:dyDescent="0.2">
      <c r="A6268" s="102"/>
      <c r="B6268" s="116"/>
    </row>
    <row r="6269" spans="1:2" x14ac:dyDescent="0.2">
      <c r="A6269" s="102"/>
      <c r="B6269" s="116"/>
    </row>
    <row r="6270" spans="1:2" x14ac:dyDescent="0.2">
      <c r="A6270" s="102"/>
      <c r="B6270" s="116"/>
    </row>
    <row r="6271" spans="1:2" x14ac:dyDescent="0.2">
      <c r="A6271" s="102"/>
      <c r="B6271" s="116"/>
    </row>
    <row r="6272" spans="1:2" x14ac:dyDescent="0.2">
      <c r="A6272" s="102"/>
      <c r="B6272" s="116"/>
    </row>
    <row r="6273" spans="1:2" x14ac:dyDescent="0.2">
      <c r="A6273" s="102"/>
      <c r="B6273" s="116"/>
    </row>
    <row r="6274" spans="1:2" x14ac:dyDescent="0.2">
      <c r="A6274" s="102"/>
      <c r="B6274" s="116"/>
    </row>
    <row r="6275" spans="1:2" x14ac:dyDescent="0.2">
      <c r="A6275" s="102"/>
      <c r="B6275" s="116"/>
    </row>
    <row r="6276" spans="1:2" x14ac:dyDescent="0.2">
      <c r="A6276" s="102"/>
      <c r="B6276" s="116"/>
    </row>
    <row r="6277" spans="1:2" x14ac:dyDescent="0.2">
      <c r="A6277" s="102"/>
      <c r="B6277" s="116"/>
    </row>
    <row r="6278" spans="1:2" x14ac:dyDescent="0.2">
      <c r="A6278" s="102"/>
      <c r="B6278" s="116"/>
    </row>
    <row r="6279" spans="1:2" x14ac:dyDescent="0.2">
      <c r="A6279" s="102"/>
      <c r="B6279" s="116"/>
    </row>
    <row r="6280" spans="1:2" x14ac:dyDescent="0.2">
      <c r="A6280" s="102"/>
      <c r="B6280" s="116"/>
    </row>
    <row r="6281" spans="1:2" x14ac:dyDescent="0.2">
      <c r="A6281" s="102"/>
      <c r="B6281" s="116"/>
    </row>
    <row r="6282" spans="1:2" x14ac:dyDescent="0.2">
      <c r="A6282" s="102"/>
      <c r="B6282" s="116"/>
    </row>
    <row r="6283" spans="1:2" x14ac:dyDescent="0.2">
      <c r="A6283" s="102"/>
      <c r="B6283" s="116"/>
    </row>
    <row r="6284" spans="1:2" x14ac:dyDescent="0.2">
      <c r="A6284" s="102"/>
      <c r="B6284" s="116"/>
    </row>
    <row r="6285" spans="1:2" x14ac:dyDescent="0.2">
      <c r="A6285" s="102"/>
      <c r="B6285" s="116"/>
    </row>
    <row r="6286" spans="1:2" x14ac:dyDescent="0.2">
      <c r="A6286" s="102"/>
      <c r="B6286" s="116"/>
    </row>
    <row r="6287" spans="1:2" x14ac:dyDescent="0.2">
      <c r="A6287" s="102"/>
      <c r="B6287" s="116"/>
    </row>
    <row r="6288" spans="1:2" x14ac:dyDescent="0.2">
      <c r="A6288" s="102"/>
      <c r="B6288" s="116"/>
    </row>
    <row r="6289" spans="1:2" x14ac:dyDescent="0.2">
      <c r="A6289" s="102"/>
      <c r="B6289" s="116"/>
    </row>
    <row r="6290" spans="1:2" x14ac:dyDescent="0.2">
      <c r="A6290" s="102"/>
      <c r="B6290" s="116"/>
    </row>
    <row r="6291" spans="1:2" x14ac:dyDescent="0.2">
      <c r="A6291" s="102"/>
      <c r="B6291" s="116"/>
    </row>
    <row r="6292" spans="1:2" x14ac:dyDescent="0.2">
      <c r="A6292" s="102"/>
      <c r="B6292" s="116"/>
    </row>
    <row r="6293" spans="1:2" x14ac:dyDescent="0.2">
      <c r="A6293" s="102"/>
      <c r="B6293" s="116"/>
    </row>
    <row r="6294" spans="1:2" x14ac:dyDescent="0.2">
      <c r="A6294" s="102"/>
      <c r="B6294" s="116"/>
    </row>
    <row r="6295" spans="1:2" x14ac:dyDescent="0.2">
      <c r="A6295" s="102"/>
      <c r="B6295" s="116"/>
    </row>
    <row r="6296" spans="1:2" x14ac:dyDescent="0.2">
      <c r="A6296" s="102"/>
      <c r="B6296" s="116"/>
    </row>
    <row r="6297" spans="1:2" x14ac:dyDescent="0.2">
      <c r="A6297" s="102"/>
      <c r="B6297" s="116"/>
    </row>
    <row r="6298" spans="1:2" x14ac:dyDescent="0.2">
      <c r="A6298" s="102"/>
      <c r="B6298" s="116"/>
    </row>
    <row r="6299" spans="1:2" x14ac:dyDescent="0.2">
      <c r="A6299" s="102"/>
      <c r="B6299" s="116"/>
    </row>
    <row r="6300" spans="1:2" x14ac:dyDescent="0.2">
      <c r="A6300" s="102"/>
      <c r="B6300" s="116"/>
    </row>
    <row r="6301" spans="1:2" x14ac:dyDescent="0.2">
      <c r="A6301" s="102"/>
      <c r="B6301" s="116"/>
    </row>
    <row r="6302" spans="1:2" x14ac:dyDescent="0.2">
      <c r="A6302" s="102"/>
      <c r="B6302" s="116"/>
    </row>
    <row r="6303" spans="1:2" x14ac:dyDescent="0.2">
      <c r="A6303" s="102"/>
      <c r="B6303" s="116"/>
    </row>
    <row r="6304" spans="1:2" x14ac:dyDescent="0.2">
      <c r="A6304" s="102"/>
      <c r="B6304" s="116"/>
    </row>
    <row r="6305" spans="1:2" x14ac:dyDescent="0.2">
      <c r="A6305" s="102"/>
      <c r="B6305" s="116"/>
    </row>
    <row r="6306" spans="1:2" x14ac:dyDescent="0.2">
      <c r="A6306" s="102"/>
      <c r="B6306" s="116"/>
    </row>
    <row r="6307" spans="1:2" x14ac:dyDescent="0.2">
      <c r="A6307" s="102"/>
      <c r="B6307" s="116"/>
    </row>
    <row r="6308" spans="1:2" x14ac:dyDescent="0.2">
      <c r="A6308" s="102"/>
      <c r="B6308" s="116"/>
    </row>
    <row r="6309" spans="1:2" x14ac:dyDescent="0.2">
      <c r="A6309" s="102"/>
      <c r="B6309" s="116"/>
    </row>
    <row r="6310" spans="1:2" x14ac:dyDescent="0.2">
      <c r="A6310" s="102"/>
      <c r="B6310" s="116"/>
    </row>
    <row r="6311" spans="1:2" x14ac:dyDescent="0.2">
      <c r="A6311" s="102"/>
      <c r="B6311" s="116"/>
    </row>
    <row r="6312" spans="1:2" x14ac:dyDescent="0.2">
      <c r="A6312" s="102"/>
      <c r="B6312" s="116"/>
    </row>
    <row r="6313" spans="1:2" x14ac:dyDescent="0.2">
      <c r="A6313" s="102"/>
      <c r="B6313" s="116"/>
    </row>
    <row r="6314" spans="1:2" x14ac:dyDescent="0.2">
      <c r="A6314" s="102"/>
      <c r="B6314" s="116"/>
    </row>
    <row r="6315" spans="1:2" x14ac:dyDescent="0.2">
      <c r="A6315" s="102"/>
      <c r="B6315" s="116"/>
    </row>
    <row r="6316" spans="1:2" x14ac:dyDescent="0.2">
      <c r="A6316" s="102"/>
      <c r="B6316" s="116"/>
    </row>
    <row r="6317" spans="1:2" x14ac:dyDescent="0.2">
      <c r="A6317" s="102"/>
      <c r="B6317" s="116"/>
    </row>
    <row r="6318" spans="1:2" x14ac:dyDescent="0.2">
      <c r="A6318" s="102"/>
      <c r="B6318" s="116"/>
    </row>
    <row r="6319" spans="1:2" x14ac:dyDescent="0.2">
      <c r="A6319" s="102"/>
      <c r="B6319" s="116"/>
    </row>
    <row r="6320" spans="1:2" x14ac:dyDescent="0.2">
      <c r="A6320" s="102"/>
      <c r="B6320" s="116"/>
    </row>
    <row r="6321" spans="1:2" x14ac:dyDescent="0.2">
      <c r="A6321" s="102"/>
      <c r="B6321" s="116"/>
    </row>
    <row r="6322" spans="1:2" x14ac:dyDescent="0.2">
      <c r="A6322" s="102"/>
      <c r="B6322" s="116"/>
    </row>
    <row r="6323" spans="1:2" x14ac:dyDescent="0.2">
      <c r="A6323" s="102"/>
      <c r="B6323" s="116"/>
    </row>
    <row r="6324" spans="1:2" x14ac:dyDescent="0.2">
      <c r="A6324" s="102"/>
      <c r="B6324" s="116"/>
    </row>
    <row r="6325" spans="1:2" x14ac:dyDescent="0.2">
      <c r="A6325" s="102"/>
      <c r="B6325" s="116"/>
    </row>
    <row r="6326" spans="1:2" x14ac:dyDescent="0.2">
      <c r="A6326" s="102"/>
      <c r="B6326" s="116"/>
    </row>
    <row r="6327" spans="1:2" x14ac:dyDescent="0.2">
      <c r="A6327" s="102"/>
      <c r="B6327" s="116"/>
    </row>
    <row r="6328" spans="1:2" x14ac:dyDescent="0.2">
      <c r="A6328" s="102"/>
      <c r="B6328" s="116"/>
    </row>
    <row r="6329" spans="1:2" x14ac:dyDescent="0.2">
      <c r="A6329" s="102"/>
      <c r="B6329" s="116"/>
    </row>
    <row r="6330" spans="1:2" x14ac:dyDescent="0.2">
      <c r="A6330" s="102"/>
      <c r="B6330" s="116"/>
    </row>
    <row r="6331" spans="1:2" x14ac:dyDescent="0.2">
      <c r="A6331" s="102"/>
      <c r="B6331" s="116"/>
    </row>
    <row r="6332" spans="1:2" x14ac:dyDescent="0.2">
      <c r="A6332" s="102"/>
      <c r="B6332" s="116"/>
    </row>
    <row r="6333" spans="1:2" x14ac:dyDescent="0.2">
      <c r="A6333" s="102"/>
      <c r="B6333" s="116"/>
    </row>
    <row r="6334" spans="1:2" x14ac:dyDescent="0.2">
      <c r="A6334" s="102"/>
      <c r="B6334" s="116"/>
    </row>
    <row r="6335" spans="1:2" x14ac:dyDescent="0.2">
      <c r="A6335" s="102"/>
      <c r="B6335" s="116"/>
    </row>
    <row r="6336" spans="1:2" x14ac:dyDescent="0.2">
      <c r="A6336" s="102"/>
      <c r="B6336" s="116"/>
    </row>
    <row r="6337" spans="1:2" x14ac:dyDescent="0.2">
      <c r="A6337" s="102"/>
      <c r="B6337" s="116"/>
    </row>
    <row r="6338" spans="1:2" x14ac:dyDescent="0.2">
      <c r="A6338" s="102"/>
      <c r="B6338" s="116"/>
    </row>
    <row r="6339" spans="1:2" x14ac:dyDescent="0.2">
      <c r="A6339" s="102"/>
      <c r="B6339" s="116"/>
    </row>
    <row r="6340" spans="1:2" x14ac:dyDescent="0.2">
      <c r="A6340" s="102"/>
      <c r="B6340" s="116"/>
    </row>
    <row r="6341" spans="1:2" x14ac:dyDescent="0.2">
      <c r="A6341" s="102"/>
      <c r="B6341" s="116"/>
    </row>
    <row r="6342" spans="1:2" x14ac:dyDescent="0.2">
      <c r="A6342" s="102"/>
      <c r="B6342" s="116"/>
    </row>
    <row r="6343" spans="1:2" x14ac:dyDescent="0.2">
      <c r="A6343" s="102"/>
      <c r="B6343" s="116"/>
    </row>
    <row r="6344" spans="1:2" x14ac:dyDescent="0.2">
      <c r="A6344" s="102"/>
      <c r="B6344" s="116"/>
    </row>
    <row r="6345" spans="1:2" x14ac:dyDescent="0.2">
      <c r="A6345" s="102"/>
      <c r="B6345" s="116"/>
    </row>
    <row r="6346" spans="1:2" x14ac:dyDescent="0.2">
      <c r="A6346" s="102"/>
      <c r="B6346" s="116"/>
    </row>
    <row r="6347" spans="1:2" x14ac:dyDescent="0.2">
      <c r="A6347" s="102"/>
      <c r="B6347" s="116"/>
    </row>
    <row r="6348" spans="1:2" x14ac:dyDescent="0.2">
      <c r="A6348" s="102"/>
      <c r="B6348" s="116"/>
    </row>
    <row r="6349" spans="1:2" x14ac:dyDescent="0.2">
      <c r="A6349" s="102"/>
      <c r="B6349" s="116"/>
    </row>
    <row r="6350" spans="1:2" x14ac:dyDescent="0.2">
      <c r="A6350" s="102"/>
      <c r="B6350" s="116"/>
    </row>
    <row r="6351" spans="1:2" x14ac:dyDescent="0.2">
      <c r="A6351" s="102"/>
      <c r="B6351" s="116"/>
    </row>
    <row r="6352" spans="1:2" x14ac:dyDescent="0.2">
      <c r="A6352" s="102"/>
      <c r="B6352" s="116"/>
    </row>
    <row r="6353" spans="1:2" x14ac:dyDescent="0.2">
      <c r="A6353" s="102"/>
      <c r="B6353" s="116"/>
    </row>
    <row r="6354" spans="1:2" x14ac:dyDescent="0.2">
      <c r="A6354" s="102"/>
      <c r="B6354" s="116"/>
    </row>
    <row r="6355" spans="1:2" x14ac:dyDescent="0.2">
      <c r="A6355" s="102"/>
      <c r="B6355" s="116"/>
    </row>
    <row r="6356" spans="1:2" x14ac:dyDescent="0.2">
      <c r="A6356" s="102"/>
      <c r="B6356" s="116"/>
    </row>
    <row r="6357" spans="1:2" x14ac:dyDescent="0.2">
      <c r="A6357" s="102"/>
      <c r="B6357" s="116"/>
    </row>
    <row r="6358" spans="1:2" x14ac:dyDescent="0.2">
      <c r="A6358" s="102"/>
      <c r="B6358" s="116"/>
    </row>
    <row r="6359" spans="1:2" x14ac:dyDescent="0.2">
      <c r="A6359" s="102"/>
      <c r="B6359" s="116"/>
    </row>
    <row r="6360" spans="1:2" x14ac:dyDescent="0.2">
      <c r="A6360" s="102"/>
      <c r="B6360" s="116"/>
    </row>
    <row r="6361" spans="1:2" x14ac:dyDescent="0.2">
      <c r="A6361" s="102"/>
      <c r="B6361" s="116"/>
    </row>
    <row r="6362" spans="1:2" x14ac:dyDescent="0.2">
      <c r="A6362" s="102"/>
      <c r="B6362" s="116"/>
    </row>
    <row r="6363" spans="1:2" x14ac:dyDescent="0.2">
      <c r="A6363" s="102"/>
      <c r="B6363" s="116"/>
    </row>
    <row r="6364" spans="1:2" x14ac:dyDescent="0.2">
      <c r="A6364" s="102"/>
      <c r="B6364" s="116"/>
    </row>
    <row r="6365" spans="1:2" x14ac:dyDescent="0.2">
      <c r="A6365" s="102"/>
      <c r="B6365" s="116"/>
    </row>
    <row r="6366" spans="1:2" x14ac:dyDescent="0.2">
      <c r="A6366" s="102"/>
      <c r="B6366" s="116"/>
    </row>
    <row r="6367" spans="1:2" x14ac:dyDescent="0.2">
      <c r="A6367" s="102"/>
      <c r="B6367" s="116"/>
    </row>
    <row r="6368" spans="1:2" x14ac:dyDescent="0.2">
      <c r="A6368" s="102"/>
      <c r="B6368" s="116"/>
    </row>
    <row r="6369" spans="1:2" x14ac:dyDescent="0.2">
      <c r="A6369" s="102"/>
      <c r="B6369" s="116"/>
    </row>
    <row r="6370" spans="1:2" x14ac:dyDescent="0.2">
      <c r="A6370" s="102"/>
      <c r="B6370" s="116"/>
    </row>
    <row r="6371" spans="1:2" x14ac:dyDescent="0.2">
      <c r="A6371" s="102"/>
      <c r="B6371" s="116"/>
    </row>
    <row r="6372" spans="1:2" x14ac:dyDescent="0.2">
      <c r="A6372" s="102"/>
      <c r="B6372" s="116"/>
    </row>
    <row r="6373" spans="1:2" x14ac:dyDescent="0.2">
      <c r="A6373" s="102"/>
      <c r="B6373" s="116"/>
    </row>
    <row r="6374" spans="1:2" x14ac:dyDescent="0.2">
      <c r="A6374" s="102"/>
      <c r="B6374" s="116"/>
    </row>
    <row r="6375" spans="1:2" x14ac:dyDescent="0.2">
      <c r="A6375" s="102"/>
      <c r="B6375" s="116"/>
    </row>
    <row r="6376" spans="1:2" x14ac:dyDescent="0.2">
      <c r="A6376" s="102"/>
      <c r="B6376" s="116"/>
    </row>
    <row r="6377" spans="1:2" x14ac:dyDescent="0.2">
      <c r="A6377" s="102"/>
      <c r="B6377" s="116"/>
    </row>
    <row r="6378" spans="1:2" x14ac:dyDescent="0.2">
      <c r="A6378" s="102"/>
      <c r="B6378" s="116"/>
    </row>
    <row r="6379" spans="1:2" x14ac:dyDescent="0.2">
      <c r="A6379" s="102"/>
      <c r="B6379" s="116"/>
    </row>
    <row r="6380" spans="1:2" x14ac:dyDescent="0.2">
      <c r="A6380" s="102"/>
      <c r="B6380" s="116"/>
    </row>
    <row r="6381" spans="1:2" x14ac:dyDescent="0.2">
      <c r="A6381" s="102"/>
      <c r="B6381" s="116"/>
    </row>
    <row r="6382" spans="1:2" x14ac:dyDescent="0.2">
      <c r="A6382" s="102"/>
      <c r="B6382" s="116"/>
    </row>
    <row r="6383" spans="1:2" x14ac:dyDescent="0.2">
      <c r="A6383" s="102"/>
      <c r="B6383" s="116"/>
    </row>
    <row r="6384" spans="1:2" x14ac:dyDescent="0.2">
      <c r="A6384" s="102"/>
      <c r="B6384" s="116"/>
    </row>
    <row r="6385" spans="1:2" x14ac:dyDescent="0.2">
      <c r="A6385" s="102"/>
      <c r="B6385" s="116"/>
    </row>
    <row r="6386" spans="1:2" x14ac:dyDescent="0.2">
      <c r="A6386" s="102"/>
      <c r="B6386" s="116"/>
    </row>
    <row r="6387" spans="1:2" x14ac:dyDescent="0.2">
      <c r="A6387" s="102"/>
      <c r="B6387" s="116"/>
    </row>
    <row r="6388" spans="1:2" x14ac:dyDescent="0.2">
      <c r="A6388" s="102"/>
      <c r="B6388" s="116"/>
    </row>
    <row r="6389" spans="1:2" x14ac:dyDescent="0.2">
      <c r="A6389" s="102"/>
      <c r="B6389" s="116"/>
    </row>
    <row r="6390" spans="1:2" x14ac:dyDescent="0.2">
      <c r="A6390" s="102"/>
      <c r="B6390" s="116"/>
    </row>
    <row r="6391" spans="1:2" x14ac:dyDescent="0.2">
      <c r="A6391" s="102"/>
      <c r="B6391" s="116"/>
    </row>
    <row r="6392" spans="1:2" x14ac:dyDescent="0.2">
      <c r="A6392" s="102"/>
      <c r="B6392" s="116"/>
    </row>
    <row r="6393" spans="1:2" x14ac:dyDescent="0.2">
      <c r="A6393" s="102"/>
      <c r="B6393" s="116"/>
    </row>
    <row r="6394" spans="1:2" x14ac:dyDescent="0.2">
      <c r="A6394" s="102"/>
      <c r="B6394" s="116"/>
    </row>
    <row r="6395" spans="1:2" x14ac:dyDescent="0.2">
      <c r="A6395" s="102"/>
      <c r="B6395" s="116"/>
    </row>
    <row r="6396" spans="1:2" x14ac:dyDescent="0.2">
      <c r="A6396" s="102"/>
      <c r="B6396" s="116"/>
    </row>
    <row r="6397" spans="1:2" x14ac:dyDescent="0.2">
      <c r="A6397" s="102"/>
      <c r="B6397" s="116"/>
    </row>
    <row r="6398" spans="1:2" x14ac:dyDescent="0.2">
      <c r="A6398" s="102"/>
      <c r="B6398" s="116"/>
    </row>
    <row r="6399" spans="1:2" x14ac:dyDescent="0.2">
      <c r="A6399" s="102"/>
      <c r="B6399" s="116"/>
    </row>
    <row r="6400" spans="1:2" x14ac:dyDescent="0.2">
      <c r="A6400" s="102"/>
      <c r="B6400" s="116"/>
    </row>
    <row r="6401" spans="1:2" x14ac:dyDescent="0.2">
      <c r="A6401" s="102"/>
      <c r="B6401" s="116"/>
    </row>
    <row r="6402" spans="1:2" x14ac:dyDescent="0.2">
      <c r="A6402" s="102"/>
      <c r="B6402" s="116"/>
    </row>
    <row r="6403" spans="1:2" x14ac:dyDescent="0.2">
      <c r="A6403" s="102"/>
      <c r="B6403" s="116"/>
    </row>
    <row r="6404" spans="1:2" x14ac:dyDescent="0.2">
      <c r="A6404" s="102"/>
      <c r="B6404" s="116"/>
    </row>
    <row r="6405" spans="1:2" x14ac:dyDescent="0.2">
      <c r="A6405" s="102"/>
      <c r="B6405" s="116"/>
    </row>
    <row r="6406" spans="1:2" x14ac:dyDescent="0.2">
      <c r="A6406" s="102"/>
      <c r="B6406" s="116"/>
    </row>
    <row r="6407" spans="1:2" x14ac:dyDescent="0.2">
      <c r="A6407" s="102"/>
      <c r="B6407" s="116"/>
    </row>
    <row r="6408" spans="1:2" x14ac:dyDescent="0.2">
      <c r="A6408" s="102"/>
      <c r="B6408" s="116"/>
    </row>
    <row r="6409" spans="1:2" x14ac:dyDescent="0.2">
      <c r="A6409" s="102"/>
      <c r="B6409" s="116"/>
    </row>
    <row r="6410" spans="1:2" x14ac:dyDescent="0.2">
      <c r="A6410" s="102"/>
      <c r="B6410" s="116"/>
    </row>
    <row r="6411" spans="1:2" x14ac:dyDescent="0.2">
      <c r="A6411" s="102"/>
      <c r="B6411" s="116"/>
    </row>
    <row r="6412" spans="1:2" x14ac:dyDescent="0.2">
      <c r="A6412" s="102"/>
      <c r="B6412" s="116"/>
    </row>
    <row r="6413" spans="1:2" x14ac:dyDescent="0.2">
      <c r="A6413" s="102"/>
      <c r="B6413" s="116"/>
    </row>
    <row r="6414" spans="1:2" x14ac:dyDescent="0.2">
      <c r="A6414" s="102"/>
      <c r="B6414" s="116"/>
    </row>
    <row r="6415" spans="1:2" x14ac:dyDescent="0.2">
      <c r="A6415" s="102"/>
      <c r="B6415" s="116"/>
    </row>
    <row r="6416" spans="1:2" x14ac:dyDescent="0.2">
      <c r="A6416" s="102"/>
      <c r="B6416" s="116"/>
    </row>
    <row r="6417" spans="1:2" x14ac:dyDescent="0.2">
      <c r="A6417" s="102"/>
      <c r="B6417" s="116"/>
    </row>
    <row r="6418" spans="1:2" x14ac:dyDescent="0.2">
      <c r="A6418" s="102"/>
      <c r="B6418" s="116"/>
    </row>
    <row r="6419" spans="1:2" x14ac:dyDescent="0.2">
      <c r="A6419" s="102"/>
      <c r="B6419" s="116"/>
    </row>
    <row r="6420" spans="1:2" x14ac:dyDescent="0.2">
      <c r="A6420" s="102"/>
      <c r="B6420" s="116"/>
    </row>
    <row r="6421" spans="1:2" x14ac:dyDescent="0.2">
      <c r="A6421" s="102"/>
      <c r="B6421" s="116"/>
    </row>
    <row r="6422" spans="1:2" x14ac:dyDescent="0.2">
      <c r="A6422" s="102"/>
      <c r="B6422" s="116"/>
    </row>
    <row r="6423" spans="1:2" x14ac:dyDescent="0.2">
      <c r="A6423" s="102"/>
      <c r="B6423" s="116"/>
    </row>
    <row r="6424" spans="1:2" x14ac:dyDescent="0.2">
      <c r="A6424" s="102"/>
      <c r="B6424" s="116"/>
    </row>
    <row r="6425" spans="1:2" x14ac:dyDescent="0.2">
      <c r="A6425" s="102"/>
      <c r="B6425" s="116"/>
    </row>
    <row r="6426" spans="1:2" x14ac:dyDescent="0.2">
      <c r="A6426" s="102"/>
      <c r="B6426" s="116"/>
    </row>
    <row r="6427" spans="1:2" x14ac:dyDescent="0.2">
      <c r="A6427" s="102"/>
      <c r="B6427" s="116"/>
    </row>
    <row r="6428" spans="1:2" x14ac:dyDescent="0.2">
      <c r="A6428" s="102"/>
      <c r="B6428" s="116"/>
    </row>
    <row r="6429" spans="1:2" x14ac:dyDescent="0.2">
      <c r="A6429" s="102"/>
      <c r="B6429" s="116"/>
    </row>
    <row r="6430" spans="1:2" x14ac:dyDescent="0.2">
      <c r="A6430" s="102"/>
      <c r="B6430" s="116"/>
    </row>
    <row r="6431" spans="1:2" x14ac:dyDescent="0.2">
      <c r="A6431" s="102"/>
      <c r="B6431" s="116"/>
    </row>
    <row r="6432" spans="1:2" x14ac:dyDescent="0.2">
      <c r="A6432" s="102"/>
      <c r="B6432" s="116"/>
    </row>
    <row r="6433" spans="1:2" x14ac:dyDescent="0.2">
      <c r="A6433" s="102"/>
      <c r="B6433" s="116"/>
    </row>
    <row r="6434" spans="1:2" x14ac:dyDescent="0.2">
      <c r="A6434" s="102"/>
      <c r="B6434" s="116"/>
    </row>
    <row r="6435" spans="1:2" x14ac:dyDescent="0.2">
      <c r="A6435" s="102"/>
      <c r="B6435" s="116"/>
    </row>
    <row r="6436" spans="1:2" x14ac:dyDescent="0.2">
      <c r="A6436" s="102"/>
      <c r="B6436" s="116"/>
    </row>
    <row r="6437" spans="1:2" x14ac:dyDescent="0.2">
      <c r="A6437" s="102"/>
      <c r="B6437" s="116"/>
    </row>
    <row r="6438" spans="1:2" x14ac:dyDescent="0.2">
      <c r="A6438" s="102"/>
      <c r="B6438" s="116"/>
    </row>
    <row r="6439" spans="1:2" x14ac:dyDescent="0.2">
      <c r="A6439" s="102"/>
      <c r="B6439" s="116"/>
    </row>
    <row r="6440" spans="1:2" x14ac:dyDescent="0.2">
      <c r="A6440" s="102"/>
      <c r="B6440" s="116"/>
    </row>
    <row r="6441" spans="1:2" x14ac:dyDescent="0.2">
      <c r="A6441" s="102"/>
      <c r="B6441" s="116"/>
    </row>
    <row r="6442" spans="1:2" x14ac:dyDescent="0.2">
      <c r="A6442" s="102"/>
      <c r="B6442" s="116"/>
    </row>
    <row r="6443" spans="1:2" x14ac:dyDescent="0.2">
      <c r="A6443" s="102"/>
      <c r="B6443" s="116"/>
    </row>
    <row r="6444" spans="1:2" x14ac:dyDescent="0.2">
      <c r="A6444" s="102"/>
      <c r="B6444" s="116"/>
    </row>
    <row r="6445" spans="1:2" x14ac:dyDescent="0.2">
      <c r="A6445" s="102"/>
      <c r="B6445" s="116"/>
    </row>
    <row r="6446" spans="1:2" x14ac:dyDescent="0.2">
      <c r="A6446" s="102"/>
      <c r="B6446" s="116"/>
    </row>
    <row r="6447" spans="1:2" x14ac:dyDescent="0.2">
      <c r="A6447" s="102"/>
      <c r="B6447" s="116"/>
    </row>
    <row r="6448" spans="1:2" x14ac:dyDescent="0.2">
      <c r="A6448" s="102"/>
      <c r="B6448" s="116"/>
    </row>
    <row r="6449" spans="1:2" x14ac:dyDescent="0.2">
      <c r="A6449" s="102"/>
      <c r="B6449" s="116"/>
    </row>
    <row r="6450" spans="1:2" x14ac:dyDescent="0.2">
      <c r="A6450" s="102"/>
      <c r="B6450" s="116"/>
    </row>
    <row r="6451" spans="1:2" x14ac:dyDescent="0.2">
      <c r="A6451" s="102"/>
      <c r="B6451" s="116"/>
    </row>
    <row r="6452" spans="1:2" x14ac:dyDescent="0.2">
      <c r="A6452" s="102"/>
      <c r="B6452" s="116"/>
    </row>
    <row r="6453" spans="1:2" x14ac:dyDescent="0.2">
      <c r="A6453" s="102"/>
      <c r="B6453" s="116"/>
    </row>
    <row r="6454" spans="1:2" x14ac:dyDescent="0.2">
      <c r="A6454" s="102"/>
      <c r="B6454" s="116"/>
    </row>
    <row r="6455" spans="1:2" x14ac:dyDescent="0.2">
      <c r="A6455" s="102"/>
      <c r="B6455" s="116"/>
    </row>
    <row r="6456" spans="1:2" x14ac:dyDescent="0.2">
      <c r="A6456" s="102"/>
      <c r="B6456" s="116"/>
    </row>
    <row r="6457" spans="1:2" x14ac:dyDescent="0.2">
      <c r="A6457" s="102"/>
      <c r="B6457" s="116"/>
    </row>
    <row r="6458" spans="1:2" x14ac:dyDescent="0.2">
      <c r="A6458" s="102"/>
      <c r="B6458" s="116"/>
    </row>
    <row r="6459" spans="1:2" x14ac:dyDescent="0.2">
      <c r="A6459" s="102"/>
      <c r="B6459" s="116"/>
    </row>
    <row r="6460" spans="1:2" x14ac:dyDescent="0.2">
      <c r="A6460" s="102"/>
      <c r="B6460" s="116"/>
    </row>
    <row r="6461" spans="1:2" x14ac:dyDescent="0.2">
      <c r="A6461" s="102"/>
      <c r="B6461" s="116"/>
    </row>
    <row r="6462" spans="1:2" x14ac:dyDescent="0.2">
      <c r="A6462" s="102"/>
      <c r="B6462" s="116"/>
    </row>
    <row r="6463" spans="1:2" x14ac:dyDescent="0.2">
      <c r="A6463" s="102"/>
      <c r="B6463" s="116"/>
    </row>
    <row r="6464" spans="1:2" x14ac:dyDescent="0.2">
      <c r="A6464" s="102"/>
      <c r="B6464" s="116"/>
    </row>
    <row r="6465" spans="1:2" x14ac:dyDescent="0.2">
      <c r="A6465" s="102"/>
      <c r="B6465" s="116"/>
    </row>
    <row r="6466" spans="1:2" x14ac:dyDescent="0.2">
      <c r="A6466" s="102"/>
      <c r="B6466" s="116"/>
    </row>
    <row r="6467" spans="1:2" x14ac:dyDescent="0.2">
      <c r="A6467" s="102"/>
      <c r="B6467" s="116"/>
    </row>
    <row r="6468" spans="1:2" x14ac:dyDescent="0.2">
      <c r="A6468" s="102"/>
      <c r="B6468" s="116"/>
    </row>
    <row r="6469" spans="1:2" x14ac:dyDescent="0.2">
      <c r="A6469" s="102"/>
      <c r="B6469" s="116"/>
    </row>
    <row r="6470" spans="1:2" x14ac:dyDescent="0.2">
      <c r="A6470" s="102"/>
      <c r="B6470" s="116"/>
    </row>
    <row r="6471" spans="1:2" x14ac:dyDescent="0.2">
      <c r="A6471" s="102"/>
      <c r="B6471" s="116"/>
    </row>
    <row r="6472" spans="1:2" x14ac:dyDescent="0.2">
      <c r="A6472" s="102"/>
      <c r="B6472" s="116"/>
    </row>
    <row r="6473" spans="1:2" x14ac:dyDescent="0.2">
      <c r="A6473" s="102"/>
      <c r="B6473" s="116"/>
    </row>
    <row r="6474" spans="1:2" x14ac:dyDescent="0.2">
      <c r="A6474" s="102"/>
      <c r="B6474" s="116"/>
    </row>
    <row r="6475" spans="1:2" x14ac:dyDescent="0.2">
      <c r="A6475" s="102"/>
      <c r="B6475" s="116"/>
    </row>
    <row r="6476" spans="1:2" x14ac:dyDescent="0.2">
      <c r="A6476" s="102"/>
      <c r="B6476" s="116"/>
    </row>
    <row r="6477" spans="1:2" x14ac:dyDescent="0.2">
      <c r="A6477" s="102"/>
      <c r="B6477" s="116"/>
    </row>
    <row r="6478" spans="1:2" x14ac:dyDescent="0.2">
      <c r="A6478" s="102"/>
      <c r="B6478" s="116"/>
    </row>
    <row r="6479" spans="1:2" x14ac:dyDescent="0.2">
      <c r="A6479" s="102"/>
      <c r="B6479" s="116"/>
    </row>
    <row r="6480" spans="1:2" x14ac:dyDescent="0.2">
      <c r="A6480" s="102"/>
      <c r="B6480" s="116"/>
    </row>
    <row r="6481" spans="1:2" x14ac:dyDescent="0.2">
      <c r="A6481" s="102"/>
      <c r="B6481" s="116"/>
    </row>
    <row r="6482" spans="1:2" x14ac:dyDescent="0.2">
      <c r="A6482" s="102"/>
      <c r="B6482" s="116"/>
    </row>
    <row r="6483" spans="1:2" x14ac:dyDescent="0.2">
      <c r="A6483" s="102"/>
      <c r="B6483" s="116"/>
    </row>
    <row r="6484" spans="1:2" x14ac:dyDescent="0.2">
      <c r="A6484" s="102"/>
      <c r="B6484" s="116"/>
    </row>
    <row r="6485" spans="1:2" x14ac:dyDescent="0.2">
      <c r="A6485" s="102"/>
      <c r="B6485" s="116"/>
    </row>
    <row r="6486" spans="1:2" x14ac:dyDescent="0.2">
      <c r="A6486" s="102"/>
      <c r="B6486" s="116"/>
    </row>
    <row r="6487" spans="1:2" x14ac:dyDescent="0.2">
      <c r="A6487" s="102"/>
      <c r="B6487" s="116"/>
    </row>
    <row r="6488" spans="1:2" x14ac:dyDescent="0.2">
      <c r="A6488" s="102"/>
      <c r="B6488" s="116"/>
    </row>
    <row r="6489" spans="1:2" x14ac:dyDescent="0.2">
      <c r="A6489" s="102"/>
      <c r="B6489" s="116"/>
    </row>
    <row r="6490" spans="1:2" x14ac:dyDescent="0.2">
      <c r="A6490" s="102"/>
      <c r="B6490" s="116"/>
    </row>
    <row r="6491" spans="1:2" x14ac:dyDescent="0.2">
      <c r="A6491" s="102"/>
      <c r="B6491" s="116"/>
    </row>
    <row r="6492" spans="1:2" x14ac:dyDescent="0.2">
      <c r="A6492" s="102"/>
      <c r="B6492" s="116"/>
    </row>
    <row r="6493" spans="1:2" x14ac:dyDescent="0.2">
      <c r="A6493" s="102"/>
      <c r="B6493" s="116"/>
    </row>
    <row r="6494" spans="1:2" x14ac:dyDescent="0.2">
      <c r="A6494" s="102"/>
      <c r="B6494" s="116"/>
    </row>
    <row r="6495" spans="1:2" x14ac:dyDescent="0.2">
      <c r="A6495" s="102"/>
      <c r="B6495" s="116"/>
    </row>
    <row r="6496" spans="1:2" x14ac:dyDescent="0.2">
      <c r="A6496" s="102"/>
      <c r="B6496" s="116"/>
    </row>
    <row r="6497" spans="1:2" x14ac:dyDescent="0.2">
      <c r="A6497" s="102"/>
      <c r="B6497" s="116"/>
    </row>
    <row r="6498" spans="1:2" x14ac:dyDescent="0.2">
      <c r="A6498" s="102"/>
      <c r="B6498" s="116"/>
    </row>
    <row r="6499" spans="1:2" x14ac:dyDescent="0.2">
      <c r="A6499" s="102"/>
      <c r="B6499" s="116"/>
    </row>
    <row r="6500" spans="1:2" x14ac:dyDescent="0.2">
      <c r="A6500" s="102"/>
      <c r="B6500" s="116"/>
    </row>
    <row r="6501" spans="1:2" x14ac:dyDescent="0.2">
      <c r="A6501" s="102"/>
      <c r="B6501" s="116"/>
    </row>
    <row r="6502" spans="1:2" x14ac:dyDescent="0.2">
      <c r="A6502" s="102"/>
      <c r="B6502" s="116"/>
    </row>
    <row r="6503" spans="1:2" x14ac:dyDescent="0.2">
      <c r="A6503" s="102"/>
      <c r="B6503" s="116"/>
    </row>
    <row r="6504" spans="1:2" x14ac:dyDescent="0.2">
      <c r="A6504" s="102"/>
      <c r="B6504" s="116"/>
    </row>
    <row r="6505" spans="1:2" x14ac:dyDescent="0.2">
      <c r="A6505" s="102"/>
      <c r="B6505" s="116"/>
    </row>
    <row r="6506" spans="1:2" x14ac:dyDescent="0.2">
      <c r="A6506" s="102"/>
      <c r="B6506" s="116"/>
    </row>
    <row r="6507" spans="1:2" x14ac:dyDescent="0.2">
      <c r="A6507" s="102"/>
      <c r="B6507" s="116"/>
    </row>
    <row r="6508" spans="1:2" x14ac:dyDescent="0.2">
      <c r="A6508" s="102"/>
      <c r="B6508" s="116"/>
    </row>
    <row r="6509" spans="1:2" x14ac:dyDescent="0.2">
      <c r="A6509" s="102"/>
      <c r="B6509" s="116"/>
    </row>
    <row r="6510" spans="1:2" x14ac:dyDescent="0.2">
      <c r="A6510" s="102"/>
      <c r="B6510" s="116"/>
    </row>
    <row r="6511" spans="1:2" x14ac:dyDescent="0.2">
      <c r="A6511" s="102"/>
      <c r="B6511" s="116"/>
    </row>
    <row r="6512" spans="1:2" x14ac:dyDescent="0.2">
      <c r="A6512" s="102"/>
      <c r="B6512" s="116"/>
    </row>
    <row r="6513" spans="1:2" x14ac:dyDescent="0.2">
      <c r="A6513" s="102"/>
      <c r="B6513" s="116"/>
    </row>
    <row r="6514" spans="1:2" x14ac:dyDescent="0.2">
      <c r="A6514" s="102"/>
      <c r="B6514" s="116"/>
    </row>
    <row r="6515" spans="1:2" x14ac:dyDescent="0.2">
      <c r="A6515" s="102"/>
      <c r="B6515" s="116"/>
    </row>
    <row r="6516" spans="1:2" x14ac:dyDescent="0.2">
      <c r="A6516" s="102"/>
      <c r="B6516" s="116"/>
    </row>
    <row r="6517" spans="1:2" x14ac:dyDescent="0.2">
      <c r="A6517" s="102"/>
      <c r="B6517" s="116"/>
    </row>
    <row r="6518" spans="1:2" x14ac:dyDescent="0.2">
      <c r="A6518" s="102"/>
      <c r="B6518" s="116"/>
    </row>
    <row r="6519" spans="1:2" x14ac:dyDescent="0.2">
      <c r="A6519" s="102"/>
      <c r="B6519" s="116"/>
    </row>
    <row r="6520" spans="1:2" x14ac:dyDescent="0.2">
      <c r="A6520" s="102"/>
      <c r="B6520" s="116"/>
    </row>
    <row r="6521" spans="1:2" x14ac:dyDescent="0.2">
      <c r="A6521" s="102"/>
      <c r="B6521" s="116"/>
    </row>
    <row r="6522" spans="1:2" x14ac:dyDescent="0.2">
      <c r="A6522" s="102"/>
      <c r="B6522" s="116"/>
    </row>
    <row r="6523" spans="1:2" x14ac:dyDescent="0.2">
      <c r="A6523" s="102"/>
      <c r="B6523" s="116"/>
    </row>
    <row r="6524" spans="1:2" x14ac:dyDescent="0.2">
      <c r="A6524" s="102"/>
      <c r="B6524" s="116"/>
    </row>
    <row r="6525" spans="1:2" x14ac:dyDescent="0.2">
      <c r="A6525" s="102"/>
      <c r="B6525" s="116"/>
    </row>
    <row r="6526" spans="1:2" x14ac:dyDescent="0.2">
      <c r="A6526" s="102"/>
      <c r="B6526" s="116"/>
    </row>
    <row r="6527" spans="1:2" x14ac:dyDescent="0.2">
      <c r="A6527" s="102"/>
      <c r="B6527" s="116"/>
    </row>
    <row r="6528" spans="1:2" x14ac:dyDescent="0.2">
      <c r="A6528" s="102"/>
      <c r="B6528" s="116"/>
    </row>
    <row r="6529" spans="1:2" x14ac:dyDescent="0.2">
      <c r="A6529" s="102"/>
      <c r="B6529" s="116"/>
    </row>
    <row r="6530" spans="1:2" x14ac:dyDescent="0.2">
      <c r="A6530" s="102"/>
      <c r="B6530" s="116"/>
    </row>
    <row r="6531" spans="1:2" x14ac:dyDescent="0.2">
      <c r="A6531" s="102"/>
      <c r="B6531" s="116"/>
    </row>
    <row r="6532" spans="1:2" x14ac:dyDescent="0.2">
      <c r="A6532" s="102"/>
      <c r="B6532" s="116"/>
    </row>
    <row r="6533" spans="1:2" x14ac:dyDescent="0.2">
      <c r="A6533" s="102"/>
      <c r="B6533" s="116"/>
    </row>
    <row r="6534" spans="1:2" x14ac:dyDescent="0.2">
      <c r="A6534" s="102"/>
      <c r="B6534" s="116"/>
    </row>
    <row r="6535" spans="1:2" x14ac:dyDescent="0.2">
      <c r="A6535" s="102"/>
      <c r="B6535" s="116"/>
    </row>
    <row r="6536" spans="1:2" x14ac:dyDescent="0.2">
      <c r="A6536" s="102"/>
      <c r="B6536" s="116"/>
    </row>
    <row r="6537" spans="1:2" x14ac:dyDescent="0.2">
      <c r="A6537" s="102"/>
      <c r="B6537" s="116"/>
    </row>
    <row r="6538" spans="1:2" x14ac:dyDescent="0.2">
      <c r="A6538" s="102"/>
      <c r="B6538" s="116"/>
    </row>
    <row r="6539" spans="1:2" x14ac:dyDescent="0.2">
      <c r="A6539" s="102"/>
      <c r="B6539" s="116"/>
    </row>
    <row r="6540" spans="1:2" x14ac:dyDescent="0.2">
      <c r="A6540" s="102"/>
      <c r="B6540" s="116"/>
    </row>
    <row r="6541" spans="1:2" x14ac:dyDescent="0.2">
      <c r="A6541" s="102"/>
      <c r="B6541" s="116"/>
    </row>
    <row r="6542" spans="1:2" x14ac:dyDescent="0.2">
      <c r="A6542" s="102"/>
      <c r="B6542" s="116"/>
    </row>
    <row r="6543" spans="1:2" x14ac:dyDescent="0.2">
      <c r="A6543" s="102"/>
      <c r="B6543" s="116"/>
    </row>
    <row r="6544" spans="1:2" x14ac:dyDescent="0.2">
      <c r="A6544" s="102"/>
      <c r="B6544" s="116"/>
    </row>
    <row r="6545" spans="1:2" x14ac:dyDescent="0.2">
      <c r="A6545" s="102"/>
      <c r="B6545" s="116"/>
    </row>
    <row r="6546" spans="1:2" x14ac:dyDescent="0.2">
      <c r="A6546" s="102"/>
      <c r="B6546" s="116"/>
    </row>
    <row r="6547" spans="1:2" x14ac:dyDescent="0.2">
      <c r="A6547" s="102"/>
      <c r="B6547" s="116"/>
    </row>
    <row r="6548" spans="1:2" x14ac:dyDescent="0.2">
      <c r="A6548" s="102"/>
      <c r="B6548" s="116"/>
    </row>
    <row r="6549" spans="1:2" x14ac:dyDescent="0.2">
      <c r="A6549" s="102"/>
      <c r="B6549" s="116"/>
    </row>
    <row r="6550" spans="1:2" x14ac:dyDescent="0.2">
      <c r="A6550" s="102"/>
      <c r="B6550" s="116"/>
    </row>
    <row r="6551" spans="1:2" x14ac:dyDescent="0.2">
      <c r="A6551" s="102"/>
      <c r="B6551" s="116"/>
    </row>
    <row r="6552" spans="1:2" x14ac:dyDescent="0.2">
      <c r="A6552" s="102"/>
      <c r="B6552" s="116"/>
    </row>
    <row r="6553" spans="1:2" x14ac:dyDescent="0.2">
      <c r="A6553" s="102"/>
      <c r="B6553" s="116"/>
    </row>
    <row r="6554" spans="1:2" x14ac:dyDescent="0.2">
      <c r="A6554" s="102"/>
      <c r="B6554" s="116"/>
    </row>
    <row r="6555" spans="1:2" x14ac:dyDescent="0.2">
      <c r="A6555" s="102"/>
      <c r="B6555" s="116"/>
    </row>
    <row r="6556" spans="1:2" x14ac:dyDescent="0.2">
      <c r="A6556" s="102"/>
      <c r="B6556" s="116"/>
    </row>
    <row r="6557" spans="1:2" x14ac:dyDescent="0.2">
      <c r="A6557" s="102"/>
      <c r="B6557" s="116"/>
    </row>
    <row r="6558" spans="1:2" x14ac:dyDescent="0.2">
      <c r="A6558" s="102"/>
      <c r="B6558" s="116"/>
    </row>
    <row r="6559" spans="1:2" x14ac:dyDescent="0.2">
      <c r="A6559" s="102"/>
      <c r="B6559" s="116"/>
    </row>
    <row r="6560" spans="1:2" x14ac:dyDescent="0.2">
      <c r="A6560" s="102"/>
      <c r="B6560" s="116"/>
    </row>
    <row r="6561" spans="1:2" x14ac:dyDescent="0.2">
      <c r="A6561" s="102"/>
      <c r="B6561" s="116"/>
    </row>
    <row r="6562" spans="1:2" x14ac:dyDescent="0.2">
      <c r="A6562" s="102"/>
      <c r="B6562" s="116"/>
    </row>
    <row r="6563" spans="1:2" x14ac:dyDescent="0.2">
      <c r="A6563" s="102"/>
      <c r="B6563" s="116"/>
    </row>
    <row r="6564" spans="1:2" x14ac:dyDescent="0.2">
      <c r="A6564" s="102"/>
      <c r="B6564" s="116"/>
    </row>
    <row r="6565" spans="1:2" x14ac:dyDescent="0.2">
      <c r="A6565" s="102"/>
      <c r="B6565" s="116"/>
    </row>
    <row r="6566" spans="1:2" x14ac:dyDescent="0.2">
      <c r="A6566" s="102"/>
      <c r="B6566" s="116"/>
    </row>
    <row r="6567" spans="1:2" x14ac:dyDescent="0.2">
      <c r="A6567" s="102"/>
      <c r="B6567" s="116"/>
    </row>
    <row r="6568" spans="1:2" x14ac:dyDescent="0.2">
      <c r="A6568" s="102"/>
      <c r="B6568" s="116"/>
    </row>
    <row r="6569" spans="1:2" x14ac:dyDescent="0.2">
      <c r="A6569" s="102"/>
      <c r="B6569" s="116"/>
    </row>
    <row r="6570" spans="1:2" x14ac:dyDescent="0.2">
      <c r="A6570" s="102"/>
      <c r="B6570" s="116"/>
    </row>
    <row r="6571" spans="1:2" x14ac:dyDescent="0.2">
      <c r="A6571" s="102"/>
      <c r="B6571" s="116"/>
    </row>
    <row r="6572" spans="1:2" x14ac:dyDescent="0.2">
      <c r="A6572" s="102"/>
      <c r="B6572" s="116"/>
    </row>
    <row r="6573" spans="1:2" x14ac:dyDescent="0.2">
      <c r="A6573" s="102"/>
      <c r="B6573" s="116"/>
    </row>
    <row r="6574" spans="1:2" x14ac:dyDescent="0.2">
      <c r="A6574" s="102"/>
      <c r="B6574" s="116"/>
    </row>
    <row r="6575" spans="1:2" x14ac:dyDescent="0.2">
      <c r="A6575" s="102"/>
      <c r="B6575" s="116"/>
    </row>
    <row r="6576" spans="1:2" x14ac:dyDescent="0.2">
      <c r="A6576" s="102"/>
      <c r="B6576" s="116"/>
    </row>
    <row r="6577" spans="1:2" x14ac:dyDescent="0.2">
      <c r="A6577" s="102"/>
      <c r="B6577" s="116"/>
    </row>
    <row r="6578" spans="1:2" x14ac:dyDescent="0.2">
      <c r="A6578" s="102"/>
      <c r="B6578" s="116"/>
    </row>
    <row r="6579" spans="1:2" x14ac:dyDescent="0.2">
      <c r="A6579" s="102"/>
      <c r="B6579" s="116"/>
    </row>
    <row r="6580" spans="1:2" x14ac:dyDescent="0.2">
      <c r="A6580" s="102"/>
      <c r="B6580" s="116"/>
    </row>
    <row r="6581" spans="1:2" x14ac:dyDescent="0.2">
      <c r="A6581" s="102"/>
      <c r="B6581" s="116"/>
    </row>
    <row r="6582" spans="1:2" x14ac:dyDescent="0.2">
      <c r="A6582" s="102"/>
      <c r="B6582" s="116"/>
    </row>
    <row r="6583" spans="1:2" x14ac:dyDescent="0.2">
      <c r="A6583" s="102"/>
      <c r="B6583" s="116"/>
    </row>
    <row r="6584" spans="1:2" x14ac:dyDescent="0.2">
      <c r="A6584" s="102"/>
      <c r="B6584" s="116"/>
    </row>
    <row r="6585" spans="1:2" x14ac:dyDescent="0.2">
      <c r="A6585" s="102"/>
      <c r="B6585" s="116"/>
    </row>
    <row r="6586" spans="1:2" x14ac:dyDescent="0.2">
      <c r="A6586" s="102"/>
      <c r="B6586" s="116"/>
    </row>
    <row r="6587" spans="1:2" x14ac:dyDescent="0.2">
      <c r="A6587" s="102"/>
      <c r="B6587" s="116"/>
    </row>
    <row r="6588" spans="1:2" x14ac:dyDescent="0.2">
      <c r="A6588" s="102"/>
      <c r="B6588" s="116"/>
    </row>
    <row r="6589" spans="1:2" x14ac:dyDescent="0.2">
      <c r="A6589" s="102"/>
      <c r="B6589" s="116"/>
    </row>
    <row r="6590" spans="1:2" x14ac:dyDescent="0.2">
      <c r="A6590" s="102"/>
      <c r="B6590" s="116"/>
    </row>
    <row r="6591" spans="1:2" x14ac:dyDescent="0.2">
      <c r="A6591" s="102"/>
      <c r="B6591" s="116"/>
    </row>
    <row r="6592" spans="1:2" x14ac:dyDescent="0.2">
      <c r="A6592" s="102"/>
      <c r="B6592" s="116"/>
    </row>
    <row r="6593" spans="1:2" x14ac:dyDescent="0.2">
      <c r="A6593" s="102"/>
      <c r="B6593" s="116"/>
    </row>
    <row r="6594" spans="1:2" x14ac:dyDescent="0.2">
      <c r="A6594" s="102"/>
      <c r="B6594" s="116"/>
    </row>
    <row r="6595" spans="1:2" x14ac:dyDescent="0.2">
      <c r="A6595" s="102"/>
      <c r="B6595" s="116"/>
    </row>
    <row r="6596" spans="1:2" x14ac:dyDescent="0.2">
      <c r="A6596" s="102"/>
      <c r="B6596" s="116"/>
    </row>
    <row r="6597" spans="1:2" x14ac:dyDescent="0.2">
      <c r="A6597" s="102"/>
      <c r="B6597" s="116"/>
    </row>
    <row r="6598" spans="1:2" x14ac:dyDescent="0.2">
      <c r="A6598" s="102"/>
      <c r="B6598" s="116"/>
    </row>
    <row r="6599" spans="1:2" x14ac:dyDescent="0.2">
      <c r="A6599" s="102"/>
      <c r="B6599" s="116"/>
    </row>
    <row r="6600" spans="1:2" x14ac:dyDescent="0.2">
      <c r="A6600" s="102"/>
      <c r="B6600" s="116"/>
    </row>
    <row r="6601" spans="1:2" x14ac:dyDescent="0.2">
      <c r="A6601" s="102"/>
      <c r="B6601" s="116"/>
    </row>
    <row r="6602" spans="1:2" x14ac:dyDescent="0.2">
      <c r="A6602" s="102"/>
      <c r="B6602" s="116"/>
    </row>
    <row r="6603" spans="1:2" x14ac:dyDescent="0.2">
      <c r="A6603" s="102"/>
      <c r="B6603" s="116"/>
    </row>
    <row r="6604" spans="1:2" x14ac:dyDescent="0.2">
      <c r="A6604" s="102"/>
      <c r="B6604" s="116"/>
    </row>
    <row r="6605" spans="1:2" x14ac:dyDescent="0.2">
      <c r="A6605" s="102"/>
      <c r="B6605" s="116"/>
    </row>
    <row r="6606" spans="1:2" x14ac:dyDescent="0.2">
      <c r="A6606" s="102"/>
      <c r="B6606" s="116"/>
    </row>
    <row r="6607" spans="1:2" x14ac:dyDescent="0.2">
      <c r="A6607" s="102"/>
      <c r="B6607" s="116"/>
    </row>
    <row r="6608" spans="1:2" x14ac:dyDescent="0.2">
      <c r="A6608" s="102"/>
      <c r="B6608" s="116"/>
    </row>
    <row r="6609" spans="1:2" x14ac:dyDescent="0.2">
      <c r="A6609" s="102"/>
      <c r="B6609" s="116"/>
    </row>
    <row r="6610" spans="1:2" x14ac:dyDescent="0.2">
      <c r="A6610" s="102"/>
      <c r="B6610" s="116"/>
    </row>
    <row r="6611" spans="1:2" x14ac:dyDescent="0.2">
      <c r="A6611" s="102"/>
      <c r="B6611" s="116"/>
    </row>
    <row r="6612" spans="1:2" x14ac:dyDescent="0.2">
      <c r="A6612" s="102"/>
      <c r="B6612" s="116"/>
    </row>
    <row r="6613" spans="1:2" x14ac:dyDescent="0.2">
      <c r="A6613" s="102"/>
      <c r="B6613" s="116"/>
    </row>
    <row r="6614" spans="1:2" x14ac:dyDescent="0.2">
      <c r="A6614" s="102"/>
      <c r="B6614" s="116"/>
    </row>
    <row r="6615" spans="1:2" x14ac:dyDescent="0.2">
      <c r="A6615" s="102"/>
      <c r="B6615" s="116"/>
    </row>
    <row r="6616" spans="1:2" x14ac:dyDescent="0.2">
      <c r="A6616" s="102"/>
      <c r="B6616" s="116"/>
    </row>
    <row r="6617" spans="1:2" x14ac:dyDescent="0.2">
      <c r="A6617" s="102"/>
      <c r="B6617" s="116"/>
    </row>
    <row r="6618" spans="1:2" x14ac:dyDescent="0.2">
      <c r="A6618" s="102"/>
      <c r="B6618" s="116"/>
    </row>
    <row r="6619" spans="1:2" x14ac:dyDescent="0.2">
      <c r="A6619" s="102"/>
      <c r="B6619" s="116"/>
    </row>
    <row r="6620" spans="1:2" x14ac:dyDescent="0.2">
      <c r="A6620" s="102"/>
      <c r="B6620" s="116"/>
    </row>
    <row r="6621" spans="1:2" x14ac:dyDescent="0.2">
      <c r="A6621" s="102"/>
      <c r="B6621" s="116"/>
    </row>
    <row r="6622" spans="1:2" x14ac:dyDescent="0.2">
      <c r="A6622" s="102"/>
      <c r="B6622" s="116"/>
    </row>
    <row r="6623" spans="1:2" x14ac:dyDescent="0.2">
      <c r="A6623" s="102"/>
      <c r="B6623" s="116"/>
    </row>
    <row r="6624" spans="1:2" x14ac:dyDescent="0.2">
      <c r="A6624" s="102"/>
      <c r="B6624" s="116"/>
    </row>
    <row r="6625" spans="1:2" x14ac:dyDescent="0.2">
      <c r="A6625" s="102"/>
      <c r="B6625" s="116"/>
    </row>
    <row r="6626" spans="1:2" x14ac:dyDescent="0.2">
      <c r="A6626" s="102"/>
      <c r="B6626" s="116"/>
    </row>
    <row r="6627" spans="1:2" x14ac:dyDescent="0.2">
      <c r="A6627" s="102"/>
      <c r="B6627" s="116"/>
    </row>
    <row r="6628" spans="1:2" x14ac:dyDescent="0.2">
      <c r="A6628" s="102"/>
      <c r="B6628" s="116"/>
    </row>
    <row r="6629" spans="1:2" x14ac:dyDescent="0.2">
      <c r="A6629" s="102"/>
      <c r="B6629" s="116"/>
    </row>
    <row r="6630" spans="1:2" x14ac:dyDescent="0.2">
      <c r="A6630" s="102"/>
      <c r="B6630" s="116"/>
    </row>
    <row r="6631" spans="1:2" x14ac:dyDescent="0.2">
      <c r="A6631" s="102"/>
      <c r="B6631" s="116"/>
    </row>
    <row r="6632" spans="1:2" x14ac:dyDescent="0.2">
      <c r="A6632" s="102"/>
      <c r="B6632" s="116"/>
    </row>
    <row r="6633" spans="1:2" x14ac:dyDescent="0.2">
      <c r="A6633" s="102"/>
      <c r="B6633" s="116"/>
    </row>
    <row r="6634" spans="1:2" x14ac:dyDescent="0.2">
      <c r="A6634" s="102"/>
      <c r="B6634" s="116"/>
    </row>
    <row r="6635" spans="1:2" x14ac:dyDescent="0.2">
      <c r="A6635" s="102"/>
      <c r="B6635" s="116"/>
    </row>
    <row r="6636" spans="1:2" x14ac:dyDescent="0.2">
      <c r="A6636" s="102"/>
      <c r="B6636" s="116"/>
    </row>
    <row r="6637" spans="1:2" x14ac:dyDescent="0.2">
      <c r="A6637" s="102"/>
      <c r="B6637" s="116"/>
    </row>
    <row r="6638" spans="1:2" x14ac:dyDescent="0.2">
      <c r="A6638" s="102"/>
      <c r="B6638" s="116"/>
    </row>
    <row r="6639" spans="1:2" x14ac:dyDescent="0.2">
      <c r="A6639" s="102"/>
      <c r="B6639" s="116"/>
    </row>
    <row r="6640" spans="1:2" x14ac:dyDescent="0.2">
      <c r="A6640" s="102"/>
      <c r="B6640" s="116"/>
    </row>
    <row r="6641" spans="1:2" x14ac:dyDescent="0.2">
      <c r="A6641" s="102"/>
      <c r="B6641" s="116"/>
    </row>
    <row r="6642" spans="1:2" x14ac:dyDescent="0.2">
      <c r="A6642" s="102"/>
      <c r="B6642" s="116"/>
    </row>
    <row r="6643" spans="1:2" x14ac:dyDescent="0.2">
      <c r="A6643" s="102"/>
      <c r="B6643" s="116"/>
    </row>
    <row r="6644" spans="1:2" x14ac:dyDescent="0.2">
      <c r="A6644" s="102"/>
      <c r="B6644" s="116"/>
    </row>
    <row r="6645" spans="1:2" x14ac:dyDescent="0.2">
      <c r="A6645" s="102"/>
      <c r="B6645" s="116"/>
    </row>
    <row r="6646" spans="1:2" x14ac:dyDescent="0.2">
      <c r="A6646" s="102"/>
      <c r="B6646" s="116"/>
    </row>
    <row r="6647" spans="1:2" x14ac:dyDescent="0.2">
      <c r="A6647" s="102"/>
      <c r="B6647" s="116"/>
    </row>
    <row r="6648" spans="1:2" x14ac:dyDescent="0.2">
      <c r="A6648" s="102"/>
      <c r="B6648" s="116"/>
    </row>
    <row r="6649" spans="1:2" x14ac:dyDescent="0.2">
      <c r="A6649" s="102"/>
      <c r="B6649" s="116"/>
    </row>
    <row r="6650" spans="1:2" x14ac:dyDescent="0.2">
      <c r="A6650" s="102"/>
      <c r="B6650" s="116"/>
    </row>
    <row r="6651" spans="1:2" x14ac:dyDescent="0.2">
      <c r="A6651" s="102"/>
      <c r="B6651" s="116"/>
    </row>
    <row r="6652" spans="1:2" x14ac:dyDescent="0.2">
      <c r="A6652" s="102"/>
      <c r="B6652" s="116"/>
    </row>
    <row r="6653" spans="1:2" x14ac:dyDescent="0.2">
      <c r="A6653" s="102"/>
      <c r="B6653" s="116"/>
    </row>
    <row r="6654" spans="1:2" x14ac:dyDescent="0.2">
      <c r="A6654" s="102"/>
      <c r="B6654" s="116"/>
    </row>
    <row r="6655" spans="1:2" x14ac:dyDescent="0.2">
      <c r="A6655" s="102"/>
      <c r="B6655" s="116"/>
    </row>
    <row r="6656" spans="1:2" x14ac:dyDescent="0.2">
      <c r="A6656" s="102"/>
      <c r="B6656" s="116"/>
    </row>
    <row r="6657" spans="1:2" x14ac:dyDescent="0.2">
      <c r="A6657" s="102"/>
      <c r="B6657" s="116"/>
    </row>
    <row r="6658" spans="1:2" x14ac:dyDescent="0.2">
      <c r="A6658" s="102"/>
      <c r="B6658" s="116"/>
    </row>
    <row r="6659" spans="1:2" x14ac:dyDescent="0.2">
      <c r="A6659" s="102"/>
      <c r="B6659" s="116"/>
    </row>
    <row r="6660" spans="1:2" x14ac:dyDescent="0.2">
      <c r="A6660" s="102"/>
      <c r="B6660" s="116"/>
    </row>
    <row r="6661" spans="1:2" x14ac:dyDescent="0.2">
      <c r="A6661" s="102"/>
      <c r="B6661" s="116"/>
    </row>
    <row r="6662" spans="1:2" x14ac:dyDescent="0.2">
      <c r="A6662" s="102"/>
      <c r="B6662" s="116"/>
    </row>
    <row r="6663" spans="1:2" x14ac:dyDescent="0.2">
      <c r="A6663" s="102"/>
      <c r="B6663" s="116"/>
    </row>
    <row r="6664" spans="1:2" x14ac:dyDescent="0.2">
      <c r="A6664" s="102"/>
      <c r="B6664" s="116"/>
    </row>
    <row r="6665" spans="1:2" x14ac:dyDescent="0.2">
      <c r="A6665" s="102"/>
      <c r="B6665" s="116"/>
    </row>
    <row r="6666" spans="1:2" x14ac:dyDescent="0.2">
      <c r="A6666" s="102"/>
      <c r="B6666" s="116"/>
    </row>
    <row r="6667" spans="1:2" x14ac:dyDescent="0.2">
      <c r="A6667" s="102"/>
      <c r="B6667" s="116"/>
    </row>
    <row r="6668" spans="1:2" x14ac:dyDescent="0.2">
      <c r="A6668" s="102"/>
      <c r="B6668" s="116"/>
    </row>
    <row r="6669" spans="1:2" x14ac:dyDescent="0.2">
      <c r="A6669" s="102"/>
      <c r="B6669" s="116"/>
    </row>
    <row r="6670" spans="1:2" x14ac:dyDescent="0.2">
      <c r="A6670" s="102"/>
      <c r="B6670" s="116"/>
    </row>
    <row r="6671" spans="1:2" x14ac:dyDescent="0.2">
      <c r="A6671" s="102"/>
      <c r="B6671" s="116"/>
    </row>
    <row r="6672" spans="1:2" x14ac:dyDescent="0.2">
      <c r="A6672" s="102"/>
      <c r="B6672" s="116"/>
    </row>
    <row r="6673" spans="1:2" x14ac:dyDescent="0.2">
      <c r="A6673" s="102"/>
      <c r="B6673" s="116"/>
    </row>
    <row r="6674" spans="1:2" x14ac:dyDescent="0.2">
      <c r="A6674" s="102"/>
      <c r="B6674" s="116"/>
    </row>
    <row r="6675" spans="1:2" x14ac:dyDescent="0.2">
      <c r="A6675" s="102"/>
      <c r="B6675" s="116"/>
    </row>
    <row r="6676" spans="1:2" x14ac:dyDescent="0.2">
      <c r="A6676" s="102"/>
      <c r="B6676" s="116"/>
    </row>
    <row r="6677" spans="1:2" x14ac:dyDescent="0.2">
      <c r="A6677" s="102"/>
      <c r="B6677" s="116"/>
    </row>
    <row r="6678" spans="1:2" x14ac:dyDescent="0.2">
      <c r="A6678" s="102"/>
      <c r="B6678" s="116"/>
    </row>
    <row r="6679" spans="1:2" x14ac:dyDescent="0.2">
      <c r="A6679" s="102"/>
      <c r="B6679" s="116"/>
    </row>
    <row r="6680" spans="1:2" x14ac:dyDescent="0.2">
      <c r="A6680" s="102"/>
      <c r="B6680" s="116"/>
    </row>
    <row r="6681" spans="1:2" x14ac:dyDescent="0.2">
      <c r="A6681" s="102"/>
      <c r="B6681" s="116"/>
    </row>
    <row r="6682" spans="1:2" x14ac:dyDescent="0.2">
      <c r="A6682" s="102"/>
      <c r="B6682" s="116"/>
    </row>
    <row r="6683" spans="1:2" x14ac:dyDescent="0.2">
      <c r="A6683" s="102"/>
      <c r="B6683" s="116"/>
    </row>
    <row r="6684" spans="1:2" x14ac:dyDescent="0.2">
      <c r="A6684" s="102"/>
      <c r="B6684" s="116"/>
    </row>
    <row r="6685" spans="1:2" x14ac:dyDescent="0.2">
      <c r="A6685" s="102"/>
      <c r="B6685" s="116"/>
    </row>
    <row r="6686" spans="1:2" x14ac:dyDescent="0.2">
      <c r="A6686" s="102"/>
      <c r="B6686" s="116"/>
    </row>
    <row r="6687" spans="1:2" x14ac:dyDescent="0.2">
      <c r="A6687" s="102"/>
      <c r="B6687" s="116"/>
    </row>
    <row r="6688" spans="1:2" x14ac:dyDescent="0.2">
      <c r="A6688" s="102"/>
      <c r="B6688" s="116"/>
    </row>
    <row r="6689" spans="1:2" x14ac:dyDescent="0.2">
      <c r="A6689" s="102"/>
      <c r="B6689" s="116"/>
    </row>
    <row r="6690" spans="1:2" x14ac:dyDescent="0.2">
      <c r="A6690" s="102"/>
      <c r="B6690" s="116"/>
    </row>
    <row r="6691" spans="1:2" x14ac:dyDescent="0.2">
      <c r="A6691" s="102"/>
      <c r="B6691" s="116"/>
    </row>
    <row r="6692" spans="1:2" x14ac:dyDescent="0.2">
      <c r="A6692" s="102"/>
      <c r="B6692" s="116"/>
    </row>
    <row r="6693" spans="1:2" x14ac:dyDescent="0.2">
      <c r="A6693" s="102"/>
      <c r="B6693" s="116"/>
    </row>
    <row r="6694" spans="1:2" x14ac:dyDescent="0.2">
      <c r="A6694" s="102"/>
      <c r="B6694" s="116"/>
    </row>
    <row r="6695" spans="1:2" x14ac:dyDescent="0.2">
      <c r="A6695" s="102"/>
      <c r="B6695" s="116"/>
    </row>
    <row r="6696" spans="1:2" x14ac:dyDescent="0.2">
      <c r="A6696" s="102"/>
      <c r="B6696" s="116"/>
    </row>
    <row r="6697" spans="1:2" x14ac:dyDescent="0.2">
      <c r="A6697" s="102"/>
      <c r="B6697" s="116"/>
    </row>
    <row r="6698" spans="1:2" x14ac:dyDescent="0.2">
      <c r="A6698" s="102"/>
      <c r="B6698" s="116"/>
    </row>
    <row r="6699" spans="1:2" x14ac:dyDescent="0.2">
      <c r="A6699" s="102"/>
      <c r="B6699" s="116"/>
    </row>
    <row r="6700" spans="1:2" x14ac:dyDescent="0.2">
      <c r="A6700" s="102"/>
      <c r="B6700" s="116"/>
    </row>
    <row r="6701" spans="1:2" x14ac:dyDescent="0.2">
      <c r="A6701" s="102"/>
      <c r="B6701" s="116"/>
    </row>
    <row r="6702" spans="1:2" x14ac:dyDescent="0.2">
      <c r="A6702" s="102"/>
      <c r="B6702" s="116"/>
    </row>
    <row r="6703" spans="1:2" x14ac:dyDescent="0.2">
      <c r="A6703" s="102"/>
      <c r="B6703" s="116"/>
    </row>
    <row r="6704" spans="1:2" x14ac:dyDescent="0.2">
      <c r="A6704" s="102"/>
      <c r="B6704" s="116"/>
    </row>
    <row r="6705" spans="1:2" x14ac:dyDescent="0.2">
      <c r="A6705" s="102"/>
      <c r="B6705" s="116"/>
    </row>
    <row r="6706" spans="1:2" x14ac:dyDescent="0.2">
      <c r="A6706" s="102"/>
      <c r="B6706" s="116"/>
    </row>
    <row r="6707" spans="1:2" x14ac:dyDescent="0.2">
      <c r="A6707" s="102"/>
      <c r="B6707" s="116"/>
    </row>
    <row r="6708" spans="1:2" x14ac:dyDescent="0.2">
      <c r="A6708" s="102"/>
      <c r="B6708" s="116"/>
    </row>
    <row r="6709" spans="1:2" x14ac:dyDescent="0.2">
      <c r="A6709" s="102"/>
      <c r="B6709" s="116"/>
    </row>
    <row r="6710" spans="1:2" x14ac:dyDescent="0.2">
      <c r="A6710" s="102"/>
      <c r="B6710" s="116"/>
    </row>
    <row r="6711" spans="1:2" x14ac:dyDescent="0.2">
      <c r="A6711" s="102"/>
      <c r="B6711" s="116"/>
    </row>
    <row r="6712" spans="1:2" x14ac:dyDescent="0.2">
      <c r="A6712" s="102"/>
      <c r="B6712" s="116"/>
    </row>
    <row r="6713" spans="1:2" x14ac:dyDescent="0.2">
      <c r="A6713" s="102"/>
      <c r="B6713" s="116"/>
    </row>
    <row r="6714" spans="1:2" x14ac:dyDescent="0.2">
      <c r="A6714" s="102"/>
      <c r="B6714" s="116"/>
    </row>
    <row r="6715" spans="1:2" x14ac:dyDescent="0.2">
      <c r="A6715" s="102"/>
      <c r="B6715" s="116"/>
    </row>
    <row r="6716" spans="1:2" x14ac:dyDescent="0.2">
      <c r="A6716" s="102"/>
      <c r="B6716" s="116"/>
    </row>
    <row r="6717" spans="1:2" x14ac:dyDescent="0.2">
      <c r="A6717" s="102"/>
      <c r="B6717" s="116"/>
    </row>
    <row r="6718" spans="1:2" x14ac:dyDescent="0.2">
      <c r="A6718" s="102"/>
      <c r="B6718" s="116"/>
    </row>
    <row r="6719" spans="1:2" x14ac:dyDescent="0.2">
      <c r="A6719" s="102"/>
      <c r="B6719" s="116"/>
    </row>
    <row r="6720" spans="1:2" x14ac:dyDescent="0.2">
      <c r="A6720" s="102"/>
      <c r="B6720" s="116"/>
    </row>
    <row r="6721" spans="1:2" x14ac:dyDescent="0.2">
      <c r="A6721" s="102"/>
      <c r="B6721" s="116"/>
    </row>
    <row r="6722" spans="1:2" x14ac:dyDescent="0.2">
      <c r="A6722" s="102"/>
      <c r="B6722" s="116"/>
    </row>
    <row r="6723" spans="1:2" x14ac:dyDescent="0.2">
      <c r="A6723" s="102"/>
      <c r="B6723" s="116"/>
    </row>
    <row r="6724" spans="1:2" x14ac:dyDescent="0.2">
      <c r="A6724" s="102"/>
      <c r="B6724" s="116"/>
    </row>
    <row r="6725" spans="1:2" x14ac:dyDescent="0.2">
      <c r="A6725" s="102"/>
      <c r="B6725" s="116"/>
    </row>
    <row r="6726" spans="1:2" x14ac:dyDescent="0.2">
      <c r="A6726" s="102"/>
      <c r="B6726" s="116"/>
    </row>
    <row r="6727" spans="1:2" x14ac:dyDescent="0.2">
      <c r="A6727" s="102"/>
      <c r="B6727" s="116"/>
    </row>
    <row r="6728" spans="1:2" x14ac:dyDescent="0.2">
      <c r="A6728" s="102"/>
      <c r="B6728" s="116"/>
    </row>
    <row r="6729" spans="1:2" x14ac:dyDescent="0.2">
      <c r="A6729" s="102"/>
      <c r="B6729" s="116"/>
    </row>
    <row r="6730" spans="1:2" x14ac:dyDescent="0.2">
      <c r="A6730" s="102"/>
      <c r="B6730" s="116"/>
    </row>
    <row r="6731" spans="1:2" x14ac:dyDescent="0.2">
      <c r="A6731" s="102"/>
      <c r="B6731" s="116"/>
    </row>
    <row r="6732" spans="1:2" x14ac:dyDescent="0.2">
      <c r="A6732" s="102"/>
      <c r="B6732" s="116"/>
    </row>
    <row r="6733" spans="1:2" x14ac:dyDescent="0.2">
      <c r="A6733" s="102"/>
      <c r="B6733" s="116"/>
    </row>
    <row r="6734" spans="1:2" x14ac:dyDescent="0.2">
      <c r="A6734" s="102"/>
      <c r="B6734" s="116"/>
    </row>
    <row r="6735" spans="1:2" x14ac:dyDescent="0.2">
      <c r="A6735" s="102"/>
      <c r="B6735" s="116"/>
    </row>
    <row r="6736" spans="1:2" x14ac:dyDescent="0.2">
      <c r="A6736" s="102"/>
      <c r="B6736" s="116"/>
    </row>
    <row r="6737" spans="1:2" x14ac:dyDescent="0.2">
      <c r="A6737" s="102"/>
      <c r="B6737" s="116"/>
    </row>
    <row r="6738" spans="1:2" x14ac:dyDescent="0.2">
      <c r="A6738" s="102"/>
      <c r="B6738" s="116"/>
    </row>
    <row r="6739" spans="1:2" x14ac:dyDescent="0.2">
      <c r="A6739" s="102"/>
      <c r="B6739" s="116"/>
    </row>
    <row r="6740" spans="1:2" x14ac:dyDescent="0.2">
      <c r="A6740" s="102"/>
      <c r="B6740" s="116"/>
    </row>
    <row r="6741" spans="1:2" x14ac:dyDescent="0.2">
      <c r="A6741" s="102"/>
      <c r="B6741" s="116"/>
    </row>
    <row r="6742" spans="1:2" x14ac:dyDescent="0.2">
      <c r="A6742" s="102"/>
      <c r="B6742" s="116"/>
    </row>
    <row r="6743" spans="1:2" x14ac:dyDescent="0.2">
      <c r="A6743" s="102"/>
      <c r="B6743" s="116"/>
    </row>
    <row r="6744" spans="1:2" x14ac:dyDescent="0.2">
      <c r="A6744" s="102"/>
      <c r="B6744" s="116"/>
    </row>
    <row r="6745" spans="1:2" x14ac:dyDescent="0.2">
      <c r="A6745" s="102"/>
      <c r="B6745" s="116"/>
    </row>
    <row r="6746" spans="1:2" x14ac:dyDescent="0.2">
      <c r="A6746" s="102"/>
      <c r="B6746" s="116"/>
    </row>
    <row r="6747" spans="1:2" x14ac:dyDescent="0.2">
      <c r="A6747" s="102"/>
      <c r="B6747" s="116"/>
    </row>
    <row r="6748" spans="1:2" x14ac:dyDescent="0.2">
      <c r="A6748" s="102"/>
      <c r="B6748" s="116"/>
    </row>
    <row r="6749" spans="1:2" x14ac:dyDescent="0.2">
      <c r="A6749" s="102"/>
      <c r="B6749" s="116"/>
    </row>
    <row r="6750" spans="1:2" x14ac:dyDescent="0.2">
      <c r="A6750" s="102"/>
      <c r="B6750" s="116"/>
    </row>
    <row r="6751" spans="1:2" x14ac:dyDescent="0.2">
      <c r="A6751" s="102"/>
      <c r="B6751" s="116"/>
    </row>
    <row r="6752" spans="1:2" x14ac:dyDescent="0.2">
      <c r="A6752" s="102"/>
      <c r="B6752" s="116"/>
    </row>
    <row r="6753" spans="1:2" x14ac:dyDescent="0.2">
      <c r="A6753" s="102"/>
      <c r="B6753" s="116"/>
    </row>
    <row r="6754" spans="1:2" x14ac:dyDescent="0.2">
      <c r="A6754" s="102"/>
      <c r="B6754" s="116"/>
    </row>
    <row r="6755" spans="1:2" x14ac:dyDescent="0.2">
      <c r="A6755" s="102"/>
      <c r="B6755" s="116"/>
    </row>
    <row r="6756" spans="1:2" x14ac:dyDescent="0.2">
      <c r="A6756" s="102"/>
      <c r="B6756" s="116"/>
    </row>
    <row r="6757" spans="1:2" x14ac:dyDescent="0.2">
      <c r="A6757" s="102"/>
      <c r="B6757" s="116"/>
    </row>
    <row r="6758" spans="1:2" x14ac:dyDescent="0.2">
      <c r="A6758" s="102"/>
      <c r="B6758" s="116"/>
    </row>
    <row r="6759" spans="1:2" x14ac:dyDescent="0.2">
      <c r="A6759" s="102"/>
      <c r="B6759" s="116"/>
    </row>
    <row r="6760" spans="1:2" x14ac:dyDescent="0.2">
      <c r="A6760" s="102"/>
      <c r="B6760" s="116"/>
    </row>
    <row r="6761" spans="1:2" x14ac:dyDescent="0.2">
      <c r="A6761" s="102"/>
      <c r="B6761" s="116"/>
    </row>
    <row r="6762" spans="1:2" x14ac:dyDescent="0.2">
      <c r="A6762" s="102"/>
      <c r="B6762" s="116"/>
    </row>
    <row r="6763" spans="1:2" x14ac:dyDescent="0.2">
      <c r="A6763" s="102"/>
      <c r="B6763" s="116"/>
    </row>
    <row r="6764" spans="1:2" x14ac:dyDescent="0.2">
      <c r="A6764" s="102"/>
      <c r="B6764" s="116"/>
    </row>
    <row r="6765" spans="1:2" x14ac:dyDescent="0.2">
      <c r="A6765" s="102"/>
      <c r="B6765" s="116"/>
    </row>
    <row r="6766" spans="1:2" x14ac:dyDescent="0.2">
      <c r="A6766" s="102"/>
      <c r="B6766" s="116"/>
    </row>
    <row r="6767" spans="1:2" x14ac:dyDescent="0.2">
      <c r="A6767" s="102"/>
      <c r="B6767" s="116"/>
    </row>
    <row r="6768" spans="1:2" x14ac:dyDescent="0.2">
      <c r="A6768" s="102"/>
      <c r="B6768" s="116"/>
    </row>
    <row r="6769" spans="1:2" x14ac:dyDescent="0.2">
      <c r="A6769" s="102"/>
      <c r="B6769" s="116"/>
    </row>
    <row r="6770" spans="1:2" x14ac:dyDescent="0.2">
      <c r="A6770" s="102"/>
      <c r="B6770" s="116"/>
    </row>
    <row r="6771" spans="1:2" x14ac:dyDescent="0.2">
      <c r="A6771" s="102"/>
      <c r="B6771" s="116"/>
    </row>
    <row r="6772" spans="1:2" x14ac:dyDescent="0.2">
      <c r="A6772" s="102"/>
      <c r="B6772" s="116"/>
    </row>
    <row r="6773" spans="1:2" x14ac:dyDescent="0.2">
      <c r="A6773" s="102"/>
      <c r="B6773" s="116"/>
    </row>
    <row r="6774" spans="1:2" x14ac:dyDescent="0.2">
      <c r="A6774" s="102"/>
      <c r="B6774" s="116"/>
    </row>
    <row r="6775" spans="1:2" x14ac:dyDescent="0.2">
      <c r="A6775" s="102"/>
      <c r="B6775" s="116"/>
    </row>
    <row r="6776" spans="1:2" x14ac:dyDescent="0.2">
      <c r="A6776" s="102"/>
      <c r="B6776" s="116"/>
    </row>
    <row r="6777" spans="1:2" x14ac:dyDescent="0.2">
      <c r="A6777" s="102"/>
      <c r="B6777" s="116"/>
    </row>
    <row r="6778" spans="1:2" x14ac:dyDescent="0.2">
      <c r="A6778" s="102"/>
      <c r="B6778" s="116"/>
    </row>
    <row r="6779" spans="1:2" x14ac:dyDescent="0.2">
      <c r="A6779" s="102"/>
      <c r="B6779" s="116"/>
    </row>
    <row r="6780" spans="1:2" x14ac:dyDescent="0.2">
      <c r="A6780" s="102"/>
      <c r="B6780" s="116"/>
    </row>
    <row r="6781" spans="1:2" x14ac:dyDescent="0.2">
      <c r="A6781" s="102"/>
      <c r="B6781" s="116"/>
    </row>
    <row r="6782" spans="1:2" x14ac:dyDescent="0.2">
      <c r="A6782" s="102"/>
      <c r="B6782" s="116"/>
    </row>
    <row r="6783" spans="1:2" x14ac:dyDescent="0.2">
      <c r="A6783" s="102"/>
      <c r="B6783" s="116"/>
    </row>
    <row r="6784" spans="1:2" x14ac:dyDescent="0.2">
      <c r="A6784" s="102"/>
      <c r="B6784" s="116"/>
    </row>
    <row r="6785" spans="1:2" x14ac:dyDescent="0.2">
      <c r="A6785" s="102"/>
      <c r="B6785" s="116"/>
    </row>
    <row r="6786" spans="1:2" x14ac:dyDescent="0.2">
      <c r="A6786" s="102"/>
      <c r="B6786" s="116"/>
    </row>
    <row r="6787" spans="1:2" x14ac:dyDescent="0.2">
      <c r="A6787" s="102"/>
      <c r="B6787" s="116"/>
    </row>
    <row r="6788" spans="1:2" x14ac:dyDescent="0.2">
      <c r="A6788" s="102"/>
      <c r="B6788" s="116"/>
    </row>
    <row r="6789" spans="1:2" x14ac:dyDescent="0.2">
      <c r="A6789" s="102"/>
      <c r="B6789" s="116"/>
    </row>
    <row r="6790" spans="1:2" x14ac:dyDescent="0.2">
      <c r="A6790" s="102"/>
      <c r="B6790" s="116"/>
    </row>
    <row r="6791" spans="1:2" x14ac:dyDescent="0.2">
      <c r="A6791" s="102"/>
      <c r="B6791" s="116"/>
    </row>
    <row r="6792" spans="1:2" x14ac:dyDescent="0.2">
      <c r="A6792" s="102"/>
      <c r="B6792" s="116"/>
    </row>
    <row r="6793" spans="1:2" x14ac:dyDescent="0.2">
      <c r="A6793" s="102"/>
      <c r="B6793" s="116"/>
    </row>
    <row r="6794" spans="1:2" x14ac:dyDescent="0.2">
      <c r="A6794" s="102"/>
      <c r="B6794" s="116"/>
    </row>
    <row r="6795" spans="1:2" x14ac:dyDescent="0.2">
      <c r="A6795" s="102"/>
      <c r="B6795" s="116"/>
    </row>
    <row r="6796" spans="1:2" x14ac:dyDescent="0.2">
      <c r="A6796" s="102"/>
      <c r="B6796" s="116"/>
    </row>
    <row r="6797" spans="1:2" x14ac:dyDescent="0.2">
      <c r="A6797" s="102"/>
      <c r="B6797" s="116"/>
    </row>
    <row r="6798" spans="1:2" x14ac:dyDescent="0.2">
      <c r="A6798" s="102"/>
      <c r="B6798" s="116"/>
    </row>
    <row r="6799" spans="1:2" x14ac:dyDescent="0.2">
      <c r="A6799" s="102"/>
      <c r="B6799" s="116"/>
    </row>
    <row r="6800" spans="1:2" x14ac:dyDescent="0.2">
      <c r="A6800" s="102"/>
      <c r="B6800" s="116"/>
    </row>
    <row r="6801" spans="1:2" x14ac:dyDescent="0.2">
      <c r="A6801" s="102"/>
      <c r="B6801" s="116"/>
    </row>
    <row r="6802" spans="1:2" x14ac:dyDescent="0.2">
      <c r="A6802" s="102"/>
      <c r="B6802" s="116"/>
    </row>
    <row r="6803" spans="1:2" x14ac:dyDescent="0.2">
      <c r="A6803" s="102"/>
      <c r="B6803" s="116"/>
    </row>
    <row r="6804" spans="1:2" x14ac:dyDescent="0.2">
      <c r="A6804" s="102"/>
      <c r="B6804" s="116"/>
    </row>
    <row r="6805" spans="1:2" x14ac:dyDescent="0.2">
      <c r="A6805" s="102"/>
      <c r="B6805" s="116"/>
    </row>
    <row r="6806" spans="1:2" x14ac:dyDescent="0.2">
      <c r="A6806" s="102"/>
      <c r="B6806" s="116"/>
    </row>
    <row r="6807" spans="1:2" x14ac:dyDescent="0.2">
      <c r="A6807" s="102"/>
      <c r="B6807" s="116"/>
    </row>
    <row r="6808" spans="1:2" x14ac:dyDescent="0.2">
      <c r="A6808" s="102"/>
      <c r="B6808" s="116"/>
    </row>
    <row r="6809" spans="1:2" x14ac:dyDescent="0.2">
      <c r="A6809" s="102"/>
      <c r="B6809" s="116"/>
    </row>
    <row r="6810" spans="1:2" x14ac:dyDescent="0.2">
      <c r="A6810" s="102"/>
      <c r="B6810" s="116"/>
    </row>
    <row r="6811" spans="1:2" x14ac:dyDescent="0.2">
      <c r="A6811" s="102"/>
      <c r="B6811" s="116"/>
    </row>
    <row r="6812" spans="1:2" x14ac:dyDescent="0.2">
      <c r="A6812" s="102"/>
      <c r="B6812" s="116"/>
    </row>
    <row r="6813" spans="1:2" x14ac:dyDescent="0.2">
      <c r="A6813" s="102"/>
      <c r="B6813" s="116"/>
    </row>
    <row r="6814" spans="1:2" x14ac:dyDescent="0.2">
      <c r="A6814" s="102"/>
      <c r="B6814" s="116"/>
    </row>
    <row r="6815" spans="1:2" x14ac:dyDescent="0.2">
      <c r="A6815" s="102"/>
      <c r="B6815" s="116"/>
    </row>
    <row r="6816" spans="1:2" x14ac:dyDescent="0.2">
      <c r="A6816" s="102"/>
      <c r="B6816" s="116"/>
    </row>
    <row r="6817" spans="1:2" x14ac:dyDescent="0.2">
      <c r="A6817" s="102"/>
      <c r="B6817" s="116"/>
    </row>
    <row r="6818" spans="1:2" x14ac:dyDescent="0.2">
      <c r="A6818" s="102"/>
      <c r="B6818" s="116"/>
    </row>
    <row r="6819" spans="1:2" x14ac:dyDescent="0.2">
      <c r="A6819" s="102"/>
      <c r="B6819" s="116"/>
    </row>
    <row r="6820" spans="1:2" x14ac:dyDescent="0.2">
      <c r="A6820" s="102"/>
      <c r="B6820" s="116"/>
    </row>
    <row r="6821" spans="1:2" x14ac:dyDescent="0.2">
      <c r="A6821" s="102"/>
      <c r="B6821" s="116"/>
    </row>
    <row r="6822" spans="1:2" x14ac:dyDescent="0.2">
      <c r="A6822" s="102"/>
      <c r="B6822" s="116"/>
    </row>
    <row r="6823" spans="1:2" x14ac:dyDescent="0.2">
      <c r="A6823" s="102"/>
      <c r="B6823" s="116"/>
    </row>
    <row r="6824" spans="1:2" x14ac:dyDescent="0.2">
      <c r="A6824" s="102"/>
      <c r="B6824" s="116"/>
    </row>
    <row r="6825" spans="1:2" x14ac:dyDescent="0.2">
      <c r="A6825" s="102"/>
      <c r="B6825" s="116"/>
    </row>
    <row r="6826" spans="1:2" x14ac:dyDescent="0.2">
      <c r="A6826" s="102"/>
      <c r="B6826" s="116"/>
    </row>
    <row r="6827" spans="1:2" x14ac:dyDescent="0.2">
      <c r="A6827" s="102"/>
      <c r="B6827" s="116"/>
    </row>
    <row r="6828" spans="1:2" x14ac:dyDescent="0.2">
      <c r="A6828" s="102"/>
      <c r="B6828" s="116"/>
    </row>
    <row r="6829" spans="1:2" x14ac:dyDescent="0.2">
      <c r="A6829" s="102"/>
      <c r="B6829" s="116"/>
    </row>
    <row r="6830" spans="1:2" x14ac:dyDescent="0.2">
      <c r="A6830" s="102"/>
      <c r="B6830" s="116"/>
    </row>
    <row r="6831" spans="1:2" x14ac:dyDescent="0.2">
      <c r="A6831" s="102"/>
      <c r="B6831" s="116"/>
    </row>
    <row r="6832" spans="1:2" x14ac:dyDescent="0.2">
      <c r="A6832" s="102"/>
      <c r="B6832" s="116"/>
    </row>
    <row r="6833" spans="1:2" x14ac:dyDescent="0.2">
      <c r="A6833" s="102"/>
      <c r="B6833" s="116"/>
    </row>
    <row r="6834" spans="1:2" x14ac:dyDescent="0.2">
      <c r="A6834" s="102"/>
      <c r="B6834" s="116"/>
    </row>
    <row r="6835" spans="1:2" x14ac:dyDescent="0.2">
      <c r="A6835" s="102"/>
      <c r="B6835" s="116"/>
    </row>
    <row r="6836" spans="1:2" x14ac:dyDescent="0.2">
      <c r="A6836" s="102"/>
      <c r="B6836" s="116"/>
    </row>
    <row r="6837" spans="1:2" x14ac:dyDescent="0.2">
      <c r="A6837" s="102"/>
      <c r="B6837" s="116"/>
    </row>
    <row r="6838" spans="1:2" x14ac:dyDescent="0.2">
      <c r="A6838" s="102"/>
      <c r="B6838" s="116"/>
    </row>
    <row r="6839" spans="1:2" x14ac:dyDescent="0.2">
      <c r="A6839" s="102"/>
      <c r="B6839" s="116"/>
    </row>
    <row r="6840" spans="1:2" x14ac:dyDescent="0.2">
      <c r="A6840" s="102"/>
      <c r="B6840" s="116"/>
    </row>
    <row r="6841" spans="1:2" x14ac:dyDescent="0.2">
      <c r="A6841" s="102"/>
      <c r="B6841" s="116"/>
    </row>
    <row r="6842" spans="1:2" x14ac:dyDescent="0.2">
      <c r="A6842" s="102"/>
      <c r="B6842" s="116"/>
    </row>
    <row r="6843" spans="1:2" x14ac:dyDescent="0.2">
      <c r="A6843" s="102"/>
      <c r="B6843" s="116"/>
    </row>
    <row r="6844" spans="1:2" x14ac:dyDescent="0.2">
      <c r="A6844" s="102"/>
      <c r="B6844" s="116"/>
    </row>
    <row r="6845" spans="1:2" x14ac:dyDescent="0.2">
      <c r="A6845" s="102"/>
      <c r="B6845" s="116"/>
    </row>
    <row r="6846" spans="1:2" x14ac:dyDescent="0.2">
      <c r="A6846" s="102"/>
      <c r="B6846" s="116"/>
    </row>
    <row r="6847" spans="1:2" x14ac:dyDescent="0.2">
      <c r="A6847" s="102"/>
      <c r="B6847" s="116"/>
    </row>
    <row r="6848" spans="1:2" x14ac:dyDescent="0.2">
      <c r="A6848" s="102"/>
      <c r="B6848" s="116"/>
    </row>
    <row r="6849" spans="1:2" x14ac:dyDescent="0.2">
      <c r="A6849" s="102"/>
      <c r="B6849" s="116"/>
    </row>
    <row r="6850" spans="1:2" x14ac:dyDescent="0.2">
      <c r="A6850" s="102"/>
      <c r="B6850" s="116"/>
    </row>
    <row r="6851" spans="1:2" x14ac:dyDescent="0.2">
      <c r="A6851" s="102"/>
      <c r="B6851" s="116"/>
    </row>
    <row r="6852" spans="1:2" x14ac:dyDescent="0.2">
      <c r="A6852" s="102"/>
      <c r="B6852" s="116"/>
    </row>
    <row r="6853" spans="1:2" x14ac:dyDescent="0.2">
      <c r="A6853" s="102"/>
      <c r="B6853" s="116"/>
    </row>
    <row r="6854" spans="1:2" x14ac:dyDescent="0.2">
      <c r="A6854" s="102"/>
      <c r="B6854" s="116"/>
    </row>
    <row r="6855" spans="1:2" x14ac:dyDescent="0.2">
      <c r="A6855" s="102"/>
      <c r="B6855" s="116"/>
    </row>
    <row r="6856" spans="1:2" x14ac:dyDescent="0.2">
      <c r="A6856" s="102"/>
      <c r="B6856" s="116"/>
    </row>
    <row r="6857" spans="1:2" x14ac:dyDescent="0.2">
      <c r="A6857" s="102"/>
      <c r="B6857" s="116"/>
    </row>
    <row r="6858" spans="1:2" x14ac:dyDescent="0.2">
      <c r="A6858" s="102"/>
      <c r="B6858" s="116"/>
    </row>
    <row r="6859" spans="1:2" x14ac:dyDescent="0.2">
      <c r="A6859" s="102"/>
      <c r="B6859" s="116"/>
    </row>
    <row r="6860" spans="1:2" x14ac:dyDescent="0.2">
      <c r="A6860" s="102"/>
      <c r="B6860" s="116"/>
    </row>
    <row r="6861" spans="1:2" x14ac:dyDescent="0.2">
      <c r="A6861" s="102"/>
      <c r="B6861" s="116"/>
    </row>
    <row r="6862" spans="1:2" x14ac:dyDescent="0.2">
      <c r="A6862" s="102"/>
      <c r="B6862" s="116"/>
    </row>
    <row r="6863" spans="1:2" x14ac:dyDescent="0.2">
      <c r="A6863" s="102"/>
      <c r="B6863" s="116"/>
    </row>
    <row r="6864" spans="1:2" x14ac:dyDescent="0.2">
      <c r="A6864" s="102"/>
      <c r="B6864" s="116"/>
    </row>
    <row r="6865" spans="1:2" x14ac:dyDescent="0.2">
      <c r="A6865" s="102"/>
      <c r="B6865" s="116"/>
    </row>
    <row r="6866" spans="1:2" x14ac:dyDescent="0.2">
      <c r="A6866" s="102"/>
      <c r="B6866" s="116"/>
    </row>
    <row r="6867" spans="1:2" x14ac:dyDescent="0.2">
      <c r="A6867" s="102"/>
      <c r="B6867" s="116"/>
    </row>
    <row r="6868" spans="1:2" x14ac:dyDescent="0.2">
      <c r="A6868" s="102"/>
      <c r="B6868" s="116"/>
    </row>
    <row r="6869" spans="1:2" x14ac:dyDescent="0.2">
      <c r="A6869" s="102"/>
      <c r="B6869" s="116"/>
    </row>
    <row r="6870" spans="1:2" x14ac:dyDescent="0.2">
      <c r="A6870" s="102"/>
      <c r="B6870" s="116"/>
    </row>
    <row r="6871" spans="1:2" x14ac:dyDescent="0.2">
      <c r="A6871" s="102"/>
      <c r="B6871" s="116"/>
    </row>
    <row r="6872" spans="1:2" x14ac:dyDescent="0.2">
      <c r="A6872" s="102"/>
      <c r="B6872" s="116"/>
    </row>
    <row r="6873" spans="1:2" x14ac:dyDescent="0.2">
      <c r="A6873" s="102"/>
      <c r="B6873" s="116"/>
    </row>
    <row r="6874" spans="1:2" x14ac:dyDescent="0.2">
      <c r="A6874" s="102"/>
      <c r="B6874" s="116"/>
    </row>
    <row r="6875" spans="1:2" x14ac:dyDescent="0.2">
      <c r="A6875" s="102"/>
      <c r="B6875" s="116"/>
    </row>
    <row r="6876" spans="1:2" x14ac:dyDescent="0.2">
      <c r="A6876" s="102"/>
      <c r="B6876" s="116"/>
    </row>
    <row r="6877" spans="1:2" x14ac:dyDescent="0.2">
      <c r="A6877" s="102"/>
      <c r="B6877" s="116"/>
    </row>
    <row r="6878" spans="1:2" x14ac:dyDescent="0.2">
      <c r="A6878" s="102"/>
      <c r="B6878" s="116"/>
    </row>
    <row r="6879" spans="1:2" x14ac:dyDescent="0.2">
      <c r="A6879" s="102"/>
      <c r="B6879" s="116"/>
    </row>
    <row r="6880" spans="1:2" x14ac:dyDescent="0.2">
      <c r="A6880" s="102"/>
      <c r="B6880" s="116"/>
    </row>
    <row r="6881" spans="1:2" x14ac:dyDescent="0.2">
      <c r="A6881" s="102"/>
      <c r="B6881" s="116"/>
    </row>
    <row r="6882" spans="1:2" x14ac:dyDescent="0.2">
      <c r="A6882" s="102"/>
      <c r="B6882" s="116"/>
    </row>
    <row r="6883" spans="1:2" x14ac:dyDescent="0.2">
      <c r="A6883" s="102"/>
      <c r="B6883" s="116"/>
    </row>
    <row r="6884" spans="1:2" x14ac:dyDescent="0.2">
      <c r="A6884" s="102"/>
      <c r="B6884" s="116"/>
    </row>
    <row r="6885" spans="1:2" x14ac:dyDescent="0.2">
      <c r="A6885" s="102"/>
      <c r="B6885" s="116"/>
    </row>
    <row r="6886" spans="1:2" x14ac:dyDescent="0.2">
      <c r="A6886" s="102"/>
      <c r="B6886" s="116"/>
    </row>
    <row r="6887" spans="1:2" x14ac:dyDescent="0.2">
      <c r="A6887" s="102"/>
      <c r="B6887" s="116"/>
    </row>
    <row r="6888" spans="1:2" x14ac:dyDescent="0.2">
      <c r="A6888" s="102"/>
      <c r="B6888" s="116"/>
    </row>
    <row r="6889" spans="1:2" x14ac:dyDescent="0.2">
      <c r="A6889" s="102"/>
      <c r="B6889" s="116"/>
    </row>
    <row r="6890" spans="1:2" x14ac:dyDescent="0.2">
      <c r="A6890" s="102"/>
      <c r="B6890" s="116"/>
    </row>
    <row r="6891" spans="1:2" x14ac:dyDescent="0.2">
      <c r="A6891" s="102"/>
      <c r="B6891" s="116"/>
    </row>
    <row r="6892" spans="1:2" x14ac:dyDescent="0.2">
      <c r="A6892" s="102"/>
      <c r="B6892" s="116"/>
    </row>
    <row r="6893" spans="1:2" x14ac:dyDescent="0.2">
      <c r="A6893" s="102"/>
      <c r="B6893" s="116"/>
    </row>
    <row r="6894" spans="1:2" x14ac:dyDescent="0.2">
      <c r="A6894" s="102"/>
      <c r="B6894" s="116"/>
    </row>
    <row r="6895" spans="1:2" x14ac:dyDescent="0.2">
      <c r="A6895" s="102"/>
      <c r="B6895" s="116"/>
    </row>
    <row r="6896" spans="1:2" x14ac:dyDescent="0.2">
      <c r="A6896" s="102"/>
      <c r="B6896" s="116"/>
    </row>
    <row r="6897" spans="1:2" x14ac:dyDescent="0.2">
      <c r="A6897" s="102"/>
      <c r="B6897" s="116"/>
    </row>
    <row r="6898" spans="1:2" x14ac:dyDescent="0.2">
      <c r="A6898" s="102"/>
      <c r="B6898" s="116"/>
    </row>
    <row r="6899" spans="1:2" x14ac:dyDescent="0.2">
      <c r="A6899" s="102"/>
      <c r="B6899" s="116"/>
    </row>
    <row r="6900" spans="1:2" x14ac:dyDescent="0.2">
      <c r="A6900" s="102"/>
      <c r="B6900" s="116"/>
    </row>
    <row r="6901" spans="1:2" x14ac:dyDescent="0.2">
      <c r="A6901" s="102"/>
      <c r="B6901" s="116"/>
    </row>
    <row r="6902" spans="1:2" x14ac:dyDescent="0.2">
      <c r="A6902" s="102"/>
      <c r="B6902" s="116"/>
    </row>
    <row r="6903" spans="1:2" x14ac:dyDescent="0.2">
      <c r="A6903" s="102"/>
      <c r="B6903" s="116"/>
    </row>
    <row r="6904" spans="1:2" x14ac:dyDescent="0.2">
      <c r="A6904" s="102"/>
      <c r="B6904" s="116"/>
    </row>
    <row r="6905" spans="1:2" x14ac:dyDescent="0.2">
      <c r="A6905" s="102"/>
      <c r="B6905" s="116"/>
    </row>
    <row r="6906" spans="1:2" x14ac:dyDescent="0.2">
      <c r="A6906" s="102"/>
      <c r="B6906" s="116"/>
    </row>
    <row r="6907" spans="1:2" x14ac:dyDescent="0.2">
      <c r="A6907" s="102"/>
      <c r="B6907" s="116"/>
    </row>
    <row r="6908" spans="1:2" x14ac:dyDescent="0.2">
      <c r="A6908" s="102"/>
      <c r="B6908" s="116"/>
    </row>
    <row r="6909" spans="1:2" x14ac:dyDescent="0.2">
      <c r="A6909" s="102"/>
      <c r="B6909" s="116"/>
    </row>
    <row r="6910" spans="1:2" x14ac:dyDescent="0.2">
      <c r="A6910" s="102"/>
      <c r="B6910" s="116"/>
    </row>
  </sheetData>
  <mergeCells count="4">
    <mergeCell ref="G17:H17"/>
    <mergeCell ref="I17:J17"/>
    <mergeCell ref="A68:D68"/>
    <mergeCell ref="A86:F8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2D4CC-4157-47FD-B2D8-01653A2539D8}">
  <dimension ref="A1:Q170"/>
  <sheetViews>
    <sheetView workbookViewId="0">
      <selection sqref="A1:N159"/>
    </sheetView>
  </sheetViews>
  <sheetFormatPr defaultRowHeight="15" x14ac:dyDescent="0.25"/>
  <cols>
    <col min="1" max="5" width="1.7109375" style="162" customWidth="1"/>
    <col min="6" max="6" width="65.7109375" style="162" customWidth="1"/>
    <col min="7" max="7" width="22.7109375" style="163" customWidth="1"/>
    <col min="8" max="8" width="10.7109375" style="163" customWidth="1"/>
    <col min="9" max="9" width="9.7109375" style="164" customWidth="1"/>
    <col min="10" max="10" width="9.7109375" style="173" customWidth="1"/>
    <col min="11" max="11" width="9.7109375" style="165" customWidth="1"/>
    <col min="12" max="12" width="9.7109375" style="166" customWidth="1"/>
    <col min="13" max="13" width="9.140625" style="162"/>
    <col min="14" max="14" width="67.28515625" style="162" customWidth="1"/>
    <col min="15" max="15" width="2.7109375" style="168" customWidth="1"/>
    <col min="16" max="16384" width="9.140625" style="168"/>
  </cols>
  <sheetData>
    <row r="1" spans="1:15" s="161" customFormat="1" ht="12.75" customHeight="1" x14ac:dyDescent="0.25">
      <c r="A1" s="203" t="s">
        <v>309</v>
      </c>
      <c r="B1" s="204"/>
      <c r="C1" s="204"/>
      <c r="D1" s="204"/>
      <c r="E1" s="204"/>
      <c r="F1" s="204"/>
      <c r="G1" s="204"/>
      <c r="H1" s="205"/>
      <c r="I1" s="206"/>
      <c r="J1" s="207"/>
      <c r="K1" s="207"/>
      <c r="L1" s="208"/>
      <c r="M1" s="204"/>
      <c r="N1" s="204"/>
      <c r="O1" s="192"/>
    </row>
    <row r="2" spans="1:15" s="161" customFormat="1" ht="12.75" customHeight="1" x14ac:dyDescent="0.25">
      <c r="A2" s="209"/>
      <c r="B2" s="204"/>
      <c r="C2" s="204"/>
      <c r="D2" s="204"/>
      <c r="E2" s="204"/>
      <c r="F2" s="204"/>
      <c r="G2" s="204"/>
      <c r="H2" s="205"/>
      <c r="I2" s="206"/>
      <c r="J2" s="207"/>
      <c r="K2" s="207"/>
      <c r="L2" s="208"/>
      <c r="M2" s="204"/>
      <c r="N2" s="204"/>
      <c r="O2" s="192"/>
    </row>
    <row r="3" spans="1:15" customFormat="1" ht="12.75" customHeight="1" x14ac:dyDescent="0.25">
      <c r="A3" s="210" t="s">
        <v>310</v>
      </c>
      <c r="B3" s="211"/>
      <c r="C3" s="211"/>
      <c r="D3" s="211"/>
      <c r="E3" s="211"/>
      <c r="F3" s="211"/>
      <c r="G3" s="210" t="s">
        <v>311</v>
      </c>
      <c r="H3" s="212"/>
      <c r="I3" s="213" t="s">
        <v>312</v>
      </c>
      <c r="J3" s="214"/>
      <c r="K3" s="213" t="s">
        <v>313</v>
      </c>
      <c r="L3" s="215" t="s">
        <v>314</v>
      </c>
      <c r="M3" s="211"/>
      <c r="N3" s="212" t="s">
        <v>315</v>
      </c>
      <c r="O3" s="193"/>
    </row>
    <row r="4" spans="1:15" s="161" customFormat="1" ht="12.75" customHeight="1" x14ac:dyDescent="0.25">
      <c r="A4" s="216"/>
      <c r="B4" s="204"/>
      <c r="C4" s="204"/>
      <c r="D4" s="204"/>
      <c r="E4" s="204"/>
      <c r="F4" s="204"/>
      <c r="G4" s="216"/>
      <c r="H4" s="205"/>
      <c r="I4" s="217"/>
      <c r="J4" s="218"/>
      <c r="K4" s="218"/>
      <c r="L4" s="219"/>
      <c r="M4" s="204"/>
      <c r="N4" s="205"/>
      <c r="O4" s="194"/>
    </row>
    <row r="5" spans="1:15" s="161" customFormat="1" ht="26.45" customHeight="1" x14ac:dyDescent="0.25">
      <c r="A5" s="220" t="s">
        <v>66</v>
      </c>
      <c r="B5" s="204"/>
      <c r="C5" s="204"/>
      <c r="D5" s="204"/>
      <c r="E5" s="204"/>
      <c r="F5" s="204"/>
      <c r="G5" s="221" t="s">
        <v>316</v>
      </c>
      <c r="H5" s="205"/>
      <c r="I5" s="195" t="s">
        <v>578</v>
      </c>
      <c r="J5" s="222"/>
      <c r="K5" s="223" t="s">
        <v>318</v>
      </c>
      <c r="L5" s="224" t="s">
        <v>578</v>
      </c>
      <c r="M5" s="204"/>
      <c r="N5" s="225"/>
      <c r="O5" s="194"/>
    </row>
    <row r="6" spans="1:15" s="161" customFormat="1" ht="12.75" customHeight="1" x14ac:dyDescent="0.25">
      <c r="A6" s="216"/>
      <c r="B6" s="204"/>
      <c r="C6" s="204"/>
      <c r="D6" s="204"/>
      <c r="E6" s="204"/>
      <c r="F6" s="204"/>
      <c r="G6" s="216" t="s">
        <v>319</v>
      </c>
      <c r="H6" s="205"/>
      <c r="I6" s="196"/>
      <c r="J6" s="222"/>
      <c r="K6" s="226">
        <v>3</v>
      </c>
      <c r="L6" s="227">
        <v>3</v>
      </c>
      <c r="M6" s="204"/>
      <c r="N6" s="205"/>
      <c r="O6" s="194"/>
    </row>
    <row r="7" spans="1:15" s="161" customFormat="1" ht="12.75" customHeight="1" x14ac:dyDescent="0.25">
      <c r="A7" s="216"/>
      <c r="B7" s="216"/>
      <c r="C7" s="216"/>
      <c r="D7" s="216"/>
      <c r="E7" s="216"/>
      <c r="F7" s="216"/>
      <c r="G7" s="216"/>
      <c r="H7" s="216"/>
      <c r="I7" s="216"/>
      <c r="J7" s="228"/>
      <c r="K7" s="228"/>
      <c r="L7" s="229"/>
      <c r="M7" s="204"/>
      <c r="N7" s="205"/>
      <c r="O7" s="197"/>
    </row>
    <row r="8" spans="1:15" s="161" customFormat="1" ht="26.45" customHeight="1" x14ac:dyDescent="0.25">
      <c r="A8" s="225" t="s">
        <v>320</v>
      </c>
      <c r="B8" s="225"/>
      <c r="C8" s="225"/>
      <c r="D8" s="225"/>
      <c r="E8" s="225"/>
      <c r="F8" s="225"/>
      <c r="G8" s="221" t="s">
        <v>321</v>
      </c>
      <c r="H8" s="230"/>
      <c r="I8" s="195"/>
      <c r="J8" s="222"/>
      <c r="K8" s="223" t="s">
        <v>322</v>
      </c>
      <c r="L8" s="224" t="s">
        <v>322</v>
      </c>
      <c r="M8" s="204"/>
      <c r="N8" s="225"/>
      <c r="O8" s="197"/>
    </row>
    <row r="9" spans="1:15" s="161" customFormat="1" ht="12.75" customHeight="1" x14ac:dyDescent="0.25">
      <c r="A9" s="216"/>
      <c r="B9" s="204"/>
      <c r="C9" s="204"/>
      <c r="D9" s="204"/>
      <c r="E9" s="204"/>
      <c r="F9" s="204"/>
      <c r="G9" s="216"/>
      <c r="H9" s="205"/>
      <c r="I9" s="205"/>
      <c r="J9" s="218"/>
      <c r="K9" s="218"/>
      <c r="L9" s="219"/>
      <c r="M9" s="204"/>
      <c r="N9" s="205"/>
      <c r="O9" s="197"/>
    </row>
    <row r="10" spans="1:15" s="161" customFormat="1" ht="26.45" customHeight="1" x14ac:dyDescent="0.25">
      <c r="A10" s="220" t="s">
        <v>323</v>
      </c>
      <c r="B10" s="204"/>
      <c r="C10" s="204"/>
      <c r="D10" s="204"/>
      <c r="E10" s="204"/>
      <c r="F10" s="204"/>
      <c r="G10" s="221" t="s">
        <v>324</v>
      </c>
      <c r="H10" s="205"/>
      <c r="I10" s="195" t="s">
        <v>325</v>
      </c>
      <c r="J10" s="222"/>
      <c r="K10" s="223" t="s">
        <v>325</v>
      </c>
      <c r="L10" s="224" t="s">
        <v>325</v>
      </c>
      <c r="M10" s="204"/>
      <c r="N10" s="225"/>
      <c r="O10" s="198"/>
    </row>
    <row r="11" spans="1:15" s="161" customFormat="1" ht="12.75" customHeight="1" x14ac:dyDescent="0.25">
      <c r="A11" s="204"/>
      <c r="B11" s="204"/>
      <c r="C11" s="204"/>
      <c r="D11" s="204"/>
      <c r="E11" s="204"/>
      <c r="F11" s="204"/>
      <c r="G11" s="205"/>
      <c r="H11" s="205"/>
      <c r="I11" s="231"/>
      <c r="J11" s="207"/>
      <c r="K11" s="207"/>
      <c r="L11" s="208"/>
      <c r="M11" s="204"/>
      <c r="N11" s="204"/>
      <c r="O11" s="198"/>
    </row>
    <row r="12" spans="1:15" customFormat="1" ht="12.75" customHeight="1" x14ac:dyDescent="0.25">
      <c r="A12" s="210" t="s">
        <v>326</v>
      </c>
      <c r="B12" s="211"/>
      <c r="C12" s="211"/>
      <c r="D12" s="211"/>
      <c r="E12" s="211"/>
      <c r="F12" s="211"/>
      <c r="G12" s="210" t="s">
        <v>311</v>
      </c>
      <c r="H12" s="212" t="s">
        <v>68</v>
      </c>
      <c r="I12" s="213" t="s">
        <v>312</v>
      </c>
      <c r="J12" s="213" t="s">
        <v>327</v>
      </c>
      <c r="K12" s="213" t="s">
        <v>313</v>
      </c>
      <c r="L12" s="215" t="s">
        <v>314</v>
      </c>
      <c r="M12" s="211"/>
      <c r="N12" s="212" t="s">
        <v>315</v>
      </c>
      <c r="O12" s="198"/>
    </row>
    <row r="13" spans="1:15" s="161" customFormat="1" ht="12.75" customHeight="1" x14ac:dyDescent="0.25">
      <c r="A13" s="216"/>
      <c r="B13" s="204"/>
      <c r="C13" s="204"/>
      <c r="D13" s="204"/>
      <c r="E13" s="204"/>
      <c r="F13" s="204"/>
      <c r="G13" s="216"/>
      <c r="H13" s="205"/>
      <c r="I13" s="217"/>
      <c r="J13" s="218"/>
      <c r="K13" s="218"/>
      <c r="L13" s="219"/>
      <c r="M13" s="204"/>
      <c r="N13" s="205"/>
      <c r="O13" s="197"/>
    </row>
    <row r="14" spans="1:15" s="161" customFormat="1" ht="12.75" customHeight="1" x14ac:dyDescent="0.25">
      <c r="A14" s="216"/>
      <c r="B14" s="220" t="s">
        <v>328</v>
      </c>
      <c r="C14" s="225"/>
      <c r="D14" s="225"/>
      <c r="E14" s="225"/>
      <c r="F14" s="225"/>
      <c r="G14" s="221" t="s">
        <v>329</v>
      </c>
      <c r="H14" s="220"/>
      <c r="I14" s="199" t="s">
        <v>397</v>
      </c>
      <c r="J14" s="232" t="s">
        <v>576</v>
      </c>
      <c r="K14" s="233" t="s">
        <v>70</v>
      </c>
      <c r="L14" s="234" t="s">
        <v>397</v>
      </c>
      <c r="M14" s="216"/>
      <c r="N14" s="204"/>
      <c r="O14" s="197"/>
    </row>
    <row r="15" spans="1:15" s="161" customFormat="1" ht="12.75" customHeight="1" x14ac:dyDescent="0.25">
      <c r="A15" s="204"/>
      <c r="B15" s="216" t="s">
        <v>331</v>
      </c>
      <c r="C15" s="204"/>
      <c r="D15" s="204"/>
      <c r="E15" s="204"/>
      <c r="F15" s="204"/>
      <c r="G15" s="229" t="s">
        <v>332</v>
      </c>
      <c r="H15" s="216" t="s">
        <v>579</v>
      </c>
      <c r="I15" s="200">
        <v>221.04</v>
      </c>
      <c r="J15" s="235">
        <v>163</v>
      </c>
      <c r="K15" s="236">
        <v>138</v>
      </c>
      <c r="L15" s="227">
        <v>0.22103999999999999</v>
      </c>
      <c r="M15" s="216" t="s">
        <v>334</v>
      </c>
      <c r="N15" s="204"/>
      <c r="O15" s="198"/>
    </row>
    <row r="16" spans="1:15" s="161" customFormat="1" ht="12.75" customHeight="1" x14ac:dyDescent="0.25">
      <c r="A16" s="204"/>
      <c r="B16" s="216"/>
      <c r="C16" s="204"/>
      <c r="D16" s="204"/>
      <c r="E16" s="204"/>
      <c r="F16" s="204"/>
      <c r="G16" s="216"/>
      <c r="H16" s="205"/>
      <c r="I16" s="205"/>
      <c r="J16" s="237"/>
      <c r="K16" s="207"/>
      <c r="L16" s="208"/>
      <c r="M16" s="204"/>
      <c r="N16" s="204"/>
      <c r="O16" s="197"/>
    </row>
    <row r="17" spans="1:17" s="161" customFormat="1" ht="12.75" customHeight="1" x14ac:dyDescent="0.25">
      <c r="A17" s="216"/>
      <c r="B17" s="216" t="s">
        <v>335</v>
      </c>
      <c r="C17" s="204"/>
      <c r="D17" s="204"/>
      <c r="E17" s="204"/>
      <c r="F17" s="204"/>
      <c r="G17" s="238" t="s">
        <v>580</v>
      </c>
      <c r="H17" s="216" t="s">
        <v>337</v>
      </c>
      <c r="I17" s="200">
        <v>2.1749999999999998</v>
      </c>
      <c r="J17" s="235" t="s">
        <v>581</v>
      </c>
      <c r="K17" s="236">
        <v>21.735518480310521</v>
      </c>
      <c r="L17" s="227">
        <v>2.1749999999999998</v>
      </c>
      <c r="M17" s="216" t="s">
        <v>17</v>
      </c>
      <c r="N17" s="204" t="s">
        <v>338</v>
      </c>
      <c r="O17" s="197"/>
    </row>
    <row r="18" spans="1:17" s="161" customFormat="1" ht="12.75" customHeight="1" x14ac:dyDescent="0.25">
      <c r="A18" s="216"/>
      <c r="B18" s="216" t="s">
        <v>339</v>
      </c>
      <c r="C18" s="204"/>
      <c r="D18" s="204"/>
      <c r="E18" s="204"/>
      <c r="F18" s="204"/>
      <c r="G18" s="238" t="s">
        <v>340</v>
      </c>
      <c r="H18" s="216" t="s">
        <v>337</v>
      </c>
      <c r="I18" s="200"/>
      <c r="J18" s="235" t="s">
        <v>581</v>
      </c>
      <c r="K18" s="236">
        <v>3.5503404812726687</v>
      </c>
      <c r="L18" s="227">
        <v>3.5503404812726687</v>
      </c>
      <c r="M18" s="216" t="s">
        <v>17</v>
      </c>
      <c r="N18" s="204"/>
      <c r="O18" s="197"/>
    </row>
    <row r="19" spans="1:17" s="161" customFormat="1" ht="12.75" customHeight="1" x14ac:dyDescent="0.25">
      <c r="A19" s="216"/>
      <c r="B19" s="216" t="s">
        <v>582</v>
      </c>
      <c r="C19" s="239"/>
      <c r="D19" s="204"/>
      <c r="E19" s="204"/>
      <c r="F19" s="204"/>
      <c r="G19" s="238" t="s">
        <v>583</v>
      </c>
      <c r="H19" s="216" t="s">
        <v>337</v>
      </c>
      <c r="I19" s="200">
        <v>2.3988329190194864E-8</v>
      </c>
      <c r="J19" s="235" t="s">
        <v>581</v>
      </c>
      <c r="K19" s="240">
        <v>2.3791034125345299E-4</v>
      </c>
      <c r="L19" s="227">
        <v>2.3988329190194864E-8</v>
      </c>
      <c r="M19" s="216" t="s">
        <v>17</v>
      </c>
      <c r="N19" s="204">
        <v>0.17490241790484123</v>
      </c>
      <c r="O19" s="197"/>
    </row>
    <row r="20" spans="1:17" s="161" customFormat="1" ht="12.75" customHeight="1" x14ac:dyDescent="0.25">
      <c r="A20" s="204"/>
      <c r="B20" s="204"/>
      <c r="C20" s="216" t="s">
        <v>584</v>
      </c>
      <c r="D20" s="204"/>
      <c r="E20" s="204"/>
      <c r="F20" s="204"/>
      <c r="G20" s="229" t="s">
        <v>344</v>
      </c>
      <c r="H20" s="216" t="s">
        <v>337</v>
      </c>
      <c r="I20" s="200">
        <v>676.08297539198213</v>
      </c>
      <c r="J20" s="235">
        <v>1148.1500000000001</v>
      </c>
      <c r="K20" s="236">
        <v>18</v>
      </c>
      <c r="L20" s="241">
        <v>676.08297539198213</v>
      </c>
      <c r="M20" s="216" t="s">
        <v>17</v>
      </c>
      <c r="N20" s="204">
        <v>100</v>
      </c>
      <c r="O20" s="197"/>
      <c r="Q20"/>
    </row>
    <row r="21" spans="1:17" s="161" customFormat="1" ht="12.75" customHeight="1" x14ac:dyDescent="0.25">
      <c r="A21" s="204"/>
      <c r="B21" s="204"/>
      <c r="C21" s="216" t="s">
        <v>585</v>
      </c>
      <c r="D21" s="204"/>
      <c r="E21" s="204"/>
      <c r="F21" s="204"/>
      <c r="G21" s="229" t="s">
        <v>586</v>
      </c>
      <c r="H21" s="216" t="s">
        <v>337</v>
      </c>
      <c r="I21" s="200"/>
      <c r="J21" s="235" t="s">
        <v>581</v>
      </c>
      <c r="K21" s="242">
        <v>0.21379620895022322</v>
      </c>
      <c r="L21" s="227">
        <v>0.21379620895022322</v>
      </c>
      <c r="M21" s="216" t="s">
        <v>17</v>
      </c>
      <c r="N21" s="204"/>
      <c r="O21" s="197"/>
    </row>
    <row r="22" spans="1:17" s="161" customFormat="1" ht="12.75" customHeight="1" x14ac:dyDescent="0.25">
      <c r="A22" s="204"/>
      <c r="B22" s="204"/>
      <c r="C22" s="216" t="s">
        <v>347</v>
      </c>
      <c r="D22" s="204"/>
      <c r="E22" s="204"/>
      <c r="F22" s="204"/>
      <c r="G22" s="216" t="s">
        <v>348</v>
      </c>
      <c r="H22" s="216"/>
      <c r="I22" s="200">
        <v>2.98</v>
      </c>
      <c r="J22" s="235">
        <v>7.89</v>
      </c>
      <c r="K22" s="236">
        <v>7</v>
      </c>
      <c r="L22" s="227">
        <v>2.98</v>
      </c>
      <c r="M22" s="239" t="s">
        <v>17</v>
      </c>
      <c r="N22" s="204"/>
      <c r="O22" s="197"/>
    </row>
    <row r="23" spans="1:17" s="161" customFormat="1" ht="12.75" customHeight="1" x14ac:dyDescent="0.25">
      <c r="A23" s="204"/>
      <c r="B23" s="204"/>
      <c r="C23" s="216" t="s">
        <v>587</v>
      </c>
      <c r="D23" s="204"/>
      <c r="E23" s="204"/>
      <c r="F23" s="204"/>
      <c r="G23" s="229" t="s">
        <v>350</v>
      </c>
      <c r="H23" s="216" t="s">
        <v>337</v>
      </c>
      <c r="I23" s="200"/>
      <c r="J23" s="235" t="s">
        <v>581</v>
      </c>
      <c r="K23" s="236">
        <v>0.27833505106266931</v>
      </c>
      <c r="L23" s="227">
        <v>0.27833505106266931</v>
      </c>
      <c r="M23" s="216" t="s">
        <v>17</v>
      </c>
      <c r="N23" s="204" t="s">
        <v>351</v>
      </c>
      <c r="O23" s="197"/>
    </row>
    <row r="24" spans="1:17" s="161" customFormat="1" ht="12.75" customHeight="1" x14ac:dyDescent="0.25">
      <c r="A24" s="243"/>
      <c r="B24" s="204"/>
      <c r="C24" s="204" t="s">
        <v>352</v>
      </c>
      <c r="D24" s="204"/>
      <c r="E24" s="204"/>
      <c r="F24" s="204"/>
      <c r="G24" s="205" t="s">
        <v>353</v>
      </c>
      <c r="H24" s="205" t="s">
        <v>337</v>
      </c>
      <c r="I24" s="200"/>
      <c r="J24" s="235" t="s">
        <v>581</v>
      </c>
      <c r="K24" s="244">
        <v>0.4884891087822083</v>
      </c>
      <c r="L24" s="227">
        <v>0.4884891087822083</v>
      </c>
      <c r="M24" s="245" t="s">
        <v>17</v>
      </c>
      <c r="N24" s="204"/>
      <c r="O24" s="197"/>
    </row>
    <row r="25" spans="1:17" s="161" customFormat="1" ht="12.75" customHeight="1" x14ac:dyDescent="0.25">
      <c r="A25" s="243"/>
      <c r="B25" s="204"/>
      <c r="C25" s="204" t="s">
        <v>354</v>
      </c>
      <c r="D25" s="204"/>
      <c r="E25" s="204"/>
      <c r="F25" s="204"/>
      <c r="G25" s="205" t="s">
        <v>355</v>
      </c>
      <c r="H25" s="205" t="s">
        <v>337</v>
      </c>
      <c r="I25" s="200"/>
      <c r="J25" s="235" t="s">
        <v>581</v>
      </c>
      <c r="K25" s="244">
        <v>3.0198605220722281E-5</v>
      </c>
      <c r="L25" s="227">
        <v>3.0198605220722281E-5</v>
      </c>
      <c r="M25" s="245" t="s">
        <v>17</v>
      </c>
      <c r="N25" s="204"/>
      <c r="O25" s="197"/>
    </row>
    <row r="26" spans="1:17" s="161" customFormat="1" ht="12.75" customHeight="1" x14ac:dyDescent="0.25">
      <c r="A26" s="243"/>
      <c r="B26" s="204"/>
      <c r="C26" s="204" t="s">
        <v>356</v>
      </c>
      <c r="D26" s="204"/>
      <c r="E26" s="204"/>
      <c r="F26" s="204"/>
      <c r="G26" s="205" t="s">
        <v>357</v>
      </c>
      <c r="H26" s="205" t="s">
        <v>337</v>
      </c>
      <c r="I26" s="200"/>
      <c r="J26" s="235" t="s">
        <v>581</v>
      </c>
      <c r="K26" s="244">
        <v>1.2021199080162555E-4</v>
      </c>
      <c r="L26" s="227">
        <v>1.2021199080162555E-4</v>
      </c>
      <c r="M26" s="245"/>
      <c r="N26" s="204"/>
      <c r="O26" s="197"/>
    </row>
    <row r="27" spans="1:17" s="161" customFormat="1" ht="12.75" customHeight="1" x14ac:dyDescent="0.25">
      <c r="A27" s="243"/>
      <c r="B27" s="204"/>
      <c r="C27" s="204" t="s">
        <v>358</v>
      </c>
      <c r="D27" s="204"/>
      <c r="E27" s="204"/>
      <c r="F27" s="204"/>
      <c r="G27" s="205" t="s">
        <v>359</v>
      </c>
      <c r="H27" s="205" t="s">
        <v>337</v>
      </c>
      <c r="I27" s="200"/>
      <c r="J27" s="235" t="s">
        <v>581</v>
      </c>
      <c r="K27" s="244">
        <v>9.5498346600013785E-6</v>
      </c>
      <c r="L27" s="227">
        <v>9.5498346600013785E-6</v>
      </c>
      <c r="M27" s="245" t="s">
        <v>17</v>
      </c>
      <c r="N27" s="204">
        <v>9.5498346600013785E-6</v>
      </c>
      <c r="O27" s="197"/>
    </row>
    <row r="28" spans="1:17" s="161" customFormat="1" ht="12.75" customHeight="1" x14ac:dyDescent="0.25">
      <c r="A28" s="243"/>
      <c r="B28" s="204"/>
      <c r="C28" s="204" t="s">
        <v>360</v>
      </c>
      <c r="D28" s="204"/>
      <c r="E28" s="204"/>
      <c r="F28" s="204"/>
      <c r="G28" s="205" t="s">
        <v>361</v>
      </c>
      <c r="H28" s="205" t="s">
        <v>337</v>
      </c>
      <c r="I28" s="200"/>
      <c r="J28" s="235" t="s">
        <v>581</v>
      </c>
      <c r="K28" s="244">
        <v>3.801749424723736E-5</v>
      </c>
      <c r="L28" s="227">
        <v>3.801749424723736E-5</v>
      </c>
      <c r="M28" s="245"/>
      <c r="N28" s="204">
        <v>8</v>
      </c>
      <c r="O28" s="197"/>
    </row>
    <row r="29" spans="1:17" s="161" customFormat="1" ht="12.75" customHeight="1" x14ac:dyDescent="0.25">
      <c r="A29" s="243"/>
      <c r="B29" s="204"/>
      <c r="C29" s="204" t="s">
        <v>362</v>
      </c>
      <c r="D29" s="204"/>
      <c r="E29" s="204"/>
      <c r="F29" s="204"/>
      <c r="G29" s="205" t="s">
        <v>363</v>
      </c>
      <c r="H29" s="205" t="s">
        <v>337</v>
      </c>
      <c r="I29" s="200"/>
      <c r="J29" s="235" t="s">
        <v>581</v>
      </c>
      <c r="K29" s="244">
        <v>3.6626441176046895E-2</v>
      </c>
      <c r="L29" s="227">
        <v>3.6626441176046895E-2</v>
      </c>
      <c r="M29" s="245" t="s">
        <v>17</v>
      </c>
      <c r="N29" s="204"/>
      <c r="O29" s="197"/>
    </row>
    <row r="30" spans="1:17" s="161" customFormat="1" ht="12.75" customHeight="1" x14ac:dyDescent="0.25">
      <c r="A30" s="243"/>
      <c r="B30" s="204"/>
      <c r="C30" s="204" t="s">
        <v>364</v>
      </c>
      <c r="D30" s="204"/>
      <c r="E30" s="204"/>
      <c r="F30" s="204"/>
      <c r="G30" s="205" t="s">
        <v>365</v>
      </c>
      <c r="H30" s="205" t="s">
        <v>337</v>
      </c>
      <c r="I30" s="200"/>
      <c r="J30" s="235" t="s">
        <v>581</v>
      </c>
      <c r="K30" s="244">
        <v>9.4595875009124333E-3</v>
      </c>
      <c r="L30" s="227">
        <v>9.4595875009124333E-3</v>
      </c>
      <c r="M30" s="245" t="s">
        <v>17</v>
      </c>
      <c r="N30" s="204"/>
      <c r="O30" s="197"/>
    </row>
    <row r="31" spans="1:17" s="161" customFormat="1" ht="12.75" customHeight="1" x14ac:dyDescent="0.25">
      <c r="A31" s="243"/>
      <c r="B31" s="204"/>
      <c r="C31" s="204" t="s">
        <v>366</v>
      </c>
      <c r="D31" s="204"/>
      <c r="E31" s="204"/>
      <c r="F31" s="204"/>
      <c r="G31" s="205" t="s">
        <v>367</v>
      </c>
      <c r="H31" s="205" t="s">
        <v>337</v>
      </c>
      <c r="I31" s="200"/>
      <c r="J31" s="235" t="s">
        <v>581</v>
      </c>
      <c r="K31" s="244">
        <v>6.021967266640031E-4</v>
      </c>
      <c r="L31" s="227">
        <v>6.021967266640031E-4</v>
      </c>
      <c r="M31" s="245" t="s">
        <v>17</v>
      </c>
      <c r="N31" s="204"/>
      <c r="O31" s="197"/>
    </row>
    <row r="32" spans="1:17" s="161" customFormat="1" ht="12.75" customHeight="1" x14ac:dyDescent="0.25">
      <c r="A32" s="243"/>
      <c r="B32" s="204"/>
      <c r="C32" s="204" t="s">
        <v>368</v>
      </c>
      <c r="D32" s="204"/>
      <c r="E32" s="204"/>
      <c r="F32" s="204"/>
      <c r="G32" s="205" t="s">
        <v>369</v>
      </c>
      <c r="H32" s="205" t="s">
        <v>337</v>
      </c>
      <c r="I32" s="200"/>
      <c r="J32" s="235" t="s">
        <v>581</v>
      </c>
      <c r="K32" s="244">
        <v>1.5133321963393679E-4</v>
      </c>
      <c r="L32" s="227">
        <v>1.5133321963393679E-4</v>
      </c>
      <c r="M32" s="245" t="s">
        <v>17</v>
      </c>
      <c r="N32" s="204"/>
      <c r="O32" s="197"/>
    </row>
    <row r="33" spans="1:15" s="161" customFormat="1" ht="12.75" customHeight="1" x14ac:dyDescent="0.25">
      <c r="A33" s="243"/>
      <c r="B33" s="204"/>
      <c r="C33" s="204" t="s">
        <v>370</v>
      </c>
      <c r="D33" s="204"/>
      <c r="E33" s="204"/>
      <c r="F33" s="204"/>
      <c r="G33" s="205" t="s">
        <v>371</v>
      </c>
      <c r="H33" s="205" t="s">
        <v>337</v>
      </c>
      <c r="I33" s="200"/>
      <c r="J33" s="235" t="s">
        <v>581</v>
      </c>
      <c r="K33" s="244">
        <v>1.9018368425677578E-3</v>
      </c>
      <c r="L33" s="227">
        <v>1.9018368425677578E-3</v>
      </c>
      <c r="M33" s="245" t="s">
        <v>17</v>
      </c>
      <c r="N33" s="204"/>
      <c r="O33" s="197"/>
    </row>
    <row r="34" spans="1:15" s="161" customFormat="1" ht="12.75" customHeight="1" x14ac:dyDescent="0.25">
      <c r="A34" s="243"/>
      <c r="B34" s="204"/>
      <c r="C34" s="204" t="s">
        <v>372</v>
      </c>
      <c r="D34" s="204"/>
      <c r="E34" s="204"/>
      <c r="F34" s="204"/>
      <c r="G34" s="205" t="s">
        <v>373</v>
      </c>
      <c r="H34" s="205" t="s">
        <v>337</v>
      </c>
      <c r="I34" s="200"/>
      <c r="J34" s="235" t="s">
        <v>581</v>
      </c>
      <c r="K34" s="244">
        <v>4.7840111515272545E-4</v>
      </c>
      <c r="L34" s="227">
        <v>4.7840111515272545E-4</v>
      </c>
      <c r="M34" s="245" t="s">
        <v>17</v>
      </c>
      <c r="N34" s="204"/>
      <c r="O34" s="197"/>
    </row>
    <row r="35" spans="1:15" s="161" customFormat="1" ht="12.75" customHeight="1" x14ac:dyDescent="0.25">
      <c r="A35" s="246"/>
      <c r="B35" s="246"/>
      <c r="C35" s="246" t="s">
        <v>588</v>
      </c>
      <c r="D35" s="204"/>
      <c r="E35" s="204"/>
      <c r="F35" s="204"/>
      <c r="G35" s="208" t="s">
        <v>375</v>
      </c>
      <c r="H35" s="246" t="s">
        <v>376</v>
      </c>
      <c r="I35" s="200"/>
      <c r="J35" s="235">
        <v>12</v>
      </c>
      <c r="K35" s="236">
        <v>4</v>
      </c>
      <c r="L35" s="227">
        <v>12</v>
      </c>
      <c r="M35" s="246" t="s">
        <v>377</v>
      </c>
      <c r="N35" s="204"/>
      <c r="O35" s="197"/>
    </row>
    <row r="36" spans="1:15" s="161" customFormat="1" ht="12.75" customHeight="1" x14ac:dyDescent="0.25">
      <c r="A36" s="204"/>
      <c r="B36" s="216"/>
      <c r="C36" s="216" t="s">
        <v>378</v>
      </c>
      <c r="D36" s="204"/>
      <c r="E36" s="204"/>
      <c r="F36" s="204"/>
      <c r="G36" s="229" t="s">
        <v>379</v>
      </c>
      <c r="H36" s="216" t="s">
        <v>433</v>
      </c>
      <c r="I36" s="200"/>
      <c r="J36" s="235" t="s">
        <v>581</v>
      </c>
      <c r="K36" s="236">
        <v>60.507656597809842</v>
      </c>
      <c r="L36" s="227">
        <v>60507.656597809844</v>
      </c>
      <c r="M36" s="239" t="s">
        <v>381</v>
      </c>
      <c r="N36" s="247"/>
      <c r="O36" s="197"/>
    </row>
    <row r="37" spans="1:15" s="161" customFormat="1" ht="12.75" customHeight="1" x14ac:dyDescent="0.25">
      <c r="A37" s="204"/>
      <c r="B37" s="216"/>
      <c r="C37" s="216" t="s">
        <v>589</v>
      </c>
      <c r="D37" s="204"/>
      <c r="E37" s="204"/>
      <c r="F37" s="204"/>
      <c r="G37" s="229" t="s">
        <v>383</v>
      </c>
      <c r="H37" s="216" t="s">
        <v>590</v>
      </c>
      <c r="I37" s="200"/>
      <c r="J37" s="235">
        <v>4500</v>
      </c>
      <c r="K37" s="236">
        <v>573.91935587046692</v>
      </c>
      <c r="L37" s="227">
        <v>20.358306188925081</v>
      </c>
      <c r="M37" s="216" t="s">
        <v>385</v>
      </c>
      <c r="N37" s="204"/>
      <c r="O37" s="197"/>
    </row>
    <row r="38" spans="1:15" s="161" customFormat="1" ht="12.75" customHeight="1" x14ac:dyDescent="0.25">
      <c r="A38" s="204"/>
      <c r="B38" s="216"/>
      <c r="C38" s="216" t="s">
        <v>386</v>
      </c>
      <c r="D38" s="204"/>
      <c r="E38" s="204"/>
      <c r="F38" s="204"/>
      <c r="G38" s="229" t="s">
        <v>387</v>
      </c>
      <c r="H38" s="216" t="s">
        <v>433</v>
      </c>
      <c r="I38" s="200"/>
      <c r="J38" s="235" t="s">
        <v>581</v>
      </c>
      <c r="K38" s="236">
        <v>10</v>
      </c>
      <c r="L38" s="227">
        <v>10000</v>
      </c>
      <c r="M38" s="239" t="s">
        <v>381</v>
      </c>
      <c r="N38" s="204"/>
      <c r="O38" s="197"/>
    </row>
    <row r="39" spans="1:15" s="161" customFormat="1" ht="12.75" customHeight="1" x14ac:dyDescent="0.25">
      <c r="A39" s="246"/>
      <c r="B39" s="246"/>
      <c r="C39" s="246" t="s">
        <v>388</v>
      </c>
      <c r="D39" s="204"/>
      <c r="E39" s="204"/>
      <c r="F39" s="204"/>
      <c r="G39" s="208" t="s">
        <v>389</v>
      </c>
      <c r="H39" s="246" t="s">
        <v>591</v>
      </c>
      <c r="I39" s="201">
        <v>5.35</v>
      </c>
      <c r="J39" s="235">
        <v>45</v>
      </c>
      <c r="K39" s="236">
        <v>1</v>
      </c>
      <c r="L39" s="227">
        <v>278.35000000000002</v>
      </c>
      <c r="M39" s="246" t="s">
        <v>391</v>
      </c>
      <c r="N39" s="204"/>
      <c r="O39" s="197"/>
    </row>
    <row r="40" spans="1:15" s="161" customFormat="1" ht="12.75" customHeight="1" x14ac:dyDescent="0.25">
      <c r="A40" s="204"/>
      <c r="B40" s="216"/>
      <c r="C40" s="204"/>
      <c r="D40" s="204"/>
      <c r="E40" s="204"/>
      <c r="F40" s="204"/>
      <c r="G40" s="216"/>
      <c r="H40" s="205"/>
      <c r="I40" s="205"/>
      <c r="J40" s="207"/>
      <c r="K40" s="207"/>
      <c r="L40" s="208"/>
      <c r="M40" s="204"/>
      <c r="N40" s="204"/>
      <c r="O40" s="197"/>
    </row>
    <row r="41" spans="1:15" s="161" customFormat="1" ht="12.75" customHeight="1" x14ac:dyDescent="0.25">
      <c r="A41" s="204"/>
      <c r="B41" s="248" t="s">
        <v>392</v>
      </c>
      <c r="C41" s="249"/>
      <c r="D41" s="249"/>
      <c r="E41" s="249"/>
      <c r="F41" s="249"/>
      <c r="G41" s="250"/>
      <c r="H41" s="251"/>
      <c r="I41" s="252" t="s">
        <v>393</v>
      </c>
      <c r="J41" s="252" t="s">
        <v>394</v>
      </c>
      <c r="K41" s="252" t="s">
        <v>395</v>
      </c>
      <c r="L41" s="253" t="s">
        <v>396</v>
      </c>
      <c r="M41" s="254"/>
      <c r="N41" s="204"/>
      <c r="O41" s="197"/>
    </row>
    <row r="42" spans="1:15" s="161" customFormat="1" ht="12.75" customHeight="1" x14ac:dyDescent="0.25">
      <c r="A42" s="204"/>
      <c r="B42" s="255"/>
      <c r="C42" s="255" t="s">
        <v>330</v>
      </c>
      <c r="D42" s="255"/>
      <c r="E42" s="255"/>
      <c r="F42" s="255"/>
      <c r="G42" s="255"/>
      <c r="H42" s="255"/>
      <c r="I42" s="256">
        <v>246.98498112902919</v>
      </c>
      <c r="J42" s="256">
        <v>246.98498112902919</v>
      </c>
      <c r="K42" s="257">
        <v>2.3791034125345299E-4</v>
      </c>
      <c r="L42" s="258">
        <v>2.3791034125345299E-4</v>
      </c>
      <c r="M42" s="255" t="s">
        <v>17</v>
      </c>
      <c r="N42" s="204"/>
      <c r="O42" s="197"/>
    </row>
    <row r="43" spans="1:15" s="161" customFormat="1" ht="12.75" customHeight="1" x14ac:dyDescent="0.25">
      <c r="A43" s="204"/>
      <c r="B43" s="255"/>
      <c r="C43" s="255" t="s">
        <v>397</v>
      </c>
      <c r="D43" s="255"/>
      <c r="E43" s="255"/>
      <c r="F43" s="255"/>
      <c r="G43" s="255"/>
      <c r="H43" s="255"/>
      <c r="I43" s="256">
        <v>434.71036960621046</v>
      </c>
      <c r="J43" s="256">
        <v>71.006809625453371</v>
      </c>
      <c r="K43" s="257">
        <v>2.3791034125345299E-4</v>
      </c>
      <c r="L43" s="258">
        <v>9.9999999999999995E-21</v>
      </c>
      <c r="M43" s="255" t="s">
        <v>17</v>
      </c>
      <c r="N43" s="204"/>
      <c r="O43" s="197"/>
    </row>
    <row r="44" spans="1:15" s="161" customFormat="1" ht="12.75" customHeight="1" x14ac:dyDescent="0.25">
      <c r="A44" s="204"/>
      <c r="B44" s="255"/>
      <c r="C44" s="255" t="s">
        <v>398</v>
      </c>
      <c r="D44" s="255"/>
      <c r="E44" s="255"/>
      <c r="F44" s="255"/>
      <c r="G44" s="255"/>
      <c r="H44" s="255"/>
      <c r="I44" s="256">
        <v>558.59880205725585</v>
      </c>
      <c r="J44" s="257">
        <v>107.91017347239494</v>
      </c>
      <c r="K44" s="257">
        <v>2.3791034125345299E-4</v>
      </c>
      <c r="L44" s="258">
        <v>9.9999999999999995E-21</v>
      </c>
      <c r="M44" s="255" t="s">
        <v>17</v>
      </c>
      <c r="N44" s="204"/>
      <c r="O44" s="197"/>
    </row>
    <row r="45" spans="1:15" s="161" customFormat="1" ht="12.75" customHeight="1" x14ac:dyDescent="0.25">
      <c r="A45" s="204"/>
      <c r="B45" s="255"/>
      <c r="C45" s="255" t="s">
        <v>399</v>
      </c>
      <c r="D45" s="255"/>
      <c r="E45" s="255"/>
      <c r="F45" s="255"/>
      <c r="G45" s="255"/>
      <c r="H45" s="255"/>
      <c r="I45" s="256">
        <v>1000</v>
      </c>
      <c r="J45" s="256">
        <v>1000</v>
      </c>
      <c r="K45" s="256">
        <v>9.9999999999999995E-21</v>
      </c>
      <c r="L45" s="259">
        <v>9.9999999999999995E-21</v>
      </c>
      <c r="M45" s="255" t="s">
        <v>17</v>
      </c>
      <c r="N45" s="204"/>
      <c r="O45" s="197"/>
    </row>
    <row r="46" spans="1:15" s="161" customFormat="1" ht="12.75" customHeight="1" x14ac:dyDescent="0.25">
      <c r="A46" s="204"/>
      <c r="B46" s="255"/>
      <c r="C46" s="255" t="s">
        <v>400</v>
      </c>
      <c r="D46" s="255"/>
      <c r="E46" s="255"/>
      <c r="F46" s="255"/>
      <c r="G46" s="255"/>
      <c r="H46" s="255"/>
      <c r="I46" s="256">
        <v>246.98498112902919</v>
      </c>
      <c r="J46" s="256">
        <v>246.98498112902919</v>
      </c>
      <c r="K46" s="257">
        <v>2.3791034125345299E-4</v>
      </c>
      <c r="L46" s="258">
        <v>2.3791034125345299E-4</v>
      </c>
      <c r="M46" s="255" t="s">
        <v>17</v>
      </c>
      <c r="N46" s="204"/>
      <c r="O46" s="197"/>
    </row>
    <row r="47" spans="1:15" s="161" customFormat="1" ht="12.75" customHeight="1" x14ac:dyDescent="0.25">
      <c r="A47" s="204"/>
      <c r="B47" s="255"/>
      <c r="C47" s="255" t="s">
        <v>401</v>
      </c>
      <c r="D47" s="255"/>
      <c r="E47" s="255"/>
      <c r="F47" s="255"/>
      <c r="G47" s="255"/>
      <c r="H47" s="255"/>
      <c r="I47" s="256">
        <v>310.13207270472458</v>
      </c>
      <c r="J47" s="256">
        <v>310.13207270472458</v>
      </c>
      <c r="K47" s="257">
        <v>2.3791034125345299E-4</v>
      </c>
      <c r="L47" s="258">
        <v>2.3791034125345299E-4</v>
      </c>
      <c r="M47" s="255" t="s">
        <v>17</v>
      </c>
      <c r="N47" s="204"/>
      <c r="O47" s="197"/>
    </row>
    <row r="48" spans="1:15" s="161" customFormat="1" ht="12.75" customHeight="1" x14ac:dyDescent="0.25">
      <c r="A48" s="204"/>
      <c r="B48" s="255"/>
      <c r="C48" s="255" t="s">
        <v>402</v>
      </c>
      <c r="D48" s="255"/>
      <c r="E48" s="255"/>
      <c r="F48" s="255"/>
      <c r="G48" s="255"/>
      <c r="H48" s="255"/>
      <c r="I48" s="256">
        <v>481.63773173819004</v>
      </c>
      <c r="J48" s="256">
        <v>481.63773173819004</v>
      </c>
      <c r="K48" s="257">
        <v>2.3791034125345299E-4</v>
      </c>
      <c r="L48" s="258">
        <v>2.3791034125345299E-4</v>
      </c>
      <c r="M48" s="255" t="s">
        <v>17</v>
      </c>
      <c r="N48" s="204"/>
      <c r="O48" s="197"/>
    </row>
    <row r="49" spans="1:15" s="161" customFormat="1" ht="12.75" customHeight="1" x14ac:dyDescent="0.25">
      <c r="A49" s="204"/>
      <c r="B49" s="255"/>
      <c r="C49" s="255" t="s">
        <v>403</v>
      </c>
      <c r="D49" s="255"/>
      <c r="E49" s="255"/>
      <c r="F49" s="255"/>
      <c r="G49" s="255"/>
      <c r="H49" s="255"/>
      <c r="I49" s="256">
        <v>263.02989490802395</v>
      </c>
      <c r="J49" s="256">
        <v>263.02989490802395</v>
      </c>
      <c r="K49" s="257">
        <v>2.3791034125345299E-4</v>
      </c>
      <c r="L49" s="258">
        <v>2.3791034125345299E-4</v>
      </c>
      <c r="M49" s="255" t="s">
        <v>17</v>
      </c>
      <c r="N49" s="204"/>
      <c r="O49" s="197"/>
    </row>
    <row r="50" spans="1:15" s="161" customFormat="1" ht="12.75" customHeight="1" x14ac:dyDescent="0.25">
      <c r="A50" s="204"/>
      <c r="B50" s="255"/>
      <c r="C50" s="255" t="s">
        <v>404</v>
      </c>
      <c r="D50" s="255"/>
      <c r="E50" s="255"/>
      <c r="F50" s="255"/>
      <c r="G50" s="255"/>
      <c r="H50" s="255"/>
      <c r="I50" s="256">
        <v>67.575159992630546</v>
      </c>
      <c r="J50" s="256">
        <v>67.575159992630546</v>
      </c>
      <c r="K50" s="257">
        <v>2.3791034125345299E-4</v>
      </c>
      <c r="L50" s="258">
        <v>2.3791034125345299E-4</v>
      </c>
      <c r="M50" s="255" t="s">
        <v>17</v>
      </c>
      <c r="N50" s="204"/>
      <c r="O50" s="197"/>
    </row>
    <row r="51" spans="1:15" s="161" customFormat="1" ht="12.75" customHeight="1" x14ac:dyDescent="0.25">
      <c r="A51" s="204"/>
      <c r="B51" s="255"/>
      <c r="C51" s="255" t="s">
        <v>405</v>
      </c>
      <c r="D51" s="255"/>
      <c r="E51" s="255"/>
      <c r="F51" s="255"/>
      <c r="G51" s="255"/>
      <c r="H51" s="255"/>
      <c r="I51" s="256">
        <v>178.6139645478666</v>
      </c>
      <c r="J51" s="256">
        <v>178.6139645478666</v>
      </c>
      <c r="K51" s="257">
        <v>2.3791034125345299E-4</v>
      </c>
      <c r="L51" s="258">
        <v>2.3791034125345299E-4</v>
      </c>
      <c r="M51" s="255" t="s">
        <v>17</v>
      </c>
      <c r="N51" s="204"/>
      <c r="O51" s="197"/>
    </row>
    <row r="52" spans="1:15" s="161" customFormat="1" ht="12.75" customHeight="1" x14ac:dyDescent="0.25">
      <c r="A52" s="204"/>
      <c r="B52" s="255"/>
      <c r="C52" s="255" t="s">
        <v>406</v>
      </c>
      <c r="D52" s="255"/>
      <c r="E52" s="255"/>
      <c r="F52" s="255"/>
      <c r="G52" s="255"/>
      <c r="H52" s="255"/>
      <c r="I52" s="256">
        <v>40.122416566277835</v>
      </c>
      <c r="J52" s="256">
        <v>40.122416566277835</v>
      </c>
      <c r="K52" s="257">
        <v>2.3791034125345299E-4</v>
      </c>
      <c r="L52" s="258">
        <v>2.3791034125345299E-4</v>
      </c>
      <c r="M52" s="255" t="s">
        <v>17</v>
      </c>
      <c r="N52" s="204"/>
      <c r="O52" s="197"/>
    </row>
    <row r="53" spans="1:15" s="161" customFormat="1" ht="12.75" customHeight="1" x14ac:dyDescent="0.25">
      <c r="A53" s="204"/>
      <c r="B53" s="255"/>
      <c r="C53" s="255" t="s">
        <v>407</v>
      </c>
      <c r="D53" s="255"/>
      <c r="E53" s="255"/>
      <c r="F53" s="255"/>
      <c r="G53" s="255"/>
      <c r="H53" s="255"/>
      <c r="I53" s="256">
        <v>152.69744019046524</v>
      </c>
      <c r="J53" s="256">
        <v>152.69744019046524</v>
      </c>
      <c r="K53" s="257">
        <v>2.3791034125345299E-4</v>
      </c>
      <c r="L53" s="258">
        <v>2.3791034125345299E-4</v>
      </c>
      <c r="M53" s="255" t="s">
        <v>17</v>
      </c>
      <c r="N53" s="204"/>
      <c r="O53" s="197"/>
    </row>
    <row r="54" spans="1:15" s="161" customFormat="1" ht="12.75" customHeight="1" x14ac:dyDescent="0.25">
      <c r="A54" s="204"/>
      <c r="B54" s="255"/>
      <c r="C54" s="255" t="s">
        <v>408</v>
      </c>
      <c r="D54" s="255"/>
      <c r="E54" s="255"/>
      <c r="F54" s="255"/>
      <c r="G54" s="255"/>
      <c r="H54" s="255"/>
      <c r="I54" s="256">
        <v>402.37710130994384</v>
      </c>
      <c r="J54" s="256">
        <v>402.37710130994384</v>
      </c>
      <c r="K54" s="257">
        <v>2.3791034125345299E-4</v>
      </c>
      <c r="L54" s="258">
        <v>2.3791034125345299E-4</v>
      </c>
      <c r="M54" s="255" t="s">
        <v>17</v>
      </c>
      <c r="N54" s="204"/>
      <c r="O54" s="197"/>
    </row>
    <row r="55" spans="1:15" s="161" customFormat="1" ht="12.75" customHeight="1" x14ac:dyDescent="0.25">
      <c r="A55" s="204"/>
      <c r="B55" s="255"/>
      <c r="C55" s="255" t="s">
        <v>409</v>
      </c>
      <c r="D55" s="255"/>
      <c r="E55" s="255"/>
      <c r="F55" s="255"/>
      <c r="G55" s="255"/>
      <c r="H55" s="255"/>
      <c r="I55" s="256">
        <v>153.80805717256129</v>
      </c>
      <c r="J55" s="256">
        <v>153.80805717256129</v>
      </c>
      <c r="K55" s="257">
        <v>2.3791034125345299E-4</v>
      </c>
      <c r="L55" s="258">
        <v>2.3791034125345299E-4</v>
      </c>
      <c r="M55" s="255" t="s">
        <v>17</v>
      </c>
      <c r="N55" s="204"/>
      <c r="O55" s="197"/>
    </row>
    <row r="56" spans="1:15" s="161" customFormat="1" ht="12.75" customHeight="1" x14ac:dyDescent="0.25">
      <c r="A56" s="204"/>
      <c r="B56" s="255"/>
      <c r="C56" s="255" t="s">
        <v>410</v>
      </c>
      <c r="D56" s="255"/>
      <c r="E56" s="255"/>
      <c r="F56" s="255"/>
      <c r="G56" s="255"/>
      <c r="H56" s="255"/>
      <c r="I56" s="256">
        <v>989.50710293151724</v>
      </c>
      <c r="J56" s="256">
        <v>989.50710293151724</v>
      </c>
      <c r="K56" s="257">
        <v>2.3791034125345299E-4</v>
      </c>
      <c r="L56" s="258">
        <v>2.3791034125345299E-4</v>
      </c>
      <c r="M56" s="255" t="s">
        <v>17</v>
      </c>
      <c r="N56" s="204"/>
      <c r="O56" s="197"/>
    </row>
    <row r="57" spans="1:15" s="161" customFormat="1" ht="12.75" customHeight="1" x14ac:dyDescent="0.25">
      <c r="A57" s="204"/>
      <c r="B57" s="255"/>
      <c r="C57" s="255" t="s">
        <v>411</v>
      </c>
      <c r="D57" s="255"/>
      <c r="E57" s="255"/>
      <c r="F57" s="255"/>
      <c r="G57" s="255"/>
      <c r="H57" s="255"/>
      <c r="I57" s="256">
        <v>273.3334965022313</v>
      </c>
      <c r="J57" s="256">
        <v>273.3334965022313</v>
      </c>
      <c r="K57" s="257">
        <v>2.3791034125345299E-4</v>
      </c>
      <c r="L57" s="258">
        <v>2.3791034125345299E-4</v>
      </c>
      <c r="M57" s="255" t="s">
        <v>17</v>
      </c>
      <c r="N57" s="204"/>
      <c r="O57" s="197"/>
    </row>
    <row r="58" spans="1:15" s="161" customFormat="1" ht="12.75" customHeight="1" x14ac:dyDescent="0.25">
      <c r="A58" s="204"/>
      <c r="B58" s="255"/>
      <c r="C58" s="255" t="s">
        <v>412</v>
      </c>
      <c r="D58" s="255"/>
      <c r="E58" s="255"/>
      <c r="F58" s="255"/>
      <c r="G58" s="255"/>
      <c r="H58" s="255"/>
      <c r="I58" s="256">
        <v>536.20190556638386</v>
      </c>
      <c r="J58" s="256">
        <v>536.20190556638386</v>
      </c>
      <c r="K58" s="257">
        <v>2.3791034125345299E-4</v>
      </c>
      <c r="L58" s="258">
        <v>2.3791034125345299E-4</v>
      </c>
      <c r="M58" s="255" t="s">
        <v>17</v>
      </c>
      <c r="N58" s="204"/>
      <c r="O58" s="197"/>
    </row>
    <row r="59" spans="1:15" s="161" customFormat="1" ht="12.75" customHeight="1" x14ac:dyDescent="0.25">
      <c r="A59" s="204"/>
      <c r="B59" s="255"/>
      <c r="C59" s="255" t="s">
        <v>413</v>
      </c>
      <c r="D59" s="255"/>
      <c r="E59" s="255"/>
      <c r="F59" s="255"/>
      <c r="G59" s="255"/>
      <c r="H59" s="255"/>
      <c r="I59" s="256">
        <v>104.26685787914256</v>
      </c>
      <c r="J59" s="256">
        <v>104.26685787914256</v>
      </c>
      <c r="K59" s="257">
        <v>2.3791034125345299E-4</v>
      </c>
      <c r="L59" s="258">
        <v>2.3791034125345299E-4</v>
      </c>
      <c r="M59" s="255" t="s">
        <v>17</v>
      </c>
      <c r="N59" s="204"/>
      <c r="O59" s="197"/>
    </row>
    <row r="60" spans="1:15" s="161" customFormat="1" ht="12.75" customHeight="1" x14ac:dyDescent="0.25">
      <c r="A60" s="204"/>
      <c r="B60" s="255"/>
      <c r="C60" s="255" t="s">
        <v>414</v>
      </c>
      <c r="D60" s="255"/>
      <c r="E60" s="255"/>
      <c r="F60" s="255"/>
      <c r="G60" s="255"/>
      <c r="H60" s="255"/>
      <c r="I60" s="256">
        <v>493.17887735010066</v>
      </c>
      <c r="J60" s="256">
        <v>493.17887735010066</v>
      </c>
      <c r="K60" s="257">
        <v>2.3791034125345299E-4</v>
      </c>
      <c r="L60" s="258">
        <v>2.3791034125345299E-4</v>
      </c>
      <c r="M60" s="255" t="s">
        <v>17</v>
      </c>
      <c r="N60" s="204"/>
      <c r="O60" s="197"/>
    </row>
    <row r="61" spans="1:15" s="161" customFormat="1" ht="12.75" customHeight="1" x14ac:dyDescent="0.25">
      <c r="A61" s="204"/>
      <c r="B61" s="255"/>
      <c r="C61" s="255" t="s">
        <v>415</v>
      </c>
      <c r="D61" s="255"/>
      <c r="E61" s="255"/>
      <c r="F61" s="255"/>
      <c r="G61" s="255"/>
      <c r="H61" s="255"/>
      <c r="I61" s="256">
        <v>273.3334965022313</v>
      </c>
      <c r="J61" s="256">
        <v>273.3334965022313</v>
      </c>
      <c r="K61" s="257">
        <v>2.3791034125345299E-4</v>
      </c>
      <c r="L61" s="258">
        <v>2.3791034125345299E-4</v>
      </c>
      <c r="M61" s="255" t="s">
        <v>17</v>
      </c>
      <c r="N61" s="204"/>
      <c r="O61" s="197"/>
    </row>
    <row r="62" spans="1:15" s="161" customFormat="1" ht="12.75" customHeight="1" x14ac:dyDescent="0.25">
      <c r="A62" s="204"/>
      <c r="B62" s="255"/>
      <c r="C62" s="255" t="s">
        <v>416</v>
      </c>
      <c r="D62" s="255"/>
      <c r="E62" s="255"/>
      <c r="F62" s="255"/>
      <c r="G62" s="255"/>
      <c r="H62" s="255"/>
      <c r="I62" s="256">
        <v>360.30324538930489</v>
      </c>
      <c r="J62" s="256">
        <v>360.30324538930489</v>
      </c>
      <c r="K62" s="257">
        <v>2.3791034125345299E-4</v>
      </c>
      <c r="L62" s="258">
        <v>2.3791034125345299E-4</v>
      </c>
      <c r="M62" s="255" t="s">
        <v>17</v>
      </c>
      <c r="N62" s="204"/>
      <c r="O62" s="197"/>
    </row>
    <row r="63" spans="1:15" s="161" customFormat="1" ht="12.75" customHeight="1" x14ac:dyDescent="0.25">
      <c r="A63" s="204"/>
      <c r="B63" s="255"/>
      <c r="C63" s="255" t="s">
        <v>417</v>
      </c>
      <c r="D63" s="255"/>
      <c r="E63" s="255"/>
      <c r="F63" s="255"/>
      <c r="G63" s="255"/>
      <c r="H63" s="255"/>
      <c r="I63" s="256">
        <v>223.33761065794857</v>
      </c>
      <c r="J63" s="256">
        <v>223.33761065794857</v>
      </c>
      <c r="K63" s="257">
        <v>2.3791034125345299E-4</v>
      </c>
      <c r="L63" s="258">
        <v>2.3791034125345299E-4</v>
      </c>
      <c r="M63" s="255" t="s">
        <v>17</v>
      </c>
      <c r="N63" s="204"/>
      <c r="O63" s="197"/>
    </row>
    <row r="64" spans="1:15" s="161" customFormat="1" ht="12.75" customHeight="1" x14ac:dyDescent="0.25">
      <c r="A64" s="204"/>
      <c r="B64" s="254"/>
      <c r="C64" s="254" t="s">
        <v>418</v>
      </c>
      <c r="D64" s="254"/>
      <c r="E64" s="254"/>
      <c r="F64" s="254"/>
      <c r="G64" s="254"/>
      <c r="H64" s="254"/>
      <c r="I64" s="260">
        <v>549.58278854765979</v>
      </c>
      <c r="J64" s="260">
        <v>549.58278854765979</v>
      </c>
      <c r="K64" s="261">
        <v>2.3791034125345299E-4</v>
      </c>
      <c r="L64" s="262">
        <v>2.3791034125345299E-4</v>
      </c>
      <c r="M64" s="254" t="s">
        <v>17</v>
      </c>
      <c r="N64" s="204"/>
      <c r="O64" s="197"/>
    </row>
    <row r="65" spans="1:15" s="161" customFormat="1" ht="12.75" customHeight="1" x14ac:dyDescent="0.25">
      <c r="A65" s="204"/>
      <c r="B65" s="216"/>
      <c r="C65" s="204"/>
      <c r="D65" s="204"/>
      <c r="E65" s="204"/>
      <c r="F65" s="204"/>
      <c r="G65" s="216"/>
      <c r="H65" s="205"/>
      <c r="I65" s="231"/>
      <c r="J65" s="207"/>
      <c r="K65" s="207"/>
      <c r="L65" s="208"/>
      <c r="M65" s="204"/>
      <c r="N65" s="204"/>
      <c r="O65" s="197"/>
    </row>
    <row r="66" spans="1:15" s="161" customFormat="1" ht="12.75" customHeight="1" x14ac:dyDescent="0.25">
      <c r="A66" s="204"/>
      <c r="B66" s="216" t="s">
        <v>592</v>
      </c>
      <c r="C66" s="204"/>
      <c r="D66" s="239"/>
      <c r="E66" s="204"/>
      <c r="F66" s="204"/>
      <c r="G66" s="238" t="s">
        <v>420</v>
      </c>
      <c r="H66" s="205" t="s">
        <v>593</v>
      </c>
      <c r="I66" s="200">
        <v>1.4944444444444444E-6</v>
      </c>
      <c r="J66" s="235">
        <v>7.9500000000000001E-7</v>
      </c>
      <c r="K66" s="236">
        <v>3.5063474584268925E-6</v>
      </c>
      <c r="L66" s="241">
        <v>1.4944444444444444E-6</v>
      </c>
      <c r="M66" s="216" t="s">
        <v>422</v>
      </c>
      <c r="N66" s="204"/>
      <c r="O66" s="197"/>
    </row>
    <row r="67" spans="1:15" s="161" customFormat="1" ht="12.75" customHeight="1" x14ac:dyDescent="0.25">
      <c r="A67" s="216"/>
      <c r="B67" s="204"/>
      <c r="C67" s="216" t="s">
        <v>423</v>
      </c>
      <c r="D67" s="204"/>
      <c r="E67" s="204"/>
      <c r="F67" s="204"/>
      <c r="G67" s="229" t="s">
        <v>424</v>
      </c>
      <c r="H67" s="216" t="s">
        <v>594</v>
      </c>
      <c r="I67" s="200"/>
      <c r="J67" s="235" t="s">
        <v>581</v>
      </c>
      <c r="K67" s="236">
        <v>500000</v>
      </c>
      <c r="L67" s="227">
        <v>500000</v>
      </c>
      <c r="M67" s="216" t="s">
        <v>426</v>
      </c>
      <c r="N67" s="204"/>
      <c r="O67" s="197"/>
    </row>
    <row r="68" spans="1:15" s="161" customFormat="1" ht="12.75" customHeight="1" x14ac:dyDescent="0.25">
      <c r="A68" s="216"/>
      <c r="B68" s="204"/>
      <c r="C68" s="216" t="s">
        <v>427</v>
      </c>
      <c r="D68" s="204"/>
      <c r="E68" s="204"/>
      <c r="F68" s="204"/>
      <c r="G68" s="229" t="s">
        <v>428</v>
      </c>
      <c r="H68" s="216" t="s">
        <v>595</v>
      </c>
      <c r="I68" s="200"/>
      <c r="J68" s="235" t="s">
        <v>581</v>
      </c>
      <c r="K68" s="236">
        <v>7.8999999999999999E-11</v>
      </c>
      <c r="L68" s="227">
        <v>7.8999999999999999E-11</v>
      </c>
      <c r="M68" s="216" t="s">
        <v>430</v>
      </c>
      <c r="N68" s="204"/>
      <c r="O68" s="197"/>
    </row>
    <row r="69" spans="1:15" s="161" customFormat="1" ht="12.75" customHeight="1" x14ac:dyDescent="0.25">
      <c r="A69" s="216"/>
      <c r="B69" s="204"/>
      <c r="C69" s="216" t="s">
        <v>431</v>
      </c>
      <c r="D69" s="204"/>
      <c r="E69" s="204"/>
      <c r="F69" s="204"/>
      <c r="G69" s="229" t="s">
        <v>432</v>
      </c>
      <c r="H69" s="216" t="s">
        <v>433</v>
      </c>
      <c r="I69" s="200"/>
      <c r="J69" s="235" t="s">
        <v>581</v>
      </c>
      <c r="K69" s="236">
        <v>6</v>
      </c>
      <c r="L69" s="227">
        <v>6000</v>
      </c>
      <c r="M69" s="216" t="s">
        <v>381</v>
      </c>
      <c r="N69" s="204"/>
      <c r="O69" s="197"/>
    </row>
    <row r="70" spans="1:15" s="161" customFormat="1" ht="12.75" customHeight="1" x14ac:dyDescent="0.25">
      <c r="A70" s="204"/>
      <c r="B70" s="216" t="s">
        <v>596</v>
      </c>
      <c r="C70" s="204"/>
      <c r="D70" s="239"/>
      <c r="E70" s="204"/>
      <c r="F70" s="204"/>
      <c r="G70" s="238" t="s">
        <v>435</v>
      </c>
      <c r="H70" s="205" t="s">
        <v>593</v>
      </c>
      <c r="I70" s="200">
        <v>1.6777777777777778E-7</v>
      </c>
      <c r="J70" s="235">
        <v>2.1400000000000001E-7</v>
      </c>
      <c r="K70" s="236">
        <v>1.316920183599007E-7</v>
      </c>
      <c r="L70" s="241">
        <v>1.6777777777777778E-7</v>
      </c>
      <c r="M70" s="216" t="s">
        <v>422</v>
      </c>
      <c r="N70" s="204"/>
      <c r="O70" s="197"/>
    </row>
    <row r="71" spans="1:15" s="161" customFormat="1" ht="12.75" customHeight="1" x14ac:dyDescent="0.25">
      <c r="A71" s="204"/>
      <c r="B71" s="204"/>
      <c r="C71" s="216" t="s">
        <v>436</v>
      </c>
      <c r="D71" s="204"/>
      <c r="E71" s="204"/>
      <c r="F71" s="204"/>
      <c r="G71" s="229" t="s">
        <v>437</v>
      </c>
      <c r="H71" s="205" t="s">
        <v>438</v>
      </c>
      <c r="I71" s="200"/>
      <c r="J71" s="235" t="s">
        <v>581</v>
      </c>
      <c r="K71" s="242" t="s">
        <v>439</v>
      </c>
      <c r="L71" s="227" t="s">
        <v>439</v>
      </c>
      <c r="M71" s="204"/>
      <c r="N71" s="204"/>
      <c r="O71" s="197"/>
    </row>
    <row r="72" spans="1:15" s="161" customFormat="1" ht="12.75" customHeight="1" x14ac:dyDescent="0.25">
      <c r="A72" s="204"/>
      <c r="B72" s="204"/>
      <c r="C72" s="216" t="s">
        <v>440</v>
      </c>
      <c r="D72" s="239"/>
      <c r="E72" s="204"/>
      <c r="F72" s="204"/>
      <c r="G72" s="205" t="s">
        <v>441</v>
      </c>
      <c r="H72" s="216" t="s">
        <v>597</v>
      </c>
      <c r="I72" s="200"/>
      <c r="J72" s="235" t="s">
        <v>581</v>
      </c>
      <c r="K72" s="236">
        <v>40000</v>
      </c>
      <c r="L72" s="227">
        <v>40000</v>
      </c>
      <c r="M72" s="216" t="s">
        <v>443</v>
      </c>
      <c r="N72" s="204"/>
      <c r="O72" s="197"/>
    </row>
    <row r="73" spans="1:15" s="161" customFormat="1" ht="12.75" customHeight="1" x14ac:dyDescent="0.25">
      <c r="A73" s="204"/>
      <c r="B73" s="204"/>
      <c r="C73" s="204" t="s">
        <v>598</v>
      </c>
      <c r="D73" s="204"/>
      <c r="E73" s="204"/>
      <c r="F73" s="204"/>
      <c r="G73" s="205" t="s">
        <v>445</v>
      </c>
      <c r="H73" s="205" t="s">
        <v>337</v>
      </c>
      <c r="I73" s="200"/>
      <c r="J73" s="235" t="s">
        <v>581</v>
      </c>
      <c r="K73" s="236">
        <v>2</v>
      </c>
      <c r="L73" s="227">
        <v>2</v>
      </c>
      <c r="M73" s="216" t="s">
        <v>17</v>
      </c>
      <c r="N73" s="204"/>
      <c r="O73" s="197"/>
    </row>
    <row r="74" spans="1:15" s="161" customFormat="1" ht="12.75" customHeight="1" x14ac:dyDescent="0.25">
      <c r="A74" s="204"/>
      <c r="B74" s="216" t="s">
        <v>599</v>
      </c>
      <c r="C74" s="239"/>
      <c r="D74" s="239"/>
      <c r="E74" s="204"/>
      <c r="F74" s="204"/>
      <c r="G74" s="238" t="s">
        <v>447</v>
      </c>
      <c r="H74" s="205" t="s">
        <v>593</v>
      </c>
      <c r="I74" s="200">
        <v>4.0000000000000003E-7</v>
      </c>
      <c r="J74" s="235">
        <v>2.3800000000000001E-8</v>
      </c>
      <c r="K74" s="236">
        <v>6.5846009179950364E-9</v>
      </c>
      <c r="L74" s="241">
        <v>4.0000000000000003E-7</v>
      </c>
      <c r="M74" s="216" t="s">
        <v>422</v>
      </c>
      <c r="N74" s="204"/>
      <c r="O74" s="197"/>
    </row>
    <row r="75" spans="1:15" s="161" customFormat="1" ht="12.75" customHeight="1" x14ac:dyDescent="0.25">
      <c r="A75" s="204"/>
      <c r="B75" s="216" t="s">
        <v>600</v>
      </c>
      <c r="C75" s="239"/>
      <c r="D75" s="239"/>
      <c r="E75" s="204"/>
      <c r="F75" s="204"/>
      <c r="G75" s="238" t="s">
        <v>449</v>
      </c>
      <c r="H75" s="205" t="s">
        <v>593</v>
      </c>
      <c r="I75" s="200">
        <v>1.4472222222222223E-6</v>
      </c>
      <c r="J75" s="235">
        <v>1.0700000000000001E-7</v>
      </c>
      <c r="K75" s="236">
        <v>6.5846009179950349E-8</v>
      </c>
      <c r="L75" s="241">
        <v>1.4472222222222223E-6</v>
      </c>
      <c r="M75" s="216" t="s">
        <v>422</v>
      </c>
      <c r="N75" s="204"/>
      <c r="O75" s="197"/>
    </row>
    <row r="76" spans="1:15" s="161" customFormat="1" ht="12.75" customHeight="1" x14ac:dyDescent="0.25">
      <c r="A76" s="204"/>
      <c r="B76" s="216"/>
      <c r="C76" s="204"/>
      <c r="D76" s="204"/>
      <c r="E76" s="204"/>
      <c r="F76" s="204"/>
      <c r="G76" s="216"/>
      <c r="H76" s="205"/>
      <c r="I76" s="231"/>
      <c r="J76" s="207"/>
      <c r="K76" s="207"/>
      <c r="L76" s="208"/>
      <c r="M76" s="204"/>
      <c r="N76" s="204"/>
      <c r="O76" s="197"/>
    </row>
    <row r="77" spans="1:15" customFormat="1" ht="12.75" customHeight="1" x14ac:dyDescent="0.25">
      <c r="A77" s="211" t="s">
        <v>450</v>
      </c>
      <c r="B77" s="211"/>
      <c r="C77" s="211"/>
      <c r="D77" s="211"/>
      <c r="E77" s="211"/>
      <c r="F77" s="211"/>
      <c r="G77" s="210" t="s">
        <v>311</v>
      </c>
      <c r="H77" s="212" t="s">
        <v>68</v>
      </c>
      <c r="I77" s="213" t="s">
        <v>312</v>
      </c>
      <c r="J77" s="213" t="s">
        <v>327</v>
      </c>
      <c r="K77" s="213" t="s">
        <v>313</v>
      </c>
      <c r="L77" s="215" t="s">
        <v>314</v>
      </c>
      <c r="M77" s="211"/>
      <c r="N77" s="212" t="s">
        <v>315</v>
      </c>
      <c r="O77" s="197"/>
    </row>
    <row r="78" spans="1:15" s="161" customFormat="1" ht="12.75" customHeight="1" x14ac:dyDescent="0.25">
      <c r="A78" s="204"/>
      <c r="B78" s="216"/>
      <c r="C78" s="204"/>
      <c r="D78" s="204"/>
      <c r="E78" s="204"/>
      <c r="F78" s="204"/>
      <c r="G78" s="216"/>
      <c r="H78" s="205"/>
      <c r="I78" s="231"/>
      <c r="J78" s="207"/>
      <c r="K78" s="207"/>
      <c r="L78" s="208"/>
      <c r="M78" s="204"/>
      <c r="N78" s="204"/>
      <c r="O78" s="197"/>
    </row>
    <row r="79" spans="1:15" s="161" customFormat="1" ht="12.75" customHeight="1" x14ac:dyDescent="0.25">
      <c r="A79" s="263" t="s">
        <v>451</v>
      </c>
      <c r="B79" s="204"/>
      <c r="C79" s="204"/>
      <c r="D79" s="204"/>
      <c r="E79" s="204"/>
      <c r="F79" s="204"/>
      <c r="G79" s="205"/>
      <c r="H79" s="205"/>
      <c r="I79" s="231"/>
      <c r="J79" s="207"/>
      <c r="K79" s="207"/>
      <c r="L79" s="208"/>
      <c r="M79" s="204"/>
      <c r="N79" s="204"/>
      <c r="O79" s="197"/>
    </row>
    <row r="80" spans="1:15" s="161" customFormat="1" ht="12.75" customHeight="1" x14ac:dyDescent="0.25">
      <c r="A80" s="216"/>
      <c r="B80" s="216" t="s">
        <v>452</v>
      </c>
      <c r="C80" s="204"/>
      <c r="D80" s="204"/>
      <c r="E80" s="204"/>
      <c r="F80" s="204"/>
      <c r="G80" s="229" t="s">
        <v>453</v>
      </c>
      <c r="H80" s="216" t="s">
        <v>601</v>
      </c>
      <c r="I80" s="200">
        <v>7.7452415999999991</v>
      </c>
      <c r="J80" s="264">
        <v>10000</v>
      </c>
      <c r="K80" s="207">
        <v>10000</v>
      </c>
      <c r="L80" s="227">
        <v>1.1111111111111111E-3</v>
      </c>
      <c r="M80" s="216" t="s">
        <v>455</v>
      </c>
      <c r="N80" s="204"/>
      <c r="O80" s="197"/>
    </row>
    <row r="81" spans="1:15" s="161" customFormat="1" ht="12.75" customHeight="1" x14ac:dyDescent="0.25">
      <c r="A81" s="216"/>
      <c r="B81" s="216" t="s">
        <v>456</v>
      </c>
      <c r="C81" s="204"/>
      <c r="D81" s="204"/>
      <c r="E81" s="204"/>
      <c r="F81" s="204"/>
      <c r="G81" s="229" t="s">
        <v>457</v>
      </c>
      <c r="H81" s="216" t="s">
        <v>601</v>
      </c>
      <c r="I81" s="200"/>
      <c r="J81" s="264">
        <v>0</v>
      </c>
      <c r="K81" s="207">
        <v>0</v>
      </c>
      <c r="L81" s="227">
        <v>0</v>
      </c>
      <c r="M81" s="216" t="s">
        <v>455</v>
      </c>
      <c r="N81" s="204"/>
      <c r="O81" s="197"/>
    </row>
    <row r="82" spans="1:15" s="161" customFormat="1" ht="12.75" customHeight="1" x14ac:dyDescent="0.25">
      <c r="A82" s="216"/>
      <c r="B82" s="216" t="s">
        <v>602</v>
      </c>
      <c r="C82" s="204"/>
      <c r="D82" s="204"/>
      <c r="E82" s="204"/>
      <c r="F82" s="204"/>
      <c r="G82" s="229" t="s">
        <v>460</v>
      </c>
      <c r="H82" s="216" t="s">
        <v>601</v>
      </c>
      <c r="I82" s="200">
        <v>0</v>
      </c>
      <c r="J82" s="264">
        <v>10000</v>
      </c>
      <c r="K82" s="207">
        <v>10000</v>
      </c>
      <c r="L82" s="227">
        <v>0</v>
      </c>
      <c r="M82" s="216" t="s">
        <v>455</v>
      </c>
      <c r="N82" s="204"/>
      <c r="O82" s="197"/>
    </row>
    <row r="83" spans="1:15" s="161" customFormat="1" ht="12.75" customHeight="1" x14ac:dyDescent="0.25">
      <c r="A83" s="216"/>
      <c r="B83" s="216" t="s">
        <v>603</v>
      </c>
      <c r="C83" s="204"/>
      <c r="D83" s="204"/>
      <c r="E83" s="204"/>
      <c r="F83" s="204"/>
      <c r="G83" s="229" t="s">
        <v>462</v>
      </c>
      <c r="H83" s="216" t="s">
        <v>601</v>
      </c>
      <c r="I83" s="200"/>
      <c r="J83" s="264">
        <v>0</v>
      </c>
      <c r="K83" s="207">
        <v>0</v>
      </c>
      <c r="L83" s="227">
        <v>0</v>
      </c>
      <c r="M83" s="216" t="s">
        <v>455</v>
      </c>
      <c r="N83" s="204"/>
      <c r="O83" s="197"/>
    </row>
    <row r="84" spans="1:15" s="161" customFormat="1" ht="12.75" customHeight="1" x14ac:dyDescent="0.25">
      <c r="A84" s="216"/>
      <c r="B84" s="216" t="s">
        <v>463</v>
      </c>
      <c r="C84" s="204"/>
      <c r="D84" s="204"/>
      <c r="E84" s="204"/>
      <c r="F84" s="204"/>
      <c r="G84" s="229" t="s">
        <v>464</v>
      </c>
      <c r="H84" s="216" t="s">
        <v>601</v>
      </c>
      <c r="I84" s="200"/>
      <c r="J84" s="264">
        <v>0</v>
      </c>
      <c r="K84" s="207">
        <v>0</v>
      </c>
      <c r="L84" s="227">
        <v>0</v>
      </c>
      <c r="M84" s="216" t="s">
        <v>455</v>
      </c>
      <c r="N84" s="204"/>
      <c r="O84" s="197"/>
    </row>
    <row r="85" spans="1:15" s="161" customFormat="1" ht="12.75" customHeight="1" x14ac:dyDescent="0.25">
      <c r="A85" s="216"/>
      <c r="B85" s="216" t="s">
        <v>465</v>
      </c>
      <c r="C85" s="204"/>
      <c r="D85" s="204"/>
      <c r="E85" s="204"/>
      <c r="F85" s="204"/>
      <c r="G85" s="229" t="s">
        <v>466</v>
      </c>
      <c r="H85" s="216" t="s">
        <v>601</v>
      </c>
      <c r="I85" s="200">
        <v>185.8857984</v>
      </c>
      <c r="J85" s="264">
        <v>10000</v>
      </c>
      <c r="K85" s="207">
        <v>10000</v>
      </c>
      <c r="L85" s="227">
        <v>2.6666666666666668E-2</v>
      </c>
      <c r="M85" s="216" t="s">
        <v>455</v>
      </c>
      <c r="N85" s="204"/>
      <c r="O85" s="197"/>
    </row>
    <row r="86" spans="1:15" s="161" customFormat="1" ht="12.75" customHeight="1" x14ac:dyDescent="0.25">
      <c r="A86" s="216"/>
      <c r="B86" s="216" t="s">
        <v>467</v>
      </c>
      <c r="C86" s="204"/>
      <c r="D86" s="204"/>
      <c r="E86" s="204"/>
      <c r="F86" s="204"/>
      <c r="G86" s="229" t="s">
        <v>468</v>
      </c>
      <c r="H86" s="216" t="s">
        <v>601</v>
      </c>
      <c r="I86" s="200"/>
      <c r="J86" s="264">
        <v>0</v>
      </c>
      <c r="K86" s="207">
        <v>0</v>
      </c>
      <c r="L86" s="227">
        <v>0</v>
      </c>
      <c r="M86" s="216" t="s">
        <v>455</v>
      </c>
      <c r="N86" s="204"/>
      <c r="O86" s="197"/>
    </row>
    <row r="87" spans="1:15" s="161" customFormat="1" ht="12.75" customHeight="1" x14ac:dyDescent="0.25">
      <c r="A87" s="263" t="s">
        <v>469</v>
      </c>
      <c r="B87" s="204"/>
      <c r="C87" s="204"/>
      <c r="D87" s="204"/>
      <c r="E87" s="204"/>
      <c r="F87" s="204"/>
      <c r="G87" s="265"/>
      <c r="H87" s="205"/>
      <c r="I87" s="231"/>
      <c r="J87" s="264"/>
      <c r="K87" s="207"/>
      <c r="L87" s="208"/>
      <c r="M87" s="204"/>
      <c r="N87" s="204"/>
      <c r="O87" s="197"/>
    </row>
    <row r="88" spans="1:15" s="161" customFormat="1" ht="12.75" customHeight="1" x14ac:dyDescent="0.25">
      <c r="A88" s="216"/>
      <c r="B88" s="216" t="s">
        <v>452</v>
      </c>
      <c r="C88" s="204"/>
      <c r="D88" s="204"/>
      <c r="E88" s="204"/>
      <c r="F88" s="204"/>
      <c r="G88" s="229" t="s">
        <v>470</v>
      </c>
      <c r="H88" s="216" t="s">
        <v>601</v>
      </c>
      <c r="I88" s="200"/>
      <c r="J88" s="264">
        <v>0</v>
      </c>
      <c r="K88" s="207">
        <v>0</v>
      </c>
      <c r="L88" s="227">
        <v>0</v>
      </c>
      <c r="M88" s="216" t="s">
        <v>455</v>
      </c>
      <c r="N88" s="204"/>
      <c r="O88" s="197"/>
    </row>
    <row r="89" spans="1:15" s="161" customFormat="1" ht="12.75" customHeight="1" x14ac:dyDescent="0.25">
      <c r="A89" s="216"/>
      <c r="B89" s="216" t="s">
        <v>456</v>
      </c>
      <c r="C89" s="204"/>
      <c r="D89" s="204"/>
      <c r="E89" s="204"/>
      <c r="F89" s="204"/>
      <c r="G89" s="229" t="s">
        <v>471</v>
      </c>
      <c r="H89" s="216" t="s">
        <v>601</v>
      </c>
      <c r="I89" s="200"/>
      <c r="J89" s="264">
        <v>0</v>
      </c>
      <c r="K89" s="207">
        <v>0</v>
      </c>
      <c r="L89" s="227">
        <v>0</v>
      </c>
      <c r="M89" s="216" t="s">
        <v>455</v>
      </c>
      <c r="N89" s="204"/>
      <c r="O89" s="197"/>
    </row>
    <row r="90" spans="1:15" s="161" customFormat="1" ht="12.75" customHeight="1" x14ac:dyDescent="0.25">
      <c r="A90" s="216"/>
      <c r="B90" s="216" t="s">
        <v>602</v>
      </c>
      <c r="C90" s="204"/>
      <c r="D90" s="204"/>
      <c r="E90" s="204"/>
      <c r="F90" s="204"/>
      <c r="G90" s="229" t="s">
        <v>472</v>
      </c>
      <c r="H90" s="216" t="s">
        <v>601</v>
      </c>
      <c r="I90" s="200"/>
      <c r="J90" s="264">
        <v>0</v>
      </c>
      <c r="K90" s="207">
        <v>0</v>
      </c>
      <c r="L90" s="227">
        <v>0</v>
      </c>
      <c r="M90" s="216" t="s">
        <v>455</v>
      </c>
      <c r="N90" s="204"/>
      <c r="O90" s="197"/>
    </row>
    <row r="91" spans="1:15" s="161" customFormat="1" ht="12.75" customHeight="1" x14ac:dyDescent="0.25">
      <c r="A91" s="216"/>
      <c r="B91" s="216" t="s">
        <v>603</v>
      </c>
      <c r="C91" s="204"/>
      <c r="D91" s="204"/>
      <c r="E91" s="204"/>
      <c r="F91" s="204"/>
      <c r="G91" s="229" t="s">
        <v>473</v>
      </c>
      <c r="H91" s="216" t="s">
        <v>601</v>
      </c>
      <c r="I91" s="200"/>
      <c r="J91" s="264">
        <v>0</v>
      </c>
      <c r="K91" s="207">
        <v>0</v>
      </c>
      <c r="L91" s="227">
        <v>0</v>
      </c>
      <c r="M91" s="216" t="s">
        <v>455</v>
      </c>
      <c r="N91" s="204"/>
      <c r="O91" s="197"/>
    </row>
    <row r="92" spans="1:15" s="161" customFormat="1" ht="12.75" customHeight="1" x14ac:dyDescent="0.25">
      <c r="A92" s="216"/>
      <c r="B92" s="216" t="s">
        <v>463</v>
      </c>
      <c r="C92" s="204"/>
      <c r="D92" s="204"/>
      <c r="E92" s="204"/>
      <c r="F92" s="204"/>
      <c r="G92" s="229" t="s">
        <v>474</v>
      </c>
      <c r="H92" s="216" t="s">
        <v>601</v>
      </c>
      <c r="I92" s="200"/>
      <c r="J92" s="264">
        <v>0</v>
      </c>
      <c r="K92" s="207">
        <v>0</v>
      </c>
      <c r="L92" s="227">
        <v>0</v>
      </c>
      <c r="M92" s="216" t="s">
        <v>455</v>
      </c>
      <c r="N92" s="204"/>
      <c r="O92" s="197"/>
    </row>
    <row r="93" spans="1:15" s="161" customFormat="1" ht="12.75" customHeight="1" x14ac:dyDescent="0.25">
      <c r="A93" s="216"/>
      <c r="B93" s="216" t="s">
        <v>465</v>
      </c>
      <c r="C93" s="204"/>
      <c r="D93" s="204"/>
      <c r="E93" s="204"/>
      <c r="F93" s="204"/>
      <c r="G93" s="229" t="s">
        <v>475</v>
      </c>
      <c r="H93" s="216" t="s">
        <v>601</v>
      </c>
      <c r="I93" s="200"/>
      <c r="J93" s="264">
        <v>0</v>
      </c>
      <c r="K93" s="207">
        <v>0</v>
      </c>
      <c r="L93" s="227">
        <v>0</v>
      </c>
      <c r="M93" s="216" t="s">
        <v>455</v>
      </c>
      <c r="N93" s="204"/>
      <c r="O93" s="197"/>
    </row>
    <row r="94" spans="1:15" s="161" customFormat="1" ht="12.75" customHeight="1" x14ac:dyDescent="0.25">
      <c r="A94" s="216"/>
      <c r="B94" s="216" t="s">
        <v>467</v>
      </c>
      <c r="C94" s="204"/>
      <c r="D94" s="204"/>
      <c r="E94" s="204"/>
      <c r="F94" s="204"/>
      <c r="G94" s="229" t="s">
        <v>476</v>
      </c>
      <c r="H94" s="216" t="s">
        <v>601</v>
      </c>
      <c r="I94" s="200"/>
      <c r="J94" s="264">
        <v>0</v>
      </c>
      <c r="K94" s="207">
        <v>0</v>
      </c>
      <c r="L94" s="227">
        <v>0</v>
      </c>
      <c r="M94" s="216" t="s">
        <v>455</v>
      </c>
      <c r="N94" s="204"/>
      <c r="O94" s="197"/>
    </row>
    <row r="95" spans="1:15" s="161" customFormat="1" ht="12.75" customHeight="1" x14ac:dyDescent="0.25">
      <c r="A95" s="263" t="s">
        <v>477</v>
      </c>
      <c r="B95" s="204"/>
      <c r="C95" s="204"/>
      <c r="D95" s="204"/>
      <c r="E95" s="204"/>
      <c r="F95" s="204"/>
      <c r="G95" s="265"/>
      <c r="H95" s="205"/>
      <c r="I95" s="231"/>
      <c r="J95" s="264" t="s">
        <v>581</v>
      </c>
      <c r="K95" s="207"/>
      <c r="L95" s="208"/>
      <c r="M95" s="204"/>
      <c r="N95" s="204"/>
      <c r="O95" s="197"/>
    </row>
    <row r="96" spans="1:15" s="161" customFormat="1" ht="12.75" customHeight="1" x14ac:dyDescent="0.25">
      <c r="A96" s="216"/>
      <c r="B96" s="216" t="s">
        <v>452</v>
      </c>
      <c r="C96" s="204"/>
      <c r="D96" s="204"/>
      <c r="E96" s="204"/>
      <c r="F96" s="204"/>
      <c r="G96" s="229" t="s">
        <v>478</v>
      </c>
      <c r="H96" s="216" t="s">
        <v>601</v>
      </c>
      <c r="I96" s="200"/>
      <c r="J96" s="264">
        <v>0</v>
      </c>
      <c r="K96" s="207">
        <v>0</v>
      </c>
      <c r="L96" s="227">
        <v>0</v>
      </c>
      <c r="M96" s="216" t="s">
        <v>455</v>
      </c>
      <c r="N96" s="204"/>
      <c r="O96" s="197"/>
    </row>
    <row r="97" spans="1:15" s="161" customFormat="1" ht="12.75" customHeight="1" x14ac:dyDescent="0.25">
      <c r="A97" s="216"/>
      <c r="B97" s="216" t="s">
        <v>479</v>
      </c>
      <c r="C97" s="204"/>
      <c r="D97" s="204"/>
      <c r="E97" s="204"/>
      <c r="F97" s="204"/>
      <c r="G97" s="229" t="s">
        <v>480</v>
      </c>
      <c r="H97" s="216" t="s">
        <v>601</v>
      </c>
      <c r="I97" s="200"/>
      <c r="J97" s="264">
        <v>0</v>
      </c>
      <c r="K97" s="207">
        <v>0</v>
      </c>
      <c r="L97" s="227">
        <v>0</v>
      </c>
      <c r="M97" s="216" t="s">
        <v>455</v>
      </c>
      <c r="N97" s="204"/>
      <c r="O97" s="197"/>
    </row>
    <row r="98" spans="1:15" s="161" customFormat="1" ht="12.75" customHeight="1" x14ac:dyDescent="0.25">
      <c r="A98" s="216"/>
      <c r="B98" s="216" t="s">
        <v>481</v>
      </c>
      <c r="C98" s="204"/>
      <c r="D98" s="204"/>
      <c r="E98" s="204"/>
      <c r="F98" s="204"/>
      <c r="G98" s="229" t="s">
        <v>482</v>
      </c>
      <c r="H98" s="216" t="s">
        <v>601</v>
      </c>
      <c r="I98" s="200"/>
      <c r="J98" s="264">
        <v>0</v>
      </c>
      <c r="K98" s="207">
        <v>0</v>
      </c>
      <c r="L98" s="227">
        <v>0</v>
      </c>
      <c r="M98" s="246" t="s">
        <v>455</v>
      </c>
      <c r="N98" s="204"/>
      <c r="O98" s="197"/>
    </row>
    <row r="99" spans="1:15" s="161" customFormat="1" ht="12.75" customHeight="1" x14ac:dyDescent="0.25">
      <c r="A99" s="243" t="s">
        <v>483</v>
      </c>
      <c r="B99" s="216"/>
      <c r="C99" s="204"/>
      <c r="D99" s="204"/>
      <c r="E99" s="204"/>
      <c r="F99" s="204"/>
      <c r="G99" s="265"/>
      <c r="H99" s="205"/>
      <c r="I99" s="231"/>
      <c r="J99" s="264" t="s">
        <v>581</v>
      </c>
      <c r="K99" s="207"/>
      <c r="L99" s="208"/>
      <c r="M99" s="204"/>
      <c r="N99" s="204"/>
      <c r="O99" s="197"/>
    </row>
    <row r="100" spans="1:15" s="161" customFormat="1" ht="12.75" customHeight="1" x14ac:dyDescent="0.25">
      <c r="A100" s="216"/>
      <c r="B100" s="216" t="s">
        <v>452</v>
      </c>
      <c r="C100" s="204"/>
      <c r="D100" s="204"/>
      <c r="E100" s="204"/>
      <c r="F100" s="204"/>
      <c r="G100" s="229" t="s">
        <v>484</v>
      </c>
      <c r="H100" s="216" t="s">
        <v>601</v>
      </c>
      <c r="I100" s="200"/>
      <c r="J100" s="264">
        <v>0</v>
      </c>
      <c r="K100" s="207">
        <v>0</v>
      </c>
      <c r="L100" s="227">
        <v>0</v>
      </c>
      <c r="M100" s="216" t="s">
        <v>455</v>
      </c>
      <c r="N100" s="204"/>
      <c r="O100" s="197"/>
    </row>
    <row r="101" spans="1:15" s="161" customFormat="1" ht="12.75" customHeight="1" x14ac:dyDescent="0.25">
      <c r="A101" s="216"/>
      <c r="B101" s="216" t="s">
        <v>479</v>
      </c>
      <c r="C101" s="204"/>
      <c r="D101" s="204"/>
      <c r="E101" s="204"/>
      <c r="F101" s="204"/>
      <c r="G101" s="229" t="s">
        <v>485</v>
      </c>
      <c r="H101" s="216" t="s">
        <v>601</v>
      </c>
      <c r="I101" s="200"/>
      <c r="J101" s="264">
        <v>0</v>
      </c>
      <c r="K101" s="207">
        <v>0</v>
      </c>
      <c r="L101" s="227">
        <v>0</v>
      </c>
      <c r="M101" s="216" t="s">
        <v>455</v>
      </c>
      <c r="N101" s="204"/>
      <c r="O101" s="197"/>
    </row>
    <row r="102" spans="1:15" s="161" customFormat="1" ht="12.75" customHeight="1" x14ac:dyDescent="0.25">
      <c r="A102" s="216"/>
      <c r="B102" s="216" t="s">
        <v>481</v>
      </c>
      <c r="C102" s="204"/>
      <c r="D102" s="204"/>
      <c r="E102" s="204"/>
      <c r="F102" s="204"/>
      <c r="G102" s="229" t="s">
        <v>486</v>
      </c>
      <c r="H102" s="216" t="s">
        <v>601</v>
      </c>
      <c r="I102" s="200"/>
      <c r="J102" s="264">
        <v>0</v>
      </c>
      <c r="K102" s="207">
        <v>0</v>
      </c>
      <c r="L102" s="227">
        <v>0</v>
      </c>
      <c r="M102" s="246" t="s">
        <v>455</v>
      </c>
      <c r="N102" s="204"/>
      <c r="O102" s="197"/>
    </row>
    <row r="103" spans="1:15" s="161" customFormat="1" ht="12.75" customHeight="1" x14ac:dyDescent="0.25">
      <c r="A103" s="263" t="s">
        <v>487</v>
      </c>
      <c r="B103" s="204"/>
      <c r="C103" s="204"/>
      <c r="D103" s="204"/>
      <c r="E103" s="204"/>
      <c r="F103" s="204"/>
      <c r="G103" s="265"/>
      <c r="H103" s="205"/>
      <c r="I103" s="205"/>
      <c r="J103" s="264" t="s">
        <v>581</v>
      </c>
      <c r="K103" s="207"/>
      <c r="L103" s="208"/>
      <c r="M103" s="204"/>
      <c r="N103" s="204"/>
      <c r="O103" s="197"/>
    </row>
    <row r="104" spans="1:15" s="161" customFormat="1" ht="12.75" customHeight="1" x14ac:dyDescent="0.25">
      <c r="A104" s="216"/>
      <c r="B104" s="216" t="s">
        <v>452</v>
      </c>
      <c r="C104" s="204"/>
      <c r="D104" s="204"/>
      <c r="E104" s="204"/>
      <c r="F104" s="204"/>
      <c r="G104" s="229" t="s">
        <v>488</v>
      </c>
      <c r="H104" s="216" t="s">
        <v>601</v>
      </c>
      <c r="I104" s="200"/>
      <c r="J104" s="264">
        <v>0</v>
      </c>
      <c r="K104" s="207">
        <v>0</v>
      </c>
      <c r="L104" s="227">
        <v>0</v>
      </c>
      <c r="M104" s="216" t="s">
        <v>455</v>
      </c>
      <c r="N104" s="204"/>
      <c r="O104" s="197"/>
    </row>
    <row r="105" spans="1:15" s="161" customFormat="1" ht="12.75" customHeight="1" x14ac:dyDescent="0.25">
      <c r="A105" s="216"/>
      <c r="B105" s="216" t="s">
        <v>479</v>
      </c>
      <c r="C105" s="204"/>
      <c r="D105" s="204"/>
      <c r="E105" s="204"/>
      <c r="F105" s="204"/>
      <c r="G105" s="229" t="s">
        <v>489</v>
      </c>
      <c r="H105" s="216" t="s">
        <v>601</v>
      </c>
      <c r="I105" s="200"/>
      <c r="J105" s="264">
        <v>0</v>
      </c>
      <c r="K105" s="207">
        <v>0</v>
      </c>
      <c r="L105" s="227">
        <v>0</v>
      </c>
      <c r="M105" s="216" t="s">
        <v>455</v>
      </c>
      <c r="N105" s="204"/>
      <c r="O105" s="197"/>
    </row>
    <row r="106" spans="1:15" s="161" customFormat="1" ht="12.75" customHeight="1" x14ac:dyDescent="0.25">
      <c r="A106" s="216"/>
      <c r="B106" s="216" t="s">
        <v>481</v>
      </c>
      <c r="C106" s="204"/>
      <c r="D106" s="204"/>
      <c r="E106" s="204"/>
      <c r="F106" s="204"/>
      <c r="G106" s="229" t="s">
        <v>490</v>
      </c>
      <c r="H106" s="216" t="s">
        <v>601</v>
      </c>
      <c r="I106" s="200"/>
      <c r="J106" s="264">
        <v>0</v>
      </c>
      <c r="K106" s="207">
        <v>0</v>
      </c>
      <c r="L106" s="227">
        <v>0</v>
      </c>
      <c r="M106" s="246" t="s">
        <v>455</v>
      </c>
      <c r="N106" s="204"/>
      <c r="O106" s="197"/>
    </row>
    <row r="107" spans="1:15" s="161" customFormat="1" ht="12.75" customHeight="1" x14ac:dyDescent="0.25">
      <c r="A107" s="204"/>
      <c r="B107" s="204"/>
      <c r="C107" s="204"/>
      <c r="D107" s="204"/>
      <c r="E107" s="204"/>
      <c r="F107" s="204"/>
      <c r="G107" s="205"/>
      <c r="H107" s="205"/>
      <c r="I107" s="231"/>
      <c r="J107" s="207"/>
      <c r="K107" s="207"/>
      <c r="L107" s="208"/>
      <c r="M107" s="204"/>
      <c r="N107" s="204"/>
      <c r="O107" s="197"/>
    </row>
    <row r="108" spans="1:15" customFormat="1" ht="12.75" customHeight="1" x14ac:dyDescent="0.25">
      <c r="A108" s="210" t="s">
        <v>491</v>
      </c>
      <c r="B108" s="211"/>
      <c r="C108" s="211"/>
      <c r="D108" s="211"/>
      <c r="E108" s="211"/>
      <c r="F108" s="211"/>
      <c r="G108" s="210" t="s">
        <v>311</v>
      </c>
      <c r="H108" s="212" t="s">
        <v>68</v>
      </c>
      <c r="I108" s="213" t="s">
        <v>312</v>
      </c>
      <c r="J108" s="213" t="s">
        <v>327</v>
      </c>
      <c r="K108" s="213" t="s">
        <v>313</v>
      </c>
      <c r="L108" s="215" t="s">
        <v>314</v>
      </c>
      <c r="M108" s="211"/>
      <c r="N108" s="212" t="s">
        <v>315</v>
      </c>
      <c r="O108" s="197"/>
    </row>
    <row r="109" spans="1:15" s="161" customFormat="1" ht="12.75" customHeight="1" x14ac:dyDescent="0.25">
      <c r="A109" s="216"/>
      <c r="B109" s="204"/>
      <c r="C109" s="204"/>
      <c r="D109" s="204"/>
      <c r="E109" s="204"/>
      <c r="F109" s="204"/>
      <c r="G109" s="216"/>
      <c r="H109" s="205"/>
      <c r="I109" s="217"/>
      <c r="J109" s="218"/>
      <c r="K109" s="218"/>
      <c r="L109" s="219"/>
      <c r="M109" s="204"/>
      <c r="N109" s="205"/>
      <c r="O109" s="197"/>
    </row>
    <row r="110" spans="1:15" s="161" customFormat="1" ht="12.75" customHeight="1" x14ac:dyDescent="0.25">
      <c r="A110" s="243" t="s">
        <v>451</v>
      </c>
      <c r="B110" s="204"/>
      <c r="C110" s="204"/>
      <c r="D110" s="204"/>
      <c r="E110" s="204"/>
      <c r="F110" s="204"/>
      <c r="G110" s="204"/>
      <c r="H110" s="204"/>
      <c r="I110" s="204"/>
      <c r="J110" s="204"/>
      <c r="K110" s="204"/>
      <c r="L110" s="208"/>
      <c r="M110" s="204"/>
      <c r="N110" s="204"/>
      <c r="O110" s="197"/>
    </row>
    <row r="111" spans="1:15" s="161" customFormat="1" ht="12.75" customHeight="1" x14ac:dyDescent="0.25">
      <c r="A111" s="204"/>
      <c r="B111" s="204" t="s">
        <v>492</v>
      </c>
      <c r="C111" s="204"/>
      <c r="D111" s="204"/>
      <c r="E111" s="204"/>
      <c r="F111" s="204"/>
      <c r="G111" s="204" t="s">
        <v>493</v>
      </c>
      <c r="H111" s="266" t="s">
        <v>604</v>
      </c>
      <c r="I111" s="199">
        <v>40000</v>
      </c>
      <c r="J111" s="264">
        <v>228570</v>
      </c>
      <c r="K111" s="236">
        <v>228570</v>
      </c>
      <c r="L111" s="241">
        <v>40000000000</v>
      </c>
      <c r="M111" s="216" t="s">
        <v>605</v>
      </c>
      <c r="N111" s="267">
        <v>1139633000000</v>
      </c>
      <c r="O111" s="197"/>
    </row>
    <row r="112" spans="1:15" s="161" customFormat="1" ht="12.75" customHeight="1" x14ac:dyDescent="0.25">
      <c r="A112" s="204"/>
      <c r="B112" s="204" t="s">
        <v>496</v>
      </c>
      <c r="C112" s="204"/>
      <c r="D112" s="204"/>
      <c r="E112" s="204"/>
      <c r="F112" s="204"/>
      <c r="G112" s="204" t="s">
        <v>497</v>
      </c>
      <c r="H112" s="266" t="s">
        <v>604</v>
      </c>
      <c r="I112" s="199">
        <v>4000</v>
      </c>
      <c r="J112" s="264">
        <v>1000</v>
      </c>
      <c r="K112" s="236">
        <v>1000</v>
      </c>
      <c r="L112" s="241">
        <v>4000000000</v>
      </c>
      <c r="M112" s="216" t="s">
        <v>605</v>
      </c>
      <c r="N112" s="204">
        <v>12482598298.2358</v>
      </c>
      <c r="O112" s="197"/>
    </row>
    <row r="113" spans="1:15" s="161" customFormat="1" ht="12.75" customHeight="1" x14ac:dyDescent="0.25">
      <c r="A113" s="204"/>
      <c r="B113" s="204" t="s">
        <v>498</v>
      </c>
      <c r="C113" s="204"/>
      <c r="D113" s="204"/>
      <c r="E113" s="204"/>
      <c r="F113" s="204"/>
      <c r="G113" s="204" t="s">
        <v>499</v>
      </c>
      <c r="H113" s="204" t="s">
        <v>17</v>
      </c>
      <c r="I113" s="199">
        <v>9.9999999999999995E-21</v>
      </c>
      <c r="J113" s="264">
        <v>2.5000000000000001E-3</v>
      </c>
      <c r="K113" s="236">
        <v>2.5000000000000001E-3</v>
      </c>
      <c r="L113" s="241">
        <v>9.9999999999999995E-21</v>
      </c>
      <c r="M113" s="216" t="s">
        <v>17</v>
      </c>
      <c r="N113" s="204"/>
      <c r="O113" s="197"/>
    </row>
    <row r="114" spans="1:15" s="161" customFormat="1" ht="12.75" customHeight="1" x14ac:dyDescent="0.25">
      <c r="A114" s="204"/>
      <c r="B114" s="204" t="s">
        <v>500</v>
      </c>
      <c r="C114" s="204"/>
      <c r="D114" s="204"/>
      <c r="E114" s="204"/>
      <c r="F114" s="204"/>
      <c r="G114" s="204" t="s">
        <v>501</v>
      </c>
      <c r="H114" s="204" t="s">
        <v>17</v>
      </c>
      <c r="I114" s="199">
        <v>0.03</v>
      </c>
      <c r="J114" s="264">
        <v>2.75E-2</v>
      </c>
      <c r="K114" s="236">
        <v>2.75E-2</v>
      </c>
      <c r="L114" s="241">
        <v>0.03</v>
      </c>
      <c r="M114" s="216" t="s">
        <v>17</v>
      </c>
      <c r="N114" s="268">
        <v>3.1314467025788127E-2</v>
      </c>
      <c r="O114" s="197"/>
    </row>
    <row r="115" spans="1:15" s="161" customFormat="1" ht="12.75" customHeight="1" x14ac:dyDescent="0.25">
      <c r="A115" s="204"/>
      <c r="B115" s="204" t="s">
        <v>502</v>
      </c>
      <c r="C115" s="204"/>
      <c r="D115" s="204"/>
      <c r="E115" s="204"/>
      <c r="F115" s="204"/>
      <c r="G115" s="204" t="s">
        <v>503</v>
      </c>
      <c r="H115" s="204" t="s">
        <v>17</v>
      </c>
      <c r="I115" s="199">
        <v>0.6</v>
      </c>
      <c r="J115" s="264">
        <v>0.27</v>
      </c>
      <c r="K115" s="236">
        <v>0.27</v>
      </c>
      <c r="L115" s="241">
        <v>0.6</v>
      </c>
      <c r="M115" s="216" t="s">
        <v>17</v>
      </c>
      <c r="N115" s="204">
        <v>3.1314467025788127E-2</v>
      </c>
      <c r="O115" s="197"/>
    </row>
    <row r="116" spans="1:15" s="161" customFormat="1" ht="12.75" customHeight="1" x14ac:dyDescent="0.25">
      <c r="A116" s="204"/>
      <c r="B116" s="204" t="s">
        <v>504</v>
      </c>
      <c r="C116" s="204"/>
      <c r="D116" s="204"/>
      <c r="E116" s="204"/>
      <c r="F116" s="204"/>
      <c r="G116" s="204" t="s">
        <v>505</v>
      </c>
      <c r="H116" s="204" t="s">
        <v>17</v>
      </c>
      <c r="I116" s="199">
        <v>0.27</v>
      </c>
      <c r="J116" s="264">
        <v>0.6</v>
      </c>
      <c r="K116" s="236">
        <v>0.6</v>
      </c>
      <c r="L116" s="241">
        <v>0.27</v>
      </c>
      <c r="M116" s="216" t="s">
        <v>17</v>
      </c>
      <c r="N116" s="204">
        <v>0.28470275990867239</v>
      </c>
      <c r="O116" s="197"/>
    </row>
    <row r="117" spans="1:15" s="161" customFormat="1" ht="12.75" customHeight="1" x14ac:dyDescent="0.25">
      <c r="A117" s="204"/>
      <c r="B117" s="204" t="s">
        <v>506</v>
      </c>
      <c r="C117" s="204"/>
      <c r="D117" s="204"/>
      <c r="E117" s="204"/>
      <c r="F117" s="204"/>
      <c r="G117" s="204" t="s">
        <v>507</v>
      </c>
      <c r="H117" s="204" t="s">
        <v>17</v>
      </c>
      <c r="I117" s="199">
        <v>0.1</v>
      </c>
      <c r="J117" s="264">
        <v>0.1</v>
      </c>
      <c r="K117" s="236">
        <v>0.1</v>
      </c>
      <c r="L117" s="241">
        <v>0.1</v>
      </c>
      <c r="M117" s="216" t="s">
        <v>17</v>
      </c>
      <c r="N117" s="267">
        <v>0.65942660145853971</v>
      </c>
      <c r="O117" s="197"/>
    </row>
    <row r="118" spans="1:15" s="161" customFormat="1" ht="12.75" customHeight="1" x14ac:dyDescent="0.25">
      <c r="A118" s="204"/>
      <c r="B118" s="204" t="s">
        <v>508</v>
      </c>
      <c r="C118" s="204"/>
      <c r="D118" s="204"/>
      <c r="E118" s="204"/>
      <c r="F118" s="204"/>
      <c r="G118" s="204" t="s">
        <v>509</v>
      </c>
      <c r="H118" s="246" t="s">
        <v>591</v>
      </c>
      <c r="I118" s="199">
        <v>11.85</v>
      </c>
      <c r="J118" s="264">
        <v>12</v>
      </c>
      <c r="K118" s="236">
        <v>12</v>
      </c>
      <c r="L118" s="241">
        <v>284.85000000000002</v>
      </c>
      <c r="M118" s="216" t="s">
        <v>391</v>
      </c>
      <c r="N118" s="204">
        <v>2.4626369644438199E-2</v>
      </c>
      <c r="O118" s="197"/>
    </row>
    <row r="119" spans="1:15" s="161" customFormat="1" ht="12.75" customHeight="1" x14ac:dyDescent="0.25">
      <c r="A119" s="204"/>
      <c r="B119" s="204" t="s">
        <v>510</v>
      </c>
      <c r="C119" s="204"/>
      <c r="D119" s="204"/>
      <c r="E119" s="204"/>
      <c r="F119" s="204"/>
      <c r="G119" s="204" t="s">
        <v>511</v>
      </c>
      <c r="H119" s="204" t="s">
        <v>606</v>
      </c>
      <c r="I119" s="199">
        <v>3</v>
      </c>
      <c r="J119" s="264">
        <v>3</v>
      </c>
      <c r="K119" s="236">
        <v>3</v>
      </c>
      <c r="L119" s="241">
        <v>3</v>
      </c>
      <c r="M119" s="216" t="s">
        <v>606</v>
      </c>
      <c r="N119" s="204"/>
      <c r="O119" s="197"/>
    </row>
    <row r="120" spans="1:15" s="161" customFormat="1" ht="12.75" customHeight="1" x14ac:dyDescent="0.25">
      <c r="A120" s="204"/>
      <c r="B120" s="204" t="s">
        <v>513</v>
      </c>
      <c r="C120" s="204"/>
      <c r="D120" s="204"/>
      <c r="E120" s="204"/>
      <c r="F120" s="204"/>
      <c r="G120" s="204" t="s">
        <v>514</v>
      </c>
      <c r="H120" s="204" t="s">
        <v>607</v>
      </c>
      <c r="I120" s="199">
        <v>700.8</v>
      </c>
      <c r="J120" s="264">
        <v>700</v>
      </c>
      <c r="K120" s="236">
        <v>700</v>
      </c>
      <c r="L120" s="241">
        <v>2.222222222222222E-8</v>
      </c>
      <c r="M120" s="216" t="s">
        <v>606</v>
      </c>
      <c r="N120" s="204"/>
      <c r="O120" s="197"/>
    </row>
    <row r="121" spans="1:15" s="161" customFormat="1" ht="12.75" customHeight="1" x14ac:dyDescent="0.25">
      <c r="A121" s="204"/>
      <c r="B121" s="204" t="s">
        <v>516</v>
      </c>
      <c r="C121" s="204"/>
      <c r="D121" s="204"/>
      <c r="E121" s="204"/>
      <c r="F121" s="204"/>
      <c r="G121" s="204" t="s">
        <v>517</v>
      </c>
      <c r="H121" s="204" t="s">
        <v>92</v>
      </c>
      <c r="I121" s="199">
        <v>9.9999999999999995E-21</v>
      </c>
      <c r="J121" s="264">
        <v>100</v>
      </c>
      <c r="K121" s="236">
        <v>100</v>
      </c>
      <c r="L121" s="227">
        <v>9.9999999999999995E-21</v>
      </c>
      <c r="M121" s="216" t="s">
        <v>92</v>
      </c>
      <c r="N121" s="204"/>
      <c r="O121" s="197"/>
    </row>
    <row r="122" spans="1:15" s="161" customFormat="1" ht="12.75" customHeight="1" x14ac:dyDescent="0.25">
      <c r="A122" s="204"/>
      <c r="B122" s="204" t="s">
        <v>518</v>
      </c>
      <c r="C122" s="204"/>
      <c r="D122" s="204"/>
      <c r="E122" s="204"/>
      <c r="F122" s="204"/>
      <c r="G122" s="204" t="s">
        <v>519</v>
      </c>
      <c r="H122" s="204" t="s">
        <v>92</v>
      </c>
      <c r="I122" s="199">
        <v>3</v>
      </c>
      <c r="J122" s="264">
        <v>3</v>
      </c>
      <c r="K122" s="236">
        <v>3</v>
      </c>
      <c r="L122" s="227">
        <v>3</v>
      </c>
      <c r="M122" s="216" t="s">
        <v>92</v>
      </c>
      <c r="N122" s="204"/>
      <c r="O122" s="197"/>
    </row>
    <row r="123" spans="1:15" s="161" customFormat="1" ht="12.75" customHeight="1" x14ac:dyDescent="0.25">
      <c r="A123" s="204"/>
      <c r="B123" s="204" t="s">
        <v>520</v>
      </c>
      <c r="C123" s="204"/>
      <c r="D123" s="204"/>
      <c r="E123" s="204"/>
      <c r="F123" s="204"/>
      <c r="G123" s="204" t="s">
        <v>521</v>
      </c>
      <c r="H123" s="204" t="s">
        <v>17</v>
      </c>
      <c r="I123" s="199"/>
      <c r="J123" s="264">
        <v>0</v>
      </c>
      <c r="K123" s="236">
        <v>0</v>
      </c>
      <c r="L123" s="227">
        <v>0</v>
      </c>
      <c r="M123" s="216" t="s">
        <v>17</v>
      </c>
      <c r="N123" s="204"/>
      <c r="O123" s="197"/>
    </row>
    <row r="124" spans="1:15" s="161" customFormat="1" ht="12.75" customHeight="1" x14ac:dyDescent="0.25">
      <c r="A124" s="204"/>
      <c r="B124" s="204" t="s">
        <v>522</v>
      </c>
      <c r="C124" s="204"/>
      <c r="D124" s="204"/>
      <c r="E124" s="204"/>
      <c r="F124" s="204"/>
      <c r="G124" s="204" t="s">
        <v>523</v>
      </c>
      <c r="H124" s="204" t="s">
        <v>17</v>
      </c>
      <c r="I124" s="199"/>
      <c r="J124" s="264">
        <v>0.25</v>
      </c>
      <c r="K124" s="236">
        <v>0.25</v>
      </c>
      <c r="L124" s="241">
        <v>0.25</v>
      </c>
      <c r="M124" s="216" t="s">
        <v>17</v>
      </c>
      <c r="N124" s="204"/>
      <c r="O124" s="197"/>
    </row>
    <row r="125" spans="1:15" s="161" customFormat="1" ht="12.75" customHeight="1" x14ac:dyDescent="0.25">
      <c r="A125" s="204"/>
      <c r="B125" s="204" t="s">
        <v>524</v>
      </c>
      <c r="C125" s="204"/>
      <c r="D125" s="204"/>
      <c r="E125" s="204"/>
      <c r="F125" s="204"/>
      <c r="G125" s="204" t="s">
        <v>525</v>
      </c>
      <c r="H125" s="204" t="s">
        <v>17</v>
      </c>
      <c r="I125" s="199"/>
      <c r="J125" s="264">
        <v>0.25</v>
      </c>
      <c r="K125" s="236">
        <v>0.25</v>
      </c>
      <c r="L125" s="241">
        <v>0.25</v>
      </c>
      <c r="M125" s="216" t="s">
        <v>17</v>
      </c>
      <c r="N125" s="225"/>
      <c r="O125" s="197"/>
    </row>
    <row r="126" spans="1:15" s="161" customFormat="1" ht="12.75" customHeight="1" x14ac:dyDescent="0.25">
      <c r="A126" s="204"/>
      <c r="B126" s="204" t="s">
        <v>526</v>
      </c>
      <c r="C126" s="204"/>
      <c r="D126" s="204"/>
      <c r="E126" s="204"/>
      <c r="F126" s="204"/>
      <c r="G126" s="204" t="s">
        <v>527</v>
      </c>
      <c r="H126" s="204" t="s">
        <v>607</v>
      </c>
      <c r="I126" s="199"/>
      <c r="J126" s="264">
        <v>0.03</v>
      </c>
      <c r="K126" s="236">
        <v>0.03</v>
      </c>
      <c r="L126" s="241">
        <v>9.5129375951293754E-13</v>
      </c>
      <c r="M126" s="216" t="s">
        <v>606</v>
      </c>
      <c r="N126" s="204"/>
      <c r="O126" s="197"/>
    </row>
    <row r="127" spans="1:15" s="161" customFormat="1" ht="12.75" customHeight="1" x14ac:dyDescent="0.25">
      <c r="A127" s="204"/>
      <c r="B127" s="204"/>
      <c r="C127" s="204"/>
      <c r="D127" s="204"/>
      <c r="E127" s="204"/>
      <c r="F127" s="204"/>
      <c r="G127" s="204"/>
      <c r="H127" s="204"/>
      <c r="I127" s="231"/>
      <c r="J127" s="207"/>
      <c r="K127" s="207"/>
      <c r="L127" s="208"/>
      <c r="M127" s="204"/>
      <c r="N127" s="204"/>
      <c r="O127" s="197"/>
    </row>
    <row r="128" spans="1:15" s="161" customFormat="1" ht="12.75" customHeight="1" x14ac:dyDescent="0.25">
      <c r="A128" s="243" t="s">
        <v>469</v>
      </c>
      <c r="B128" s="204"/>
      <c r="C128" s="204"/>
      <c r="D128" s="204"/>
      <c r="E128" s="204"/>
      <c r="F128" s="204"/>
      <c r="G128" s="204"/>
      <c r="H128" s="204"/>
      <c r="I128" s="231"/>
      <c r="J128" s="207"/>
      <c r="K128" s="207"/>
      <c r="L128" s="208"/>
      <c r="M128" s="204"/>
      <c r="N128" s="204"/>
      <c r="O128" s="197"/>
    </row>
    <row r="129" spans="1:15" s="161" customFormat="1" ht="12.75" customHeight="1" x14ac:dyDescent="0.25">
      <c r="A129" s="204"/>
      <c r="B129" s="204" t="s">
        <v>492</v>
      </c>
      <c r="C129" s="204"/>
      <c r="D129" s="204"/>
      <c r="E129" s="204"/>
      <c r="F129" s="204"/>
      <c r="G129" s="204" t="s">
        <v>528</v>
      </c>
      <c r="H129" s="266" t="s">
        <v>604</v>
      </c>
      <c r="I129" s="199"/>
      <c r="J129" s="264">
        <v>3714410</v>
      </c>
      <c r="K129" s="236">
        <v>3714410</v>
      </c>
      <c r="L129" s="227">
        <v>3714410000000</v>
      </c>
      <c r="M129" s="216" t="s">
        <v>605</v>
      </c>
      <c r="N129" s="204"/>
      <c r="O129" s="197"/>
    </row>
    <row r="130" spans="1:15" s="161" customFormat="1" ht="12.75" customHeight="1" x14ac:dyDescent="0.25">
      <c r="A130" s="204"/>
      <c r="B130" s="204" t="s">
        <v>496</v>
      </c>
      <c r="C130" s="204"/>
      <c r="D130" s="204"/>
      <c r="E130" s="204"/>
      <c r="F130" s="204"/>
      <c r="G130" s="204" t="s">
        <v>529</v>
      </c>
      <c r="H130" s="266" t="s">
        <v>604</v>
      </c>
      <c r="I130" s="199"/>
      <c r="J130" s="264">
        <v>3714410</v>
      </c>
      <c r="K130" s="236">
        <v>3714410</v>
      </c>
      <c r="L130" s="227">
        <v>3714410000000</v>
      </c>
      <c r="M130" s="216" t="s">
        <v>605</v>
      </c>
      <c r="N130" s="204"/>
      <c r="O130" s="197"/>
    </row>
    <row r="131" spans="1:15" s="161" customFormat="1" ht="12.75" customHeight="1" x14ac:dyDescent="0.25">
      <c r="A131" s="204"/>
      <c r="B131" s="204" t="s">
        <v>500</v>
      </c>
      <c r="C131" s="204"/>
      <c r="D131" s="204"/>
      <c r="E131" s="204"/>
      <c r="F131" s="204"/>
      <c r="G131" s="204" t="s">
        <v>530</v>
      </c>
      <c r="H131" s="204" t="s">
        <v>17</v>
      </c>
      <c r="I131" s="199"/>
      <c r="J131" s="264">
        <v>2.5000000000000001E-3</v>
      </c>
      <c r="K131" s="236">
        <v>2.5000000000000001E-3</v>
      </c>
      <c r="L131" s="227">
        <v>2.5000000000000001E-3</v>
      </c>
      <c r="M131" s="216" t="s">
        <v>17</v>
      </c>
      <c r="N131" s="204"/>
      <c r="O131" s="197"/>
    </row>
    <row r="132" spans="1:15" s="161" customFormat="1" ht="12.75" customHeight="1" x14ac:dyDescent="0.25">
      <c r="A132" s="204"/>
      <c r="B132" s="204" t="s">
        <v>500</v>
      </c>
      <c r="C132" s="204"/>
      <c r="D132" s="204"/>
      <c r="E132" s="204"/>
      <c r="F132" s="204"/>
      <c r="G132" s="204" t="s">
        <v>531</v>
      </c>
      <c r="H132" s="204" t="s">
        <v>17</v>
      </c>
      <c r="I132" s="199"/>
      <c r="J132" s="264">
        <v>2.75E-2</v>
      </c>
      <c r="K132" s="236">
        <v>2.75E-2</v>
      </c>
      <c r="L132" s="227">
        <v>2.75E-2</v>
      </c>
      <c r="M132" s="216" t="s">
        <v>17</v>
      </c>
      <c r="N132" s="204"/>
      <c r="O132" s="197"/>
    </row>
    <row r="133" spans="1:15" s="161" customFormat="1" ht="12.75" customHeight="1" x14ac:dyDescent="0.25">
      <c r="A133" s="204"/>
      <c r="B133" s="204" t="s">
        <v>502</v>
      </c>
      <c r="C133" s="204"/>
      <c r="D133" s="204"/>
      <c r="E133" s="204"/>
      <c r="F133" s="204"/>
      <c r="G133" s="204" t="s">
        <v>532</v>
      </c>
      <c r="H133" s="204" t="s">
        <v>17</v>
      </c>
      <c r="I133" s="199"/>
      <c r="J133" s="264">
        <v>0.27</v>
      </c>
      <c r="K133" s="236">
        <v>0.27</v>
      </c>
      <c r="L133" s="227">
        <v>0.27</v>
      </c>
      <c r="M133" s="216" t="s">
        <v>17</v>
      </c>
      <c r="N133" s="204"/>
      <c r="O133" s="197"/>
    </row>
    <row r="134" spans="1:15" s="161" customFormat="1" ht="12.75" customHeight="1" x14ac:dyDescent="0.25">
      <c r="A134" s="204"/>
      <c r="B134" s="204" t="s">
        <v>504</v>
      </c>
      <c r="C134" s="204"/>
      <c r="D134" s="204"/>
      <c r="E134" s="204"/>
      <c r="F134" s="204"/>
      <c r="G134" s="204" t="s">
        <v>533</v>
      </c>
      <c r="H134" s="204" t="s">
        <v>17</v>
      </c>
      <c r="I134" s="199"/>
      <c r="J134" s="264">
        <v>0.6</v>
      </c>
      <c r="K134" s="236">
        <v>0.6</v>
      </c>
      <c r="L134" s="227">
        <v>0.6</v>
      </c>
      <c r="M134" s="216" t="s">
        <v>17</v>
      </c>
      <c r="N134" s="204"/>
      <c r="O134" s="197"/>
    </row>
    <row r="135" spans="1:15" s="161" customFormat="1" ht="12.75" customHeight="1" x14ac:dyDescent="0.25">
      <c r="A135" s="204"/>
      <c r="B135" s="204" t="s">
        <v>506</v>
      </c>
      <c r="C135" s="204"/>
      <c r="D135" s="204"/>
      <c r="E135" s="204"/>
      <c r="F135" s="204"/>
      <c r="G135" s="204" t="s">
        <v>534</v>
      </c>
      <c r="H135" s="204" t="s">
        <v>17</v>
      </c>
      <c r="I135" s="199"/>
      <c r="J135" s="264">
        <v>0.1</v>
      </c>
      <c r="K135" s="236">
        <v>0.1</v>
      </c>
      <c r="L135" s="227">
        <v>0.1</v>
      </c>
      <c r="M135" s="216" t="s">
        <v>17</v>
      </c>
      <c r="N135" s="204"/>
      <c r="O135" s="197"/>
    </row>
    <row r="136" spans="1:15" s="161" customFormat="1" ht="12.75" customHeight="1" x14ac:dyDescent="0.25">
      <c r="A136" s="204"/>
      <c r="B136" s="204" t="s">
        <v>508</v>
      </c>
      <c r="C136" s="204"/>
      <c r="D136" s="204"/>
      <c r="E136" s="204"/>
      <c r="F136" s="204"/>
      <c r="G136" s="204" t="s">
        <v>535</v>
      </c>
      <c r="H136" s="246" t="s">
        <v>591</v>
      </c>
      <c r="I136" s="199"/>
      <c r="J136" s="264">
        <v>12</v>
      </c>
      <c r="K136" s="236">
        <v>12</v>
      </c>
      <c r="L136" s="227">
        <v>285</v>
      </c>
      <c r="M136" s="216" t="s">
        <v>391</v>
      </c>
      <c r="N136" s="204"/>
      <c r="O136" s="197"/>
    </row>
    <row r="137" spans="1:15" s="161" customFormat="1" ht="12.75" customHeight="1" x14ac:dyDescent="0.25">
      <c r="A137" s="204"/>
      <c r="B137" s="204" t="s">
        <v>510</v>
      </c>
      <c r="C137" s="204"/>
      <c r="D137" s="204"/>
      <c r="E137" s="204"/>
      <c r="F137" s="204"/>
      <c r="G137" s="204" t="s">
        <v>536</v>
      </c>
      <c r="H137" s="204" t="s">
        <v>606</v>
      </c>
      <c r="I137" s="199"/>
      <c r="J137" s="264">
        <v>3</v>
      </c>
      <c r="K137" s="236">
        <v>3</v>
      </c>
      <c r="L137" s="227">
        <v>3</v>
      </c>
      <c r="M137" s="216" t="s">
        <v>606</v>
      </c>
      <c r="N137" s="204"/>
      <c r="O137" s="197"/>
    </row>
    <row r="138" spans="1:15" s="161" customFormat="1" ht="12.75" customHeight="1" x14ac:dyDescent="0.25">
      <c r="A138" s="204"/>
      <c r="B138" s="204" t="s">
        <v>513</v>
      </c>
      <c r="C138" s="204"/>
      <c r="D138" s="204"/>
      <c r="E138" s="204"/>
      <c r="F138" s="204"/>
      <c r="G138" s="204" t="s">
        <v>537</v>
      </c>
      <c r="H138" s="204" t="s">
        <v>607</v>
      </c>
      <c r="I138" s="199"/>
      <c r="J138" s="264">
        <v>700</v>
      </c>
      <c r="K138" s="236">
        <v>700</v>
      </c>
      <c r="L138" s="227">
        <v>2.219685438863521E-8</v>
      </c>
      <c r="M138" s="216" t="s">
        <v>606</v>
      </c>
      <c r="N138" s="204"/>
      <c r="O138" s="197"/>
    </row>
    <row r="139" spans="1:15" s="161" customFormat="1" ht="12.75" customHeight="1" x14ac:dyDescent="0.25">
      <c r="A139" s="204"/>
      <c r="B139" s="204" t="s">
        <v>518</v>
      </c>
      <c r="C139" s="204"/>
      <c r="D139" s="204"/>
      <c r="E139" s="204"/>
      <c r="F139" s="204"/>
      <c r="G139" s="204" t="s">
        <v>538</v>
      </c>
      <c r="H139" s="204" t="s">
        <v>92</v>
      </c>
      <c r="I139" s="199"/>
      <c r="J139" s="264">
        <v>100</v>
      </c>
      <c r="K139" s="236">
        <v>100</v>
      </c>
      <c r="L139" s="227">
        <v>100</v>
      </c>
      <c r="M139" s="216" t="s">
        <v>92</v>
      </c>
      <c r="N139" s="204"/>
      <c r="O139" s="197"/>
    </row>
    <row r="140" spans="1:15" s="161" customFormat="1" ht="12.75" customHeight="1" x14ac:dyDescent="0.25">
      <c r="A140" s="204"/>
      <c r="B140" s="204" t="s">
        <v>518</v>
      </c>
      <c r="C140" s="204"/>
      <c r="D140" s="204"/>
      <c r="E140" s="204"/>
      <c r="F140" s="204"/>
      <c r="G140" s="204" t="s">
        <v>539</v>
      </c>
      <c r="H140" s="204" t="s">
        <v>92</v>
      </c>
      <c r="I140" s="199"/>
      <c r="J140" s="264">
        <v>3</v>
      </c>
      <c r="K140" s="236">
        <v>3</v>
      </c>
      <c r="L140" s="227">
        <v>3</v>
      </c>
      <c r="M140" s="216" t="s">
        <v>92</v>
      </c>
      <c r="N140" s="204"/>
      <c r="O140" s="197"/>
    </row>
    <row r="141" spans="1:15" s="161" customFormat="1" ht="12.75" customHeight="1" x14ac:dyDescent="0.25">
      <c r="A141" s="204"/>
      <c r="B141" s="204" t="s">
        <v>540</v>
      </c>
      <c r="C141" s="204"/>
      <c r="D141" s="204"/>
      <c r="E141" s="204"/>
      <c r="F141" s="204"/>
      <c r="G141" s="204" t="s">
        <v>541</v>
      </c>
      <c r="H141" s="204" t="s">
        <v>17</v>
      </c>
      <c r="I141" s="199"/>
      <c r="J141" s="264">
        <v>0</v>
      </c>
      <c r="K141" s="236">
        <v>0</v>
      </c>
      <c r="L141" s="227">
        <v>0</v>
      </c>
      <c r="M141" s="216" t="s">
        <v>17</v>
      </c>
      <c r="N141" s="204"/>
      <c r="O141" s="197"/>
    </row>
    <row r="142" spans="1:15" s="161" customFormat="1" ht="12.75" customHeight="1" x14ac:dyDescent="0.25">
      <c r="A142" s="204"/>
      <c r="B142" s="204" t="s">
        <v>524</v>
      </c>
      <c r="C142" s="204"/>
      <c r="D142" s="204"/>
      <c r="E142" s="204"/>
      <c r="F142" s="204"/>
      <c r="G142" s="204" t="s">
        <v>542</v>
      </c>
      <c r="H142" s="204" t="s">
        <v>17</v>
      </c>
      <c r="I142" s="199"/>
      <c r="J142" s="264">
        <v>0.25</v>
      </c>
      <c r="K142" s="236">
        <v>0.25</v>
      </c>
      <c r="L142" s="227">
        <v>0.25</v>
      </c>
      <c r="M142" s="216" t="s">
        <v>17</v>
      </c>
      <c r="N142" s="204"/>
      <c r="O142" s="197"/>
    </row>
    <row r="143" spans="1:15" s="161" customFormat="1" ht="12.75" customHeight="1" x14ac:dyDescent="0.25">
      <c r="A143" s="204"/>
      <c r="B143" s="204" t="s">
        <v>522</v>
      </c>
      <c r="C143" s="204"/>
      <c r="D143" s="204"/>
      <c r="E143" s="204"/>
      <c r="F143" s="204"/>
      <c r="G143" s="204" t="s">
        <v>543</v>
      </c>
      <c r="H143" s="204" t="s">
        <v>17</v>
      </c>
      <c r="I143" s="199"/>
      <c r="J143" s="264">
        <v>0.25</v>
      </c>
      <c r="K143" s="236">
        <v>0.25</v>
      </c>
      <c r="L143" s="227">
        <v>0.25</v>
      </c>
      <c r="M143" s="216" t="s">
        <v>17</v>
      </c>
      <c r="N143" s="204"/>
      <c r="O143" s="197"/>
    </row>
    <row r="144" spans="1:15" s="161" customFormat="1" ht="12.75" customHeight="1" x14ac:dyDescent="0.25">
      <c r="A144" s="204"/>
      <c r="B144" s="204" t="s">
        <v>526</v>
      </c>
      <c r="C144" s="204"/>
      <c r="D144" s="204"/>
      <c r="E144" s="204"/>
      <c r="F144" s="204"/>
      <c r="G144" s="204" t="s">
        <v>544</v>
      </c>
      <c r="H144" s="204" t="s">
        <v>607</v>
      </c>
      <c r="I144" s="199"/>
      <c r="J144" s="264">
        <v>0.03</v>
      </c>
      <c r="K144" s="236">
        <v>0.03</v>
      </c>
      <c r="L144" s="227">
        <v>9.5129375951293754E-13</v>
      </c>
      <c r="M144" s="216" t="s">
        <v>606</v>
      </c>
      <c r="N144" s="204"/>
      <c r="O144" s="197"/>
    </row>
    <row r="145" spans="1:15" s="161" customFormat="1" ht="12.75" customHeight="1" x14ac:dyDescent="0.25">
      <c r="A145" s="204"/>
      <c r="B145" s="204"/>
      <c r="C145" s="204"/>
      <c r="D145" s="204"/>
      <c r="E145" s="204"/>
      <c r="F145" s="204"/>
      <c r="G145" s="204"/>
      <c r="H145" s="204"/>
      <c r="I145" s="231"/>
      <c r="J145" s="207"/>
      <c r="K145" s="207"/>
      <c r="L145" s="208"/>
      <c r="M145" s="204"/>
      <c r="N145" s="204"/>
      <c r="O145" s="197"/>
    </row>
    <row r="146" spans="1:15" s="161" customFormat="1" ht="12.75" customHeight="1" x14ac:dyDescent="0.25">
      <c r="A146" s="204" t="s">
        <v>545</v>
      </c>
      <c r="B146" s="204"/>
      <c r="C146" s="204"/>
      <c r="D146" s="204"/>
      <c r="E146" s="204"/>
      <c r="F146" s="204"/>
      <c r="G146" s="204"/>
      <c r="H146" s="204"/>
      <c r="I146" s="199"/>
      <c r="J146" s="269" t="s">
        <v>581</v>
      </c>
      <c r="K146" s="236"/>
      <c r="L146" s="227"/>
      <c r="M146" s="216"/>
      <c r="N146" s="204"/>
      <c r="O146" s="197"/>
    </row>
    <row r="147" spans="1:15" s="161" customFormat="1" ht="12.75" customHeight="1" x14ac:dyDescent="0.25">
      <c r="A147" s="204"/>
      <c r="B147" s="204" t="s">
        <v>546</v>
      </c>
      <c r="C147" s="204"/>
      <c r="D147" s="204"/>
      <c r="E147" s="204"/>
      <c r="F147" s="204"/>
      <c r="G147" s="205" t="s">
        <v>547</v>
      </c>
      <c r="H147" s="205" t="s">
        <v>337</v>
      </c>
      <c r="I147" s="202"/>
      <c r="J147" s="269" t="s">
        <v>581</v>
      </c>
      <c r="K147" s="242">
        <v>3</v>
      </c>
      <c r="L147" s="270">
        <v>3</v>
      </c>
      <c r="M147" s="245" t="s">
        <v>17</v>
      </c>
      <c r="N147" s="204" t="s">
        <v>548</v>
      </c>
      <c r="O147" s="197"/>
    </row>
    <row r="148" spans="1:15" s="161" customFormat="1" ht="12.75" customHeight="1" x14ac:dyDescent="0.25">
      <c r="A148" s="204"/>
      <c r="B148" s="204" t="s">
        <v>549</v>
      </c>
      <c r="C148" s="204"/>
      <c r="D148" s="204"/>
      <c r="E148" s="204"/>
      <c r="F148" s="204"/>
      <c r="G148" s="205" t="s">
        <v>550</v>
      </c>
      <c r="H148" s="205" t="s">
        <v>337</v>
      </c>
      <c r="I148" s="202">
        <v>7.5</v>
      </c>
      <c r="J148" s="269" t="s">
        <v>581</v>
      </c>
      <c r="K148" s="242">
        <v>7</v>
      </c>
      <c r="L148" s="270">
        <v>7.5</v>
      </c>
      <c r="M148" s="245" t="s">
        <v>17</v>
      </c>
      <c r="N148" s="204"/>
      <c r="O148" s="197"/>
    </row>
    <row r="149" spans="1:15" s="161" customFormat="1" ht="12.75" customHeight="1" x14ac:dyDescent="0.25">
      <c r="A149" s="204"/>
      <c r="B149" s="204" t="s">
        <v>551</v>
      </c>
      <c r="C149" s="204"/>
      <c r="D149" s="204"/>
      <c r="E149" s="204"/>
      <c r="F149" s="204"/>
      <c r="G149" s="205" t="s">
        <v>552</v>
      </c>
      <c r="H149" s="205" t="s">
        <v>337</v>
      </c>
      <c r="I149" s="202"/>
      <c r="J149" s="269" t="s">
        <v>581</v>
      </c>
      <c r="K149" s="242">
        <v>8</v>
      </c>
      <c r="L149" s="270">
        <v>8</v>
      </c>
      <c r="M149" s="245" t="s">
        <v>17</v>
      </c>
      <c r="N149" s="204"/>
      <c r="O149" s="197"/>
    </row>
    <row r="150" spans="1:15" s="161" customFormat="1" ht="12.75" customHeight="1" x14ac:dyDescent="0.25">
      <c r="A150" s="204"/>
      <c r="B150" s="204" t="s">
        <v>553</v>
      </c>
      <c r="C150" s="204"/>
      <c r="D150" s="204"/>
      <c r="E150" s="204"/>
      <c r="F150" s="204"/>
      <c r="G150" s="205" t="s">
        <v>554</v>
      </c>
      <c r="H150" s="205" t="s">
        <v>337</v>
      </c>
      <c r="I150" s="202"/>
      <c r="J150" s="269" t="s">
        <v>581</v>
      </c>
      <c r="K150" s="242">
        <v>5</v>
      </c>
      <c r="L150" s="270">
        <v>5</v>
      </c>
      <c r="M150" s="245" t="s">
        <v>17</v>
      </c>
      <c r="N150" s="204"/>
      <c r="O150" s="197"/>
    </row>
    <row r="151" spans="1:15" s="161" customFormat="1" ht="12.75" customHeight="1" x14ac:dyDescent="0.25">
      <c r="A151" s="204"/>
      <c r="B151" s="204" t="s">
        <v>555</v>
      </c>
      <c r="C151" s="204"/>
      <c r="D151" s="204"/>
      <c r="E151" s="204"/>
      <c r="F151" s="204"/>
      <c r="G151" s="205" t="s">
        <v>556</v>
      </c>
      <c r="H151" s="205" t="s">
        <v>337</v>
      </c>
      <c r="I151" s="202">
        <v>6.8</v>
      </c>
      <c r="J151" s="269" t="s">
        <v>581</v>
      </c>
      <c r="K151" s="242">
        <v>7</v>
      </c>
      <c r="L151" s="270">
        <v>6.8</v>
      </c>
      <c r="M151" s="245" t="s">
        <v>17</v>
      </c>
      <c r="N151" s="204"/>
      <c r="O151" s="197"/>
    </row>
    <row r="152" spans="1:15" s="161" customFormat="1" ht="12.75" customHeight="1" x14ac:dyDescent="0.25">
      <c r="A152" s="204"/>
      <c r="B152" s="204" t="s">
        <v>557</v>
      </c>
      <c r="C152" s="204"/>
      <c r="D152" s="204"/>
      <c r="E152" s="204"/>
      <c r="F152" s="204"/>
      <c r="G152" s="205" t="s">
        <v>558</v>
      </c>
      <c r="H152" s="205" t="s">
        <v>337</v>
      </c>
      <c r="I152" s="202">
        <v>6.3</v>
      </c>
      <c r="J152" s="269" t="s">
        <v>581</v>
      </c>
      <c r="K152" s="242">
        <v>7</v>
      </c>
      <c r="L152" s="270">
        <v>6.3</v>
      </c>
      <c r="M152" s="245" t="s">
        <v>17</v>
      </c>
      <c r="N152" s="204"/>
      <c r="O152" s="197"/>
    </row>
    <row r="153" spans="1:15" s="161" customFormat="1" ht="12.75" customHeight="1" x14ac:dyDescent="0.25">
      <c r="A153" s="204"/>
      <c r="B153" s="204" t="s">
        <v>559</v>
      </c>
      <c r="C153" s="204"/>
      <c r="D153" s="204"/>
      <c r="E153" s="204"/>
      <c r="F153" s="204"/>
      <c r="G153" s="205" t="s">
        <v>560</v>
      </c>
      <c r="H153" s="266" t="s">
        <v>608</v>
      </c>
      <c r="I153" s="199"/>
      <c r="J153" s="269" t="s">
        <v>581</v>
      </c>
      <c r="K153" s="236">
        <v>7.3338823701292424E-6</v>
      </c>
      <c r="L153" s="271">
        <v>7.3338823701292424E-6</v>
      </c>
      <c r="M153" s="216" t="s">
        <v>562</v>
      </c>
      <c r="N153" s="204"/>
      <c r="O153" s="197"/>
    </row>
    <row r="154" spans="1:15" s="161" customFormat="1" ht="12.75" customHeight="1" x14ac:dyDescent="0.25">
      <c r="A154" s="204"/>
      <c r="B154" s="204" t="s">
        <v>563</v>
      </c>
      <c r="C154" s="204"/>
      <c r="D154" s="204"/>
      <c r="E154" s="204"/>
      <c r="F154" s="204"/>
      <c r="G154" s="205" t="s">
        <v>564</v>
      </c>
      <c r="H154" s="266" t="s">
        <v>608</v>
      </c>
      <c r="I154" s="199"/>
      <c r="J154" s="269" t="s">
        <v>581</v>
      </c>
      <c r="K154" s="236">
        <v>7.6097352738046626E-10</v>
      </c>
      <c r="L154" s="271">
        <v>7.6097352738046626E-10</v>
      </c>
      <c r="M154" s="216" t="s">
        <v>562</v>
      </c>
      <c r="N154" s="204"/>
      <c r="O154" s="197"/>
    </row>
    <row r="155" spans="1:15" s="161" customFormat="1" ht="12.75" customHeight="1" x14ac:dyDescent="0.25">
      <c r="A155" s="204"/>
      <c r="B155" s="204" t="s">
        <v>565</v>
      </c>
      <c r="C155" s="204"/>
      <c r="D155" s="204"/>
      <c r="E155" s="204"/>
      <c r="F155" s="204"/>
      <c r="G155" s="204" t="s">
        <v>566</v>
      </c>
      <c r="H155" s="204" t="s">
        <v>337</v>
      </c>
      <c r="I155" s="202"/>
      <c r="J155" s="269" t="s">
        <v>581</v>
      </c>
      <c r="K155" s="242">
        <v>0.1</v>
      </c>
      <c r="L155" s="270">
        <v>0.1</v>
      </c>
      <c r="M155" s="216" t="s">
        <v>17</v>
      </c>
      <c r="N155" s="204"/>
      <c r="O155" s="197"/>
    </row>
    <row r="156" spans="1:15" s="161" customFormat="1" ht="12.75" customHeight="1" x14ac:dyDescent="0.25">
      <c r="A156" s="216"/>
      <c r="B156" s="216" t="s">
        <v>567</v>
      </c>
      <c r="C156" s="204"/>
      <c r="D156" s="204"/>
      <c r="E156" s="238"/>
      <c r="F156" s="238"/>
      <c r="G156" s="238" t="s">
        <v>568</v>
      </c>
      <c r="H156" s="216" t="s">
        <v>337</v>
      </c>
      <c r="I156" s="200"/>
      <c r="J156" s="269" t="s">
        <v>581</v>
      </c>
      <c r="K156" s="236">
        <v>0.02</v>
      </c>
      <c r="L156" s="271">
        <v>0.02</v>
      </c>
      <c r="M156" s="216" t="s">
        <v>17</v>
      </c>
      <c r="N156" s="204"/>
      <c r="O156" s="197"/>
    </row>
    <row r="157" spans="1:15" s="161" customFormat="1" ht="12.75" customHeight="1" x14ac:dyDescent="0.25">
      <c r="A157" s="204"/>
      <c r="B157" s="204" t="s">
        <v>569</v>
      </c>
      <c r="C157" s="204"/>
      <c r="D157" s="204"/>
      <c r="E157" s="204"/>
      <c r="F157" s="204"/>
      <c r="G157" s="204" t="s">
        <v>570</v>
      </c>
      <c r="H157" s="216" t="s">
        <v>609</v>
      </c>
      <c r="I157" s="202"/>
      <c r="J157" s="269" t="s">
        <v>581</v>
      </c>
      <c r="K157" s="242">
        <v>2000</v>
      </c>
      <c r="L157" s="270">
        <v>2000</v>
      </c>
      <c r="M157" s="216" t="s">
        <v>572</v>
      </c>
      <c r="N157" s="204"/>
      <c r="O157" s="197"/>
    </row>
    <row r="158" spans="1:15" s="161" customFormat="1" ht="12.75" customHeight="1" x14ac:dyDescent="0.25">
      <c r="A158" s="216"/>
      <c r="B158" s="216" t="s">
        <v>573</v>
      </c>
      <c r="C158" s="239"/>
      <c r="D158" s="239"/>
      <c r="E158" s="204"/>
      <c r="F158" s="204"/>
      <c r="G158" s="238" t="s">
        <v>574</v>
      </c>
      <c r="H158" s="216" t="s">
        <v>609</v>
      </c>
      <c r="I158" s="200"/>
      <c r="J158" s="269" t="s">
        <v>581</v>
      </c>
      <c r="K158" s="236">
        <v>2500</v>
      </c>
      <c r="L158" s="271">
        <v>2500</v>
      </c>
      <c r="M158" s="216" t="s">
        <v>572</v>
      </c>
      <c r="N158" s="204"/>
      <c r="O158" s="197"/>
    </row>
    <row r="159" spans="1:15" s="161" customFormat="1" ht="12.75" customHeight="1" x14ac:dyDescent="0.25">
      <c r="A159" s="272"/>
      <c r="B159" s="273"/>
      <c r="C159" s="273"/>
      <c r="D159" s="273"/>
      <c r="E159" s="273"/>
      <c r="F159" s="273"/>
      <c r="G159" s="272"/>
      <c r="H159" s="274"/>
      <c r="I159" s="275"/>
      <c r="J159" s="276"/>
      <c r="K159" s="276"/>
      <c r="L159" s="277"/>
      <c r="M159" s="278"/>
      <c r="N159" s="273"/>
      <c r="O159" s="197"/>
    </row>
    <row r="160" spans="1:15" ht="12.75" customHeight="1" x14ac:dyDescent="0.25">
      <c r="I160" s="172"/>
      <c r="J160" s="165"/>
      <c r="O160" s="171"/>
    </row>
    <row r="162" spans="6:6" ht="12.75" customHeight="1" x14ac:dyDescent="0.25"/>
    <row r="163" spans="6:6" ht="12.75" customHeight="1" x14ac:dyDescent="0.25">
      <c r="F163" s="174"/>
    </row>
    <row r="168" spans="6:6" ht="12.75" customHeight="1" x14ac:dyDescent="0.25"/>
    <row r="169" spans="6:6" ht="12.75" customHeight="1" x14ac:dyDescent="0.25"/>
    <row r="170" spans="6:6" ht="12.75" customHeight="1" x14ac:dyDescent="0.25"/>
  </sheetData>
  <conditionalFormatting sqref="I1:I6 I8 I10:I15 I17:I39 I104:I145 I159:I1048576 I41:I102">
    <cfRule type="cellIs" dxfId="5" priority="3" operator="equal">
      <formula>0</formula>
    </cfRule>
  </conditionalFormatting>
  <conditionalFormatting sqref="I146">
    <cfRule type="cellIs" dxfId="4" priority="2" operator="equal">
      <formula>0</formula>
    </cfRule>
  </conditionalFormatting>
  <conditionalFormatting sqref="I147:I158">
    <cfRule type="cellIs" dxfId="3" priority="1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opLeftCell="A28" workbookViewId="0">
      <selection activeCell="G46" sqref="G46"/>
    </sheetView>
  </sheetViews>
  <sheetFormatPr defaultRowHeight="15" x14ac:dyDescent="0.25"/>
  <cols>
    <col min="1" max="1" width="30" bestFit="1" customWidth="1"/>
    <col min="2" max="2" width="12" bestFit="1" customWidth="1"/>
    <col min="4" max="4" width="34.5703125" bestFit="1" customWidth="1"/>
  </cols>
  <sheetData>
    <row r="1" spans="1:2" x14ac:dyDescent="0.25">
      <c r="A1" s="26" t="s">
        <v>18</v>
      </c>
    </row>
    <row r="2" spans="1:2" x14ac:dyDescent="0.25">
      <c r="A2" s="20" t="s">
        <v>0</v>
      </c>
      <c r="B2" s="1" t="s">
        <v>1</v>
      </c>
    </row>
    <row r="3" spans="1:2" x14ac:dyDescent="0.25">
      <c r="A3" s="22" t="s">
        <v>2</v>
      </c>
      <c r="B3" s="2"/>
    </row>
    <row r="4" spans="1:2" x14ac:dyDescent="0.25">
      <c r="A4" s="16"/>
      <c r="B4" s="13"/>
    </row>
    <row r="5" spans="1:2" x14ac:dyDescent="0.25">
      <c r="A5" s="20" t="s">
        <v>3</v>
      </c>
      <c r="B5" s="3">
        <v>78</v>
      </c>
    </row>
    <row r="6" spans="1:2" x14ac:dyDescent="0.25">
      <c r="A6" s="21" t="s">
        <v>4</v>
      </c>
      <c r="B6" s="3">
        <v>11.85</v>
      </c>
    </row>
    <row r="7" spans="1:2" x14ac:dyDescent="0.25">
      <c r="A7" s="21" t="s">
        <v>5</v>
      </c>
      <c r="B7" s="3">
        <v>5.35</v>
      </c>
    </row>
    <row r="8" spans="1:2" x14ac:dyDescent="0.25">
      <c r="A8" s="21" t="s">
        <v>6</v>
      </c>
      <c r="B8" s="4">
        <v>12700</v>
      </c>
    </row>
    <row r="9" spans="1:2" x14ac:dyDescent="0.25">
      <c r="A9" s="21" t="s">
        <v>7</v>
      </c>
      <c r="B9" s="3">
        <v>1780</v>
      </c>
    </row>
    <row r="10" spans="1:2" x14ac:dyDescent="0.25">
      <c r="A10" s="22" t="s">
        <v>8</v>
      </c>
      <c r="B10" s="5">
        <v>556.51685393258424</v>
      </c>
    </row>
    <row r="11" spans="1:2" x14ac:dyDescent="0.25">
      <c r="A11" s="14"/>
      <c r="B11" s="14"/>
    </row>
    <row r="12" spans="1:2" x14ac:dyDescent="0.25">
      <c r="A12" s="15" t="s">
        <v>9</v>
      </c>
      <c r="B12" s="14"/>
    </row>
    <row r="13" spans="1:2" x14ac:dyDescent="0.25">
      <c r="A13" s="14"/>
      <c r="B13" s="14"/>
    </row>
    <row r="14" spans="1:2" x14ac:dyDescent="0.25">
      <c r="A14" s="20" t="s">
        <v>10</v>
      </c>
      <c r="B14" s="10">
        <v>17</v>
      </c>
    </row>
    <row r="15" spans="1:2" x14ac:dyDescent="0.25">
      <c r="A15" s="21" t="s">
        <v>11</v>
      </c>
      <c r="B15" s="11">
        <v>170</v>
      </c>
    </row>
    <row r="16" spans="1:2" x14ac:dyDescent="0.25">
      <c r="A16" s="21" t="s">
        <v>12</v>
      </c>
      <c r="B16" s="11">
        <v>550</v>
      </c>
    </row>
    <row r="17" spans="1:5" x14ac:dyDescent="0.25">
      <c r="A17" s="22" t="s">
        <v>13</v>
      </c>
      <c r="B17" s="12">
        <v>1700</v>
      </c>
    </row>
    <row r="18" spans="1:5" x14ac:dyDescent="0.25">
      <c r="A18" s="14"/>
      <c r="B18" s="14"/>
    </row>
    <row r="19" spans="1:5" x14ac:dyDescent="0.25">
      <c r="A19" s="15" t="s">
        <v>14</v>
      </c>
      <c r="B19" s="14"/>
    </row>
    <row r="20" spans="1:5" x14ac:dyDescent="0.25">
      <c r="A20" s="17"/>
      <c r="B20" s="19"/>
    </row>
    <row r="21" spans="1:5" ht="15.75" x14ac:dyDescent="0.3">
      <c r="A21" s="23" t="s">
        <v>15</v>
      </c>
      <c r="B21" s="7">
        <v>2.13</v>
      </c>
    </row>
    <row r="22" spans="1:5" ht="15.75" x14ac:dyDescent="0.3">
      <c r="A22" s="24" t="s">
        <v>16</v>
      </c>
      <c r="B22" s="8">
        <v>66.900000000000006</v>
      </c>
    </row>
    <row r="23" spans="1:5" x14ac:dyDescent="0.25">
      <c r="A23" s="24" t="s">
        <v>17</v>
      </c>
      <c r="B23" s="18">
        <v>1.4958911747641013</v>
      </c>
    </row>
    <row r="24" spans="1:5" x14ac:dyDescent="0.25">
      <c r="A24" s="24" t="s">
        <v>17</v>
      </c>
      <c r="B24" s="18"/>
    </row>
    <row r="25" spans="1:5" x14ac:dyDescent="0.25">
      <c r="A25" s="21" t="s">
        <v>17</v>
      </c>
      <c r="B25" s="4"/>
    </row>
    <row r="26" spans="1:5" x14ac:dyDescent="0.25">
      <c r="A26" s="25" t="s">
        <v>17</v>
      </c>
      <c r="B26" s="4"/>
    </row>
    <row r="27" spans="1:5" x14ac:dyDescent="0.25">
      <c r="A27" s="25" t="s">
        <v>17</v>
      </c>
      <c r="B27" s="9"/>
    </row>
    <row r="28" spans="1:5" x14ac:dyDescent="0.25">
      <c r="A28" s="25" t="s">
        <v>17</v>
      </c>
      <c r="B28" s="6"/>
    </row>
    <row r="31" spans="1:5" x14ac:dyDescent="0.25">
      <c r="A31" s="26" t="s">
        <v>19</v>
      </c>
    </row>
    <row r="32" spans="1:5" x14ac:dyDescent="0.25">
      <c r="A32" s="32" t="s">
        <v>20</v>
      </c>
      <c r="B32" s="29"/>
      <c r="C32" s="29"/>
      <c r="D32" s="29"/>
      <c r="E32" s="29"/>
    </row>
    <row r="33" spans="1:5" x14ac:dyDescent="0.25">
      <c r="A33" s="29"/>
      <c r="B33" s="29"/>
      <c r="C33" s="29"/>
      <c r="D33" s="29"/>
      <c r="E33" s="29"/>
    </row>
    <row r="34" spans="1:5" x14ac:dyDescent="0.25">
      <c r="A34" s="33" t="s">
        <v>21</v>
      </c>
      <c r="B34" s="29"/>
      <c r="C34" s="29"/>
      <c r="D34" s="29"/>
      <c r="E34" s="29"/>
    </row>
    <row r="35" spans="1:5" x14ac:dyDescent="0.25">
      <c r="A35" s="29"/>
      <c r="B35" s="29"/>
      <c r="C35" s="29"/>
      <c r="D35" s="29"/>
      <c r="E35" s="29"/>
    </row>
    <row r="36" spans="1:5" x14ac:dyDescent="0.25">
      <c r="A36" s="45" t="s">
        <v>22</v>
      </c>
      <c r="B36" s="34" t="s">
        <v>23</v>
      </c>
      <c r="C36" s="29"/>
      <c r="D36" s="35" t="s">
        <v>24</v>
      </c>
      <c r="E36" s="30"/>
    </row>
    <row r="37" spans="1:5" x14ac:dyDescent="0.25">
      <c r="A37" s="29"/>
      <c r="B37" s="29"/>
      <c r="C37" s="29"/>
      <c r="D37" s="42" t="s">
        <v>25</v>
      </c>
      <c r="E37" s="58">
        <v>44000000000</v>
      </c>
    </row>
    <row r="38" spans="1:5" x14ac:dyDescent="0.25">
      <c r="A38" s="32" t="s">
        <v>26</v>
      </c>
      <c r="B38" s="29"/>
      <c r="C38" s="29"/>
      <c r="D38" s="43" t="s">
        <v>27</v>
      </c>
      <c r="E38" s="57">
        <v>5200000000</v>
      </c>
    </row>
    <row r="39" spans="1:5" x14ac:dyDescent="0.25">
      <c r="A39" s="47" t="s">
        <v>28</v>
      </c>
      <c r="B39" s="28">
        <v>1.9999999999999999E-11</v>
      </c>
      <c r="C39" s="29"/>
      <c r="D39" s="43" t="s">
        <v>29</v>
      </c>
      <c r="E39" s="57">
        <v>38800000000</v>
      </c>
    </row>
    <row r="40" spans="1:5" x14ac:dyDescent="0.25">
      <c r="A40" s="46" t="s">
        <v>30</v>
      </c>
      <c r="B40" s="27">
        <v>5.0000000000000004E-6</v>
      </c>
      <c r="C40" s="29"/>
      <c r="D40" s="44" t="s">
        <v>31</v>
      </c>
      <c r="E40" s="57">
        <v>5200000000</v>
      </c>
    </row>
    <row r="41" spans="1:5" x14ac:dyDescent="0.25">
      <c r="A41" s="46" t="s">
        <v>32</v>
      </c>
      <c r="B41" s="27">
        <v>0</v>
      </c>
      <c r="C41" s="29"/>
      <c r="D41" s="29"/>
      <c r="E41" s="54"/>
    </row>
    <row r="42" spans="1:5" x14ac:dyDescent="0.25">
      <c r="A42" s="46" t="s">
        <v>33</v>
      </c>
      <c r="B42" s="52">
        <v>0.2</v>
      </c>
      <c r="C42" s="29"/>
      <c r="D42" s="32" t="s">
        <v>34</v>
      </c>
      <c r="E42" s="54"/>
    </row>
    <row r="43" spans="1:5" x14ac:dyDescent="0.25">
      <c r="A43" s="46" t="s">
        <v>35</v>
      </c>
      <c r="B43" s="52">
        <v>0.2</v>
      </c>
      <c r="C43" s="29"/>
      <c r="D43" s="42" t="s">
        <v>25</v>
      </c>
      <c r="E43" s="55">
        <v>17.28</v>
      </c>
    </row>
    <row r="44" spans="1:5" x14ac:dyDescent="0.25">
      <c r="A44" s="46" t="s">
        <v>36</v>
      </c>
      <c r="B44" s="52">
        <v>0.6</v>
      </c>
      <c r="C44" s="29"/>
      <c r="D44" s="43" t="s">
        <v>27</v>
      </c>
      <c r="E44" s="56">
        <v>960</v>
      </c>
    </row>
    <row r="45" spans="1:5" x14ac:dyDescent="0.25">
      <c r="A45" s="46" t="s">
        <v>37</v>
      </c>
      <c r="B45" s="52">
        <v>0.8</v>
      </c>
      <c r="C45" s="29"/>
      <c r="D45" s="43" t="s">
        <v>29</v>
      </c>
      <c r="E45" s="56">
        <v>0</v>
      </c>
    </row>
    <row r="46" spans="1:5" x14ac:dyDescent="0.25">
      <c r="A46" s="48" t="s">
        <v>38</v>
      </c>
      <c r="B46" s="53">
        <v>0.2</v>
      </c>
      <c r="C46" s="29"/>
      <c r="D46" s="43" t="s">
        <v>39</v>
      </c>
      <c r="E46" s="57">
        <v>1E+20</v>
      </c>
    </row>
    <row r="47" spans="1:5" x14ac:dyDescent="0.25">
      <c r="A47" s="29"/>
      <c r="B47" s="54"/>
      <c r="C47" s="29"/>
      <c r="D47" s="36"/>
      <c r="E47" s="50"/>
    </row>
    <row r="48" spans="1:5" x14ac:dyDescent="0.25">
      <c r="A48" s="37" t="s">
        <v>40</v>
      </c>
      <c r="B48" s="51"/>
      <c r="C48" s="29"/>
      <c r="D48" s="37" t="s">
        <v>41</v>
      </c>
      <c r="E48" s="51"/>
    </row>
    <row r="49" spans="1:5" x14ac:dyDescent="0.25">
      <c r="A49" s="42" t="s">
        <v>25</v>
      </c>
      <c r="B49" s="55">
        <v>1000</v>
      </c>
      <c r="C49" s="29"/>
      <c r="D49" s="43" t="s">
        <v>42</v>
      </c>
      <c r="E49" s="56">
        <v>0.2</v>
      </c>
    </row>
    <row r="50" spans="1:5" x14ac:dyDescent="0.25">
      <c r="A50" s="46" t="s">
        <v>27</v>
      </c>
      <c r="B50" s="52">
        <v>3</v>
      </c>
      <c r="C50" s="29"/>
      <c r="D50" s="43" t="s">
        <v>43</v>
      </c>
      <c r="E50" s="57">
        <v>9.9999999999999995E-21</v>
      </c>
    </row>
    <row r="51" spans="1:5" x14ac:dyDescent="0.25">
      <c r="A51" s="46" t="s">
        <v>29</v>
      </c>
      <c r="B51" s="52">
        <v>0.05</v>
      </c>
      <c r="C51" s="29"/>
      <c r="D51" s="43" t="s">
        <v>29</v>
      </c>
      <c r="E51" s="56">
        <v>0.02</v>
      </c>
    </row>
    <row r="52" spans="1:5" x14ac:dyDescent="0.25">
      <c r="A52" s="48" t="s">
        <v>31</v>
      </c>
      <c r="B52" s="53">
        <v>0.03</v>
      </c>
      <c r="C52" s="29"/>
      <c r="D52" s="44" t="s">
        <v>31</v>
      </c>
      <c r="E52" s="59">
        <v>0.05</v>
      </c>
    </row>
    <row r="53" spans="1:5" x14ac:dyDescent="0.25">
      <c r="A53" s="29"/>
      <c r="B53" s="54"/>
      <c r="C53" s="29"/>
      <c r="D53" s="38"/>
      <c r="E53" s="54"/>
    </row>
    <row r="54" spans="1:5" x14ac:dyDescent="0.25">
      <c r="A54" s="37" t="s">
        <v>44</v>
      </c>
      <c r="B54" s="51"/>
      <c r="C54" s="29"/>
      <c r="D54" s="38" t="s">
        <v>45</v>
      </c>
      <c r="E54" s="54"/>
    </row>
    <row r="55" spans="1:5" x14ac:dyDescent="0.25">
      <c r="A55" s="42" t="s">
        <v>25</v>
      </c>
      <c r="B55" s="55">
        <v>1000</v>
      </c>
      <c r="C55" s="29"/>
      <c r="D55" s="47" t="s">
        <v>46</v>
      </c>
      <c r="E55" s="28">
        <v>19.8</v>
      </c>
    </row>
    <row r="56" spans="1:5" x14ac:dyDescent="0.25">
      <c r="A56" s="46" t="s">
        <v>27</v>
      </c>
      <c r="B56" s="52">
        <v>3</v>
      </c>
      <c r="C56" s="29"/>
      <c r="D56" s="46" t="s">
        <v>47</v>
      </c>
      <c r="E56" s="27">
        <v>2.1899999999999999E-2</v>
      </c>
    </row>
    <row r="57" spans="1:5" x14ac:dyDescent="0.25">
      <c r="A57" s="46" t="s">
        <v>29</v>
      </c>
      <c r="B57" s="52">
        <v>0.05</v>
      </c>
      <c r="C57" s="29"/>
      <c r="D57" s="46" t="s">
        <v>48</v>
      </c>
      <c r="E57" s="27">
        <v>1.2999999999999999E-3</v>
      </c>
    </row>
    <row r="58" spans="1:5" x14ac:dyDescent="0.25">
      <c r="A58" s="48" t="s">
        <v>31</v>
      </c>
      <c r="B58" s="53">
        <v>0.03</v>
      </c>
      <c r="C58" s="29"/>
      <c r="D58" s="46" t="s">
        <v>49</v>
      </c>
      <c r="E58" s="27">
        <v>7.1999999999999997E-11</v>
      </c>
    </row>
    <row r="59" spans="1:5" x14ac:dyDescent="0.25">
      <c r="A59" s="29"/>
      <c r="B59" s="54"/>
      <c r="C59" s="29"/>
      <c r="D59" s="46" t="s">
        <v>50</v>
      </c>
      <c r="E59" s="28">
        <v>0.02</v>
      </c>
    </row>
    <row r="60" spans="1:5" x14ac:dyDescent="0.25">
      <c r="A60" s="37" t="s">
        <v>51</v>
      </c>
      <c r="B60" s="54"/>
      <c r="C60" s="29"/>
      <c r="D60" s="46" t="s">
        <v>52</v>
      </c>
      <c r="E60" s="27">
        <v>1.9999999999999999E-6</v>
      </c>
    </row>
    <row r="61" spans="1:5" x14ac:dyDescent="0.25">
      <c r="A61" s="42" t="s">
        <v>53</v>
      </c>
      <c r="B61" s="55">
        <v>1.21</v>
      </c>
      <c r="C61" s="29"/>
      <c r="D61" s="46" t="s">
        <v>54</v>
      </c>
      <c r="E61" s="27">
        <v>2.9899999999999999E-2</v>
      </c>
    </row>
    <row r="62" spans="1:5" x14ac:dyDescent="0.25">
      <c r="A62" s="43" t="s">
        <v>28</v>
      </c>
      <c r="B62" s="56">
        <v>2000</v>
      </c>
      <c r="C62" s="29"/>
      <c r="D62" s="46" t="s">
        <v>55</v>
      </c>
      <c r="E62" s="27">
        <v>9.8999999999999994E-5</v>
      </c>
    </row>
    <row r="63" spans="1:5" x14ac:dyDescent="0.25">
      <c r="A63" s="43" t="s">
        <v>56</v>
      </c>
      <c r="B63" s="56">
        <v>1000</v>
      </c>
      <c r="C63" s="29"/>
      <c r="D63" s="46" t="s">
        <v>57</v>
      </c>
      <c r="E63" s="27">
        <v>5.2E-7</v>
      </c>
    </row>
    <row r="64" spans="1:5" x14ac:dyDescent="0.25">
      <c r="A64" s="43" t="s">
        <v>58</v>
      </c>
      <c r="B64" s="56">
        <v>2500</v>
      </c>
      <c r="C64" s="29"/>
      <c r="D64" s="46" t="s">
        <v>59</v>
      </c>
      <c r="E64" s="27">
        <v>2.7800000000000001E-6</v>
      </c>
    </row>
    <row r="65" spans="1:5" x14ac:dyDescent="0.25">
      <c r="A65" s="43" t="s">
        <v>32</v>
      </c>
      <c r="B65" s="57">
        <v>9.9999999999999995E-21</v>
      </c>
      <c r="C65" s="29"/>
      <c r="D65" s="46" t="s">
        <v>60</v>
      </c>
      <c r="E65" s="27">
        <v>5.0000000000000002E-5</v>
      </c>
    </row>
    <row r="66" spans="1:5" x14ac:dyDescent="0.25">
      <c r="A66" s="43" t="s">
        <v>33</v>
      </c>
      <c r="B66" s="56">
        <v>1.21</v>
      </c>
      <c r="C66" s="29"/>
      <c r="D66" s="48" t="s">
        <v>61</v>
      </c>
      <c r="E66" s="27">
        <v>3.4200000000000002E-9</v>
      </c>
    </row>
    <row r="67" spans="1:5" x14ac:dyDescent="0.25">
      <c r="A67" s="43" t="s">
        <v>35</v>
      </c>
      <c r="B67" s="56">
        <v>1000</v>
      </c>
      <c r="C67" s="29"/>
      <c r="D67" s="39"/>
      <c r="E67" s="36"/>
    </row>
    <row r="68" spans="1:5" x14ac:dyDescent="0.25">
      <c r="A68" s="46" t="s">
        <v>62</v>
      </c>
      <c r="B68" s="52">
        <v>2500</v>
      </c>
      <c r="C68" s="29"/>
      <c r="D68" s="40"/>
      <c r="E68" s="31"/>
    </row>
    <row r="69" spans="1:5" x14ac:dyDescent="0.25">
      <c r="A69" s="46" t="s">
        <v>37</v>
      </c>
      <c r="B69" s="52">
        <v>1000</v>
      </c>
      <c r="C69" s="29"/>
      <c r="D69" s="41"/>
      <c r="E69" s="41"/>
    </row>
    <row r="70" spans="1:5" x14ac:dyDescent="0.25">
      <c r="A70" s="49" t="s">
        <v>63</v>
      </c>
      <c r="B70" s="53">
        <v>2500</v>
      </c>
      <c r="C70" s="29"/>
      <c r="D70" s="41"/>
      <c r="E70" s="4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2756F-2CAD-4A07-BDD7-61AD9399081C}">
  <dimension ref="A1:AF6910"/>
  <sheetViews>
    <sheetView workbookViewId="0">
      <selection activeCell="C4" sqref="C4"/>
    </sheetView>
  </sheetViews>
  <sheetFormatPr defaultColWidth="11.42578125" defaultRowHeight="12.75" x14ac:dyDescent="0.2"/>
  <cols>
    <col min="1" max="1" width="28.140625" style="67" bestFit="1" customWidth="1"/>
    <col min="2" max="2" width="19.140625" style="67" customWidth="1"/>
    <col min="3" max="3" width="12.140625" style="67" customWidth="1"/>
    <col min="4" max="4" width="12.42578125" style="67" customWidth="1"/>
    <col min="5" max="5" width="19.140625" style="67" customWidth="1"/>
    <col min="6" max="6" width="18.28515625" style="67" customWidth="1"/>
    <col min="7" max="7" width="14" style="67" customWidth="1"/>
    <col min="8" max="8" width="13.28515625" style="67" customWidth="1"/>
    <col min="9" max="9" width="14.42578125" style="67" customWidth="1"/>
    <col min="10" max="10" width="14.85546875" style="67" customWidth="1"/>
    <col min="11" max="11" width="12" style="67" customWidth="1"/>
    <col min="12" max="12" width="13.42578125" style="67" customWidth="1"/>
    <col min="13" max="13" width="14.5703125" style="67" customWidth="1"/>
    <col min="14" max="14" width="15" style="67" customWidth="1"/>
    <col min="15" max="15" width="11.42578125" style="67"/>
    <col min="16" max="17" width="12.85546875" style="67" customWidth="1"/>
    <col min="18" max="18" width="12.7109375" style="67" customWidth="1"/>
    <col min="19" max="19" width="12.42578125" style="67" customWidth="1"/>
    <col min="20" max="20" width="12.85546875" style="67" customWidth="1"/>
    <col min="21" max="22" width="11" style="67" bestFit="1" customWidth="1"/>
    <col min="23" max="23" width="15.5703125" style="67" customWidth="1"/>
    <col min="24" max="24" width="13.42578125" style="67" customWidth="1"/>
    <col min="25" max="25" width="11" style="67" bestFit="1" customWidth="1"/>
    <col min="26" max="26" width="15.42578125" style="67" customWidth="1"/>
    <col min="27" max="28" width="11.140625" style="67" customWidth="1"/>
    <col min="29" max="29" width="13.85546875" style="67" customWidth="1"/>
    <col min="30" max="30" width="11.7109375" style="67" customWidth="1"/>
    <col min="31" max="31" width="12.28515625" style="67" customWidth="1"/>
    <col min="32" max="32" width="13.28515625" style="67" customWidth="1"/>
    <col min="33" max="33" width="11" style="67" bestFit="1" customWidth="1"/>
    <col min="34" max="34" width="11.42578125" style="67"/>
    <col min="35" max="35" width="9.42578125" style="67" bestFit="1" customWidth="1"/>
    <col min="36" max="256" width="11.42578125" style="67"/>
    <col min="257" max="257" width="28.140625" style="67" bestFit="1" customWidth="1"/>
    <col min="258" max="258" width="19.140625" style="67" customWidth="1"/>
    <col min="259" max="259" width="12.140625" style="67" customWidth="1"/>
    <col min="260" max="260" width="12.42578125" style="67" customWidth="1"/>
    <col min="261" max="261" width="19.140625" style="67" customWidth="1"/>
    <col min="262" max="262" width="18.28515625" style="67" customWidth="1"/>
    <col min="263" max="263" width="14" style="67" customWidth="1"/>
    <col min="264" max="264" width="13.28515625" style="67" customWidth="1"/>
    <col min="265" max="265" width="14.42578125" style="67" customWidth="1"/>
    <col min="266" max="266" width="14.85546875" style="67" customWidth="1"/>
    <col min="267" max="267" width="12" style="67" customWidth="1"/>
    <col min="268" max="268" width="13.42578125" style="67" customWidth="1"/>
    <col min="269" max="269" width="14.5703125" style="67" customWidth="1"/>
    <col min="270" max="270" width="15" style="67" customWidth="1"/>
    <col min="271" max="271" width="11.42578125" style="67"/>
    <col min="272" max="273" width="12.85546875" style="67" customWidth="1"/>
    <col min="274" max="274" width="12.7109375" style="67" customWidth="1"/>
    <col min="275" max="275" width="12.42578125" style="67" customWidth="1"/>
    <col min="276" max="276" width="12.85546875" style="67" customWidth="1"/>
    <col min="277" max="278" width="11" style="67" bestFit="1" customWidth="1"/>
    <col min="279" max="279" width="15.5703125" style="67" customWidth="1"/>
    <col min="280" max="280" width="13.42578125" style="67" customWidth="1"/>
    <col min="281" max="281" width="11" style="67" bestFit="1" customWidth="1"/>
    <col min="282" max="282" width="15.42578125" style="67" customWidth="1"/>
    <col min="283" max="284" width="11.140625" style="67" customWidth="1"/>
    <col min="285" max="285" width="13.85546875" style="67" customWidth="1"/>
    <col min="286" max="286" width="11.7109375" style="67" customWidth="1"/>
    <col min="287" max="287" width="12.28515625" style="67" customWidth="1"/>
    <col min="288" max="288" width="13.28515625" style="67" customWidth="1"/>
    <col min="289" max="289" width="11" style="67" bestFit="1" customWidth="1"/>
    <col min="290" max="290" width="11.42578125" style="67"/>
    <col min="291" max="291" width="9.42578125" style="67" bestFit="1" customWidth="1"/>
    <col min="292" max="512" width="11.42578125" style="67"/>
    <col min="513" max="513" width="28.140625" style="67" bestFit="1" customWidth="1"/>
    <col min="514" max="514" width="19.140625" style="67" customWidth="1"/>
    <col min="515" max="515" width="12.140625" style="67" customWidth="1"/>
    <col min="516" max="516" width="12.42578125" style="67" customWidth="1"/>
    <col min="517" max="517" width="19.140625" style="67" customWidth="1"/>
    <col min="518" max="518" width="18.28515625" style="67" customWidth="1"/>
    <col min="519" max="519" width="14" style="67" customWidth="1"/>
    <col min="520" max="520" width="13.28515625" style="67" customWidth="1"/>
    <col min="521" max="521" width="14.42578125" style="67" customWidth="1"/>
    <col min="522" max="522" width="14.85546875" style="67" customWidth="1"/>
    <col min="523" max="523" width="12" style="67" customWidth="1"/>
    <col min="524" max="524" width="13.42578125" style="67" customWidth="1"/>
    <col min="525" max="525" width="14.5703125" style="67" customWidth="1"/>
    <col min="526" max="526" width="15" style="67" customWidth="1"/>
    <col min="527" max="527" width="11.42578125" style="67"/>
    <col min="528" max="529" width="12.85546875" style="67" customWidth="1"/>
    <col min="530" max="530" width="12.7109375" style="67" customWidth="1"/>
    <col min="531" max="531" width="12.42578125" style="67" customWidth="1"/>
    <col min="532" max="532" width="12.85546875" style="67" customWidth="1"/>
    <col min="533" max="534" width="11" style="67" bestFit="1" customWidth="1"/>
    <col min="535" max="535" width="15.5703125" style="67" customWidth="1"/>
    <col min="536" max="536" width="13.42578125" style="67" customWidth="1"/>
    <col min="537" max="537" width="11" style="67" bestFit="1" customWidth="1"/>
    <col min="538" max="538" width="15.42578125" style="67" customWidth="1"/>
    <col min="539" max="540" width="11.140625" style="67" customWidth="1"/>
    <col min="541" max="541" width="13.85546875" style="67" customWidth="1"/>
    <col min="542" max="542" width="11.7109375" style="67" customWidth="1"/>
    <col min="543" max="543" width="12.28515625" style="67" customWidth="1"/>
    <col min="544" max="544" width="13.28515625" style="67" customWidth="1"/>
    <col min="545" max="545" width="11" style="67" bestFit="1" customWidth="1"/>
    <col min="546" max="546" width="11.42578125" style="67"/>
    <col min="547" max="547" width="9.42578125" style="67" bestFit="1" customWidth="1"/>
    <col min="548" max="768" width="11.42578125" style="67"/>
    <col min="769" max="769" width="28.140625" style="67" bestFit="1" customWidth="1"/>
    <col min="770" max="770" width="19.140625" style="67" customWidth="1"/>
    <col min="771" max="771" width="12.140625" style="67" customWidth="1"/>
    <col min="772" max="772" width="12.42578125" style="67" customWidth="1"/>
    <col min="773" max="773" width="19.140625" style="67" customWidth="1"/>
    <col min="774" max="774" width="18.28515625" style="67" customWidth="1"/>
    <col min="775" max="775" width="14" style="67" customWidth="1"/>
    <col min="776" max="776" width="13.28515625" style="67" customWidth="1"/>
    <col min="777" max="777" width="14.42578125" style="67" customWidth="1"/>
    <col min="778" max="778" width="14.85546875" style="67" customWidth="1"/>
    <col min="779" max="779" width="12" style="67" customWidth="1"/>
    <col min="780" max="780" width="13.42578125" style="67" customWidth="1"/>
    <col min="781" max="781" width="14.5703125" style="67" customWidth="1"/>
    <col min="782" max="782" width="15" style="67" customWidth="1"/>
    <col min="783" max="783" width="11.42578125" style="67"/>
    <col min="784" max="785" width="12.85546875" style="67" customWidth="1"/>
    <col min="786" max="786" width="12.7109375" style="67" customWidth="1"/>
    <col min="787" max="787" width="12.42578125" style="67" customWidth="1"/>
    <col min="788" max="788" width="12.85546875" style="67" customWidth="1"/>
    <col min="789" max="790" width="11" style="67" bestFit="1" customWidth="1"/>
    <col min="791" max="791" width="15.5703125" style="67" customWidth="1"/>
    <col min="792" max="792" width="13.42578125" style="67" customWidth="1"/>
    <col min="793" max="793" width="11" style="67" bestFit="1" customWidth="1"/>
    <col min="794" max="794" width="15.42578125" style="67" customWidth="1"/>
    <col min="795" max="796" width="11.140625" style="67" customWidth="1"/>
    <col min="797" max="797" width="13.85546875" style="67" customWidth="1"/>
    <col min="798" max="798" width="11.7109375" style="67" customWidth="1"/>
    <col min="799" max="799" width="12.28515625" style="67" customWidth="1"/>
    <col min="800" max="800" width="13.28515625" style="67" customWidth="1"/>
    <col min="801" max="801" width="11" style="67" bestFit="1" customWidth="1"/>
    <col min="802" max="802" width="11.42578125" style="67"/>
    <col min="803" max="803" width="9.42578125" style="67" bestFit="1" customWidth="1"/>
    <col min="804" max="1024" width="11.42578125" style="67"/>
    <col min="1025" max="1025" width="28.140625" style="67" bestFit="1" customWidth="1"/>
    <col min="1026" max="1026" width="19.140625" style="67" customWidth="1"/>
    <col min="1027" max="1027" width="12.140625" style="67" customWidth="1"/>
    <col min="1028" max="1028" width="12.42578125" style="67" customWidth="1"/>
    <col min="1029" max="1029" width="19.140625" style="67" customWidth="1"/>
    <col min="1030" max="1030" width="18.28515625" style="67" customWidth="1"/>
    <col min="1031" max="1031" width="14" style="67" customWidth="1"/>
    <col min="1032" max="1032" width="13.28515625" style="67" customWidth="1"/>
    <col min="1033" max="1033" width="14.42578125" style="67" customWidth="1"/>
    <col min="1034" max="1034" width="14.85546875" style="67" customWidth="1"/>
    <col min="1035" max="1035" width="12" style="67" customWidth="1"/>
    <col min="1036" max="1036" width="13.42578125" style="67" customWidth="1"/>
    <col min="1037" max="1037" width="14.5703125" style="67" customWidth="1"/>
    <col min="1038" max="1038" width="15" style="67" customWidth="1"/>
    <col min="1039" max="1039" width="11.42578125" style="67"/>
    <col min="1040" max="1041" width="12.85546875" style="67" customWidth="1"/>
    <col min="1042" max="1042" width="12.7109375" style="67" customWidth="1"/>
    <col min="1043" max="1043" width="12.42578125" style="67" customWidth="1"/>
    <col min="1044" max="1044" width="12.85546875" style="67" customWidth="1"/>
    <col min="1045" max="1046" width="11" style="67" bestFit="1" customWidth="1"/>
    <col min="1047" max="1047" width="15.5703125" style="67" customWidth="1"/>
    <col min="1048" max="1048" width="13.42578125" style="67" customWidth="1"/>
    <col min="1049" max="1049" width="11" style="67" bestFit="1" customWidth="1"/>
    <col min="1050" max="1050" width="15.42578125" style="67" customWidth="1"/>
    <col min="1051" max="1052" width="11.140625" style="67" customWidth="1"/>
    <col min="1053" max="1053" width="13.85546875" style="67" customWidth="1"/>
    <col min="1054" max="1054" width="11.7109375" style="67" customWidth="1"/>
    <col min="1055" max="1055" width="12.28515625" style="67" customWidth="1"/>
    <col min="1056" max="1056" width="13.28515625" style="67" customWidth="1"/>
    <col min="1057" max="1057" width="11" style="67" bestFit="1" customWidth="1"/>
    <col min="1058" max="1058" width="11.42578125" style="67"/>
    <col min="1059" max="1059" width="9.42578125" style="67" bestFit="1" customWidth="1"/>
    <col min="1060" max="1280" width="11.42578125" style="67"/>
    <col min="1281" max="1281" width="28.140625" style="67" bestFit="1" customWidth="1"/>
    <col min="1282" max="1282" width="19.140625" style="67" customWidth="1"/>
    <col min="1283" max="1283" width="12.140625" style="67" customWidth="1"/>
    <col min="1284" max="1284" width="12.42578125" style="67" customWidth="1"/>
    <col min="1285" max="1285" width="19.140625" style="67" customWidth="1"/>
    <col min="1286" max="1286" width="18.28515625" style="67" customWidth="1"/>
    <col min="1287" max="1287" width="14" style="67" customWidth="1"/>
    <col min="1288" max="1288" width="13.28515625" style="67" customWidth="1"/>
    <col min="1289" max="1289" width="14.42578125" style="67" customWidth="1"/>
    <col min="1290" max="1290" width="14.85546875" style="67" customWidth="1"/>
    <col min="1291" max="1291" width="12" style="67" customWidth="1"/>
    <col min="1292" max="1292" width="13.42578125" style="67" customWidth="1"/>
    <col min="1293" max="1293" width="14.5703125" style="67" customWidth="1"/>
    <col min="1294" max="1294" width="15" style="67" customWidth="1"/>
    <col min="1295" max="1295" width="11.42578125" style="67"/>
    <col min="1296" max="1297" width="12.85546875" style="67" customWidth="1"/>
    <col min="1298" max="1298" width="12.7109375" style="67" customWidth="1"/>
    <col min="1299" max="1299" width="12.42578125" style="67" customWidth="1"/>
    <col min="1300" max="1300" width="12.85546875" style="67" customWidth="1"/>
    <col min="1301" max="1302" width="11" style="67" bestFit="1" customWidth="1"/>
    <col min="1303" max="1303" width="15.5703125" style="67" customWidth="1"/>
    <col min="1304" max="1304" width="13.42578125" style="67" customWidth="1"/>
    <col min="1305" max="1305" width="11" style="67" bestFit="1" customWidth="1"/>
    <col min="1306" max="1306" width="15.42578125" style="67" customWidth="1"/>
    <col min="1307" max="1308" width="11.140625" style="67" customWidth="1"/>
    <col min="1309" max="1309" width="13.85546875" style="67" customWidth="1"/>
    <col min="1310" max="1310" width="11.7109375" style="67" customWidth="1"/>
    <col min="1311" max="1311" width="12.28515625" style="67" customWidth="1"/>
    <col min="1312" max="1312" width="13.28515625" style="67" customWidth="1"/>
    <col min="1313" max="1313" width="11" style="67" bestFit="1" customWidth="1"/>
    <col min="1314" max="1314" width="11.42578125" style="67"/>
    <col min="1315" max="1315" width="9.42578125" style="67" bestFit="1" customWidth="1"/>
    <col min="1316" max="1536" width="11.42578125" style="67"/>
    <col min="1537" max="1537" width="28.140625" style="67" bestFit="1" customWidth="1"/>
    <col min="1538" max="1538" width="19.140625" style="67" customWidth="1"/>
    <col min="1539" max="1539" width="12.140625" style="67" customWidth="1"/>
    <col min="1540" max="1540" width="12.42578125" style="67" customWidth="1"/>
    <col min="1541" max="1541" width="19.140625" style="67" customWidth="1"/>
    <col min="1542" max="1542" width="18.28515625" style="67" customWidth="1"/>
    <col min="1543" max="1543" width="14" style="67" customWidth="1"/>
    <col min="1544" max="1544" width="13.28515625" style="67" customWidth="1"/>
    <col min="1545" max="1545" width="14.42578125" style="67" customWidth="1"/>
    <col min="1546" max="1546" width="14.85546875" style="67" customWidth="1"/>
    <col min="1547" max="1547" width="12" style="67" customWidth="1"/>
    <col min="1548" max="1548" width="13.42578125" style="67" customWidth="1"/>
    <col min="1549" max="1549" width="14.5703125" style="67" customWidth="1"/>
    <col min="1550" max="1550" width="15" style="67" customWidth="1"/>
    <col min="1551" max="1551" width="11.42578125" style="67"/>
    <col min="1552" max="1553" width="12.85546875" style="67" customWidth="1"/>
    <col min="1554" max="1554" width="12.7109375" style="67" customWidth="1"/>
    <col min="1555" max="1555" width="12.42578125" style="67" customWidth="1"/>
    <col min="1556" max="1556" width="12.85546875" style="67" customWidth="1"/>
    <col min="1557" max="1558" width="11" style="67" bestFit="1" customWidth="1"/>
    <col min="1559" max="1559" width="15.5703125" style="67" customWidth="1"/>
    <col min="1560" max="1560" width="13.42578125" style="67" customWidth="1"/>
    <col min="1561" max="1561" width="11" style="67" bestFit="1" customWidth="1"/>
    <col min="1562" max="1562" width="15.42578125" style="67" customWidth="1"/>
    <col min="1563" max="1564" width="11.140625" style="67" customWidth="1"/>
    <col min="1565" max="1565" width="13.85546875" style="67" customWidth="1"/>
    <col min="1566" max="1566" width="11.7109375" style="67" customWidth="1"/>
    <col min="1567" max="1567" width="12.28515625" style="67" customWidth="1"/>
    <col min="1568" max="1568" width="13.28515625" style="67" customWidth="1"/>
    <col min="1569" max="1569" width="11" style="67" bestFit="1" customWidth="1"/>
    <col min="1570" max="1570" width="11.42578125" style="67"/>
    <col min="1571" max="1571" width="9.42578125" style="67" bestFit="1" customWidth="1"/>
    <col min="1572" max="1792" width="11.42578125" style="67"/>
    <col min="1793" max="1793" width="28.140625" style="67" bestFit="1" customWidth="1"/>
    <col min="1794" max="1794" width="19.140625" style="67" customWidth="1"/>
    <col min="1795" max="1795" width="12.140625" style="67" customWidth="1"/>
    <col min="1796" max="1796" width="12.42578125" style="67" customWidth="1"/>
    <col min="1797" max="1797" width="19.140625" style="67" customWidth="1"/>
    <col min="1798" max="1798" width="18.28515625" style="67" customWidth="1"/>
    <col min="1799" max="1799" width="14" style="67" customWidth="1"/>
    <col min="1800" max="1800" width="13.28515625" style="67" customWidth="1"/>
    <col min="1801" max="1801" width="14.42578125" style="67" customWidth="1"/>
    <col min="1802" max="1802" width="14.85546875" style="67" customWidth="1"/>
    <col min="1803" max="1803" width="12" style="67" customWidth="1"/>
    <col min="1804" max="1804" width="13.42578125" style="67" customWidth="1"/>
    <col min="1805" max="1805" width="14.5703125" style="67" customWidth="1"/>
    <col min="1806" max="1806" width="15" style="67" customWidth="1"/>
    <col min="1807" max="1807" width="11.42578125" style="67"/>
    <col min="1808" max="1809" width="12.85546875" style="67" customWidth="1"/>
    <col min="1810" max="1810" width="12.7109375" style="67" customWidth="1"/>
    <col min="1811" max="1811" width="12.42578125" style="67" customWidth="1"/>
    <col min="1812" max="1812" width="12.85546875" style="67" customWidth="1"/>
    <col min="1813" max="1814" width="11" style="67" bestFit="1" customWidth="1"/>
    <col min="1815" max="1815" width="15.5703125" style="67" customWidth="1"/>
    <col min="1816" max="1816" width="13.42578125" style="67" customWidth="1"/>
    <col min="1817" max="1817" width="11" style="67" bestFit="1" customWidth="1"/>
    <col min="1818" max="1818" width="15.42578125" style="67" customWidth="1"/>
    <col min="1819" max="1820" width="11.140625" style="67" customWidth="1"/>
    <col min="1821" max="1821" width="13.85546875" style="67" customWidth="1"/>
    <col min="1822" max="1822" width="11.7109375" style="67" customWidth="1"/>
    <col min="1823" max="1823" width="12.28515625" style="67" customWidth="1"/>
    <col min="1824" max="1824" width="13.28515625" style="67" customWidth="1"/>
    <col min="1825" max="1825" width="11" style="67" bestFit="1" customWidth="1"/>
    <col min="1826" max="1826" width="11.42578125" style="67"/>
    <col min="1827" max="1827" width="9.42578125" style="67" bestFit="1" customWidth="1"/>
    <col min="1828" max="2048" width="11.42578125" style="67"/>
    <col min="2049" max="2049" width="28.140625" style="67" bestFit="1" customWidth="1"/>
    <col min="2050" max="2050" width="19.140625" style="67" customWidth="1"/>
    <col min="2051" max="2051" width="12.140625" style="67" customWidth="1"/>
    <col min="2052" max="2052" width="12.42578125" style="67" customWidth="1"/>
    <col min="2053" max="2053" width="19.140625" style="67" customWidth="1"/>
    <col min="2054" max="2054" width="18.28515625" style="67" customWidth="1"/>
    <col min="2055" max="2055" width="14" style="67" customWidth="1"/>
    <col min="2056" max="2056" width="13.28515625" style="67" customWidth="1"/>
    <col min="2057" max="2057" width="14.42578125" style="67" customWidth="1"/>
    <col min="2058" max="2058" width="14.85546875" style="67" customWidth="1"/>
    <col min="2059" max="2059" width="12" style="67" customWidth="1"/>
    <col min="2060" max="2060" width="13.42578125" style="67" customWidth="1"/>
    <col min="2061" max="2061" width="14.5703125" style="67" customWidth="1"/>
    <col min="2062" max="2062" width="15" style="67" customWidth="1"/>
    <col min="2063" max="2063" width="11.42578125" style="67"/>
    <col min="2064" max="2065" width="12.85546875" style="67" customWidth="1"/>
    <col min="2066" max="2066" width="12.7109375" style="67" customWidth="1"/>
    <col min="2067" max="2067" width="12.42578125" style="67" customWidth="1"/>
    <col min="2068" max="2068" width="12.85546875" style="67" customWidth="1"/>
    <col min="2069" max="2070" width="11" style="67" bestFit="1" customWidth="1"/>
    <col min="2071" max="2071" width="15.5703125" style="67" customWidth="1"/>
    <col min="2072" max="2072" width="13.42578125" style="67" customWidth="1"/>
    <col min="2073" max="2073" width="11" style="67" bestFit="1" customWidth="1"/>
    <col min="2074" max="2074" width="15.42578125" style="67" customWidth="1"/>
    <col min="2075" max="2076" width="11.140625" style="67" customWidth="1"/>
    <col min="2077" max="2077" width="13.85546875" style="67" customWidth="1"/>
    <col min="2078" max="2078" width="11.7109375" style="67" customWidth="1"/>
    <col min="2079" max="2079" width="12.28515625" style="67" customWidth="1"/>
    <col min="2080" max="2080" width="13.28515625" style="67" customWidth="1"/>
    <col min="2081" max="2081" width="11" style="67" bestFit="1" customWidth="1"/>
    <col min="2082" max="2082" width="11.42578125" style="67"/>
    <col min="2083" max="2083" width="9.42578125" style="67" bestFit="1" customWidth="1"/>
    <col min="2084" max="2304" width="11.42578125" style="67"/>
    <col min="2305" max="2305" width="28.140625" style="67" bestFit="1" customWidth="1"/>
    <col min="2306" max="2306" width="19.140625" style="67" customWidth="1"/>
    <col min="2307" max="2307" width="12.140625" style="67" customWidth="1"/>
    <col min="2308" max="2308" width="12.42578125" style="67" customWidth="1"/>
    <col min="2309" max="2309" width="19.140625" style="67" customWidth="1"/>
    <col min="2310" max="2310" width="18.28515625" style="67" customWidth="1"/>
    <col min="2311" max="2311" width="14" style="67" customWidth="1"/>
    <col min="2312" max="2312" width="13.28515625" style="67" customWidth="1"/>
    <col min="2313" max="2313" width="14.42578125" style="67" customWidth="1"/>
    <col min="2314" max="2314" width="14.85546875" style="67" customWidth="1"/>
    <col min="2315" max="2315" width="12" style="67" customWidth="1"/>
    <col min="2316" max="2316" width="13.42578125" style="67" customWidth="1"/>
    <col min="2317" max="2317" width="14.5703125" style="67" customWidth="1"/>
    <col min="2318" max="2318" width="15" style="67" customWidth="1"/>
    <col min="2319" max="2319" width="11.42578125" style="67"/>
    <col min="2320" max="2321" width="12.85546875" style="67" customWidth="1"/>
    <col min="2322" max="2322" width="12.7109375" style="67" customWidth="1"/>
    <col min="2323" max="2323" width="12.42578125" style="67" customWidth="1"/>
    <col min="2324" max="2324" width="12.85546875" style="67" customWidth="1"/>
    <col min="2325" max="2326" width="11" style="67" bestFit="1" customWidth="1"/>
    <col min="2327" max="2327" width="15.5703125" style="67" customWidth="1"/>
    <col min="2328" max="2328" width="13.42578125" style="67" customWidth="1"/>
    <col min="2329" max="2329" width="11" style="67" bestFit="1" customWidth="1"/>
    <col min="2330" max="2330" width="15.42578125" style="67" customWidth="1"/>
    <col min="2331" max="2332" width="11.140625" style="67" customWidth="1"/>
    <col min="2333" max="2333" width="13.85546875" style="67" customWidth="1"/>
    <col min="2334" max="2334" width="11.7109375" style="67" customWidth="1"/>
    <col min="2335" max="2335" width="12.28515625" style="67" customWidth="1"/>
    <col min="2336" max="2336" width="13.28515625" style="67" customWidth="1"/>
    <col min="2337" max="2337" width="11" style="67" bestFit="1" customWidth="1"/>
    <col min="2338" max="2338" width="11.42578125" style="67"/>
    <col min="2339" max="2339" width="9.42578125" style="67" bestFit="1" customWidth="1"/>
    <col min="2340" max="2560" width="11.42578125" style="67"/>
    <col min="2561" max="2561" width="28.140625" style="67" bestFit="1" customWidth="1"/>
    <col min="2562" max="2562" width="19.140625" style="67" customWidth="1"/>
    <col min="2563" max="2563" width="12.140625" style="67" customWidth="1"/>
    <col min="2564" max="2564" width="12.42578125" style="67" customWidth="1"/>
    <col min="2565" max="2565" width="19.140625" style="67" customWidth="1"/>
    <col min="2566" max="2566" width="18.28515625" style="67" customWidth="1"/>
    <col min="2567" max="2567" width="14" style="67" customWidth="1"/>
    <col min="2568" max="2568" width="13.28515625" style="67" customWidth="1"/>
    <col min="2569" max="2569" width="14.42578125" style="67" customWidth="1"/>
    <col min="2570" max="2570" width="14.85546875" style="67" customWidth="1"/>
    <col min="2571" max="2571" width="12" style="67" customWidth="1"/>
    <col min="2572" max="2572" width="13.42578125" style="67" customWidth="1"/>
    <col min="2573" max="2573" width="14.5703125" style="67" customWidth="1"/>
    <col min="2574" max="2574" width="15" style="67" customWidth="1"/>
    <col min="2575" max="2575" width="11.42578125" style="67"/>
    <col min="2576" max="2577" width="12.85546875" style="67" customWidth="1"/>
    <col min="2578" max="2578" width="12.7109375" style="67" customWidth="1"/>
    <col min="2579" max="2579" width="12.42578125" style="67" customWidth="1"/>
    <col min="2580" max="2580" width="12.85546875" style="67" customWidth="1"/>
    <col min="2581" max="2582" width="11" style="67" bestFit="1" customWidth="1"/>
    <col min="2583" max="2583" width="15.5703125" style="67" customWidth="1"/>
    <col min="2584" max="2584" width="13.42578125" style="67" customWidth="1"/>
    <col min="2585" max="2585" width="11" style="67" bestFit="1" customWidth="1"/>
    <col min="2586" max="2586" width="15.42578125" style="67" customWidth="1"/>
    <col min="2587" max="2588" width="11.140625" style="67" customWidth="1"/>
    <col min="2589" max="2589" width="13.85546875" style="67" customWidth="1"/>
    <col min="2590" max="2590" width="11.7109375" style="67" customWidth="1"/>
    <col min="2591" max="2591" width="12.28515625" style="67" customWidth="1"/>
    <col min="2592" max="2592" width="13.28515625" style="67" customWidth="1"/>
    <col min="2593" max="2593" width="11" style="67" bestFit="1" customWidth="1"/>
    <col min="2594" max="2594" width="11.42578125" style="67"/>
    <col min="2595" max="2595" width="9.42578125" style="67" bestFit="1" customWidth="1"/>
    <col min="2596" max="2816" width="11.42578125" style="67"/>
    <col min="2817" max="2817" width="28.140625" style="67" bestFit="1" customWidth="1"/>
    <col min="2818" max="2818" width="19.140625" style="67" customWidth="1"/>
    <col min="2819" max="2819" width="12.140625" style="67" customWidth="1"/>
    <col min="2820" max="2820" width="12.42578125" style="67" customWidth="1"/>
    <col min="2821" max="2821" width="19.140625" style="67" customWidth="1"/>
    <col min="2822" max="2822" width="18.28515625" style="67" customWidth="1"/>
    <col min="2823" max="2823" width="14" style="67" customWidth="1"/>
    <col min="2824" max="2824" width="13.28515625" style="67" customWidth="1"/>
    <col min="2825" max="2825" width="14.42578125" style="67" customWidth="1"/>
    <col min="2826" max="2826" width="14.85546875" style="67" customWidth="1"/>
    <col min="2827" max="2827" width="12" style="67" customWidth="1"/>
    <col min="2828" max="2828" width="13.42578125" style="67" customWidth="1"/>
    <col min="2829" max="2829" width="14.5703125" style="67" customWidth="1"/>
    <col min="2830" max="2830" width="15" style="67" customWidth="1"/>
    <col min="2831" max="2831" width="11.42578125" style="67"/>
    <col min="2832" max="2833" width="12.85546875" style="67" customWidth="1"/>
    <col min="2834" max="2834" width="12.7109375" style="67" customWidth="1"/>
    <col min="2835" max="2835" width="12.42578125" style="67" customWidth="1"/>
    <col min="2836" max="2836" width="12.85546875" style="67" customWidth="1"/>
    <col min="2837" max="2838" width="11" style="67" bestFit="1" customWidth="1"/>
    <col min="2839" max="2839" width="15.5703125" style="67" customWidth="1"/>
    <col min="2840" max="2840" width="13.42578125" style="67" customWidth="1"/>
    <col min="2841" max="2841" width="11" style="67" bestFit="1" customWidth="1"/>
    <col min="2842" max="2842" width="15.42578125" style="67" customWidth="1"/>
    <col min="2843" max="2844" width="11.140625" style="67" customWidth="1"/>
    <col min="2845" max="2845" width="13.85546875" style="67" customWidth="1"/>
    <col min="2846" max="2846" width="11.7109375" style="67" customWidth="1"/>
    <col min="2847" max="2847" width="12.28515625" style="67" customWidth="1"/>
    <col min="2848" max="2848" width="13.28515625" style="67" customWidth="1"/>
    <col min="2849" max="2849" width="11" style="67" bestFit="1" customWidth="1"/>
    <col min="2850" max="2850" width="11.42578125" style="67"/>
    <col min="2851" max="2851" width="9.42578125" style="67" bestFit="1" customWidth="1"/>
    <col min="2852" max="3072" width="11.42578125" style="67"/>
    <col min="3073" max="3073" width="28.140625" style="67" bestFit="1" customWidth="1"/>
    <col min="3074" max="3074" width="19.140625" style="67" customWidth="1"/>
    <col min="3075" max="3075" width="12.140625" style="67" customWidth="1"/>
    <col min="3076" max="3076" width="12.42578125" style="67" customWidth="1"/>
    <col min="3077" max="3077" width="19.140625" style="67" customWidth="1"/>
    <col min="3078" max="3078" width="18.28515625" style="67" customWidth="1"/>
    <col min="3079" max="3079" width="14" style="67" customWidth="1"/>
    <col min="3080" max="3080" width="13.28515625" style="67" customWidth="1"/>
    <col min="3081" max="3081" width="14.42578125" style="67" customWidth="1"/>
    <col min="3082" max="3082" width="14.85546875" style="67" customWidth="1"/>
    <col min="3083" max="3083" width="12" style="67" customWidth="1"/>
    <col min="3084" max="3084" width="13.42578125" style="67" customWidth="1"/>
    <col min="3085" max="3085" width="14.5703125" style="67" customWidth="1"/>
    <col min="3086" max="3086" width="15" style="67" customWidth="1"/>
    <col min="3087" max="3087" width="11.42578125" style="67"/>
    <col min="3088" max="3089" width="12.85546875" style="67" customWidth="1"/>
    <col min="3090" max="3090" width="12.7109375" style="67" customWidth="1"/>
    <col min="3091" max="3091" width="12.42578125" style="67" customWidth="1"/>
    <col min="3092" max="3092" width="12.85546875" style="67" customWidth="1"/>
    <col min="3093" max="3094" width="11" style="67" bestFit="1" customWidth="1"/>
    <col min="3095" max="3095" width="15.5703125" style="67" customWidth="1"/>
    <col min="3096" max="3096" width="13.42578125" style="67" customWidth="1"/>
    <col min="3097" max="3097" width="11" style="67" bestFit="1" customWidth="1"/>
    <col min="3098" max="3098" width="15.42578125" style="67" customWidth="1"/>
    <col min="3099" max="3100" width="11.140625" style="67" customWidth="1"/>
    <col min="3101" max="3101" width="13.85546875" style="67" customWidth="1"/>
    <col min="3102" max="3102" width="11.7109375" style="67" customWidth="1"/>
    <col min="3103" max="3103" width="12.28515625" style="67" customWidth="1"/>
    <col min="3104" max="3104" width="13.28515625" style="67" customWidth="1"/>
    <col min="3105" max="3105" width="11" style="67" bestFit="1" customWidth="1"/>
    <col min="3106" max="3106" width="11.42578125" style="67"/>
    <col min="3107" max="3107" width="9.42578125" style="67" bestFit="1" customWidth="1"/>
    <col min="3108" max="3328" width="11.42578125" style="67"/>
    <col min="3329" max="3329" width="28.140625" style="67" bestFit="1" customWidth="1"/>
    <col min="3330" max="3330" width="19.140625" style="67" customWidth="1"/>
    <col min="3331" max="3331" width="12.140625" style="67" customWidth="1"/>
    <col min="3332" max="3332" width="12.42578125" style="67" customWidth="1"/>
    <col min="3333" max="3333" width="19.140625" style="67" customWidth="1"/>
    <col min="3334" max="3334" width="18.28515625" style="67" customWidth="1"/>
    <col min="3335" max="3335" width="14" style="67" customWidth="1"/>
    <col min="3336" max="3336" width="13.28515625" style="67" customWidth="1"/>
    <col min="3337" max="3337" width="14.42578125" style="67" customWidth="1"/>
    <col min="3338" max="3338" width="14.85546875" style="67" customWidth="1"/>
    <col min="3339" max="3339" width="12" style="67" customWidth="1"/>
    <col min="3340" max="3340" width="13.42578125" style="67" customWidth="1"/>
    <col min="3341" max="3341" width="14.5703125" style="67" customWidth="1"/>
    <col min="3342" max="3342" width="15" style="67" customWidth="1"/>
    <col min="3343" max="3343" width="11.42578125" style="67"/>
    <col min="3344" max="3345" width="12.85546875" style="67" customWidth="1"/>
    <col min="3346" max="3346" width="12.7109375" style="67" customWidth="1"/>
    <col min="3347" max="3347" width="12.42578125" style="67" customWidth="1"/>
    <col min="3348" max="3348" width="12.85546875" style="67" customWidth="1"/>
    <col min="3349" max="3350" width="11" style="67" bestFit="1" customWidth="1"/>
    <col min="3351" max="3351" width="15.5703125" style="67" customWidth="1"/>
    <col min="3352" max="3352" width="13.42578125" style="67" customWidth="1"/>
    <col min="3353" max="3353" width="11" style="67" bestFit="1" customWidth="1"/>
    <col min="3354" max="3354" width="15.42578125" style="67" customWidth="1"/>
    <col min="3355" max="3356" width="11.140625" style="67" customWidth="1"/>
    <col min="3357" max="3357" width="13.85546875" style="67" customWidth="1"/>
    <col min="3358" max="3358" width="11.7109375" style="67" customWidth="1"/>
    <col min="3359" max="3359" width="12.28515625" style="67" customWidth="1"/>
    <col min="3360" max="3360" width="13.28515625" style="67" customWidth="1"/>
    <col min="3361" max="3361" width="11" style="67" bestFit="1" customWidth="1"/>
    <col min="3362" max="3362" width="11.42578125" style="67"/>
    <col min="3363" max="3363" width="9.42578125" style="67" bestFit="1" customWidth="1"/>
    <col min="3364" max="3584" width="11.42578125" style="67"/>
    <col min="3585" max="3585" width="28.140625" style="67" bestFit="1" customWidth="1"/>
    <col min="3586" max="3586" width="19.140625" style="67" customWidth="1"/>
    <col min="3587" max="3587" width="12.140625" style="67" customWidth="1"/>
    <col min="3588" max="3588" width="12.42578125" style="67" customWidth="1"/>
    <col min="3589" max="3589" width="19.140625" style="67" customWidth="1"/>
    <col min="3590" max="3590" width="18.28515625" style="67" customWidth="1"/>
    <col min="3591" max="3591" width="14" style="67" customWidth="1"/>
    <col min="3592" max="3592" width="13.28515625" style="67" customWidth="1"/>
    <col min="3593" max="3593" width="14.42578125" style="67" customWidth="1"/>
    <col min="3594" max="3594" width="14.85546875" style="67" customWidth="1"/>
    <col min="3595" max="3595" width="12" style="67" customWidth="1"/>
    <col min="3596" max="3596" width="13.42578125" style="67" customWidth="1"/>
    <col min="3597" max="3597" width="14.5703125" style="67" customWidth="1"/>
    <col min="3598" max="3598" width="15" style="67" customWidth="1"/>
    <col min="3599" max="3599" width="11.42578125" style="67"/>
    <col min="3600" max="3601" width="12.85546875" style="67" customWidth="1"/>
    <col min="3602" max="3602" width="12.7109375" style="67" customWidth="1"/>
    <col min="3603" max="3603" width="12.42578125" style="67" customWidth="1"/>
    <col min="3604" max="3604" width="12.85546875" style="67" customWidth="1"/>
    <col min="3605" max="3606" width="11" style="67" bestFit="1" customWidth="1"/>
    <col min="3607" max="3607" width="15.5703125" style="67" customWidth="1"/>
    <col min="3608" max="3608" width="13.42578125" style="67" customWidth="1"/>
    <col min="3609" max="3609" width="11" style="67" bestFit="1" customWidth="1"/>
    <col min="3610" max="3610" width="15.42578125" style="67" customWidth="1"/>
    <col min="3611" max="3612" width="11.140625" style="67" customWidth="1"/>
    <col min="3613" max="3613" width="13.85546875" style="67" customWidth="1"/>
    <col min="3614" max="3614" width="11.7109375" style="67" customWidth="1"/>
    <col min="3615" max="3615" width="12.28515625" style="67" customWidth="1"/>
    <col min="3616" max="3616" width="13.28515625" style="67" customWidth="1"/>
    <col min="3617" max="3617" width="11" style="67" bestFit="1" customWidth="1"/>
    <col min="3618" max="3618" width="11.42578125" style="67"/>
    <col min="3619" max="3619" width="9.42578125" style="67" bestFit="1" customWidth="1"/>
    <col min="3620" max="3840" width="11.42578125" style="67"/>
    <col min="3841" max="3841" width="28.140625" style="67" bestFit="1" customWidth="1"/>
    <col min="3842" max="3842" width="19.140625" style="67" customWidth="1"/>
    <col min="3843" max="3843" width="12.140625" style="67" customWidth="1"/>
    <col min="3844" max="3844" width="12.42578125" style="67" customWidth="1"/>
    <col min="3845" max="3845" width="19.140625" style="67" customWidth="1"/>
    <col min="3846" max="3846" width="18.28515625" style="67" customWidth="1"/>
    <col min="3847" max="3847" width="14" style="67" customWidth="1"/>
    <col min="3848" max="3848" width="13.28515625" style="67" customWidth="1"/>
    <col min="3849" max="3849" width="14.42578125" style="67" customWidth="1"/>
    <col min="3850" max="3850" width="14.85546875" style="67" customWidth="1"/>
    <col min="3851" max="3851" width="12" style="67" customWidth="1"/>
    <col min="3852" max="3852" width="13.42578125" style="67" customWidth="1"/>
    <col min="3853" max="3853" width="14.5703125" style="67" customWidth="1"/>
    <col min="3854" max="3854" width="15" style="67" customWidth="1"/>
    <col min="3855" max="3855" width="11.42578125" style="67"/>
    <col min="3856" max="3857" width="12.85546875" style="67" customWidth="1"/>
    <col min="3858" max="3858" width="12.7109375" style="67" customWidth="1"/>
    <col min="3859" max="3859" width="12.42578125" style="67" customWidth="1"/>
    <col min="3860" max="3860" width="12.85546875" style="67" customWidth="1"/>
    <col min="3861" max="3862" width="11" style="67" bestFit="1" customWidth="1"/>
    <col min="3863" max="3863" width="15.5703125" style="67" customWidth="1"/>
    <col min="3864" max="3864" width="13.42578125" style="67" customWidth="1"/>
    <col min="3865" max="3865" width="11" style="67" bestFit="1" customWidth="1"/>
    <col min="3866" max="3866" width="15.42578125" style="67" customWidth="1"/>
    <col min="3867" max="3868" width="11.140625" style="67" customWidth="1"/>
    <col min="3869" max="3869" width="13.85546875" style="67" customWidth="1"/>
    <col min="3870" max="3870" width="11.7109375" style="67" customWidth="1"/>
    <col min="3871" max="3871" width="12.28515625" style="67" customWidth="1"/>
    <col min="3872" max="3872" width="13.28515625" style="67" customWidth="1"/>
    <col min="3873" max="3873" width="11" style="67" bestFit="1" customWidth="1"/>
    <col min="3874" max="3874" width="11.42578125" style="67"/>
    <col min="3875" max="3875" width="9.42578125" style="67" bestFit="1" customWidth="1"/>
    <col min="3876" max="4096" width="11.42578125" style="67"/>
    <col min="4097" max="4097" width="28.140625" style="67" bestFit="1" customWidth="1"/>
    <col min="4098" max="4098" width="19.140625" style="67" customWidth="1"/>
    <col min="4099" max="4099" width="12.140625" style="67" customWidth="1"/>
    <col min="4100" max="4100" width="12.42578125" style="67" customWidth="1"/>
    <col min="4101" max="4101" width="19.140625" style="67" customWidth="1"/>
    <col min="4102" max="4102" width="18.28515625" style="67" customWidth="1"/>
    <col min="4103" max="4103" width="14" style="67" customWidth="1"/>
    <col min="4104" max="4104" width="13.28515625" style="67" customWidth="1"/>
    <col min="4105" max="4105" width="14.42578125" style="67" customWidth="1"/>
    <col min="4106" max="4106" width="14.85546875" style="67" customWidth="1"/>
    <col min="4107" max="4107" width="12" style="67" customWidth="1"/>
    <col min="4108" max="4108" width="13.42578125" style="67" customWidth="1"/>
    <col min="4109" max="4109" width="14.5703125" style="67" customWidth="1"/>
    <col min="4110" max="4110" width="15" style="67" customWidth="1"/>
    <col min="4111" max="4111" width="11.42578125" style="67"/>
    <col min="4112" max="4113" width="12.85546875" style="67" customWidth="1"/>
    <col min="4114" max="4114" width="12.7109375" style="67" customWidth="1"/>
    <col min="4115" max="4115" width="12.42578125" style="67" customWidth="1"/>
    <col min="4116" max="4116" width="12.85546875" style="67" customWidth="1"/>
    <col min="4117" max="4118" width="11" style="67" bestFit="1" customWidth="1"/>
    <col min="4119" max="4119" width="15.5703125" style="67" customWidth="1"/>
    <col min="4120" max="4120" width="13.42578125" style="67" customWidth="1"/>
    <col min="4121" max="4121" width="11" style="67" bestFit="1" customWidth="1"/>
    <col min="4122" max="4122" width="15.42578125" style="67" customWidth="1"/>
    <col min="4123" max="4124" width="11.140625" style="67" customWidth="1"/>
    <col min="4125" max="4125" width="13.85546875" style="67" customWidth="1"/>
    <col min="4126" max="4126" width="11.7109375" style="67" customWidth="1"/>
    <col min="4127" max="4127" width="12.28515625" style="67" customWidth="1"/>
    <col min="4128" max="4128" width="13.28515625" style="67" customWidth="1"/>
    <col min="4129" max="4129" width="11" style="67" bestFit="1" customWidth="1"/>
    <col min="4130" max="4130" width="11.42578125" style="67"/>
    <col min="4131" max="4131" width="9.42578125" style="67" bestFit="1" customWidth="1"/>
    <col min="4132" max="4352" width="11.42578125" style="67"/>
    <col min="4353" max="4353" width="28.140625" style="67" bestFit="1" customWidth="1"/>
    <col min="4354" max="4354" width="19.140625" style="67" customWidth="1"/>
    <col min="4355" max="4355" width="12.140625" style="67" customWidth="1"/>
    <col min="4356" max="4356" width="12.42578125" style="67" customWidth="1"/>
    <col min="4357" max="4357" width="19.140625" style="67" customWidth="1"/>
    <col min="4358" max="4358" width="18.28515625" style="67" customWidth="1"/>
    <col min="4359" max="4359" width="14" style="67" customWidth="1"/>
    <col min="4360" max="4360" width="13.28515625" style="67" customWidth="1"/>
    <col min="4361" max="4361" width="14.42578125" style="67" customWidth="1"/>
    <col min="4362" max="4362" width="14.85546875" style="67" customWidth="1"/>
    <col min="4363" max="4363" width="12" style="67" customWidth="1"/>
    <col min="4364" max="4364" width="13.42578125" style="67" customWidth="1"/>
    <col min="4365" max="4365" width="14.5703125" style="67" customWidth="1"/>
    <col min="4366" max="4366" width="15" style="67" customWidth="1"/>
    <col min="4367" max="4367" width="11.42578125" style="67"/>
    <col min="4368" max="4369" width="12.85546875" style="67" customWidth="1"/>
    <col min="4370" max="4370" width="12.7109375" style="67" customWidth="1"/>
    <col min="4371" max="4371" width="12.42578125" style="67" customWidth="1"/>
    <col min="4372" max="4372" width="12.85546875" style="67" customWidth="1"/>
    <col min="4373" max="4374" width="11" style="67" bestFit="1" customWidth="1"/>
    <col min="4375" max="4375" width="15.5703125" style="67" customWidth="1"/>
    <col min="4376" max="4376" width="13.42578125" style="67" customWidth="1"/>
    <col min="4377" max="4377" width="11" style="67" bestFit="1" customWidth="1"/>
    <col min="4378" max="4378" width="15.42578125" style="67" customWidth="1"/>
    <col min="4379" max="4380" width="11.140625" style="67" customWidth="1"/>
    <col min="4381" max="4381" width="13.85546875" style="67" customWidth="1"/>
    <col min="4382" max="4382" width="11.7109375" style="67" customWidth="1"/>
    <col min="4383" max="4383" width="12.28515625" style="67" customWidth="1"/>
    <col min="4384" max="4384" width="13.28515625" style="67" customWidth="1"/>
    <col min="4385" max="4385" width="11" style="67" bestFit="1" customWidth="1"/>
    <col min="4386" max="4386" width="11.42578125" style="67"/>
    <col min="4387" max="4387" width="9.42578125" style="67" bestFit="1" customWidth="1"/>
    <col min="4388" max="4608" width="11.42578125" style="67"/>
    <col min="4609" max="4609" width="28.140625" style="67" bestFit="1" customWidth="1"/>
    <col min="4610" max="4610" width="19.140625" style="67" customWidth="1"/>
    <col min="4611" max="4611" width="12.140625" style="67" customWidth="1"/>
    <col min="4612" max="4612" width="12.42578125" style="67" customWidth="1"/>
    <col min="4613" max="4613" width="19.140625" style="67" customWidth="1"/>
    <col min="4614" max="4614" width="18.28515625" style="67" customWidth="1"/>
    <col min="4615" max="4615" width="14" style="67" customWidth="1"/>
    <col min="4616" max="4616" width="13.28515625" style="67" customWidth="1"/>
    <col min="4617" max="4617" width="14.42578125" style="67" customWidth="1"/>
    <col min="4618" max="4618" width="14.85546875" style="67" customWidth="1"/>
    <col min="4619" max="4619" width="12" style="67" customWidth="1"/>
    <col min="4620" max="4620" width="13.42578125" style="67" customWidth="1"/>
    <col min="4621" max="4621" width="14.5703125" style="67" customWidth="1"/>
    <col min="4622" max="4622" width="15" style="67" customWidth="1"/>
    <col min="4623" max="4623" width="11.42578125" style="67"/>
    <col min="4624" max="4625" width="12.85546875" style="67" customWidth="1"/>
    <col min="4626" max="4626" width="12.7109375" style="67" customWidth="1"/>
    <col min="4627" max="4627" width="12.42578125" style="67" customWidth="1"/>
    <col min="4628" max="4628" width="12.85546875" style="67" customWidth="1"/>
    <col min="4629" max="4630" width="11" style="67" bestFit="1" customWidth="1"/>
    <col min="4631" max="4631" width="15.5703125" style="67" customWidth="1"/>
    <col min="4632" max="4632" width="13.42578125" style="67" customWidth="1"/>
    <col min="4633" max="4633" width="11" style="67" bestFit="1" customWidth="1"/>
    <col min="4634" max="4634" width="15.42578125" style="67" customWidth="1"/>
    <col min="4635" max="4636" width="11.140625" style="67" customWidth="1"/>
    <col min="4637" max="4637" width="13.85546875" style="67" customWidth="1"/>
    <col min="4638" max="4638" width="11.7109375" style="67" customWidth="1"/>
    <col min="4639" max="4639" width="12.28515625" style="67" customWidth="1"/>
    <col min="4640" max="4640" width="13.28515625" style="67" customWidth="1"/>
    <col min="4641" max="4641" width="11" style="67" bestFit="1" customWidth="1"/>
    <col min="4642" max="4642" width="11.42578125" style="67"/>
    <col min="4643" max="4643" width="9.42578125" style="67" bestFit="1" customWidth="1"/>
    <col min="4644" max="4864" width="11.42578125" style="67"/>
    <col min="4865" max="4865" width="28.140625" style="67" bestFit="1" customWidth="1"/>
    <col min="4866" max="4866" width="19.140625" style="67" customWidth="1"/>
    <col min="4867" max="4867" width="12.140625" style="67" customWidth="1"/>
    <col min="4868" max="4868" width="12.42578125" style="67" customWidth="1"/>
    <col min="4869" max="4869" width="19.140625" style="67" customWidth="1"/>
    <col min="4870" max="4870" width="18.28515625" style="67" customWidth="1"/>
    <col min="4871" max="4871" width="14" style="67" customWidth="1"/>
    <col min="4872" max="4872" width="13.28515625" style="67" customWidth="1"/>
    <col min="4873" max="4873" width="14.42578125" style="67" customWidth="1"/>
    <col min="4874" max="4874" width="14.85546875" style="67" customWidth="1"/>
    <col min="4875" max="4875" width="12" style="67" customWidth="1"/>
    <col min="4876" max="4876" width="13.42578125" style="67" customWidth="1"/>
    <col min="4877" max="4877" width="14.5703125" style="67" customWidth="1"/>
    <col min="4878" max="4878" width="15" style="67" customWidth="1"/>
    <col min="4879" max="4879" width="11.42578125" style="67"/>
    <col min="4880" max="4881" width="12.85546875" style="67" customWidth="1"/>
    <col min="4882" max="4882" width="12.7109375" style="67" customWidth="1"/>
    <col min="4883" max="4883" width="12.42578125" style="67" customWidth="1"/>
    <col min="4884" max="4884" width="12.85546875" style="67" customWidth="1"/>
    <col min="4885" max="4886" width="11" style="67" bestFit="1" customWidth="1"/>
    <col min="4887" max="4887" width="15.5703125" style="67" customWidth="1"/>
    <col min="4888" max="4888" width="13.42578125" style="67" customWidth="1"/>
    <col min="4889" max="4889" width="11" style="67" bestFit="1" customWidth="1"/>
    <col min="4890" max="4890" width="15.42578125" style="67" customWidth="1"/>
    <col min="4891" max="4892" width="11.140625" style="67" customWidth="1"/>
    <col min="4893" max="4893" width="13.85546875" style="67" customWidth="1"/>
    <col min="4894" max="4894" width="11.7109375" style="67" customWidth="1"/>
    <col min="4895" max="4895" width="12.28515625" style="67" customWidth="1"/>
    <col min="4896" max="4896" width="13.28515625" style="67" customWidth="1"/>
    <col min="4897" max="4897" width="11" style="67" bestFit="1" customWidth="1"/>
    <col min="4898" max="4898" width="11.42578125" style="67"/>
    <col min="4899" max="4899" width="9.42578125" style="67" bestFit="1" customWidth="1"/>
    <col min="4900" max="5120" width="11.42578125" style="67"/>
    <col min="5121" max="5121" width="28.140625" style="67" bestFit="1" customWidth="1"/>
    <col min="5122" max="5122" width="19.140625" style="67" customWidth="1"/>
    <col min="5123" max="5123" width="12.140625" style="67" customWidth="1"/>
    <col min="5124" max="5124" width="12.42578125" style="67" customWidth="1"/>
    <col min="5125" max="5125" width="19.140625" style="67" customWidth="1"/>
    <col min="5126" max="5126" width="18.28515625" style="67" customWidth="1"/>
    <col min="5127" max="5127" width="14" style="67" customWidth="1"/>
    <col min="5128" max="5128" width="13.28515625" style="67" customWidth="1"/>
    <col min="5129" max="5129" width="14.42578125" style="67" customWidth="1"/>
    <col min="5130" max="5130" width="14.85546875" style="67" customWidth="1"/>
    <col min="5131" max="5131" width="12" style="67" customWidth="1"/>
    <col min="5132" max="5132" width="13.42578125" style="67" customWidth="1"/>
    <col min="5133" max="5133" width="14.5703125" style="67" customWidth="1"/>
    <col min="5134" max="5134" width="15" style="67" customWidth="1"/>
    <col min="5135" max="5135" width="11.42578125" style="67"/>
    <col min="5136" max="5137" width="12.85546875" style="67" customWidth="1"/>
    <col min="5138" max="5138" width="12.7109375" style="67" customWidth="1"/>
    <col min="5139" max="5139" width="12.42578125" style="67" customWidth="1"/>
    <col min="5140" max="5140" width="12.85546875" style="67" customWidth="1"/>
    <col min="5141" max="5142" width="11" style="67" bestFit="1" customWidth="1"/>
    <col min="5143" max="5143" width="15.5703125" style="67" customWidth="1"/>
    <col min="5144" max="5144" width="13.42578125" style="67" customWidth="1"/>
    <col min="5145" max="5145" width="11" style="67" bestFit="1" customWidth="1"/>
    <col min="5146" max="5146" width="15.42578125" style="67" customWidth="1"/>
    <col min="5147" max="5148" width="11.140625" style="67" customWidth="1"/>
    <col min="5149" max="5149" width="13.85546875" style="67" customWidth="1"/>
    <col min="5150" max="5150" width="11.7109375" style="67" customWidth="1"/>
    <col min="5151" max="5151" width="12.28515625" style="67" customWidth="1"/>
    <col min="5152" max="5152" width="13.28515625" style="67" customWidth="1"/>
    <col min="5153" max="5153" width="11" style="67" bestFit="1" customWidth="1"/>
    <col min="5154" max="5154" width="11.42578125" style="67"/>
    <col min="5155" max="5155" width="9.42578125" style="67" bestFit="1" customWidth="1"/>
    <col min="5156" max="5376" width="11.42578125" style="67"/>
    <col min="5377" max="5377" width="28.140625" style="67" bestFit="1" customWidth="1"/>
    <col min="5378" max="5378" width="19.140625" style="67" customWidth="1"/>
    <col min="5379" max="5379" width="12.140625" style="67" customWidth="1"/>
    <col min="5380" max="5380" width="12.42578125" style="67" customWidth="1"/>
    <col min="5381" max="5381" width="19.140625" style="67" customWidth="1"/>
    <col min="5382" max="5382" width="18.28515625" style="67" customWidth="1"/>
    <col min="5383" max="5383" width="14" style="67" customWidth="1"/>
    <col min="5384" max="5384" width="13.28515625" style="67" customWidth="1"/>
    <col min="5385" max="5385" width="14.42578125" style="67" customWidth="1"/>
    <col min="5386" max="5386" width="14.85546875" style="67" customWidth="1"/>
    <col min="5387" max="5387" width="12" style="67" customWidth="1"/>
    <col min="5388" max="5388" width="13.42578125" style="67" customWidth="1"/>
    <col min="5389" max="5389" width="14.5703125" style="67" customWidth="1"/>
    <col min="5390" max="5390" width="15" style="67" customWidth="1"/>
    <col min="5391" max="5391" width="11.42578125" style="67"/>
    <col min="5392" max="5393" width="12.85546875" style="67" customWidth="1"/>
    <col min="5394" max="5394" width="12.7109375" style="67" customWidth="1"/>
    <col min="5395" max="5395" width="12.42578125" style="67" customWidth="1"/>
    <col min="5396" max="5396" width="12.85546875" style="67" customWidth="1"/>
    <col min="5397" max="5398" width="11" style="67" bestFit="1" customWidth="1"/>
    <col min="5399" max="5399" width="15.5703125" style="67" customWidth="1"/>
    <col min="5400" max="5400" width="13.42578125" style="67" customWidth="1"/>
    <col min="5401" max="5401" width="11" style="67" bestFit="1" customWidth="1"/>
    <col min="5402" max="5402" width="15.42578125" style="67" customWidth="1"/>
    <col min="5403" max="5404" width="11.140625" style="67" customWidth="1"/>
    <col min="5405" max="5405" width="13.85546875" style="67" customWidth="1"/>
    <col min="5406" max="5406" width="11.7109375" style="67" customWidth="1"/>
    <col min="5407" max="5407" width="12.28515625" style="67" customWidth="1"/>
    <col min="5408" max="5408" width="13.28515625" style="67" customWidth="1"/>
    <col min="5409" max="5409" width="11" style="67" bestFit="1" customWidth="1"/>
    <col min="5410" max="5410" width="11.42578125" style="67"/>
    <col min="5411" max="5411" width="9.42578125" style="67" bestFit="1" customWidth="1"/>
    <col min="5412" max="5632" width="11.42578125" style="67"/>
    <col min="5633" max="5633" width="28.140625" style="67" bestFit="1" customWidth="1"/>
    <col min="5634" max="5634" width="19.140625" style="67" customWidth="1"/>
    <col min="5635" max="5635" width="12.140625" style="67" customWidth="1"/>
    <col min="5636" max="5636" width="12.42578125" style="67" customWidth="1"/>
    <col min="5637" max="5637" width="19.140625" style="67" customWidth="1"/>
    <col min="5638" max="5638" width="18.28515625" style="67" customWidth="1"/>
    <col min="5639" max="5639" width="14" style="67" customWidth="1"/>
    <col min="5640" max="5640" width="13.28515625" style="67" customWidth="1"/>
    <col min="5641" max="5641" width="14.42578125" style="67" customWidth="1"/>
    <col min="5642" max="5642" width="14.85546875" style="67" customWidth="1"/>
    <col min="5643" max="5643" width="12" style="67" customWidth="1"/>
    <col min="5644" max="5644" width="13.42578125" style="67" customWidth="1"/>
    <col min="5645" max="5645" width="14.5703125" style="67" customWidth="1"/>
    <col min="5646" max="5646" width="15" style="67" customWidth="1"/>
    <col min="5647" max="5647" width="11.42578125" style="67"/>
    <col min="5648" max="5649" width="12.85546875" style="67" customWidth="1"/>
    <col min="5650" max="5650" width="12.7109375" style="67" customWidth="1"/>
    <col min="5651" max="5651" width="12.42578125" style="67" customWidth="1"/>
    <col min="5652" max="5652" width="12.85546875" style="67" customWidth="1"/>
    <col min="5653" max="5654" width="11" style="67" bestFit="1" customWidth="1"/>
    <col min="5655" max="5655" width="15.5703125" style="67" customWidth="1"/>
    <col min="5656" max="5656" width="13.42578125" style="67" customWidth="1"/>
    <col min="5657" max="5657" width="11" style="67" bestFit="1" customWidth="1"/>
    <col min="5658" max="5658" width="15.42578125" style="67" customWidth="1"/>
    <col min="5659" max="5660" width="11.140625" style="67" customWidth="1"/>
    <col min="5661" max="5661" width="13.85546875" style="67" customWidth="1"/>
    <col min="5662" max="5662" width="11.7109375" style="67" customWidth="1"/>
    <col min="5663" max="5663" width="12.28515625" style="67" customWidth="1"/>
    <col min="5664" max="5664" width="13.28515625" style="67" customWidth="1"/>
    <col min="5665" max="5665" width="11" style="67" bestFit="1" customWidth="1"/>
    <col min="5666" max="5666" width="11.42578125" style="67"/>
    <col min="5667" max="5667" width="9.42578125" style="67" bestFit="1" customWidth="1"/>
    <col min="5668" max="5888" width="11.42578125" style="67"/>
    <col min="5889" max="5889" width="28.140625" style="67" bestFit="1" customWidth="1"/>
    <col min="5890" max="5890" width="19.140625" style="67" customWidth="1"/>
    <col min="5891" max="5891" width="12.140625" style="67" customWidth="1"/>
    <col min="5892" max="5892" width="12.42578125" style="67" customWidth="1"/>
    <col min="5893" max="5893" width="19.140625" style="67" customWidth="1"/>
    <col min="5894" max="5894" width="18.28515625" style="67" customWidth="1"/>
    <col min="5895" max="5895" width="14" style="67" customWidth="1"/>
    <col min="5896" max="5896" width="13.28515625" style="67" customWidth="1"/>
    <col min="5897" max="5897" width="14.42578125" style="67" customWidth="1"/>
    <col min="5898" max="5898" width="14.85546875" style="67" customWidth="1"/>
    <col min="5899" max="5899" width="12" style="67" customWidth="1"/>
    <col min="5900" max="5900" width="13.42578125" style="67" customWidth="1"/>
    <col min="5901" max="5901" width="14.5703125" style="67" customWidth="1"/>
    <col min="5902" max="5902" width="15" style="67" customWidth="1"/>
    <col min="5903" max="5903" width="11.42578125" style="67"/>
    <col min="5904" max="5905" width="12.85546875" style="67" customWidth="1"/>
    <col min="5906" max="5906" width="12.7109375" style="67" customWidth="1"/>
    <col min="5907" max="5907" width="12.42578125" style="67" customWidth="1"/>
    <col min="5908" max="5908" width="12.85546875" style="67" customWidth="1"/>
    <col min="5909" max="5910" width="11" style="67" bestFit="1" customWidth="1"/>
    <col min="5911" max="5911" width="15.5703125" style="67" customWidth="1"/>
    <col min="5912" max="5912" width="13.42578125" style="67" customWidth="1"/>
    <col min="5913" max="5913" width="11" style="67" bestFit="1" customWidth="1"/>
    <col min="5914" max="5914" width="15.42578125" style="67" customWidth="1"/>
    <col min="5915" max="5916" width="11.140625" style="67" customWidth="1"/>
    <col min="5917" max="5917" width="13.85546875" style="67" customWidth="1"/>
    <col min="5918" max="5918" width="11.7109375" style="67" customWidth="1"/>
    <col min="5919" max="5919" width="12.28515625" style="67" customWidth="1"/>
    <col min="5920" max="5920" width="13.28515625" style="67" customWidth="1"/>
    <col min="5921" max="5921" width="11" style="67" bestFit="1" customWidth="1"/>
    <col min="5922" max="5922" width="11.42578125" style="67"/>
    <col min="5923" max="5923" width="9.42578125" style="67" bestFit="1" customWidth="1"/>
    <col min="5924" max="6144" width="11.42578125" style="67"/>
    <col min="6145" max="6145" width="28.140625" style="67" bestFit="1" customWidth="1"/>
    <col min="6146" max="6146" width="19.140625" style="67" customWidth="1"/>
    <col min="6147" max="6147" width="12.140625" style="67" customWidth="1"/>
    <col min="6148" max="6148" width="12.42578125" style="67" customWidth="1"/>
    <col min="6149" max="6149" width="19.140625" style="67" customWidth="1"/>
    <col min="6150" max="6150" width="18.28515625" style="67" customWidth="1"/>
    <col min="6151" max="6151" width="14" style="67" customWidth="1"/>
    <col min="6152" max="6152" width="13.28515625" style="67" customWidth="1"/>
    <col min="6153" max="6153" width="14.42578125" style="67" customWidth="1"/>
    <col min="6154" max="6154" width="14.85546875" style="67" customWidth="1"/>
    <col min="6155" max="6155" width="12" style="67" customWidth="1"/>
    <col min="6156" max="6156" width="13.42578125" style="67" customWidth="1"/>
    <col min="6157" max="6157" width="14.5703125" style="67" customWidth="1"/>
    <col min="6158" max="6158" width="15" style="67" customWidth="1"/>
    <col min="6159" max="6159" width="11.42578125" style="67"/>
    <col min="6160" max="6161" width="12.85546875" style="67" customWidth="1"/>
    <col min="6162" max="6162" width="12.7109375" style="67" customWidth="1"/>
    <col min="6163" max="6163" width="12.42578125" style="67" customWidth="1"/>
    <col min="6164" max="6164" width="12.85546875" style="67" customWidth="1"/>
    <col min="6165" max="6166" width="11" style="67" bestFit="1" customWidth="1"/>
    <col min="6167" max="6167" width="15.5703125" style="67" customWidth="1"/>
    <col min="6168" max="6168" width="13.42578125" style="67" customWidth="1"/>
    <col min="6169" max="6169" width="11" style="67" bestFit="1" customWidth="1"/>
    <col min="6170" max="6170" width="15.42578125" style="67" customWidth="1"/>
    <col min="6171" max="6172" width="11.140625" style="67" customWidth="1"/>
    <col min="6173" max="6173" width="13.85546875" style="67" customWidth="1"/>
    <col min="6174" max="6174" width="11.7109375" style="67" customWidth="1"/>
    <col min="6175" max="6175" width="12.28515625" style="67" customWidth="1"/>
    <col min="6176" max="6176" width="13.28515625" style="67" customWidth="1"/>
    <col min="6177" max="6177" width="11" style="67" bestFit="1" customWidth="1"/>
    <col min="6178" max="6178" width="11.42578125" style="67"/>
    <col min="6179" max="6179" width="9.42578125" style="67" bestFit="1" customWidth="1"/>
    <col min="6180" max="6400" width="11.42578125" style="67"/>
    <col min="6401" max="6401" width="28.140625" style="67" bestFit="1" customWidth="1"/>
    <col min="6402" max="6402" width="19.140625" style="67" customWidth="1"/>
    <col min="6403" max="6403" width="12.140625" style="67" customWidth="1"/>
    <col min="6404" max="6404" width="12.42578125" style="67" customWidth="1"/>
    <col min="6405" max="6405" width="19.140625" style="67" customWidth="1"/>
    <col min="6406" max="6406" width="18.28515625" style="67" customWidth="1"/>
    <col min="6407" max="6407" width="14" style="67" customWidth="1"/>
    <col min="6408" max="6408" width="13.28515625" style="67" customWidth="1"/>
    <col min="6409" max="6409" width="14.42578125" style="67" customWidth="1"/>
    <col min="6410" max="6410" width="14.85546875" style="67" customWidth="1"/>
    <col min="6411" max="6411" width="12" style="67" customWidth="1"/>
    <col min="6412" max="6412" width="13.42578125" style="67" customWidth="1"/>
    <col min="6413" max="6413" width="14.5703125" style="67" customWidth="1"/>
    <col min="6414" max="6414" width="15" style="67" customWidth="1"/>
    <col min="6415" max="6415" width="11.42578125" style="67"/>
    <col min="6416" max="6417" width="12.85546875" style="67" customWidth="1"/>
    <col min="6418" max="6418" width="12.7109375" style="67" customWidth="1"/>
    <col min="6419" max="6419" width="12.42578125" style="67" customWidth="1"/>
    <col min="6420" max="6420" width="12.85546875" style="67" customWidth="1"/>
    <col min="6421" max="6422" width="11" style="67" bestFit="1" customWidth="1"/>
    <col min="6423" max="6423" width="15.5703125" style="67" customWidth="1"/>
    <col min="6424" max="6424" width="13.42578125" style="67" customWidth="1"/>
    <col min="6425" max="6425" width="11" style="67" bestFit="1" customWidth="1"/>
    <col min="6426" max="6426" width="15.42578125" style="67" customWidth="1"/>
    <col min="6427" max="6428" width="11.140625" style="67" customWidth="1"/>
    <col min="6429" max="6429" width="13.85546875" style="67" customWidth="1"/>
    <col min="6430" max="6430" width="11.7109375" style="67" customWidth="1"/>
    <col min="6431" max="6431" width="12.28515625" style="67" customWidth="1"/>
    <col min="6432" max="6432" width="13.28515625" style="67" customWidth="1"/>
    <col min="6433" max="6433" width="11" style="67" bestFit="1" customWidth="1"/>
    <col min="6434" max="6434" width="11.42578125" style="67"/>
    <col min="6435" max="6435" width="9.42578125" style="67" bestFit="1" customWidth="1"/>
    <col min="6436" max="6656" width="11.42578125" style="67"/>
    <col min="6657" max="6657" width="28.140625" style="67" bestFit="1" customWidth="1"/>
    <col min="6658" max="6658" width="19.140625" style="67" customWidth="1"/>
    <col min="6659" max="6659" width="12.140625" style="67" customWidth="1"/>
    <col min="6660" max="6660" width="12.42578125" style="67" customWidth="1"/>
    <col min="6661" max="6661" width="19.140625" style="67" customWidth="1"/>
    <col min="6662" max="6662" width="18.28515625" style="67" customWidth="1"/>
    <col min="6663" max="6663" width="14" style="67" customWidth="1"/>
    <col min="6664" max="6664" width="13.28515625" style="67" customWidth="1"/>
    <col min="6665" max="6665" width="14.42578125" style="67" customWidth="1"/>
    <col min="6666" max="6666" width="14.85546875" style="67" customWidth="1"/>
    <col min="6667" max="6667" width="12" style="67" customWidth="1"/>
    <col min="6668" max="6668" width="13.42578125" style="67" customWidth="1"/>
    <col min="6669" max="6669" width="14.5703125" style="67" customWidth="1"/>
    <col min="6670" max="6670" width="15" style="67" customWidth="1"/>
    <col min="6671" max="6671" width="11.42578125" style="67"/>
    <col min="6672" max="6673" width="12.85546875" style="67" customWidth="1"/>
    <col min="6674" max="6674" width="12.7109375" style="67" customWidth="1"/>
    <col min="6675" max="6675" width="12.42578125" style="67" customWidth="1"/>
    <col min="6676" max="6676" width="12.85546875" style="67" customWidth="1"/>
    <col min="6677" max="6678" width="11" style="67" bestFit="1" customWidth="1"/>
    <col min="6679" max="6679" width="15.5703125" style="67" customWidth="1"/>
    <col min="6680" max="6680" width="13.42578125" style="67" customWidth="1"/>
    <col min="6681" max="6681" width="11" style="67" bestFit="1" customWidth="1"/>
    <col min="6682" max="6682" width="15.42578125" style="67" customWidth="1"/>
    <col min="6683" max="6684" width="11.140625" style="67" customWidth="1"/>
    <col min="6685" max="6685" width="13.85546875" style="67" customWidth="1"/>
    <col min="6686" max="6686" width="11.7109375" style="67" customWidth="1"/>
    <col min="6687" max="6687" width="12.28515625" style="67" customWidth="1"/>
    <col min="6688" max="6688" width="13.28515625" style="67" customWidth="1"/>
    <col min="6689" max="6689" width="11" style="67" bestFit="1" customWidth="1"/>
    <col min="6690" max="6690" width="11.42578125" style="67"/>
    <col min="6691" max="6691" width="9.42578125" style="67" bestFit="1" customWidth="1"/>
    <col min="6692" max="6912" width="11.42578125" style="67"/>
    <col min="6913" max="6913" width="28.140625" style="67" bestFit="1" customWidth="1"/>
    <col min="6914" max="6914" width="19.140625" style="67" customWidth="1"/>
    <col min="6915" max="6915" width="12.140625" style="67" customWidth="1"/>
    <col min="6916" max="6916" width="12.42578125" style="67" customWidth="1"/>
    <col min="6917" max="6917" width="19.140625" style="67" customWidth="1"/>
    <col min="6918" max="6918" width="18.28515625" style="67" customWidth="1"/>
    <col min="6919" max="6919" width="14" style="67" customWidth="1"/>
    <col min="6920" max="6920" width="13.28515625" style="67" customWidth="1"/>
    <col min="6921" max="6921" width="14.42578125" style="67" customWidth="1"/>
    <col min="6922" max="6922" width="14.85546875" style="67" customWidth="1"/>
    <col min="6923" max="6923" width="12" style="67" customWidth="1"/>
    <col min="6924" max="6924" width="13.42578125" style="67" customWidth="1"/>
    <col min="6925" max="6925" width="14.5703125" style="67" customWidth="1"/>
    <col min="6926" max="6926" width="15" style="67" customWidth="1"/>
    <col min="6927" max="6927" width="11.42578125" style="67"/>
    <col min="6928" max="6929" width="12.85546875" style="67" customWidth="1"/>
    <col min="6930" max="6930" width="12.7109375" style="67" customWidth="1"/>
    <col min="6931" max="6931" width="12.42578125" style="67" customWidth="1"/>
    <col min="6932" max="6932" width="12.85546875" style="67" customWidth="1"/>
    <col min="6933" max="6934" width="11" style="67" bestFit="1" customWidth="1"/>
    <col min="6935" max="6935" width="15.5703125" style="67" customWidth="1"/>
    <col min="6936" max="6936" width="13.42578125" style="67" customWidth="1"/>
    <col min="6937" max="6937" width="11" style="67" bestFit="1" customWidth="1"/>
    <col min="6938" max="6938" width="15.42578125" style="67" customWidth="1"/>
    <col min="6939" max="6940" width="11.140625" style="67" customWidth="1"/>
    <col min="6941" max="6941" width="13.85546875" style="67" customWidth="1"/>
    <col min="6942" max="6942" width="11.7109375" style="67" customWidth="1"/>
    <col min="6943" max="6943" width="12.28515625" style="67" customWidth="1"/>
    <col min="6944" max="6944" width="13.28515625" style="67" customWidth="1"/>
    <col min="6945" max="6945" width="11" style="67" bestFit="1" customWidth="1"/>
    <col min="6946" max="6946" width="11.42578125" style="67"/>
    <col min="6947" max="6947" width="9.42578125" style="67" bestFit="1" customWidth="1"/>
    <col min="6948" max="7168" width="11.42578125" style="67"/>
    <col min="7169" max="7169" width="28.140625" style="67" bestFit="1" customWidth="1"/>
    <col min="7170" max="7170" width="19.140625" style="67" customWidth="1"/>
    <col min="7171" max="7171" width="12.140625" style="67" customWidth="1"/>
    <col min="7172" max="7172" width="12.42578125" style="67" customWidth="1"/>
    <col min="7173" max="7173" width="19.140625" style="67" customWidth="1"/>
    <col min="7174" max="7174" width="18.28515625" style="67" customWidth="1"/>
    <col min="7175" max="7175" width="14" style="67" customWidth="1"/>
    <col min="7176" max="7176" width="13.28515625" style="67" customWidth="1"/>
    <col min="7177" max="7177" width="14.42578125" style="67" customWidth="1"/>
    <col min="7178" max="7178" width="14.85546875" style="67" customWidth="1"/>
    <col min="7179" max="7179" width="12" style="67" customWidth="1"/>
    <col min="7180" max="7180" width="13.42578125" style="67" customWidth="1"/>
    <col min="7181" max="7181" width="14.5703125" style="67" customWidth="1"/>
    <col min="7182" max="7182" width="15" style="67" customWidth="1"/>
    <col min="7183" max="7183" width="11.42578125" style="67"/>
    <col min="7184" max="7185" width="12.85546875" style="67" customWidth="1"/>
    <col min="7186" max="7186" width="12.7109375" style="67" customWidth="1"/>
    <col min="7187" max="7187" width="12.42578125" style="67" customWidth="1"/>
    <col min="7188" max="7188" width="12.85546875" style="67" customWidth="1"/>
    <col min="7189" max="7190" width="11" style="67" bestFit="1" customWidth="1"/>
    <col min="7191" max="7191" width="15.5703125" style="67" customWidth="1"/>
    <col min="7192" max="7192" width="13.42578125" style="67" customWidth="1"/>
    <col min="7193" max="7193" width="11" style="67" bestFit="1" customWidth="1"/>
    <col min="7194" max="7194" width="15.42578125" style="67" customWidth="1"/>
    <col min="7195" max="7196" width="11.140625" style="67" customWidth="1"/>
    <col min="7197" max="7197" width="13.85546875" style="67" customWidth="1"/>
    <col min="7198" max="7198" width="11.7109375" style="67" customWidth="1"/>
    <col min="7199" max="7199" width="12.28515625" style="67" customWidth="1"/>
    <col min="7200" max="7200" width="13.28515625" style="67" customWidth="1"/>
    <col min="7201" max="7201" width="11" style="67" bestFit="1" customWidth="1"/>
    <col min="7202" max="7202" width="11.42578125" style="67"/>
    <col min="7203" max="7203" width="9.42578125" style="67" bestFit="1" customWidth="1"/>
    <col min="7204" max="7424" width="11.42578125" style="67"/>
    <col min="7425" max="7425" width="28.140625" style="67" bestFit="1" customWidth="1"/>
    <col min="7426" max="7426" width="19.140625" style="67" customWidth="1"/>
    <col min="7427" max="7427" width="12.140625" style="67" customWidth="1"/>
    <col min="7428" max="7428" width="12.42578125" style="67" customWidth="1"/>
    <col min="7429" max="7429" width="19.140625" style="67" customWidth="1"/>
    <col min="7430" max="7430" width="18.28515625" style="67" customWidth="1"/>
    <col min="7431" max="7431" width="14" style="67" customWidth="1"/>
    <col min="7432" max="7432" width="13.28515625" style="67" customWidth="1"/>
    <col min="7433" max="7433" width="14.42578125" style="67" customWidth="1"/>
    <col min="7434" max="7434" width="14.85546875" style="67" customWidth="1"/>
    <col min="7435" max="7435" width="12" style="67" customWidth="1"/>
    <col min="7436" max="7436" width="13.42578125" style="67" customWidth="1"/>
    <col min="7437" max="7437" width="14.5703125" style="67" customWidth="1"/>
    <col min="7438" max="7438" width="15" style="67" customWidth="1"/>
    <col min="7439" max="7439" width="11.42578125" style="67"/>
    <col min="7440" max="7441" width="12.85546875" style="67" customWidth="1"/>
    <col min="7442" max="7442" width="12.7109375" style="67" customWidth="1"/>
    <col min="7443" max="7443" width="12.42578125" style="67" customWidth="1"/>
    <col min="7444" max="7444" width="12.85546875" style="67" customWidth="1"/>
    <col min="7445" max="7446" width="11" style="67" bestFit="1" customWidth="1"/>
    <col min="7447" max="7447" width="15.5703125" style="67" customWidth="1"/>
    <col min="7448" max="7448" width="13.42578125" style="67" customWidth="1"/>
    <col min="7449" max="7449" width="11" style="67" bestFit="1" customWidth="1"/>
    <col min="7450" max="7450" width="15.42578125" style="67" customWidth="1"/>
    <col min="7451" max="7452" width="11.140625" style="67" customWidth="1"/>
    <col min="7453" max="7453" width="13.85546875" style="67" customWidth="1"/>
    <col min="7454" max="7454" width="11.7109375" style="67" customWidth="1"/>
    <col min="7455" max="7455" width="12.28515625" style="67" customWidth="1"/>
    <col min="7456" max="7456" width="13.28515625" style="67" customWidth="1"/>
    <col min="7457" max="7457" width="11" style="67" bestFit="1" customWidth="1"/>
    <col min="7458" max="7458" width="11.42578125" style="67"/>
    <col min="7459" max="7459" width="9.42578125" style="67" bestFit="1" customWidth="1"/>
    <col min="7460" max="7680" width="11.42578125" style="67"/>
    <col min="7681" max="7681" width="28.140625" style="67" bestFit="1" customWidth="1"/>
    <col min="7682" max="7682" width="19.140625" style="67" customWidth="1"/>
    <col min="7683" max="7683" width="12.140625" style="67" customWidth="1"/>
    <col min="7684" max="7684" width="12.42578125" style="67" customWidth="1"/>
    <col min="7685" max="7685" width="19.140625" style="67" customWidth="1"/>
    <col min="7686" max="7686" width="18.28515625" style="67" customWidth="1"/>
    <col min="7687" max="7687" width="14" style="67" customWidth="1"/>
    <col min="7688" max="7688" width="13.28515625" style="67" customWidth="1"/>
    <col min="7689" max="7689" width="14.42578125" style="67" customWidth="1"/>
    <col min="7690" max="7690" width="14.85546875" style="67" customWidth="1"/>
    <col min="7691" max="7691" width="12" style="67" customWidth="1"/>
    <col min="7692" max="7692" width="13.42578125" style="67" customWidth="1"/>
    <col min="7693" max="7693" width="14.5703125" style="67" customWidth="1"/>
    <col min="7694" max="7694" width="15" style="67" customWidth="1"/>
    <col min="7695" max="7695" width="11.42578125" style="67"/>
    <col min="7696" max="7697" width="12.85546875" style="67" customWidth="1"/>
    <col min="7698" max="7698" width="12.7109375" style="67" customWidth="1"/>
    <col min="7699" max="7699" width="12.42578125" style="67" customWidth="1"/>
    <col min="7700" max="7700" width="12.85546875" style="67" customWidth="1"/>
    <col min="7701" max="7702" width="11" style="67" bestFit="1" customWidth="1"/>
    <col min="7703" max="7703" width="15.5703125" style="67" customWidth="1"/>
    <col min="7704" max="7704" width="13.42578125" style="67" customWidth="1"/>
    <col min="7705" max="7705" width="11" style="67" bestFit="1" customWidth="1"/>
    <col min="7706" max="7706" width="15.42578125" style="67" customWidth="1"/>
    <col min="7707" max="7708" width="11.140625" style="67" customWidth="1"/>
    <col min="7709" max="7709" width="13.85546875" style="67" customWidth="1"/>
    <col min="7710" max="7710" width="11.7109375" style="67" customWidth="1"/>
    <col min="7711" max="7711" width="12.28515625" style="67" customWidth="1"/>
    <col min="7712" max="7712" width="13.28515625" style="67" customWidth="1"/>
    <col min="7713" max="7713" width="11" style="67" bestFit="1" customWidth="1"/>
    <col min="7714" max="7714" width="11.42578125" style="67"/>
    <col min="7715" max="7715" width="9.42578125" style="67" bestFit="1" customWidth="1"/>
    <col min="7716" max="7936" width="11.42578125" style="67"/>
    <col min="7937" max="7937" width="28.140625" style="67" bestFit="1" customWidth="1"/>
    <col min="7938" max="7938" width="19.140625" style="67" customWidth="1"/>
    <col min="7939" max="7939" width="12.140625" style="67" customWidth="1"/>
    <col min="7940" max="7940" width="12.42578125" style="67" customWidth="1"/>
    <col min="7941" max="7941" width="19.140625" style="67" customWidth="1"/>
    <col min="7942" max="7942" width="18.28515625" style="67" customWidth="1"/>
    <col min="7943" max="7943" width="14" style="67" customWidth="1"/>
    <col min="7944" max="7944" width="13.28515625" style="67" customWidth="1"/>
    <col min="7945" max="7945" width="14.42578125" style="67" customWidth="1"/>
    <col min="7946" max="7946" width="14.85546875" style="67" customWidth="1"/>
    <col min="7947" max="7947" width="12" style="67" customWidth="1"/>
    <col min="7948" max="7948" width="13.42578125" style="67" customWidth="1"/>
    <col min="7949" max="7949" width="14.5703125" style="67" customWidth="1"/>
    <col min="7950" max="7950" width="15" style="67" customWidth="1"/>
    <col min="7951" max="7951" width="11.42578125" style="67"/>
    <col min="7952" max="7953" width="12.85546875" style="67" customWidth="1"/>
    <col min="7954" max="7954" width="12.7109375" style="67" customWidth="1"/>
    <col min="7955" max="7955" width="12.42578125" style="67" customWidth="1"/>
    <col min="7956" max="7956" width="12.85546875" style="67" customWidth="1"/>
    <col min="7957" max="7958" width="11" style="67" bestFit="1" customWidth="1"/>
    <col min="7959" max="7959" width="15.5703125" style="67" customWidth="1"/>
    <col min="7960" max="7960" width="13.42578125" style="67" customWidth="1"/>
    <col min="7961" max="7961" width="11" style="67" bestFit="1" customWidth="1"/>
    <col min="7962" max="7962" width="15.42578125" style="67" customWidth="1"/>
    <col min="7963" max="7964" width="11.140625" style="67" customWidth="1"/>
    <col min="7965" max="7965" width="13.85546875" style="67" customWidth="1"/>
    <col min="7966" max="7966" width="11.7109375" style="67" customWidth="1"/>
    <col min="7967" max="7967" width="12.28515625" style="67" customWidth="1"/>
    <col min="7968" max="7968" width="13.28515625" style="67" customWidth="1"/>
    <col min="7969" max="7969" width="11" style="67" bestFit="1" customWidth="1"/>
    <col min="7970" max="7970" width="11.42578125" style="67"/>
    <col min="7971" max="7971" width="9.42578125" style="67" bestFit="1" customWidth="1"/>
    <col min="7972" max="8192" width="11.42578125" style="67"/>
    <col min="8193" max="8193" width="28.140625" style="67" bestFit="1" customWidth="1"/>
    <col min="8194" max="8194" width="19.140625" style="67" customWidth="1"/>
    <col min="8195" max="8195" width="12.140625" style="67" customWidth="1"/>
    <col min="8196" max="8196" width="12.42578125" style="67" customWidth="1"/>
    <col min="8197" max="8197" width="19.140625" style="67" customWidth="1"/>
    <col min="8198" max="8198" width="18.28515625" style="67" customWidth="1"/>
    <col min="8199" max="8199" width="14" style="67" customWidth="1"/>
    <col min="8200" max="8200" width="13.28515625" style="67" customWidth="1"/>
    <col min="8201" max="8201" width="14.42578125" style="67" customWidth="1"/>
    <col min="8202" max="8202" width="14.85546875" style="67" customWidth="1"/>
    <col min="8203" max="8203" width="12" style="67" customWidth="1"/>
    <col min="8204" max="8204" width="13.42578125" style="67" customWidth="1"/>
    <col min="8205" max="8205" width="14.5703125" style="67" customWidth="1"/>
    <col min="8206" max="8206" width="15" style="67" customWidth="1"/>
    <col min="8207" max="8207" width="11.42578125" style="67"/>
    <col min="8208" max="8209" width="12.85546875" style="67" customWidth="1"/>
    <col min="8210" max="8210" width="12.7109375" style="67" customWidth="1"/>
    <col min="8211" max="8211" width="12.42578125" style="67" customWidth="1"/>
    <col min="8212" max="8212" width="12.85546875" style="67" customWidth="1"/>
    <col min="8213" max="8214" width="11" style="67" bestFit="1" customWidth="1"/>
    <col min="8215" max="8215" width="15.5703125" style="67" customWidth="1"/>
    <col min="8216" max="8216" width="13.42578125" style="67" customWidth="1"/>
    <col min="8217" max="8217" width="11" style="67" bestFit="1" customWidth="1"/>
    <col min="8218" max="8218" width="15.42578125" style="67" customWidth="1"/>
    <col min="8219" max="8220" width="11.140625" style="67" customWidth="1"/>
    <col min="8221" max="8221" width="13.85546875" style="67" customWidth="1"/>
    <col min="8222" max="8222" width="11.7109375" style="67" customWidth="1"/>
    <col min="8223" max="8223" width="12.28515625" style="67" customWidth="1"/>
    <col min="8224" max="8224" width="13.28515625" style="67" customWidth="1"/>
    <col min="8225" max="8225" width="11" style="67" bestFit="1" customWidth="1"/>
    <col min="8226" max="8226" width="11.42578125" style="67"/>
    <col min="8227" max="8227" width="9.42578125" style="67" bestFit="1" customWidth="1"/>
    <col min="8228" max="8448" width="11.42578125" style="67"/>
    <col min="8449" max="8449" width="28.140625" style="67" bestFit="1" customWidth="1"/>
    <col min="8450" max="8450" width="19.140625" style="67" customWidth="1"/>
    <col min="8451" max="8451" width="12.140625" style="67" customWidth="1"/>
    <col min="8452" max="8452" width="12.42578125" style="67" customWidth="1"/>
    <col min="8453" max="8453" width="19.140625" style="67" customWidth="1"/>
    <col min="8454" max="8454" width="18.28515625" style="67" customWidth="1"/>
    <col min="8455" max="8455" width="14" style="67" customWidth="1"/>
    <col min="8456" max="8456" width="13.28515625" style="67" customWidth="1"/>
    <col min="8457" max="8457" width="14.42578125" style="67" customWidth="1"/>
    <col min="8458" max="8458" width="14.85546875" style="67" customWidth="1"/>
    <col min="8459" max="8459" width="12" style="67" customWidth="1"/>
    <col min="8460" max="8460" width="13.42578125" style="67" customWidth="1"/>
    <col min="8461" max="8461" width="14.5703125" style="67" customWidth="1"/>
    <col min="8462" max="8462" width="15" style="67" customWidth="1"/>
    <col min="8463" max="8463" width="11.42578125" style="67"/>
    <col min="8464" max="8465" width="12.85546875" style="67" customWidth="1"/>
    <col min="8466" max="8466" width="12.7109375" style="67" customWidth="1"/>
    <col min="8467" max="8467" width="12.42578125" style="67" customWidth="1"/>
    <col min="8468" max="8468" width="12.85546875" style="67" customWidth="1"/>
    <col min="8469" max="8470" width="11" style="67" bestFit="1" customWidth="1"/>
    <col min="8471" max="8471" width="15.5703125" style="67" customWidth="1"/>
    <col min="8472" max="8472" width="13.42578125" style="67" customWidth="1"/>
    <col min="8473" max="8473" width="11" style="67" bestFit="1" customWidth="1"/>
    <col min="8474" max="8474" width="15.42578125" style="67" customWidth="1"/>
    <col min="8475" max="8476" width="11.140625" style="67" customWidth="1"/>
    <col min="8477" max="8477" width="13.85546875" style="67" customWidth="1"/>
    <col min="8478" max="8478" width="11.7109375" style="67" customWidth="1"/>
    <col min="8479" max="8479" width="12.28515625" style="67" customWidth="1"/>
    <col min="8480" max="8480" width="13.28515625" style="67" customWidth="1"/>
    <col min="8481" max="8481" width="11" style="67" bestFit="1" customWidth="1"/>
    <col min="8482" max="8482" width="11.42578125" style="67"/>
    <col min="8483" max="8483" width="9.42578125" style="67" bestFit="1" customWidth="1"/>
    <col min="8484" max="8704" width="11.42578125" style="67"/>
    <col min="8705" max="8705" width="28.140625" style="67" bestFit="1" customWidth="1"/>
    <col min="8706" max="8706" width="19.140625" style="67" customWidth="1"/>
    <col min="8707" max="8707" width="12.140625" style="67" customWidth="1"/>
    <col min="8708" max="8708" width="12.42578125" style="67" customWidth="1"/>
    <col min="8709" max="8709" width="19.140625" style="67" customWidth="1"/>
    <col min="8710" max="8710" width="18.28515625" style="67" customWidth="1"/>
    <col min="8711" max="8711" width="14" style="67" customWidth="1"/>
    <col min="8712" max="8712" width="13.28515625" style="67" customWidth="1"/>
    <col min="8713" max="8713" width="14.42578125" style="67" customWidth="1"/>
    <col min="8714" max="8714" width="14.85546875" style="67" customWidth="1"/>
    <col min="8715" max="8715" width="12" style="67" customWidth="1"/>
    <col min="8716" max="8716" width="13.42578125" style="67" customWidth="1"/>
    <col min="8717" max="8717" width="14.5703125" style="67" customWidth="1"/>
    <col min="8718" max="8718" width="15" style="67" customWidth="1"/>
    <col min="8719" max="8719" width="11.42578125" style="67"/>
    <col min="8720" max="8721" width="12.85546875" style="67" customWidth="1"/>
    <col min="8722" max="8722" width="12.7109375" style="67" customWidth="1"/>
    <col min="8723" max="8723" width="12.42578125" style="67" customWidth="1"/>
    <col min="8724" max="8724" width="12.85546875" style="67" customWidth="1"/>
    <col min="8725" max="8726" width="11" style="67" bestFit="1" customWidth="1"/>
    <col min="8727" max="8727" width="15.5703125" style="67" customWidth="1"/>
    <col min="8728" max="8728" width="13.42578125" style="67" customWidth="1"/>
    <col min="8729" max="8729" width="11" style="67" bestFit="1" customWidth="1"/>
    <col min="8730" max="8730" width="15.42578125" style="67" customWidth="1"/>
    <col min="8731" max="8732" width="11.140625" style="67" customWidth="1"/>
    <col min="8733" max="8733" width="13.85546875" style="67" customWidth="1"/>
    <col min="8734" max="8734" width="11.7109375" style="67" customWidth="1"/>
    <col min="8735" max="8735" width="12.28515625" style="67" customWidth="1"/>
    <col min="8736" max="8736" width="13.28515625" style="67" customWidth="1"/>
    <col min="8737" max="8737" width="11" style="67" bestFit="1" customWidth="1"/>
    <col min="8738" max="8738" width="11.42578125" style="67"/>
    <col min="8739" max="8739" width="9.42578125" style="67" bestFit="1" customWidth="1"/>
    <col min="8740" max="8960" width="11.42578125" style="67"/>
    <col min="8961" max="8961" width="28.140625" style="67" bestFit="1" customWidth="1"/>
    <col min="8962" max="8962" width="19.140625" style="67" customWidth="1"/>
    <col min="8963" max="8963" width="12.140625" style="67" customWidth="1"/>
    <col min="8964" max="8964" width="12.42578125" style="67" customWidth="1"/>
    <col min="8965" max="8965" width="19.140625" style="67" customWidth="1"/>
    <col min="8966" max="8966" width="18.28515625" style="67" customWidth="1"/>
    <col min="8967" max="8967" width="14" style="67" customWidth="1"/>
    <col min="8968" max="8968" width="13.28515625" style="67" customWidth="1"/>
    <col min="8969" max="8969" width="14.42578125" style="67" customWidth="1"/>
    <col min="8970" max="8970" width="14.85546875" style="67" customWidth="1"/>
    <col min="8971" max="8971" width="12" style="67" customWidth="1"/>
    <col min="8972" max="8972" width="13.42578125" style="67" customWidth="1"/>
    <col min="8973" max="8973" width="14.5703125" style="67" customWidth="1"/>
    <col min="8974" max="8974" width="15" style="67" customWidth="1"/>
    <col min="8975" max="8975" width="11.42578125" style="67"/>
    <col min="8976" max="8977" width="12.85546875" style="67" customWidth="1"/>
    <col min="8978" max="8978" width="12.7109375" style="67" customWidth="1"/>
    <col min="8979" max="8979" width="12.42578125" style="67" customWidth="1"/>
    <col min="8980" max="8980" width="12.85546875" style="67" customWidth="1"/>
    <col min="8981" max="8982" width="11" style="67" bestFit="1" customWidth="1"/>
    <col min="8983" max="8983" width="15.5703125" style="67" customWidth="1"/>
    <col min="8984" max="8984" width="13.42578125" style="67" customWidth="1"/>
    <col min="8985" max="8985" width="11" style="67" bestFit="1" customWidth="1"/>
    <col min="8986" max="8986" width="15.42578125" style="67" customWidth="1"/>
    <col min="8987" max="8988" width="11.140625" style="67" customWidth="1"/>
    <col min="8989" max="8989" width="13.85546875" style="67" customWidth="1"/>
    <col min="8990" max="8990" width="11.7109375" style="67" customWidth="1"/>
    <col min="8991" max="8991" width="12.28515625" style="67" customWidth="1"/>
    <col min="8992" max="8992" width="13.28515625" style="67" customWidth="1"/>
    <col min="8993" max="8993" width="11" style="67" bestFit="1" customWidth="1"/>
    <col min="8994" max="8994" width="11.42578125" style="67"/>
    <col min="8995" max="8995" width="9.42578125" style="67" bestFit="1" customWidth="1"/>
    <col min="8996" max="9216" width="11.42578125" style="67"/>
    <col min="9217" max="9217" width="28.140625" style="67" bestFit="1" customWidth="1"/>
    <col min="9218" max="9218" width="19.140625" style="67" customWidth="1"/>
    <col min="9219" max="9219" width="12.140625" style="67" customWidth="1"/>
    <col min="9220" max="9220" width="12.42578125" style="67" customWidth="1"/>
    <col min="9221" max="9221" width="19.140625" style="67" customWidth="1"/>
    <col min="9222" max="9222" width="18.28515625" style="67" customWidth="1"/>
    <col min="9223" max="9223" width="14" style="67" customWidth="1"/>
    <col min="9224" max="9224" width="13.28515625" style="67" customWidth="1"/>
    <col min="9225" max="9225" width="14.42578125" style="67" customWidth="1"/>
    <col min="9226" max="9226" width="14.85546875" style="67" customWidth="1"/>
    <col min="9227" max="9227" width="12" style="67" customWidth="1"/>
    <col min="9228" max="9228" width="13.42578125" style="67" customWidth="1"/>
    <col min="9229" max="9229" width="14.5703125" style="67" customWidth="1"/>
    <col min="9230" max="9230" width="15" style="67" customWidth="1"/>
    <col min="9231" max="9231" width="11.42578125" style="67"/>
    <col min="9232" max="9233" width="12.85546875" style="67" customWidth="1"/>
    <col min="9234" max="9234" width="12.7109375" style="67" customWidth="1"/>
    <col min="9235" max="9235" width="12.42578125" style="67" customWidth="1"/>
    <col min="9236" max="9236" width="12.85546875" style="67" customWidth="1"/>
    <col min="9237" max="9238" width="11" style="67" bestFit="1" customWidth="1"/>
    <col min="9239" max="9239" width="15.5703125" style="67" customWidth="1"/>
    <col min="9240" max="9240" width="13.42578125" style="67" customWidth="1"/>
    <col min="9241" max="9241" width="11" style="67" bestFit="1" customWidth="1"/>
    <col min="9242" max="9242" width="15.42578125" style="67" customWidth="1"/>
    <col min="9243" max="9244" width="11.140625" style="67" customWidth="1"/>
    <col min="9245" max="9245" width="13.85546875" style="67" customWidth="1"/>
    <col min="9246" max="9246" width="11.7109375" style="67" customWidth="1"/>
    <col min="9247" max="9247" width="12.28515625" style="67" customWidth="1"/>
    <col min="9248" max="9248" width="13.28515625" style="67" customWidth="1"/>
    <col min="9249" max="9249" width="11" style="67" bestFit="1" customWidth="1"/>
    <col min="9250" max="9250" width="11.42578125" style="67"/>
    <col min="9251" max="9251" width="9.42578125" style="67" bestFit="1" customWidth="1"/>
    <col min="9252" max="9472" width="11.42578125" style="67"/>
    <col min="9473" max="9473" width="28.140625" style="67" bestFit="1" customWidth="1"/>
    <col min="9474" max="9474" width="19.140625" style="67" customWidth="1"/>
    <col min="9475" max="9475" width="12.140625" style="67" customWidth="1"/>
    <col min="9476" max="9476" width="12.42578125" style="67" customWidth="1"/>
    <col min="9477" max="9477" width="19.140625" style="67" customWidth="1"/>
    <col min="9478" max="9478" width="18.28515625" style="67" customWidth="1"/>
    <col min="9479" max="9479" width="14" style="67" customWidth="1"/>
    <col min="9480" max="9480" width="13.28515625" style="67" customWidth="1"/>
    <col min="9481" max="9481" width="14.42578125" style="67" customWidth="1"/>
    <col min="9482" max="9482" width="14.85546875" style="67" customWidth="1"/>
    <col min="9483" max="9483" width="12" style="67" customWidth="1"/>
    <col min="9484" max="9484" width="13.42578125" style="67" customWidth="1"/>
    <col min="9485" max="9485" width="14.5703125" style="67" customWidth="1"/>
    <col min="9486" max="9486" width="15" style="67" customWidth="1"/>
    <col min="9487" max="9487" width="11.42578125" style="67"/>
    <col min="9488" max="9489" width="12.85546875" style="67" customWidth="1"/>
    <col min="9490" max="9490" width="12.7109375" style="67" customWidth="1"/>
    <col min="9491" max="9491" width="12.42578125" style="67" customWidth="1"/>
    <col min="9492" max="9492" width="12.85546875" style="67" customWidth="1"/>
    <col min="9493" max="9494" width="11" style="67" bestFit="1" customWidth="1"/>
    <col min="9495" max="9495" width="15.5703125" style="67" customWidth="1"/>
    <col min="9496" max="9496" width="13.42578125" style="67" customWidth="1"/>
    <col min="9497" max="9497" width="11" style="67" bestFit="1" customWidth="1"/>
    <col min="9498" max="9498" width="15.42578125" style="67" customWidth="1"/>
    <col min="9499" max="9500" width="11.140625" style="67" customWidth="1"/>
    <col min="9501" max="9501" width="13.85546875" style="67" customWidth="1"/>
    <col min="9502" max="9502" width="11.7109375" style="67" customWidth="1"/>
    <col min="9503" max="9503" width="12.28515625" style="67" customWidth="1"/>
    <col min="9504" max="9504" width="13.28515625" style="67" customWidth="1"/>
    <col min="9505" max="9505" width="11" style="67" bestFit="1" customWidth="1"/>
    <col min="9506" max="9506" width="11.42578125" style="67"/>
    <col min="9507" max="9507" width="9.42578125" style="67" bestFit="1" customWidth="1"/>
    <col min="9508" max="9728" width="11.42578125" style="67"/>
    <col min="9729" max="9729" width="28.140625" style="67" bestFit="1" customWidth="1"/>
    <col min="9730" max="9730" width="19.140625" style="67" customWidth="1"/>
    <col min="9731" max="9731" width="12.140625" style="67" customWidth="1"/>
    <col min="9732" max="9732" width="12.42578125" style="67" customWidth="1"/>
    <col min="9733" max="9733" width="19.140625" style="67" customWidth="1"/>
    <col min="9734" max="9734" width="18.28515625" style="67" customWidth="1"/>
    <col min="9735" max="9735" width="14" style="67" customWidth="1"/>
    <col min="9736" max="9736" width="13.28515625" style="67" customWidth="1"/>
    <col min="9737" max="9737" width="14.42578125" style="67" customWidth="1"/>
    <col min="9738" max="9738" width="14.85546875" style="67" customWidth="1"/>
    <col min="9739" max="9739" width="12" style="67" customWidth="1"/>
    <col min="9740" max="9740" width="13.42578125" style="67" customWidth="1"/>
    <col min="9741" max="9741" width="14.5703125" style="67" customWidth="1"/>
    <col min="9742" max="9742" width="15" style="67" customWidth="1"/>
    <col min="9743" max="9743" width="11.42578125" style="67"/>
    <col min="9744" max="9745" width="12.85546875" style="67" customWidth="1"/>
    <col min="9746" max="9746" width="12.7109375" style="67" customWidth="1"/>
    <col min="9747" max="9747" width="12.42578125" style="67" customWidth="1"/>
    <col min="9748" max="9748" width="12.85546875" style="67" customWidth="1"/>
    <col min="9749" max="9750" width="11" style="67" bestFit="1" customWidth="1"/>
    <col min="9751" max="9751" width="15.5703125" style="67" customWidth="1"/>
    <col min="9752" max="9752" width="13.42578125" style="67" customWidth="1"/>
    <col min="9753" max="9753" width="11" style="67" bestFit="1" customWidth="1"/>
    <col min="9754" max="9754" width="15.42578125" style="67" customWidth="1"/>
    <col min="9755" max="9756" width="11.140625" style="67" customWidth="1"/>
    <col min="9757" max="9757" width="13.85546875" style="67" customWidth="1"/>
    <col min="9758" max="9758" width="11.7109375" style="67" customWidth="1"/>
    <col min="9759" max="9759" width="12.28515625" style="67" customWidth="1"/>
    <col min="9760" max="9760" width="13.28515625" style="67" customWidth="1"/>
    <col min="9761" max="9761" width="11" style="67" bestFit="1" customWidth="1"/>
    <col min="9762" max="9762" width="11.42578125" style="67"/>
    <col min="9763" max="9763" width="9.42578125" style="67" bestFit="1" customWidth="1"/>
    <col min="9764" max="9984" width="11.42578125" style="67"/>
    <col min="9985" max="9985" width="28.140625" style="67" bestFit="1" customWidth="1"/>
    <col min="9986" max="9986" width="19.140625" style="67" customWidth="1"/>
    <col min="9987" max="9987" width="12.140625" style="67" customWidth="1"/>
    <col min="9988" max="9988" width="12.42578125" style="67" customWidth="1"/>
    <col min="9989" max="9989" width="19.140625" style="67" customWidth="1"/>
    <col min="9990" max="9990" width="18.28515625" style="67" customWidth="1"/>
    <col min="9991" max="9991" width="14" style="67" customWidth="1"/>
    <col min="9992" max="9992" width="13.28515625" style="67" customWidth="1"/>
    <col min="9993" max="9993" width="14.42578125" style="67" customWidth="1"/>
    <col min="9994" max="9994" width="14.85546875" style="67" customWidth="1"/>
    <col min="9995" max="9995" width="12" style="67" customWidth="1"/>
    <col min="9996" max="9996" width="13.42578125" style="67" customWidth="1"/>
    <col min="9997" max="9997" width="14.5703125" style="67" customWidth="1"/>
    <col min="9998" max="9998" width="15" style="67" customWidth="1"/>
    <col min="9999" max="9999" width="11.42578125" style="67"/>
    <col min="10000" max="10001" width="12.85546875" style="67" customWidth="1"/>
    <col min="10002" max="10002" width="12.7109375" style="67" customWidth="1"/>
    <col min="10003" max="10003" width="12.42578125" style="67" customWidth="1"/>
    <col min="10004" max="10004" width="12.85546875" style="67" customWidth="1"/>
    <col min="10005" max="10006" width="11" style="67" bestFit="1" customWidth="1"/>
    <col min="10007" max="10007" width="15.5703125" style="67" customWidth="1"/>
    <col min="10008" max="10008" width="13.42578125" style="67" customWidth="1"/>
    <col min="10009" max="10009" width="11" style="67" bestFit="1" customWidth="1"/>
    <col min="10010" max="10010" width="15.42578125" style="67" customWidth="1"/>
    <col min="10011" max="10012" width="11.140625" style="67" customWidth="1"/>
    <col min="10013" max="10013" width="13.85546875" style="67" customWidth="1"/>
    <col min="10014" max="10014" width="11.7109375" style="67" customWidth="1"/>
    <col min="10015" max="10015" width="12.28515625" style="67" customWidth="1"/>
    <col min="10016" max="10016" width="13.28515625" style="67" customWidth="1"/>
    <col min="10017" max="10017" width="11" style="67" bestFit="1" customWidth="1"/>
    <col min="10018" max="10018" width="11.42578125" style="67"/>
    <col min="10019" max="10019" width="9.42578125" style="67" bestFit="1" customWidth="1"/>
    <col min="10020" max="10240" width="11.42578125" style="67"/>
    <col min="10241" max="10241" width="28.140625" style="67" bestFit="1" customWidth="1"/>
    <col min="10242" max="10242" width="19.140625" style="67" customWidth="1"/>
    <col min="10243" max="10243" width="12.140625" style="67" customWidth="1"/>
    <col min="10244" max="10244" width="12.42578125" style="67" customWidth="1"/>
    <col min="10245" max="10245" width="19.140625" style="67" customWidth="1"/>
    <col min="10246" max="10246" width="18.28515625" style="67" customWidth="1"/>
    <col min="10247" max="10247" width="14" style="67" customWidth="1"/>
    <col min="10248" max="10248" width="13.28515625" style="67" customWidth="1"/>
    <col min="10249" max="10249" width="14.42578125" style="67" customWidth="1"/>
    <col min="10250" max="10250" width="14.85546875" style="67" customWidth="1"/>
    <col min="10251" max="10251" width="12" style="67" customWidth="1"/>
    <col min="10252" max="10252" width="13.42578125" style="67" customWidth="1"/>
    <col min="10253" max="10253" width="14.5703125" style="67" customWidth="1"/>
    <col min="10254" max="10254" width="15" style="67" customWidth="1"/>
    <col min="10255" max="10255" width="11.42578125" style="67"/>
    <col min="10256" max="10257" width="12.85546875" style="67" customWidth="1"/>
    <col min="10258" max="10258" width="12.7109375" style="67" customWidth="1"/>
    <col min="10259" max="10259" width="12.42578125" style="67" customWidth="1"/>
    <col min="10260" max="10260" width="12.85546875" style="67" customWidth="1"/>
    <col min="10261" max="10262" width="11" style="67" bestFit="1" customWidth="1"/>
    <col min="10263" max="10263" width="15.5703125" style="67" customWidth="1"/>
    <col min="10264" max="10264" width="13.42578125" style="67" customWidth="1"/>
    <col min="10265" max="10265" width="11" style="67" bestFit="1" customWidth="1"/>
    <col min="10266" max="10266" width="15.42578125" style="67" customWidth="1"/>
    <col min="10267" max="10268" width="11.140625" style="67" customWidth="1"/>
    <col min="10269" max="10269" width="13.85546875" style="67" customWidth="1"/>
    <col min="10270" max="10270" width="11.7109375" style="67" customWidth="1"/>
    <col min="10271" max="10271" width="12.28515625" style="67" customWidth="1"/>
    <col min="10272" max="10272" width="13.28515625" style="67" customWidth="1"/>
    <col min="10273" max="10273" width="11" style="67" bestFit="1" customWidth="1"/>
    <col min="10274" max="10274" width="11.42578125" style="67"/>
    <col min="10275" max="10275" width="9.42578125" style="67" bestFit="1" customWidth="1"/>
    <col min="10276" max="10496" width="11.42578125" style="67"/>
    <col min="10497" max="10497" width="28.140625" style="67" bestFit="1" customWidth="1"/>
    <col min="10498" max="10498" width="19.140625" style="67" customWidth="1"/>
    <col min="10499" max="10499" width="12.140625" style="67" customWidth="1"/>
    <col min="10500" max="10500" width="12.42578125" style="67" customWidth="1"/>
    <col min="10501" max="10501" width="19.140625" style="67" customWidth="1"/>
    <col min="10502" max="10502" width="18.28515625" style="67" customWidth="1"/>
    <col min="10503" max="10503" width="14" style="67" customWidth="1"/>
    <col min="10504" max="10504" width="13.28515625" style="67" customWidth="1"/>
    <col min="10505" max="10505" width="14.42578125" style="67" customWidth="1"/>
    <col min="10506" max="10506" width="14.85546875" style="67" customWidth="1"/>
    <col min="10507" max="10507" width="12" style="67" customWidth="1"/>
    <col min="10508" max="10508" width="13.42578125" style="67" customWidth="1"/>
    <col min="10509" max="10509" width="14.5703125" style="67" customWidth="1"/>
    <col min="10510" max="10510" width="15" style="67" customWidth="1"/>
    <col min="10511" max="10511" width="11.42578125" style="67"/>
    <col min="10512" max="10513" width="12.85546875" style="67" customWidth="1"/>
    <col min="10514" max="10514" width="12.7109375" style="67" customWidth="1"/>
    <col min="10515" max="10515" width="12.42578125" style="67" customWidth="1"/>
    <col min="10516" max="10516" width="12.85546875" style="67" customWidth="1"/>
    <col min="10517" max="10518" width="11" style="67" bestFit="1" customWidth="1"/>
    <col min="10519" max="10519" width="15.5703125" style="67" customWidth="1"/>
    <col min="10520" max="10520" width="13.42578125" style="67" customWidth="1"/>
    <col min="10521" max="10521" width="11" style="67" bestFit="1" customWidth="1"/>
    <col min="10522" max="10522" width="15.42578125" style="67" customWidth="1"/>
    <col min="10523" max="10524" width="11.140625" style="67" customWidth="1"/>
    <col min="10525" max="10525" width="13.85546875" style="67" customWidth="1"/>
    <col min="10526" max="10526" width="11.7109375" style="67" customWidth="1"/>
    <col min="10527" max="10527" width="12.28515625" style="67" customWidth="1"/>
    <col min="10528" max="10528" width="13.28515625" style="67" customWidth="1"/>
    <col min="10529" max="10529" width="11" style="67" bestFit="1" customWidth="1"/>
    <col min="10530" max="10530" width="11.42578125" style="67"/>
    <col min="10531" max="10531" width="9.42578125" style="67" bestFit="1" customWidth="1"/>
    <col min="10532" max="10752" width="11.42578125" style="67"/>
    <col min="10753" max="10753" width="28.140625" style="67" bestFit="1" customWidth="1"/>
    <col min="10754" max="10754" width="19.140625" style="67" customWidth="1"/>
    <col min="10755" max="10755" width="12.140625" style="67" customWidth="1"/>
    <col min="10756" max="10756" width="12.42578125" style="67" customWidth="1"/>
    <col min="10757" max="10757" width="19.140625" style="67" customWidth="1"/>
    <col min="10758" max="10758" width="18.28515625" style="67" customWidth="1"/>
    <col min="10759" max="10759" width="14" style="67" customWidth="1"/>
    <col min="10760" max="10760" width="13.28515625" style="67" customWidth="1"/>
    <col min="10761" max="10761" width="14.42578125" style="67" customWidth="1"/>
    <col min="10762" max="10762" width="14.85546875" style="67" customWidth="1"/>
    <col min="10763" max="10763" width="12" style="67" customWidth="1"/>
    <col min="10764" max="10764" width="13.42578125" style="67" customWidth="1"/>
    <col min="10765" max="10765" width="14.5703125" style="67" customWidth="1"/>
    <col min="10766" max="10766" width="15" style="67" customWidth="1"/>
    <col min="10767" max="10767" width="11.42578125" style="67"/>
    <col min="10768" max="10769" width="12.85546875" style="67" customWidth="1"/>
    <col min="10770" max="10770" width="12.7109375" style="67" customWidth="1"/>
    <col min="10771" max="10771" width="12.42578125" style="67" customWidth="1"/>
    <col min="10772" max="10772" width="12.85546875" style="67" customWidth="1"/>
    <col min="10773" max="10774" width="11" style="67" bestFit="1" customWidth="1"/>
    <col min="10775" max="10775" width="15.5703125" style="67" customWidth="1"/>
    <col min="10776" max="10776" width="13.42578125" style="67" customWidth="1"/>
    <col min="10777" max="10777" width="11" style="67" bestFit="1" customWidth="1"/>
    <col min="10778" max="10778" width="15.42578125" style="67" customWidth="1"/>
    <col min="10779" max="10780" width="11.140625" style="67" customWidth="1"/>
    <col min="10781" max="10781" width="13.85546875" style="67" customWidth="1"/>
    <col min="10782" max="10782" width="11.7109375" style="67" customWidth="1"/>
    <col min="10783" max="10783" width="12.28515625" style="67" customWidth="1"/>
    <col min="10784" max="10784" width="13.28515625" style="67" customWidth="1"/>
    <col min="10785" max="10785" width="11" style="67" bestFit="1" customWidth="1"/>
    <col min="10786" max="10786" width="11.42578125" style="67"/>
    <col min="10787" max="10787" width="9.42578125" style="67" bestFit="1" customWidth="1"/>
    <col min="10788" max="11008" width="11.42578125" style="67"/>
    <col min="11009" max="11009" width="28.140625" style="67" bestFit="1" customWidth="1"/>
    <col min="11010" max="11010" width="19.140625" style="67" customWidth="1"/>
    <col min="11011" max="11011" width="12.140625" style="67" customWidth="1"/>
    <col min="11012" max="11012" width="12.42578125" style="67" customWidth="1"/>
    <col min="11013" max="11013" width="19.140625" style="67" customWidth="1"/>
    <col min="11014" max="11014" width="18.28515625" style="67" customWidth="1"/>
    <col min="11015" max="11015" width="14" style="67" customWidth="1"/>
    <col min="11016" max="11016" width="13.28515625" style="67" customWidth="1"/>
    <col min="11017" max="11017" width="14.42578125" style="67" customWidth="1"/>
    <col min="11018" max="11018" width="14.85546875" style="67" customWidth="1"/>
    <col min="11019" max="11019" width="12" style="67" customWidth="1"/>
    <col min="11020" max="11020" width="13.42578125" style="67" customWidth="1"/>
    <col min="11021" max="11021" width="14.5703125" style="67" customWidth="1"/>
    <col min="11022" max="11022" width="15" style="67" customWidth="1"/>
    <col min="11023" max="11023" width="11.42578125" style="67"/>
    <col min="11024" max="11025" width="12.85546875" style="67" customWidth="1"/>
    <col min="11026" max="11026" width="12.7109375" style="67" customWidth="1"/>
    <col min="11027" max="11027" width="12.42578125" style="67" customWidth="1"/>
    <col min="11028" max="11028" width="12.85546875" style="67" customWidth="1"/>
    <col min="11029" max="11030" width="11" style="67" bestFit="1" customWidth="1"/>
    <col min="11031" max="11031" width="15.5703125" style="67" customWidth="1"/>
    <col min="11032" max="11032" width="13.42578125" style="67" customWidth="1"/>
    <col min="11033" max="11033" width="11" style="67" bestFit="1" customWidth="1"/>
    <col min="11034" max="11034" width="15.42578125" style="67" customWidth="1"/>
    <col min="11035" max="11036" width="11.140625" style="67" customWidth="1"/>
    <col min="11037" max="11037" width="13.85546875" style="67" customWidth="1"/>
    <col min="11038" max="11038" width="11.7109375" style="67" customWidth="1"/>
    <col min="11039" max="11039" width="12.28515625" style="67" customWidth="1"/>
    <col min="11040" max="11040" width="13.28515625" style="67" customWidth="1"/>
    <col min="11041" max="11041" width="11" style="67" bestFit="1" customWidth="1"/>
    <col min="11042" max="11042" width="11.42578125" style="67"/>
    <col min="11043" max="11043" width="9.42578125" style="67" bestFit="1" customWidth="1"/>
    <col min="11044" max="11264" width="11.42578125" style="67"/>
    <col min="11265" max="11265" width="28.140625" style="67" bestFit="1" customWidth="1"/>
    <col min="11266" max="11266" width="19.140625" style="67" customWidth="1"/>
    <col min="11267" max="11267" width="12.140625" style="67" customWidth="1"/>
    <col min="11268" max="11268" width="12.42578125" style="67" customWidth="1"/>
    <col min="11269" max="11269" width="19.140625" style="67" customWidth="1"/>
    <col min="11270" max="11270" width="18.28515625" style="67" customWidth="1"/>
    <col min="11271" max="11271" width="14" style="67" customWidth="1"/>
    <col min="11272" max="11272" width="13.28515625" style="67" customWidth="1"/>
    <col min="11273" max="11273" width="14.42578125" style="67" customWidth="1"/>
    <col min="11274" max="11274" width="14.85546875" style="67" customWidth="1"/>
    <col min="11275" max="11275" width="12" style="67" customWidth="1"/>
    <col min="11276" max="11276" width="13.42578125" style="67" customWidth="1"/>
    <col min="11277" max="11277" width="14.5703125" style="67" customWidth="1"/>
    <col min="11278" max="11278" width="15" style="67" customWidth="1"/>
    <col min="11279" max="11279" width="11.42578125" style="67"/>
    <col min="11280" max="11281" width="12.85546875" style="67" customWidth="1"/>
    <col min="11282" max="11282" width="12.7109375" style="67" customWidth="1"/>
    <col min="11283" max="11283" width="12.42578125" style="67" customWidth="1"/>
    <col min="11284" max="11284" width="12.85546875" style="67" customWidth="1"/>
    <col min="11285" max="11286" width="11" style="67" bestFit="1" customWidth="1"/>
    <col min="11287" max="11287" width="15.5703125" style="67" customWidth="1"/>
    <col min="11288" max="11288" width="13.42578125" style="67" customWidth="1"/>
    <col min="11289" max="11289" width="11" style="67" bestFit="1" customWidth="1"/>
    <col min="11290" max="11290" width="15.42578125" style="67" customWidth="1"/>
    <col min="11291" max="11292" width="11.140625" style="67" customWidth="1"/>
    <col min="11293" max="11293" width="13.85546875" style="67" customWidth="1"/>
    <col min="11294" max="11294" width="11.7109375" style="67" customWidth="1"/>
    <col min="11295" max="11295" width="12.28515625" style="67" customWidth="1"/>
    <col min="11296" max="11296" width="13.28515625" style="67" customWidth="1"/>
    <col min="11297" max="11297" width="11" style="67" bestFit="1" customWidth="1"/>
    <col min="11298" max="11298" width="11.42578125" style="67"/>
    <col min="11299" max="11299" width="9.42578125" style="67" bestFit="1" customWidth="1"/>
    <col min="11300" max="11520" width="11.42578125" style="67"/>
    <col min="11521" max="11521" width="28.140625" style="67" bestFit="1" customWidth="1"/>
    <col min="11522" max="11522" width="19.140625" style="67" customWidth="1"/>
    <col min="11523" max="11523" width="12.140625" style="67" customWidth="1"/>
    <col min="11524" max="11524" width="12.42578125" style="67" customWidth="1"/>
    <col min="11525" max="11525" width="19.140625" style="67" customWidth="1"/>
    <col min="11526" max="11526" width="18.28515625" style="67" customWidth="1"/>
    <col min="11527" max="11527" width="14" style="67" customWidth="1"/>
    <col min="11528" max="11528" width="13.28515625" style="67" customWidth="1"/>
    <col min="11529" max="11529" width="14.42578125" style="67" customWidth="1"/>
    <col min="11530" max="11530" width="14.85546875" style="67" customWidth="1"/>
    <col min="11531" max="11531" width="12" style="67" customWidth="1"/>
    <col min="11532" max="11532" width="13.42578125" style="67" customWidth="1"/>
    <col min="11533" max="11533" width="14.5703125" style="67" customWidth="1"/>
    <col min="11534" max="11534" width="15" style="67" customWidth="1"/>
    <col min="11535" max="11535" width="11.42578125" style="67"/>
    <col min="11536" max="11537" width="12.85546875" style="67" customWidth="1"/>
    <col min="11538" max="11538" width="12.7109375" style="67" customWidth="1"/>
    <col min="11539" max="11539" width="12.42578125" style="67" customWidth="1"/>
    <col min="11540" max="11540" width="12.85546875" style="67" customWidth="1"/>
    <col min="11541" max="11542" width="11" style="67" bestFit="1" customWidth="1"/>
    <col min="11543" max="11543" width="15.5703125" style="67" customWidth="1"/>
    <col min="11544" max="11544" width="13.42578125" style="67" customWidth="1"/>
    <col min="11545" max="11545" width="11" style="67" bestFit="1" customWidth="1"/>
    <col min="11546" max="11546" width="15.42578125" style="67" customWidth="1"/>
    <col min="11547" max="11548" width="11.140625" style="67" customWidth="1"/>
    <col min="11549" max="11549" width="13.85546875" style="67" customWidth="1"/>
    <col min="11550" max="11550" width="11.7109375" style="67" customWidth="1"/>
    <col min="11551" max="11551" width="12.28515625" style="67" customWidth="1"/>
    <col min="11552" max="11552" width="13.28515625" style="67" customWidth="1"/>
    <col min="11553" max="11553" width="11" style="67" bestFit="1" customWidth="1"/>
    <col min="11554" max="11554" width="11.42578125" style="67"/>
    <col min="11555" max="11555" width="9.42578125" style="67" bestFit="1" customWidth="1"/>
    <col min="11556" max="11776" width="11.42578125" style="67"/>
    <col min="11777" max="11777" width="28.140625" style="67" bestFit="1" customWidth="1"/>
    <col min="11778" max="11778" width="19.140625" style="67" customWidth="1"/>
    <col min="11779" max="11779" width="12.140625" style="67" customWidth="1"/>
    <col min="11780" max="11780" width="12.42578125" style="67" customWidth="1"/>
    <col min="11781" max="11781" width="19.140625" style="67" customWidth="1"/>
    <col min="11782" max="11782" width="18.28515625" style="67" customWidth="1"/>
    <col min="11783" max="11783" width="14" style="67" customWidth="1"/>
    <col min="11784" max="11784" width="13.28515625" style="67" customWidth="1"/>
    <col min="11785" max="11785" width="14.42578125" style="67" customWidth="1"/>
    <col min="11786" max="11786" width="14.85546875" style="67" customWidth="1"/>
    <col min="11787" max="11787" width="12" style="67" customWidth="1"/>
    <col min="11788" max="11788" width="13.42578125" style="67" customWidth="1"/>
    <col min="11789" max="11789" width="14.5703125" style="67" customWidth="1"/>
    <col min="11790" max="11790" width="15" style="67" customWidth="1"/>
    <col min="11791" max="11791" width="11.42578125" style="67"/>
    <col min="11792" max="11793" width="12.85546875" style="67" customWidth="1"/>
    <col min="11794" max="11794" width="12.7109375" style="67" customWidth="1"/>
    <col min="11795" max="11795" width="12.42578125" style="67" customWidth="1"/>
    <col min="11796" max="11796" width="12.85546875" style="67" customWidth="1"/>
    <col min="11797" max="11798" width="11" style="67" bestFit="1" customWidth="1"/>
    <col min="11799" max="11799" width="15.5703125" style="67" customWidth="1"/>
    <col min="11800" max="11800" width="13.42578125" style="67" customWidth="1"/>
    <col min="11801" max="11801" width="11" style="67" bestFit="1" customWidth="1"/>
    <col min="11802" max="11802" width="15.42578125" style="67" customWidth="1"/>
    <col min="11803" max="11804" width="11.140625" style="67" customWidth="1"/>
    <col min="11805" max="11805" width="13.85546875" style="67" customWidth="1"/>
    <col min="11806" max="11806" width="11.7109375" style="67" customWidth="1"/>
    <col min="11807" max="11807" width="12.28515625" style="67" customWidth="1"/>
    <col min="11808" max="11808" width="13.28515625" style="67" customWidth="1"/>
    <col min="11809" max="11809" width="11" style="67" bestFit="1" customWidth="1"/>
    <col min="11810" max="11810" width="11.42578125" style="67"/>
    <col min="11811" max="11811" width="9.42578125" style="67" bestFit="1" customWidth="1"/>
    <col min="11812" max="12032" width="11.42578125" style="67"/>
    <col min="12033" max="12033" width="28.140625" style="67" bestFit="1" customWidth="1"/>
    <col min="12034" max="12034" width="19.140625" style="67" customWidth="1"/>
    <col min="12035" max="12035" width="12.140625" style="67" customWidth="1"/>
    <col min="12036" max="12036" width="12.42578125" style="67" customWidth="1"/>
    <col min="12037" max="12037" width="19.140625" style="67" customWidth="1"/>
    <col min="12038" max="12038" width="18.28515625" style="67" customWidth="1"/>
    <col min="12039" max="12039" width="14" style="67" customWidth="1"/>
    <col min="12040" max="12040" width="13.28515625" style="67" customWidth="1"/>
    <col min="12041" max="12041" width="14.42578125" style="67" customWidth="1"/>
    <col min="12042" max="12042" width="14.85546875" style="67" customWidth="1"/>
    <col min="12043" max="12043" width="12" style="67" customWidth="1"/>
    <col min="12044" max="12044" width="13.42578125" style="67" customWidth="1"/>
    <col min="12045" max="12045" width="14.5703125" style="67" customWidth="1"/>
    <col min="12046" max="12046" width="15" style="67" customWidth="1"/>
    <col min="12047" max="12047" width="11.42578125" style="67"/>
    <col min="12048" max="12049" width="12.85546875" style="67" customWidth="1"/>
    <col min="12050" max="12050" width="12.7109375" style="67" customWidth="1"/>
    <col min="12051" max="12051" width="12.42578125" style="67" customWidth="1"/>
    <col min="12052" max="12052" width="12.85546875" style="67" customWidth="1"/>
    <col min="12053" max="12054" width="11" style="67" bestFit="1" customWidth="1"/>
    <col min="12055" max="12055" width="15.5703125" style="67" customWidth="1"/>
    <col min="12056" max="12056" width="13.42578125" style="67" customWidth="1"/>
    <col min="12057" max="12057" width="11" style="67" bestFit="1" customWidth="1"/>
    <col min="12058" max="12058" width="15.42578125" style="67" customWidth="1"/>
    <col min="12059" max="12060" width="11.140625" style="67" customWidth="1"/>
    <col min="12061" max="12061" width="13.85546875" style="67" customWidth="1"/>
    <col min="12062" max="12062" width="11.7109375" style="67" customWidth="1"/>
    <col min="12063" max="12063" width="12.28515625" style="67" customWidth="1"/>
    <col min="12064" max="12064" width="13.28515625" style="67" customWidth="1"/>
    <col min="12065" max="12065" width="11" style="67" bestFit="1" customWidth="1"/>
    <col min="12066" max="12066" width="11.42578125" style="67"/>
    <col min="12067" max="12067" width="9.42578125" style="67" bestFit="1" customWidth="1"/>
    <col min="12068" max="12288" width="11.42578125" style="67"/>
    <col min="12289" max="12289" width="28.140625" style="67" bestFit="1" customWidth="1"/>
    <col min="12290" max="12290" width="19.140625" style="67" customWidth="1"/>
    <col min="12291" max="12291" width="12.140625" style="67" customWidth="1"/>
    <col min="12292" max="12292" width="12.42578125" style="67" customWidth="1"/>
    <col min="12293" max="12293" width="19.140625" style="67" customWidth="1"/>
    <col min="12294" max="12294" width="18.28515625" style="67" customWidth="1"/>
    <col min="12295" max="12295" width="14" style="67" customWidth="1"/>
    <col min="12296" max="12296" width="13.28515625" style="67" customWidth="1"/>
    <col min="12297" max="12297" width="14.42578125" style="67" customWidth="1"/>
    <col min="12298" max="12298" width="14.85546875" style="67" customWidth="1"/>
    <col min="12299" max="12299" width="12" style="67" customWidth="1"/>
    <col min="12300" max="12300" width="13.42578125" style="67" customWidth="1"/>
    <col min="12301" max="12301" width="14.5703125" style="67" customWidth="1"/>
    <col min="12302" max="12302" width="15" style="67" customWidth="1"/>
    <col min="12303" max="12303" width="11.42578125" style="67"/>
    <col min="12304" max="12305" width="12.85546875" style="67" customWidth="1"/>
    <col min="12306" max="12306" width="12.7109375" style="67" customWidth="1"/>
    <col min="12307" max="12307" width="12.42578125" style="67" customWidth="1"/>
    <col min="12308" max="12308" width="12.85546875" style="67" customWidth="1"/>
    <col min="12309" max="12310" width="11" style="67" bestFit="1" customWidth="1"/>
    <col min="12311" max="12311" width="15.5703125" style="67" customWidth="1"/>
    <col min="12312" max="12312" width="13.42578125" style="67" customWidth="1"/>
    <col min="12313" max="12313" width="11" style="67" bestFit="1" customWidth="1"/>
    <col min="12314" max="12314" width="15.42578125" style="67" customWidth="1"/>
    <col min="12315" max="12316" width="11.140625" style="67" customWidth="1"/>
    <col min="12317" max="12317" width="13.85546875" style="67" customWidth="1"/>
    <col min="12318" max="12318" width="11.7109375" style="67" customWidth="1"/>
    <col min="12319" max="12319" width="12.28515625" style="67" customWidth="1"/>
    <col min="12320" max="12320" width="13.28515625" style="67" customWidth="1"/>
    <col min="12321" max="12321" width="11" style="67" bestFit="1" customWidth="1"/>
    <col min="12322" max="12322" width="11.42578125" style="67"/>
    <col min="12323" max="12323" width="9.42578125" style="67" bestFit="1" customWidth="1"/>
    <col min="12324" max="12544" width="11.42578125" style="67"/>
    <col min="12545" max="12545" width="28.140625" style="67" bestFit="1" customWidth="1"/>
    <col min="12546" max="12546" width="19.140625" style="67" customWidth="1"/>
    <col min="12547" max="12547" width="12.140625" style="67" customWidth="1"/>
    <col min="12548" max="12548" width="12.42578125" style="67" customWidth="1"/>
    <col min="12549" max="12549" width="19.140625" style="67" customWidth="1"/>
    <col min="12550" max="12550" width="18.28515625" style="67" customWidth="1"/>
    <col min="12551" max="12551" width="14" style="67" customWidth="1"/>
    <col min="12552" max="12552" width="13.28515625" style="67" customWidth="1"/>
    <col min="12553" max="12553" width="14.42578125" style="67" customWidth="1"/>
    <col min="12554" max="12554" width="14.85546875" style="67" customWidth="1"/>
    <col min="12555" max="12555" width="12" style="67" customWidth="1"/>
    <col min="12556" max="12556" width="13.42578125" style="67" customWidth="1"/>
    <col min="12557" max="12557" width="14.5703125" style="67" customWidth="1"/>
    <col min="12558" max="12558" width="15" style="67" customWidth="1"/>
    <col min="12559" max="12559" width="11.42578125" style="67"/>
    <col min="12560" max="12561" width="12.85546875" style="67" customWidth="1"/>
    <col min="12562" max="12562" width="12.7109375" style="67" customWidth="1"/>
    <col min="12563" max="12563" width="12.42578125" style="67" customWidth="1"/>
    <col min="12564" max="12564" width="12.85546875" style="67" customWidth="1"/>
    <col min="12565" max="12566" width="11" style="67" bestFit="1" customWidth="1"/>
    <col min="12567" max="12567" width="15.5703125" style="67" customWidth="1"/>
    <col min="12568" max="12568" width="13.42578125" style="67" customWidth="1"/>
    <col min="12569" max="12569" width="11" style="67" bestFit="1" customWidth="1"/>
    <col min="12570" max="12570" width="15.42578125" style="67" customWidth="1"/>
    <col min="12571" max="12572" width="11.140625" style="67" customWidth="1"/>
    <col min="12573" max="12573" width="13.85546875" style="67" customWidth="1"/>
    <col min="12574" max="12574" width="11.7109375" style="67" customWidth="1"/>
    <col min="12575" max="12575" width="12.28515625" style="67" customWidth="1"/>
    <col min="12576" max="12576" width="13.28515625" style="67" customWidth="1"/>
    <col min="12577" max="12577" width="11" style="67" bestFit="1" customWidth="1"/>
    <col min="12578" max="12578" width="11.42578125" style="67"/>
    <col min="12579" max="12579" width="9.42578125" style="67" bestFit="1" customWidth="1"/>
    <col min="12580" max="12800" width="11.42578125" style="67"/>
    <col min="12801" max="12801" width="28.140625" style="67" bestFit="1" customWidth="1"/>
    <col min="12802" max="12802" width="19.140625" style="67" customWidth="1"/>
    <col min="12803" max="12803" width="12.140625" style="67" customWidth="1"/>
    <col min="12804" max="12804" width="12.42578125" style="67" customWidth="1"/>
    <col min="12805" max="12805" width="19.140625" style="67" customWidth="1"/>
    <col min="12806" max="12806" width="18.28515625" style="67" customWidth="1"/>
    <col min="12807" max="12807" width="14" style="67" customWidth="1"/>
    <col min="12808" max="12808" width="13.28515625" style="67" customWidth="1"/>
    <col min="12809" max="12809" width="14.42578125" style="67" customWidth="1"/>
    <col min="12810" max="12810" width="14.85546875" style="67" customWidth="1"/>
    <col min="12811" max="12811" width="12" style="67" customWidth="1"/>
    <col min="12812" max="12812" width="13.42578125" style="67" customWidth="1"/>
    <col min="12813" max="12813" width="14.5703125" style="67" customWidth="1"/>
    <col min="12814" max="12814" width="15" style="67" customWidth="1"/>
    <col min="12815" max="12815" width="11.42578125" style="67"/>
    <col min="12816" max="12817" width="12.85546875" style="67" customWidth="1"/>
    <col min="12818" max="12818" width="12.7109375" style="67" customWidth="1"/>
    <col min="12819" max="12819" width="12.42578125" style="67" customWidth="1"/>
    <col min="12820" max="12820" width="12.85546875" style="67" customWidth="1"/>
    <col min="12821" max="12822" width="11" style="67" bestFit="1" customWidth="1"/>
    <col min="12823" max="12823" width="15.5703125" style="67" customWidth="1"/>
    <col min="12824" max="12824" width="13.42578125" style="67" customWidth="1"/>
    <col min="12825" max="12825" width="11" style="67" bestFit="1" customWidth="1"/>
    <col min="12826" max="12826" width="15.42578125" style="67" customWidth="1"/>
    <col min="12827" max="12828" width="11.140625" style="67" customWidth="1"/>
    <col min="12829" max="12829" width="13.85546875" style="67" customWidth="1"/>
    <col min="12830" max="12830" width="11.7109375" style="67" customWidth="1"/>
    <col min="12831" max="12831" width="12.28515625" style="67" customWidth="1"/>
    <col min="12832" max="12832" width="13.28515625" style="67" customWidth="1"/>
    <col min="12833" max="12833" width="11" style="67" bestFit="1" customWidth="1"/>
    <col min="12834" max="12834" width="11.42578125" style="67"/>
    <col min="12835" max="12835" width="9.42578125" style="67" bestFit="1" customWidth="1"/>
    <col min="12836" max="13056" width="11.42578125" style="67"/>
    <col min="13057" max="13057" width="28.140625" style="67" bestFit="1" customWidth="1"/>
    <col min="13058" max="13058" width="19.140625" style="67" customWidth="1"/>
    <col min="13059" max="13059" width="12.140625" style="67" customWidth="1"/>
    <col min="13060" max="13060" width="12.42578125" style="67" customWidth="1"/>
    <col min="13061" max="13061" width="19.140625" style="67" customWidth="1"/>
    <col min="13062" max="13062" width="18.28515625" style="67" customWidth="1"/>
    <col min="13063" max="13063" width="14" style="67" customWidth="1"/>
    <col min="13064" max="13064" width="13.28515625" style="67" customWidth="1"/>
    <col min="13065" max="13065" width="14.42578125" style="67" customWidth="1"/>
    <col min="13066" max="13066" width="14.85546875" style="67" customWidth="1"/>
    <col min="13067" max="13067" width="12" style="67" customWidth="1"/>
    <col min="13068" max="13068" width="13.42578125" style="67" customWidth="1"/>
    <col min="13069" max="13069" width="14.5703125" style="67" customWidth="1"/>
    <col min="13070" max="13070" width="15" style="67" customWidth="1"/>
    <col min="13071" max="13071" width="11.42578125" style="67"/>
    <col min="13072" max="13073" width="12.85546875" style="67" customWidth="1"/>
    <col min="13074" max="13074" width="12.7109375" style="67" customWidth="1"/>
    <col min="13075" max="13075" width="12.42578125" style="67" customWidth="1"/>
    <col min="13076" max="13076" width="12.85546875" style="67" customWidth="1"/>
    <col min="13077" max="13078" width="11" style="67" bestFit="1" customWidth="1"/>
    <col min="13079" max="13079" width="15.5703125" style="67" customWidth="1"/>
    <col min="13080" max="13080" width="13.42578125" style="67" customWidth="1"/>
    <col min="13081" max="13081" width="11" style="67" bestFit="1" customWidth="1"/>
    <col min="13082" max="13082" width="15.42578125" style="67" customWidth="1"/>
    <col min="13083" max="13084" width="11.140625" style="67" customWidth="1"/>
    <col min="13085" max="13085" width="13.85546875" style="67" customWidth="1"/>
    <col min="13086" max="13086" width="11.7109375" style="67" customWidth="1"/>
    <col min="13087" max="13087" width="12.28515625" style="67" customWidth="1"/>
    <col min="13088" max="13088" width="13.28515625" style="67" customWidth="1"/>
    <col min="13089" max="13089" width="11" style="67" bestFit="1" customWidth="1"/>
    <col min="13090" max="13090" width="11.42578125" style="67"/>
    <col min="13091" max="13091" width="9.42578125" style="67" bestFit="1" customWidth="1"/>
    <col min="13092" max="13312" width="11.42578125" style="67"/>
    <col min="13313" max="13313" width="28.140625" style="67" bestFit="1" customWidth="1"/>
    <col min="13314" max="13314" width="19.140625" style="67" customWidth="1"/>
    <col min="13315" max="13315" width="12.140625" style="67" customWidth="1"/>
    <col min="13316" max="13316" width="12.42578125" style="67" customWidth="1"/>
    <col min="13317" max="13317" width="19.140625" style="67" customWidth="1"/>
    <col min="13318" max="13318" width="18.28515625" style="67" customWidth="1"/>
    <col min="13319" max="13319" width="14" style="67" customWidth="1"/>
    <col min="13320" max="13320" width="13.28515625" style="67" customWidth="1"/>
    <col min="13321" max="13321" width="14.42578125" style="67" customWidth="1"/>
    <col min="13322" max="13322" width="14.85546875" style="67" customWidth="1"/>
    <col min="13323" max="13323" width="12" style="67" customWidth="1"/>
    <col min="13324" max="13324" width="13.42578125" style="67" customWidth="1"/>
    <col min="13325" max="13325" width="14.5703125" style="67" customWidth="1"/>
    <col min="13326" max="13326" width="15" style="67" customWidth="1"/>
    <col min="13327" max="13327" width="11.42578125" style="67"/>
    <col min="13328" max="13329" width="12.85546875" style="67" customWidth="1"/>
    <col min="13330" max="13330" width="12.7109375" style="67" customWidth="1"/>
    <col min="13331" max="13331" width="12.42578125" style="67" customWidth="1"/>
    <col min="13332" max="13332" width="12.85546875" style="67" customWidth="1"/>
    <col min="13333" max="13334" width="11" style="67" bestFit="1" customWidth="1"/>
    <col min="13335" max="13335" width="15.5703125" style="67" customWidth="1"/>
    <col min="13336" max="13336" width="13.42578125" style="67" customWidth="1"/>
    <col min="13337" max="13337" width="11" style="67" bestFit="1" customWidth="1"/>
    <col min="13338" max="13338" width="15.42578125" style="67" customWidth="1"/>
    <col min="13339" max="13340" width="11.140625" style="67" customWidth="1"/>
    <col min="13341" max="13341" width="13.85546875" style="67" customWidth="1"/>
    <col min="13342" max="13342" width="11.7109375" style="67" customWidth="1"/>
    <col min="13343" max="13343" width="12.28515625" style="67" customWidth="1"/>
    <col min="13344" max="13344" width="13.28515625" style="67" customWidth="1"/>
    <col min="13345" max="13345" width="11" style="67" bestFit="1" customWidth="1"/>
    <col min="13346" max="13346" width="11.42578125" style="67"/>
    <col min="13347" max="13347" width="9.42578125" style="67" bestFit="1" customWidth="1"/>
    <col min="13348" max="13568" width="11.42578125" style="67"/>
    <col min="13569" max="13569" width="28.140625" style="67" bestFit="1" customWidth="1"/>
    <col min="13570" max="13570" width="19.140625" style="67" customWidth="1"/>
    <col min="13571" max="13571" width="12.140625" style="67" customWidth="1"/>
    <col min="13572" max="13572" width="12.42578125" style="67" customWidth="1"/>
    <col min="13573" max="13573" width="19.140625" style="67" customWidth="1"/>
    <col min="13574" max="13574" width="18.28515625" style="67" customWidth="1"/>
    <col min="13575" max="13575" width="14" style="67" customWidth="1"/>
    <col min="13576" max="13576" width="13.28515625" style="67" customWidth="1"/>
    <col min="13577" max="13577" width="14.42578125" style="67" customWidth="1"/>
    <col min="13578" max="13578" width="14.85546875" style="67" customWidth="1"/>
    <col min="13579" max="13579" width="12" style="67" customWidth="1"/>
    <col min="13580" max="13580" width="13.42578125" style="67" customWidth="1"/>
    <col min="13581" max="13581" width="14.5703125" style="67" customWidth="1"/>
    <col min="13582" max="13582" width="15" style="67" customWidth="1"/>
    <col min="13583" max="13583" width="11.42578125" style="67"/>
    <col min="13584" max="13585" width="12.85546875" style="67" customWidth="1"/>
    <col min="13586" max="13586" width="12.7109375" style="67" customWidth="1"/>
    <col min="13587" max="13587" width="12.42578125" style="67" customWidth="1"/>
    <col min="13588" max="13588" width="12.85546875" style="67" customWidth="1"/>
    <col min="13589" max="13590" width="11" style="67" bestFit="1" customWidth="1"/>
    <col min="13591" max="13591" width="15.5703125" style="67" customWidth="1"/>
    <col min="13592" max="13592" width="13.42578125" style="67" customWidth="1"/>
    <col min="13593" max="13593" width="11" style="67" bestFit="1" customWidth="1"/>
    <col min="13594" max="13594" width="15.42578125" style="67" customWidth="1"/>
    <col min="13595" max="13596" width="11.140625" style="67" customWidth="1"/>
    <col min="13597" max="13597" width="13.85546875" style="67" customWidth="1"/>
    <col min="13598" max="13598" width="11.7109375" style="67" customWidth="1"/>
    <col min="13599" max="13599" width="12.28515625" style="67" customWidth="1"/>
    <col min="13600" max="13600" width="13.28515625" style="67" customWidth="1"/>
    <col min="13601" max="13601" width="11" style="67" bestFit="1" customWidth="1"/>
    <col min="13602" max="13602" width="11.42578125" style="67"/>
    <col min="13603" max="13603" width="9.42578125" style="67" bestFit="1" customWidth="1"/>
    <col min="13604" max="13824" width="11.42578125" style="67"/>
    <col min="13825" max="13825" width="28.140625" style="67" bestFit="1" customWidth="1"/>
    <col min="13826" max="13826" width="19.140625" style="67" customWidth="1"/>
    <col min="13827" max="13827" width="12.140625" style="67" customWidth="1"/>
    <col min="13828" max="13828" width="12.42578125" style="67" customWidth="1"/>
    <col min="13829" max="13829" width="19.140625" style="67" customWidth="1"/>
    <col min="13830" max="13830" width="18.28515625" style="67" customWidth="1"/>
    <col min="13831" max="13831" width="14" style="67" customWidth="1"/>
    <col min="13832" max="13832" width="13.28515625" style="67" customWidth="1"/>
    <col min="13833" max="13833" width="14.42578125" style="67" customWidth="1"/>
    <col min="13834" max="13834" width="14.85546875" style="67" customWidth="1"/>
    <col min="13835" max="13835" width="12" style="67" customWidth="1"/>
    <col min="13836" max="13836" width="13.42578125" style="67" customWidth="1"/>
    <col min="13837" max="13837" width="14.5703125" style="67" customWidth="1"/>
    <col min="13838" max="13838" width="15" style="67" customWidth="1"/>
    <col min="13839" max="13839" width="11.42578125" style="67"/>
    <col min="13840" max="13841" width="12.85546875" style="67" customWidth="1"/>
    <col min="13842" max="13842" width="12.7109375" style="67" customWidth="1"/>
    <col min="13843" max="13843" width="12.42578125" style="67" customWidth="1"/>
    <col min="13844" max="13844" width="12.85546875" style="67" customWidth="1"/>
    <col min="13845" max="13846" width="11" style="67" bestFit="1" customWidth="1"/>
    <col min="13847" max="13847" width="15.5703125" style="67" customWidth="1"/>
    <col min="13848" max="13848" width="13.42578125" style="67" customWidth="1"/>
    <col min="13849" max="13849" width="11" style="67" bestFit="1" customWidth="1"/>
    <col min="13850" max="13850" width="15.42578125" style="67" customWidth="1"/>
    <col min="13851" max="13852" width="11.140625" style="67" customWidth="1"/>
    <col min="13853" max="13853" width="13.85546875" style="67" customWidth="1"/>
    <col min="13854" max="13854" width="11.7109375" style="67" customWidth="1"/>
    <col min="13855" max="13855" width="12.28515625" style="67" customWidth="1"/>
    <col min="13856" max="13856" width="13.28515625" style="67" customWidth="1"/>
    <col min="13857" max="13857" width="11" style="67" bestFit="1" customWidth="1"/>
    <col min="13858" max="13858" width="11.42578125" style="67"/>
    <col min="13859" max="13859" width="9.42578125" style="67" bestFit="1" customWidth="1"/>
    <col min="13860" max="14080" width="11.42578125" style="67"/>
    <col min="14081" max="14081" width="28.140625" style="67" bestFit="1" customWidth="1"/>
    <col min="14082" max="14082" width="19.140625" style="67" customWidth="1"/>
    <col min="14083" max="14083" width="12.140625" style="67" customWidth="1"/>
    <col min="14084" max="14084" width="12.42578125" style="67" customWidth="1"/>
    <col min="14085" max="14085" width="19.140625" style="67" customWidth="1"/>
    <col min="14086" max="14086" width="18.28515625" style="67" customWidth="1"/>
    <col min="14087" max="14087" width="14" style="67" customWidth="1"/>
    <col min="14088" max="14088" width="13.28515625" style="67" customWidth="1"/>
    <col min="14089" max="14089" width="14.42578125" style="67" customWidth="1"/>
    <col min="14090" max="14090" width="14.85546875" style="67" customWidth="1"/>
    <col min="14091" max="14091" width="12" style="67" customWidth="1"/>
    <col min="14092" max="14092" width="13.42578125" style="67" customWidth="1"/>
    <col min="14093" max="14093" width="14.5703125" style="67" customWidth="1"/>
    <col min="14094" max="14094" width="15" style="67" customWidth="1"/>
    <col min="14095" max="14095" width="11.42578125" style="67"/>
    <col min="14096" max="14097" width="12.85546875" style="67" customWidth="1"/>
    <col min="14098" max="14098" width="12.7109375" style="67" customWidth="1"/>
    <col min="14099" max="14099" width="12.42578125" style="67" customWidth="1"/>
    <col min="14100" max="14100" width="12.85546875" style="67" customWidth="1"/>
    <col min="14101" max="14102" width="11" style="67" bestFit="1" customWidth="1"/>
    <col min="14103" max="14103" width="15.5703125" style="67" customWidth="1"/>
    <col min="14104" max="14104" width="13.42578125" style="67" customWidth="1"/>
    <col min="14105" max="14105" width="11" style="67" bestFit="1" customWidth="1"/>
    <col min="14106" max="14106" width="15.42578125" style="67" customWidth="1"/>
    <col min="14107" max="14108" width="11.140625" style="67" customWidth="1"/>
    <col min="14109" max="14109" width="13.85546875" style="67" customWidth="1"/>
    <col min="14110" max="14110" width="11.7109375" style="67" customWidth="1"/>
    <col min="14111" max="14111" width="12.28515625" style="67" customWidth="1"/>
    <col min="14112" max="14112" width="13.28515625" style="67" customWidth="1"/>
    <col min="14113" max="14113" width="11" style="67" bestFit="1" customWidth="1"/>
    <col min="14114" max="14114" width="11.42578125" style="67"/>
    <col min="14115" max="14115" width="9.42578125" style="67" bestFit="1" customWidth="1"/>
    <col min="14116" max="14336" width="11.42578125" style="67"/>
    <col min="14337" max="14337" width="28.140625" style="67" bestFit="1" customWidth="1"/>
    <col min="14338" max="14338" width="19.140625" style="67" customWidth="1"/>
    <col min="14339" max="14339" width="12.140625" style="67" customWidth="1"/>
    <col min="14340" max="14340" width="12.42578125" style="67" customWidth="1"/>
    <col min="14341" max="14341" width="19.140625" style="67" customWidth="1"/>
    <col min="14342" max="14342" width="18.28515625" style="67" customWidth="1"/>
    <col min="14343" max="14343" width="14" style="67" customWidth="1"/>
    <col min="14344" max="14344" width="13.28515625" style="67" customWidth="1"/>
    <col min="14345" max="14345" width="14.42578125" style="67" customWidth="1"/>
    <col min="14346" max="14346" width="14.85546875" style="67" customWidth="1"/>
    <col min="14347" max="14347" width="12" style="67" customWidth="1"/>
    <col min="14348" max="14348" width="13.42578125" style="67" customWidth="1"/>
    <col min="14349" max="14349" width="14.5703125" style="67" customWidth="1"/>
    <col min="14350" max="14350" width="15" style="67" customWidth="1"/>
    <col min="14351" max="14351" width="11.42578125" style="67"/>
    <col min="14352" max="14353" width="12.85546875" style="67" customWidth="1"/>
    <col min="14354" max="14354" width="12.7109375" style="67" customWidth="1"/>
    <col min="14355" max="14355" width="12.42578125" style="67" customWidth="1"/>
    <col min="14356" max="14356" width="12.85546875" style="67" customWidth="1"/>
    <col min="14357" max="14358" width="11" style="67" bestFit="1" customWidth="1"/>
    <col min="14359" max="14359" width="15.5703125" style="67" customWidth="1"/>
    <col min="14360" max="14360" width="13.42578125" style="67" customWidth="1"/>
    <col min="14361" max="14361" width="11" style="67" bestFit="1" customWidth="1"/>
    <col min="14362" max="14362" width="15.42578125" style="67" customWidth="1"/>
    <col min="14363" max="14364" width="11.140625" style="67" customWidth="1"/>
    <col min="14365" max="14365" width="13.85546875" style="67" customWidth="1"/>
    <col min="14366" max="14366" width="11.7109375" style="67" customWidth="1"/>
    <col min="14367" max="14367" width="12.28515625" style="67" customWidth="1"/>
    <col min="14368" max="14368" width="13.28515625" style="67" customWidth="1"/>
    <col min="14369" max="14369" width="11" style="67" bestFit="1" customWidth="1"/>
    <col min="14370" max="14370" width="11.42578125" style="67"/>
    <col min="14371" max="14371" width="9.42578125" style="67" bestFit="1" customWidth="1"/>
    <col min="14372" max="14592" width="11.42578125" style="67"/>
    <col min="14593" max="14593" width="28.140625" style="67" bestFit="1" customWidth="1"/>
    <col min="14594" max="14594" width="19.140625" style="67" customWidth="1"/>
    <col min="14595" max="14595" width="12.140625" style="67" customWidth="1"/>
    <col min="14596" max="14596" width="12.42578125" style="67" customWidth="1"/>
    <col min="14597" max="14597" width="19.140625" style="67" customWidth="1"/>
    <col min="14598" max="14598" width="18.28515625" style="67" customWidth="1"/>
    <col min="14599" max="14599" width="14" style="67" customWidth="1"/>
    <col min="14600" max="14600" width="13.28515625" style="67" customWidth="1"/>
    <col min="14601" max="14601" width="14.42578125" style="67" customWidth="1"/>
    <col min="14602" max="14602" width="14.85546875" style="67" customWidth="1"/>
    <col min="14603" max="14603" width="12" style="67" customWidth="1"/>
    <col min="14604" max="14604" width="13.42578125" style="67" customWidth="1"/>
    <col min="14605" max="14605" width="14.5703125" style="67" customWidth="1"/>
    <col min="14606" max="14606" width="15" style="67" customWidth="1"/>
    <col min="14607" max="14607" width="11.42578125" style="67"/>
    <col min="14608" max="14609" width="12.85546875" style="67" customWidth="1"/>
    <col min="14610" max="14610" width="12.7109375" style="67" customWidth="1"/>
    <col min="14611" max="14611" width="12.42578125" style="67" customWidth="1"/>
    <col min="14612" max="14612" width="12.85546875" style="67" customWidth="1"/>
    <col min="14613" max="14614" width="11" style="67" bestFit="1" customWidth="1"/>
    <col min="14615" max="14615" width="15.5703125" style="67" customWidth="1"/>
    <col min="14616" max="14616" width="13.42578125" style="67" customWidth="1"/>
    <col min="14617" max="14617" width="11" style="67" bestFit="1" customWidth="1"/>
    <col min="14618" max="14618" width="15.42578125" style="67" customWidth="1"/>
    <col min="14619" max="14620" width="11.140625" style="67" customWidth="1"/>
    <col min="14621" max="14621" width="13.85546875" style="67" customWidth="1"/>
    <col min="14622" max="14622" width="11.7109375" style="67" customWidth="1"/>
    <col min="14623" max="14623" width="12.28515625" style="67" customWidth="1"/>
    <col min="14624" max="14624" width="13.28515625" style="67" customWidth="1"/>
    <col min="14625" max="14625" width="11" style="67" bestFit="1" customWidth="1"/>
    <col min="14626" max="14626" width="11.42578125" style="67"/>
    <col min="14627" max="14627" width="9.42578125" style="67" bestFit="1" customWidth="1"/>
    <col min="14628" max="14848" width="11.42578125" style="67"/>
    <col min="14849" max="14849" width="28.140625" style="67" bestFit="1" customWidth="1"/>
    <col min="14850" max="14850" width="19.140625" style="67" customWidth="1"/>
    <col min="14851" max="14851" width="12.140625" style="67" customWidth="1"/>
    <col min="14852" max="14852" width="12.42578125" style="67" customWidth="1"/>
    <col min="14853" max="14853" width="19.140625" style="67" customWidth="1"/>
    <col min="14854" max="14854" width="18.28515625" style="67" customWidth="1"/>
    <col min="14855" max="14855" width="14" style="67" customWidth="1"/>
    <col min="14856" max="14856" width="13.28515625" style="67" customWidth="1"/>
    <col min="14857" max="14857" width="14.42578125" style="67" customWidth="1"/>
    <col min="14858" max="14858" width="14.85546875" style="67" customWidth="1"/>
    <col min="14859" max="14859" width="12" style="67" customWidth="1"/>
    <col min="14860" max="14860" width="13.42578125" style="67" customWidth="1"/>
    <col min="14861" max="14861" width="14.5703125" style="67" customWidth="1"/>
    <col min="14862" max="14862" width="15" style="67" customWidth="1"/>
    <col min="14863" max="14863" width="11.42578125" style="67"/>
    <col min="14864" max="14865" width="12.85546875" style="67" customWidth="1"/>
    <col min="14866" max="14866" width="12.7109375" style="67" customWidth="1"/>
    <col min="14867" max="14867" width="12.42578125" style="67" customWidth="1"/>
    <col min="14868" max="14868" width="12.85546875" style="67" customWidth="1"/>
    <col min="14869" max="14870" width="11" style="67" bestFit="1" customWidth="1"/>
    <col min="14871" max="14871" width="15.5703125" style="67" customWidth="1"/>
    <col min="14872" max="14872" width="13.42578125" style="67" customWidth="1"/>
    <col min="14873" max="14873" width="11" style="67" bestFit="1" customWidth="1"/>
    <col min="14874" max="14874" width="15.42578125" style="67" customWidth="1"/>
    <col min="14875" max="14876" width="11.140625" style="67" customWidth="1"/>
    <col min="14877" max="14877" width="13.85546875" style="67" customWidth="1"/>
    <col min="14878" max="14878" width="11.7109375" style="67" customWidth="1"/>
    <col min="14879" max="14879" width="12.28515625" style="67" customWidth="1"/>
    <col min="14880" max="14880" width="13.28515625" style="67" customWidth="1"/>
    <col min="14881" max="14881" width="11" style="67" bestFit="1" customWidth="1"/>
    <col min="14882" max="14882" width="11.42578125" style="67"/>
    <col min="14883" max="14883" width="9.42578125" style="67" bestFit="1" customWidth="1"/>
    <col min="14884" max="15104" width="11.42578125" style="67"/>
    <col min="15105" max="15105" width="28.140625" style="67" bestFit="1" customWidth="1"/>
    <col min="15106" max="15106" width="19.140625" style="67" customWidth="1"/>
    <col min="15107" max="15107" width="12.140625" style="67" customWidth="1"/>
    <col min="15108" max="15108" width="12.42578125" style="67" customWidth="1"/>
    <col min="15109" max="15109" width="19.140625" style="67" customWidth="1"/>
    <col min="15110" max="15110" width="18.28515625" style="67" customWidth="1"/>
    <col min="15111" max="15111" width="14" style="67" customWidth="1"/>
    <col min="15112" max="15112" width="13.28515625" style="67" customWidth="1"/>
    <col min="15113" max="15113" width="14.42578125" style="67" customWidth="1"/>
    <col min="15114" max="15114" width="14.85546875" style="67" customWidth="1"/>
    <col min="15115" max="15115" width="12" style="67" customWidth="1"/>
    <col min="15116" max="15116" width="13.42578125" style="67" customWidth="1"/>
    <col min="15117" max="15117" width="14.5703125" style="67" customWidth="1"/>
    <col min="15118" max="15118" width="15" style="67" customWidth="1"/>
    <col min="15119" max="15119" width="11.42578125" style="67"/>
    <col min="15120" max="15121" width="12.85546875" style="67" customWidth="1"/>
    <col min="15122" max="15122" width="12.7109375" style="67" customWidth="1"/>
    <col min="15123" max="15123" width="12.42578125" style="67" customWidth="1"/>
    <col min="15124" max="15124" width="12.85546875" style="67" customWidth="1"/>
    <col min="15125" max="15126" width="11" style="67" bestFit="1" customWidth="1"/>
    <col min="15127" max="15127" width="15.5703125" style="67" customWidth="1"/>
    <col min="15128" max="15128" width="13.42578125" style="67" customWidth="1"/>
    <col min="15129" max="15129" width="11" style="67" bestFit="1" customWidth="1"/>
    <col min="15130" max="15130" width="15.42578125" style="67" customWidth="1"/>
    <col min="15131" max="15132" width="11.140625" style="67" customWidth="1"/>
    <col min="15133" max="15133" width="13.85546875" style="67" customWidth="1"/>
    <col min="15134" max="15134" width="11.7109375" style="67" customWidth="1"/>
    <col min="15135" max="15135" width="12.28515625" style="67" customWidth="1"/>
    <col min="15136" max="15136" width="13.28515625" style="67" customWidth="1"/>
    <col min="15137" max="15137" width="11" style="67" bestFit="1" customWidth="1"/>
    <col min="15138" max="15138" width="11.42578125" style="67"/>
    <col min="15139" max="15139" width="9.42578125" style="67" bestFit="1" customWidth="1"/>
    <col min="15140" max="15360" width="11.42578125" style="67"/>
    <col min="15361" max="15361" width="28.140625" style="67" bestFit="1" customWidth="1"/>
    <col min="15362" max="15362" width="19.140625" style="67" customWidth="1"/>
    <col min="15363" max="15363" width="12.140625" style="67" customWidth="1"/>
    <col min="15364" max="15364" width="12.42578125" style="67" customWidth="1"/>
    <col min="15365" max="15365" width="19.140625" style="67" customWidth="1"/>
    <col min="15366" max="15366" width="18.28515625" style="67" customWidth="1"/>
    <col min="15367" max="15367" width="14" style="67" customWidth="1"/>
    <col min="15368" max="15368" width="13.28515625" style="67" customWidth="1"/>
    <col min="15369" max="15369" width="14.42578125" style="67" customWidth="1"/>
    <col min="15370" max="15370" width="14.85546875" style="67" customWidth="1"/>
    <col min="15371" max="15371" width="12" style="67" customWidth="1"/>
    <col min="15372" max="15372" width="13.42578125" style="67" customWidth="1"/>
    <col min="15373" max="15373" width="14.5703125" style="67" customWidth="1"/>
    <col min="15374" max="15374" width="15" style="67" customWidth="1"/>
    <col min="15375" max="15375" width="11.42578125" style="67"/>
    <col min="15376" max="15377" width="12.85546875" style="67" customWidth="1"/>
    <col min="15378" max="15378" width="12.7109375" style="67" customWidth="1"/>
    <col min="15379" max="15379" width="12.42578125" style="67" customWidth="1"/>
    <col min="15380" max="15380" width="12.85546875" style="67" customWidth="1"/>
    <col min="15381" max="15382" width="11" style="67" bestFit="1" customWidth="1"/>
    <col min="15383" max="15383" width="15.5703125" style="67" customWidth="1"/>
    <col min="15384" max="15384" width="13.42578125" style="67" customWidth="1"/>
    <col min="15385" max="15385" width="11" style="67" bestFit="1" customWidth="1"/>
    <col min="15386" max="15386" width="15.42578125" style="67" customWidth="1"/>
    <col min="15387" max="15388" width="11.140625" style="67" customWidth="1"/>
    <col min="15389" max="15389" width="13.85546875" style="67" customWidth="1"/>
    <col min="15390" max="15390" width="11.7109375" style="67" customWidth="1"/>
    <col min="15391" max="15391" width="12.28515625" style="67" customWidth="1"/>
    <col min="15392" max="15392" width="13.28515625" style="67" customWidth="1"/>
    <col min="15393" max="15393" width="11" style="67" bestFit="1" customWidth="1"/>
    <col min="15394" max="15394" width="11.42578125" style="67"/>
    <col min="15395" max="15395" width="9.42578125" style="67" bestFit="1" customWidth="1"/>
    <col min="15396" max="15616" width="11.42578125" style="67"/>
    <col min="15617" max="15617" width="28.140625" style="67" bestFit="1" customWidth="1"/>
    <col min="15618" max="15618" width="19.140625" style="67" customWidth="1"/>
    <col min="15619" max="15619" width="12.140625" style="67" customWidth="1"/>
    <col min="15620" max="15620" width="12.42578125" style="67" customWidth="1"/>
    <col min="15621" max="15621" width="19.140625" style="67" customWidth="1"/>
    <col min="15622" max="15622" width="18.28515625" style="67" customWidth="1"/>
    <col min="15623" max="15623" width="14" style="67" customWidth="1"/>
    <col min="15624" max="15624" width="13.28515625" style="67" customWidth="1"/>
    <col min="15625" max="15625" width="14.42578125" style="67" customWidth="1"/>
    <col min="15626" max="15626" width="14.85546875" style="67" customWidth="1"/>
    <col min="15627" max="15627" width="12" style="67" customWidth="1"/>
    <col min="15628" max="15628" width="13.42578125" style="67" customWidth="1"/>
    <col min="15629" max="15629" width="14.5703125" style="67" customWidth="1"/>
    <col min="15630" max="15630" width="15" style="67" customWidth="1"/>
    <col min="15631" max="15631" width="11.42578125" style="67"/>
    <col min="15632" max="15633" width="12.85546875" style="67" customWidth="1"/>
    <col min="15634" max="15634" width="12.7109375" style="67" customWidth="1"/>
    <col min="15635" max="15635" width="12.42578125" style="67" customWidth="1"/>
    <col min="15636" max="15636" width="12.85546875" style="67" customWidth="1"/>
    <col min="15637" max="15638" width="11" style="67" bestFit="1" customWidth="1"/>
    <col min="15639" max="15639" width="15.5703125" style="67" customWidth="1"/>
    <col min="15640" max="15640" width="13.42578125" style="67" customWidth="1"/>
    <col min="15641" max="15641" width="11" style="67" bestFit="1" customWidth="1"/>
    <col min="15642" max="15642" width="15.42578125" style="67" customWidth="1"/>
    <col min="15643" max="15644" width="11.140625" style="67" customWidth="1"/>
    <col min="15645" max="15645" width="13.85546875" style="67" customWidth="1"/>
    <col min="15646" max="15646" width="11.7109375" style="67" customWidth="1"/>
    <col min="15647" max="15647" width="12.28515625" style="67" customWidth="1"/>
    <col min="15648" max="15648" width="13.28515625" style="67" customWidth="1"/>
    <col min="15649" max="15649" width="11" style="67" bestFit="1" customWidth="1"/>
    <col min="15650" max="15650" width="11.42578125" style="67"/>
    <col min="15651" max="15651" width="9.42578125" style="67" bestFit="1" customWidth="1"/>
    <col min="15652" max="15872" width="11.42578125" style="67"/>
    <col min="15873" max="15873" width="28.140625" style="67" bestFit="1" customWidth="1"/>
    <col min="15874" max="15874" width="19.140625" style="67" customWidth="1"/>
    <col min="15875" max="15875" width="12.140625" style="67" customWidth="1"/>
    <col min="15876" max="15876" width="12.42578125" style="67" customWidth="1"/>
    <col min="15877" max="15877" width="19.140625" style="67" customWidth="1"/>
    <col min="15878" max="15878" width="18.28515625" style="67" customWidth="1"/>
    <col min="15879" max="15879" width="14" style="67" customWidth="1"/>
    <col min="15880" max="15880" width="13.28515625" style="67" customWidth="1"/>
    <col min="15881" max="15881" width="14.42578125" style="67" customWidth="1"/>
    <col min="15882" max="15882" width="14.85546875" style="67" customWidth="1"/>
    <col min="15883" max="15883" width="12" style="67" customWidth="1"/>
    <col min="15884" max="15884" width="13.42578125" style="67" customWidth="1"/>
    <col min="15885" max="15885" width="14.5703125" style="67" customWidth="1"/>
    <col min="15886" max="15886" width="15" style="67" customWidth="1"/>
    <col min="15887" max="15887" width="11.42578125" style="67"/>
    <col min="15888" max="15889" width="12.85546875" style="67" customWidth="1"/>
    <col min="15890" max="15890" width="12.7109375" style="67" customWidth="1"/>
    <col min="15891" max="15891" width="12.42578125" style="67" customWidth="1"/>
    <col min="15892" max="15892" width="12.85546875" style="67" customWidth="1"/>
    <col min="15893" max="15894" width="11" style="67" bestFit="1" customWidth="1"/>
    <col min="15895" max="15895" width="15.5703125" style="67" customWidth="1"/>
    <col min="15896" max="15896" width="13.42578125" style="67" customWidth="1"/>
    <col min="15897" max="15897" width="11" style="67" bestFit="1" customWidth="1"/>
    <col min="15898" max="15898" width="15.42578125" style="67" customWidth="1"/>
    <col min="15899" max="15900" width="11.140625" style="67" customWidth="1"/>
    <col min="15901" max="15901" width="13.85546875" style="67" customWidth="1"/>
    <col min="15902" max="15902" width="11.7109375" style="67" customWidth="1"/>
    <col min="15903" max="15903" width="12.28515625" style="67" customWidth="1"/>
    <col min="15904" max="15904" width="13.28515625" style="67" customWidth="1"/>
    <col min="15905" max="15905" width="11" style="67" bestFit="1" customWidth="1"/>
    <col min="15906" max="15906" width="11.42578125" style="67"/>
    <col min="15907" max="15907" width="9.42578125" style="67" bestFit="1" customWidth="1"/>
    <col min="15908" max="16128" width="11.42578125" style="67"/>
    <col min="16129" max="16129" width="28.140625" style="67" bestFit="1" customWidth="1"/>
    <col min="16130" max="16130" width="19.140625" style="67" customWidth="1"/>
    <col min="16131" max="16131" width="12.140625" style="67" customWidth="1"/>
    <col min="16132" max="16132" width="12.42578125" style="67" customWidth="1"/>
    <col min="16133" max="16133" width="19.140625" style="67" customWidth="1"/>
    <col min="16134" max="16134" width="18.28515625" style="67" customWidth="1"/>
    <col min="16135" max="16135" width="14" style="67" customWidth="1"/>
    <col min="16136" max="16136" width="13.28515625" style="67" customWidth="1"/>
    <col min="16137" max="16137" width="14.42578125" style="67" customWidth="1"/>
    <col min="16138" max="16138" width="14.85546875" style="67" customWidth="1"/>
    <col min="16139" max="16139" width="12" style="67" customWidth="1"/>
    <col min="16140" max="16140" width="13.42578125" style="67" customWidth="1"/>
    <col min="16141" max="16141" width="14.5703125" style="67" customWidth="1"/>
    <col min="16142" max="16142" width="15" style="67" customWidth="1"/>
    <col min="16143" max="16143" width="11.42578125" style="67"/>
    <col min="16144" max="16145" width="12.85546875" style="67" customWidth="1"/>
    <col min="16146" max="16146" width="12.7109375" style="67" customWidth="1"/>
    <col min="16147" max="16147" width="12.42578125" style="67" customWidth="1"/>
    <col min="16148" max="16148" width="12.85546875" style="67" customWidth="1"/>
    <col min="16149" max="16150" width="11" style="67" bestFit="1" customWidth="1"/>
    <col min="16151" max="16151" width="15.5703125" style="67" customWidth="1"/>
    <col min="16152" max="16152" width="13.42578125" style="67" customWidth="1"/>
    <col min="16153" max="16153" width="11" style="67" bestFit="1" customWidth="1"/>
    <col min="16154" max="16154" width="15.42578125" style="67" customWidth="1"/>
    <col min="16155" max="16156" width="11.140625" style="67" customWidth="1"/>
    <col min="16157" max="16157" width="13.85546875" style="67" customWidth="1"/>
    <col min="16158" max="16158" width="11.7109375" style="67" customWidth="1"/>
    <col min="16159" max="16159" width="12.28515625" style="67" customWidth="1"/>
    <col min="16160" max="16160" width="13.28515625" style="67" customWidth="1"/>
    <col min="16161" max="16161" width="11" style="67" bestFit="1" customWidth="1"/>
    <col min="16162" max="16162" width="11.42578125" style="67"/>
    <col min="16163" max="16163" width="9.42578125" style="67" bestFit="1" customWidth="1"/>
    <col min="16164" max="16384" width="11.42578125" style="67"/>
  </cols>
  <sheetData>
    <row r="1" spans="1:11" ht="18" x14ac:dyDescent="0.25">
      <c r="A1" s="71" t="s">
        <v>64</v>
      </c>
      <c r="B1" s="67" t="s">
        <v>65</v>
      </c>
    </row>
    <row r="3" spans="1:11" x14ac:dyDescent="0.2">
      <c r="A3" s="60"/>
    </row>
    <row r="4" spans="1:11" x14ac:dyDescent="0.2">
      <c r="A4" s="60"/>
    </row>
    <row r="5" spans="1:11" x14ac:dyDescent="0.2">
      <c r="A5" s="67" t="s">
        <v>66</v>
      </c>
      <c r="B5" s="72" t="s">
        <v>1</v>
      </c>
    </row>
    <row r="6" spans="1:11" ht="13.5" customHeight="1" x14ac:dyDescent="0.2">
      <c r="J6" s="73"/>
      <c r="K6" s="73"/>
    </row>
    <row r="7" spans="1:11" ht="41.25" customHeight="1" x14ac:dyDescent="0.2">
      <c r="A7" s="74" t="s">
        <v>67</v>
      </c>
      <c r="B7" s="75" t="s">
        <v>68</v>
      </c>
      <c r="C7" s="63"/>
      <c r="J7" s="73"/>
      <c r="K7" s="73"/>
    </row>
    <row r="8" spans="1:11" ht="41.25" customHeight="1" x14ac:dyDescent="0.2">
      <c r="A8" s="76" t="s">
        <v>69</v>
      </c>
      <c r="B8" s="77"/>
      <c r="C8" s="78" t="s">
        <v>70</v>
      </c>
      <c r="J8" s="73"/>
      <c r="K8" s="73"/>
    </row>
    <row r="9" spans="1:11" ht="27.75" customHeight="1" x14ac:dyDescent="0.2">
      <c r="A9" s="79" t="s">
        <v>71</v>
      </c>
      <c r="B9" s="80" t="s">
        <v>72</v>
      </c>
      <c r="C9" s="61">
        <v>78</v>
      </c>
      <c r="D9" s="67" t="s">
        <v>23</v>
      </c>
      <c r="J9" s="73"/>
      <c r="K9" s="73"/>
    </row>
    <row r="10" spans="1:11" ht="15.75" x14ac:dyDescent="0.3">
      <c r="A10" s="79" t="s">
        <v>73</v>
      </c>
      <c r="B10" s="81"/>
      <c r="C10" s="61">
        <v>43</v>
      </c>
      <c r="D10" s="67" t="s">
        <v>74</v>
      </c>
    </row>
    <row r="11" spans="1:11" ht="27" customHeight="1" x14ac:dyDescent="0.3">
      <c r="A11" s="82" t="s">
        <v>75</v>
      </c>
      <c r="B11" s="81"/>
      <c r="C11" s="61"/>
    </row>
    <row r="12" spans="1:11" s="84" customFormat="1" ht="27.75" customHeight="1" x14ac:dyDescent="0.3">
      <c r="A12" s="79" t="s">
        <v>76</v>
      </c>
      <c r="B12" s="81"/>
      <c r="C12" s="61">
        <v>2.13</v>
      </c>
      <c r="D12" s="83" t="s">
        <v>23</v>
      </c>
    </row>
    <row r="13" spans="1:11" ht="15.75" x14ac:dyDescent="0.3">
      <c r="A13" s="82" t="s">
        <v>77</v>
      </c>
      <c r="B13" s="81"/>
      <c r="C13" s="62">
        <v>0.1749</v>
      </c>
      <c r="D13" s="83" t="s">
        <v>78</v>
      </c>
    </row>
    <row r="14" spans="1:11" x14ac:dyDescent="0.2">
      <c r="A14" s="85" t="s">
        <v>79</v>
      </c>
      <c r="B14" s="75"/>
      <c r="C14" s="63"/>
    </row>
    <row r="15" spans="1:11" ht="15.75" x14ac:dyDescent="0.3">
      <c r="A15" s="79" t="s">
        <v>80</v>
      </c>
      <c r="B15" s="80" t="s">
        <v>81</v>
      </c>
      <c r="C15" s="62">
        <f>LN(2)/17</f>
        <v>4.0773363562349722E-2</v>
      </c>
      <c r="D15" s="67" t="s">
        <v>23</v>
      </c>
    </row>
    <row r="16" spans="1:11" ht="14.25" customHeight="1" x14ac:dyDescent="0.3">
      <c r="A16" s="86" t="s">
        <v>82</v>
      </c>
      <c r="B16" s="80" t="s">
        <v>81</v>
      </c>
      <c r="C16" s="62">
        <f>LN(2)/550</f>
        <v>1.2602676010180823E-3</v>
      </c>
      <c r="D16" s="67" t="s">
        <v>23</v>
      </c>
    </row>
    <row r="17" spans="1:14" ht="15.75" x14ac:dyDescent="0.3">
      <c r="A17" s="86" t="s">
        <v>83</v>
      </c>
      <c r="B17" s="80" t="s">
        <v>81</v>
      </c>
      <c r="C17" s="62">
        <f>LN(2)/170</f>
        <v>4.0773363562349721E-3</v>
      </c>
      <c r="D17" s="67" t="s">
        <v>23</v>
      </c>
      <c r="E17" s="87" t="s">
        <v>84</v>
      </c>
      <c r="F17" s="88" t="s">
        <v>85</v>
      </c>
      <c r="G17" s="183" t="s">
        <v>86</v>
      </c>
      <c r="H17" s="183"/>
      <c r="I17" s="183" t="s">
        <v>87</v>
      </c>
      <c r="J17" s="183"/>
      <c r="K17" s="68" t="s">
        <v>88</v>
      </c>
    </row>
    <row r="18" spans="1:14" ht="15.75" x14ac:dyDescent="0.3">
      <c r="A18" s="89" t="s">
        <v>89</v>
      </c>
      <c r="B18" s="90" t="s">
        <v>81</v>
      </c>
      <c r="C18" s="62">
        <f>LN(2)/1700</f>
        <v>4.0773363562349722E-4</v>
      </c>
      <c r="D18" s="67" t="s">
        <v>23</v>
      </c>
      <c r="E18" s="82"/>
      <c r="F18" s="91" t="s">
        <v>90</v>
      </c>
      <c r="G18" s="92" t="s">
        <v>91</v>
      </c>
      <c r="H18" s="92" t="s">
        <v>91</v>
      </c>
      <c r="I18" s="93" t="s">
        <v>92</v>
      </c>
      <c r="J18" s="93" t="s">
        <v>92</v>
      </c>
      <c r="K18" s="94"/>
      <c r="M18" s="67" t="s">
        <v>93</v>
      </c>
      <c r="N18" s="67" t="s">
        <v>94</v>
      </c>
    </row>
    <row r="19" spans="1:14" ht="12.75" customHeight="1" x14ac:dyDescent="0.3">
      <c r="A19" s="82" t="s">
        <v>95</v>
      </c>
      <c r="B19" s="81"/>
      <c r="C19" s="64"/>
      <c r="E19" s="82"/>
      <c r="F19" s="67" t="s">
        <v>96</v>
      </c>
      <c r="G19" s="67" t="s">
        <v>96</v>
      </c>
      <c r="H19" s="67" t="s">
        <v>93</v>
      </c>
      <c r="I19" s="67" t="s">
        <v>97</v>
      </c>
      <c r="J19" s="67" t="s">
        <v>98</v>
      </c>
      <c r="K19" s="95" t="s">
        <v>99</v>
      </c>
    </row>
    <row r="20" spans="1:14" x14ac:dyDescent="0.2">
      <c r="A20" s="82" t="s">
        <v>100</v>
      </c>
      <c r="B20" s="96" t="s">
        <v>101</v>
      </c>
      <c r="C20" s="65">
        <v>0</v>
      </c>
      <c r="D20" s="67">
        <f>C20/3600</f>
        <v>0</v>
      </c>
      <c r="E20" s="82" t="s">
        <v>100</v>
      </c>
      <c r="F20" s="67">
        <f t="array" ref="F20:F27">MMULT(MINVERSE(MT),MatI)</f>
        <v>1.9626475849737704E-9</v>
      </c>
      <c r="G20" s="67">
        <f>F20*D66</f>
        <v>2.9359072610166702E-9</v>
      </c>
      <c r="H20" s="67">
        <f t="shared" ref="H20:H27" si="0">G20*$C$9</f>
        <v>2.2900076635930028E-7</v>
      </c>
      <c r="I20" s="67">
        <f>G20*D48</f>
        <v>129179.91948473349</v>
      </c>
      <c r="J20" s="67">
        <f t="shared" ref="J20:J27" si="1">I20*$C$9</f>
        <v>10076033.719809212</v>
      </c>
      <c r="K20" s="95"/>
      <c r="M20" s="67">
        <f>H20</f>
        <v>2.2900076635930028E-7</v>
      </c>
      <c r="N20" s="67">
        <f>M20/1000</f>
        <v>2.2900076635930027E-10</v>
      </c>
    </row>
    <row r="21" spans="1:14" x14ac:dyDescent="0.2">
      <c r="A21" s="82" t="s">
        <v>102</v>
      </c>
      <c r="B21" s="96" t="s">
        <v>101</v>
      </c>
      <c r="C21" s="65">
        <f>1000*1000/78</f>
        <v>12820.51282051282</v>
      </c>
      <c r="E21" s="82" t="s">
        <v>102</v>
      </c>
      <c r="F21" s="67">
        <v>1.7744420200671257E-5</v>
      </c>
      <c r="G21" s="67">
        <f>F21*I66</f>
        <v>4.3657339496831254E-5</v>
      </c>
      <c r="H21" s="67">
        <f t="shared" si="0"/>
        <v>3.4052724807528377E-3</v>
      </c>
      <c r="I21" s="67">
        <f>G21*I48</f>
        <v>52388.807396197502</v>
      </c>
      <c r="J21" s="67">
        <f t="shared" si="1"/>
        <v>4086326.976903405</v>
      </c>
      <c r="K21" s="95"/>
      <c r="M21" s="67">
        <f t="shared" ref="M21:M27" si="2">H21</f>
        <v>3.4052724807528377E-3</v>
      </c>
      <c r="N21" s="67">
        <f t="shared" ref="N21:N27" si="3">M21/1000</f>
        <v>3.4052724807528377E-6</v>
      </c>
    </row>
    <row r="22" spans="1:14" x14ac:dyDescent="0.2">
      <c r="A22" s="82" t="s">
        <v>103</v>
      </c>
      <c r="B22" s="96" t="s">
        <v>101</v>
      </c>
      <c r="C22" s="65">
        <v>0</v>
      </c>
      <c r="E22" s="82" t="s">
        <v>104</v>
      </c>
      <c r="F22" s="67">
        <v>1.8652681423792834E-9</v>
      </c>
      <c r="G22" s="67">
        <f>F22*M66</f>
        <v>4.5891972588315747E-9</v>
      </c>
      <c r="H22" s="67">
        <f t="shared" si="0"/>
        <v>3.5795738618886283E-7</v>
      </c>
      <c r="I22" s="67">
        <f>G22*M48</f>
        <v>9.9126660790762013</v>
      </c>
      <c r="J22" s="67">
        <f t="shared" si="1"/>
        <v>773.18795416794376</v>
      </c>
      <c r="K22" s="95"/>
      <c r="M22" s="67">
        <f t="shared" si="2"/>
        <v>3.5795738618886283E-7</v>
      </c>
      <c r="N22" s="67">
        <f t="shared" si="3"/>
        <v>3.5795738618886286E-10</v>
      </c>
    </row>
    <row r="23" spans="1:14" x14ac:dyDescent="0.2">
      <c r="A23" s="82" t="s">
        <v>105</v>
      </c>
      <c r="B23" s="96" t="s">
        <v>101</v>
      </c>
      <c r="C23" s="65">
        <v>0</v>
      </c>
      <c r="E23" s="82" t="s">
        <v>105</v>
      </c>
      <c r="F23" s="67">
        <v>1.8940827064566259E-9</v>
      </c>
      <c r="G23" s="67">
        <f>F23*Q66</f>
        <v>4.660090936514554E-9</v>
      </c>
      <c r="H23" s="67">
        <f t="shared" si="0"/>
        <v>3.6348709304813521E-7</v>
      </c>
      <c r="I23" s="67">
        <f>G23*Q48</f>
        <v>0.93201818730291075</v>
      </c>
      <c r="J23" s="67">
        <f t="shared" si="1"/>
        <v>72.697418609627036</v>
      </c>
      <c r="K23" s="95"/>
      <c r="M23" s="67">
        <f t="shared" si="2"/>
        <v>3.6348709304813521E-7</v>
      </c>
      <c r="N23" s="67">
        <f t="shared" si="3"/>
        <v>3.6348709304813519E-10</v>
      </c>
    </row>
    <row r="24" spans="1:14" x14ac:dyDescent="0.2">
      <c r="A24" s="82" t="s">
        <v>106</v>
      </c>
      <c r="B24" s="96" t="s">
        <v>101</v>
      </c>
      <c r="C24" s="65">
        <v>0</v>
      </c>
      <c r="E24" s="82" t="s">
        <v>106</v>
      </c>
      <c r="F24" s="67">
        <v>1.8833643390498171E-7</v>
      </c>
      <c r="G24" s="67">
        <f>F24*U66</f>
        <v>1.8797796836840902E-7</v>
      </c>
      <c r="H24" s="67">
        <f t="shared" si="0"/>
        <v>1.4662281532735904E-5</v>
      </c>
      <c r="I24" s="67">
        <f>G24*U48</f>
        <v>676.72068612627243</v>
      </c>
      <c r="J24" s="67">
        <f t="shared" si="1"/>
        <v>52784.213517849246</v>
      </c>
      <c r="K24" s="95"/>
      <c r="M24" s="67">
        <f t="shared" si="2"/>
        <v>1.4662281532735904E-5</v>
      </c>
      <c r="N24" s="67">
        <f t="shared" si="3"/>
        <v>1.4662281532735904E-8</v>
      </c>
    </row>
    <row r="25" spans="1:14" x14ac:dyDescent="0.2">
      <c r="A25" s="82" t="s">
        <v>107</v>
      </c>
      <c r="B25" s="96" t="s">
        <v>101</v>
      </c>
      <c r="C25" s="65">
        <v>0</v>
      </c>
      <c r="E25" s="82" t="s">
        <v>108</v>
      </c>
      <c r="F25" s="67">
        <v>1.6010780001936834E-7</v>
      </c>
      <c r="G25" s="67">
        <f>F25*X66</f>
        <v>3.9496942993114209E-7</v>
      </c>
      <c r="H25" s="67">
        <f t="shared" si="0"/>
        <v>3.0807615534629084E-5</v>
      </c>
      <c r="I25" s="67">
        <f>G25*X48</f>
        <v>14.218899477521115</v>
      </c>
      <c r="J25" s="67">
        <f t="shared" si="1"/>
        <v>1109.074159246647</v>
      </c>
      <c r="K25" s="95"/>
      <c r="M25" s="67">
        <f t="shared" si="2"/>
        <v>3.0807615534629084E-5</v>
      </c>
      <c r="N25" s="67">
        <f t="shared" si="3"/>
        <v>3.0807615534629084E-8</v>
      </c>
    </row>
    <row r="26" spans="1:14" x14ac:dyDescent="0.2">
      <c r="A26" s="82" t="s">
        <v>109</v>
      </c>
      <c r="B26" s="96" t="s">
        <v>101</v>
      </c>
      <c r="C26" s="65">
        <v>0</v>
      </c>
      <c r="E26" s="82" t="s">
        <v>109</v>
      </c>
      <c r="F26" s="67">
        <v>4.0634085168020682E-9</v>
      </c>
      <c r="G26" s="67">
        <f>F26*AA66</f>
        <v>2.8768653232410244E-9</v>
      </c>
      <c r="H26" s="67">
        <f t="shared" si="0"/>
        <v>2.2439549521279989E-7</v>
      </c>
      <c r="I26" s="67">
        <f>G26*AA48</f>
        <v>115.07461292964098</v>
      </c>
      <c r="J26" s="67">
        <f t="shared" si="1"/>
        <v>8975.8198085119966</v>
      </c>
      <c r="K26" s="95"/>
      <c r="M26" s="67">
        <f t="shared" si="2"/>
        <v>2.2439549521279989E-7</v>
      </c>
      <c r="N26" s="67">
        <f t="shared" si="3"/>
        <v>2.243954952127999E-10</v>
      </c>
    </row>
    <row r="27" spans="1:14" x14ac:dyDescent="0.2">
      <c r="A27" s="97" t="s">
        <v>110</v>
      </c>
      <c r="B27" s="98" t="s">
        <v>101</v>
      </c>
      <c r="C27" s="66">
        <v>0</v>
      </c>
      <c r="E27" s="82" t="s">
        <v>111</v>
      </c>
      <c r="F27" s="67">
        <v>3.4550557469157129E-9</v>
      </c>
      <c r="G27" s="67">
        <f>F27*AD66</f>
        <v>6.0465277744347965E-9</v>
      </c>
      <c r="H27" s="67">
        <f t="shared" si="0"/>
        <v>4.7162916640591411E-7</v>
      </c>
      <c r="I27" s="67">
        <f>G27*AD48</f>
        <v>0.72558333293217558</v>
      </c>
      <c r="J27" s="67">
        <f t="shared" si="1"/>
        <v>56.595499968709696</v>
      </c>
      <c r="K27" s="95"/>
      <c r="M27" s="67">
        <f t="shared" si="2"/>
        <v>4.7162916640591411E-7</v>
      </c>
      <c r="N27" s="67">
        <f t="shared" si="3"/>
        <v>4.7162916640591407E-10</v>
      </c>
    </row>
    <row r="28" spans="1:14" x14ac:dyDescent="0.2">
      <c r="E28" s="97" t="s">
        <v>112</v>
      </c>
      <c r="F28" s="99"/>
      <c r="G28" s="99"/>
      <c r="H28" s="99"/>
      <c r="I28" s="99">
        <f>SUM(I20:I27)</f>
        <v>182386.31134706375</v>
      </c>
      <c r="J28" s="99">
        <f>SUM(J20:J27)</f>
        <v>14226132.285070971</v>
      </c>
      <c r="K28" s="100">
        <f>SUM(I20:I27)/SUM(MatI)</f>
        <v>14.226132285070973</v>
      </c>
    </row>
    <row r="31" spans="1:14" x14ac:dyDescent="0.2">
      <c r="A31" s="85" t="s">
        <v>113</v>
      </c>
      <c r="B31" s="101"/>
      <c r="C31" s="68"/>
      <c r="I31" s="102"/>
      <c r="J31" s="103"/>
      <c r="K31" s="104"/>
    </row>
    <row r="32" spans="1:14" x14ac:dyDescent="0.2">
      <c r="A32" s="86" t="s">
        <v>114</v>
      </c>
      <c r="B32" s="73" t="s">
        <v>115</v>
      </c>
      <c r="C32" s="69">
        <v>285</v>
      </c>
      <c r="D32" s="102">
        <f>285-273.15</f>
        <v>11.850000000000023</v>
      </c>
      <c r="I32" s="102"/>
      <c r="J32" s="103"/>
      <c r="K32" s="104"/>
    </row>
    <row r="33" spans="1:32" x14ac:dyDescent="0.2">
      <c r="A33" s="105" t="s">
        <v>116</v>
      </c>
      <c r="B33" s="106" t="s">
        <v>117</v>
      </c>
      <c r="C33" s="70">
        <v>8.3140000000000001</v>
      </c>
      <c r="K33" s="93"/>
    </row>
    <row r="34" spans="1:32" x14ac:dyDescent="0.2">
      <c r="A34" s="79"/>
      <c r="B34" s="73"/>
      <c r="K34" s="93"/>
    </row>
    <row r="35" spans="1:32" x14ac:dyDescent="0.2">
      <c r="A35" s="74" t="s">
        <v>118</v>
      </c>
      <c r="B35" s="88"/>
      <c r="C35" s="88"/>
      <c r="D35" s="107" t="s">
        <v>119</v>
      </c>
      <c r="E35" s="107" t="s">
        <v>120</v>
      </c>
      <c r="F35" s="68" t="s">
        <v>121</v>
      </c>
      <c r="K35" s="93"/>
    </row>
    <row r="36" spans="1:32" ht="15.75" x14ac:dyDescent="0.3">
      <c r="A36" s="86" t="s">
        <v>122</v>
      </c>
      <c r="B36" s="67" t="s">
        <v>123</v>
      </c>
      <c r="C36" s="81"/>
      <c r="D36" s="81">
        <f>10^C13</f>
        <v>1.4958911747641013</v>
      </c>
      <c r="E36" s="81"/>
      <c r="F36" s="62"/>
    </row>
    <row r="37" spans="1:32" ht="15.75" x14ac:dyDescent="0.3">
      <c r="A37" s="108" t="s">
        <v>124</v>
      </c>
      <c r="B37" s="67" t="s">
        <v>123</v>
      </c>
      <c r="C37" s="81"/>
      <c r="D37" s="81">
        <f>10^C12/D36</f>
        <v>90.177875593415564</v>
      </c>
      <c r="E37" s="109"/>
      <c r="F37" s="65"/>
      <c r="R37" s="73"/>
    </row>
    <row r="38" spans="1:32" ht="15.75" x14ac:dyDescent="0.3">
      <c r="A38" s="82" t="s">
        <v>125</v>
      </c>
      <c r="C38" s="80">
        <f>C12-3.5</f>
        <v>-1.37</v>
      </c>
      <c r="D38" s="81"/>
      <c r="E38" s="81"/>
      <c r="F38" s="62"/>
      <c r="R38" s="73"/>
    </row>
    <row r="39" spans="1:32" x14ac:dyDescent="0.2">
      <c r="A39" s="86" t="s">
        <v>126</v>
      </c>
      <c r="B39" s="67" t="s">
        <v>123</v>
      </c>
      <c r="C39" s="81">
        <f>C40*10^C12+(1-C40)*10^C38</f>
        <v>134.89628825916537</v>
      </c>
      <c r="D39" s="81"/>
      <c r="E39" s="80"/>
      <c r="F39" s="62"/>
      <c r="R39" s="73"/>
    </row>
    <row r="40" spans="1:32" ht="15.75" x14ac:dyDescent="0.3">
      <c r="A40" s="79" t="s">
        <v>127</v>
      </c>
      <c r="B40" s="73"/>
      <c r="C40" s="81">
        <f>IF(C8="neutral",1,IF(C8="acid",1/(1+10^(7-C10)),IF(C8="base",1/(1+10^(C11-7)),IF(C8="amphoter",1/(1+10^(7-C10)+10^(C11-7))))))</f>
        <v>1</v>
      </c>
      <c r="D40" s="81"/>
      <c r="E40" s="81"/>
      <c r="F40" s="62"/>
      <c r="R40" s="73"/>
    </row>
    <row r="41" spans="1:32" ht="15.75" x14ac:dyDescent="0.3">
      <c r="A41" s="82" t="s">
        <v>128</v>
      </c>
      <c r="C41" s="81"/>
      <c r="D41" s="110">
        <f>IF($C$8="neutral",0.81*C12+0.1,IF($C$8="acid",0.54*C12+1.11,IF($C$8="base",0.37*C12+1.7,IF(C8="amphoter",0.5*C12+1.13))))</f>
        <v>1.8253000000000001</v>
      </c>
      <c r="E41" s="110">
        <f>(0.11*C12+1.54)</f>
        <v>1.7743</v>
      </c>
      <c r="F41" s="111">
        <f>(C11^0.65*(C39/(1+C39))^0.14)</f>
        <v>0</v>
      </c>
      <c r="H41" s="102" t="s">
        <v>129</v>
      </c>
      <c r="I41" s="67">
        <f>I46+M46+Q46+U46</f>
        <v>40000000000</v>
      </c>
      <c r="K41" s="67">
        <f>U46/I41</f>
        <v>0.03</v>
      </c>
      <c r="L41" s="67">
        <f>M46/I41</f>
        <v>0.27</v>
      </c>
      <c r="R41" s="73"/>
      <c r="S41" s="93"/>
      <c r="T41" s="93"/>
      <c r="V41" s="93"/>
      <c r="W41" s="93"/>
      <c r="X41" s="93"/>
      <c r="Y41" s="93"/>
    </row>
    <row r="42" spans="1:32" ht="15.75" x14ac:dyDescent="0.3">
      <c r="A42" s="112" t="s">
        <v>130</v>
      </c>
      <c r="B42" s="113" t="s">
        <v>131</v>
      </c>
      <c r="C42" s="114"/>
      <c r="D42" s="114">
        <f>10^D41</f>
        <v>66.880575268492464</v>
      </c>
      <c r="E42" s="114">
        <f>10^E41</f>
        <v>59.470282291726143</v>
      </c>
      <c r="F42" s="115">
        <f>10^F41</f>
        <v>1</v>
      </c>
      <c r="H42" s="102"/>
      <c r="K42" s="67">
        <f>I46/I41</f>
        <v>0.6</v>
      </c>
      <c r="L42" s="67">
        <f>Q46/I41</f>
        <v>0.1</v>
      </c>
      <c r="R42" s="73"/>
      <c r="U42" s="73"/>
    </row>
    <row r="43" spans="1:32" x14ac:dyDescent="0.2">
      <c r="B43" s="102"/>
      <c r="D43" s="116"/>
      <c r="G43" s="116"/>
      <c r="R43" s="73"/>
      <c r="V43" s="73"/>
    </row>
    <row r="44" spans="1:32" x14ac:dyDescent="0.2">
      <c r="A44" s="73"/>
      <c r="B44" s="73"/>
      <c r="C44" s="73"/>
      <c r="D44" s="73">
        <v>1</v>
      </c>
      <c r="E44" s="73"/>
      <c r="F44" s="73"/>
      <c r="G44" s="73"/>
      <c r="H44" s="73"/>
      <c r="I44" s="73">
        <v>2</v>
      </c>
      <c r="J44" s="73"/>
      <c r="K44" s="73"/>
      <c r="M44" s="73">
        <v>3</v>
      </c>
      <c r="N44" s="73"/>
      <c r="P44" s="73"/>
      <c r="Q44" s="73">
        <v>4</v>
      </c>
      <c r="R44" s="73"/>
      <c r="T44" s="73"/>
      <c r="U44" s="73">
        <v>5</v>
      </c>
      <c r="X44" s="73">
        <v>6</v>
      </c>
      <c r="Y44" s="73"/>
      <c r="Z44" s="73"/>
      <c r="AA44" s="73">
        <v>7</v>
      </c>
      <c r="AB44" s="73"/>
      <c r="AC44" s="73"/>
      <c r="AD44" s="73">
        <v>8</v>
      </c>
    </row>
    <row r="45" spans="1:32" s="84" customFormat="1" ht="25.5" x14ac:dyDescent="0.2">
      <c r="A45" s="74" t="s">
        <v>132</v>
      </c>
      <c r="B45" s="117" t="s">
        <v>133</v>
      </c>
      <c r="C45" s="118" t="s">
        <v>68</v>
      </c>
      <c r="D45" s="119" t="s">
        <v>134</v>
      </c>
      <c r="E45" s="120" t="s">
        <v>100</v>
      </c>
      <c r="F45" s="120" t="s">
        <v>135</v>
      </c>
      <c r="G45" s="120" t="s">
        <v>136</v>
      </c>
      <c r="H45" s="118" t="s">
        <v>137</v>
      </c>
      <c r="I45" s="119" t="s">
        <v>102</v>
      </c>
      <c r="J45" s="120" t="s">
        <v>100</v>
      </c>
      <c r="K45" s="120" t="s">
        <v>138</v>
      </c>
      <c r="L45" s="118" t="s">
        <v>139</v>
      </c>
      <c r="M45" s="119" t="s">
        <v>103</v>
      </c>
      <c r="N45" s="120" t="s">
        <v>100</v>
      </c>
      <c r="O45" s="120" t="s">
        <v>138</v>
      </c>
      <c r="P45" s="118" t="s">
        <v>139</v>
      </c>
      <c r="Q45" s="119" t="s">
        <v>105</v>
      </c>
      <c r="R45" s="120" t="s">
        <v>100</v>
      </c>
      <c r="S45" s="120" t="s">
        <v>138</v>
      </c>
      <c r="T45" s="118" t="s">
        <v>139</v>
      </c>
      <c r="U45" s="119" t="s">
        <v>106</v>
      </c>
      <c r="V45" s="120" t="s">
        <v>138</v>
      </c>
      <c r="W45" s="118" t="s">
        <v>140</v>
      </c>
      <c r="X45" s="119" t="s">
        <v>141</v>
      </c>
      <c r="Y45" s="120" t="s">
        <v>138</v>
      </c>
      <c r="Z45" s="118" t="s">
        <v>139</v>
      </c>
      <c r="AA45" s="119" t="s">
        <v>109</v>
      </c>
      <c r="AB45" s="120" t="s">
        <v>138</v>
      </c>
      <c r="AC45" s="118" t="s">
        <v>140</v>
      </c>
      <c r="AD45" s="119" t="s">
        <v>142</v>
      </c>
      <c r="AE45" s="120" t="s">
        <v>138</v>
      </c>
      <c r="AF45" s="118" t="s">
        <v>139</v>
      </c>
    </row>
    <row r="46" spans="1:32" x14ac:dyDescent="0.2">
      <c r="A46" s="79" t="s">
        <v>143</v>
      </c>
      <c r="B46" s="108" t="s">
        <v>144</v>
      </c>
      <c r="C46" s="121" t="s">
        <v>145</v>
      </c>
      <c r="D46" s="108">
        <v>44000000000</v>
      </c>
      <c r="H46" s="95"/>
      <c r="I46" s="108">
        <v>24000000000</v>
      </c>
      <c r="L46" s="95"/>
      <c r="M46" s="108">
        <v>10800000000</v>
      </c>
      <c r="P46" s="95"/>
      <c r="Q46" s="108">
        <v>4000000000</v>
      </c>
      <c r="T46" s="95"/>
      <c r="U46" s="108">
        <v>1200000000</v>
      </c>
      <c r="W46" s="95"/>
      <c r="X46" s="82">
        <f>U46</f>
        <v>1200000000</v>
      </c>
      <c r="Z46" s="121"/>
      <c r="AA46" s="108">
        <v>4000000000</v>
      </c>
      <c r="AC46" s="95"/>
      <c r="AD46" s="82">
        <v>4000000000</v>
      </c>
      <c r="AF46" s="121"/>
    </row>
    <row r="47" spans="1:32" x14ac:dyDescent="0.2">
      <c r="A47" s="79" t="s">
        <v>146</v>
      </c>
      <c r="B47" s="108" t="s">
        <v>147</v>
      </c>
      <c r="C47" s="121" t="s">
        <v>92</v>
      </c>
      <c r="D47" s="86">
        <v>1000</v>
      </c>
      <c r="E47" s="73"/>
      <c r="H47" s="121"/>
      <c r="I47" s="86">
        <v>0.05</v>
      </c>
      <c r="J47" s="73"/>
      <c r="K47" s="73"/>
      <c r="L47" s="121"/>
      <c r="M47" s="86">
        <v>0.2</v>
      </c>
      <c r="N47" s="73"/>
      <c r="O47" s="73"/>
      <c r="P47" s="121"/>
      <c r="Q47" s="86">
        <v>0.05</v>
      </c>
      <c r="R47" s="73"/>
      <c r="S47" s="73"/>
      <c r="T47" s="121"/>
      <c r="U47" s="86">
        <v>3</v>
      </c>
      <c r="V47" s="73"/>
      <c r="W47" s="121"/>
      <c r="X47" s="108">
        <v>0.03</v>
      </c>
      <c r="Y47" s="73"/>
      <c r="Z47" s="121"/>
      <c r="AA47" s="86">
        <v>10</v>
      </c>
      <c r="AB47" s="73"/>
      <c r="AC47" s="121"/>
      <c r="AD47" s="108">
        <v>0.03</v>
      </c>
      <c r="AE47" s="73"/>
      <c r="AF47" s="121"/>
    </row>
    <row r="48" spans="1:32" x14ac:dyDescent="0.2">
      <c r="A48" s="79" t="s">
        <v>148</v>
      </c>
      <c r="B48" s="108" t="s">
        <v>149</v>
      </c>
      <c r="C48" s="121" t="s">
        <v>150</v>
      </c>
      <c r="D48" s="82">
        <f>D47*D46</f>
        <v>44000000000000</v>
      </c>
      <c r="H48" s="95"/>
      <c r="I48" s="82">
        <f>I47*I46</f>
        <v>1200000000</v>
      </c>
      <c r="L48" s="95"/>
      <c r="M48" s="82">
        <f>M47*M46</f>
        <v>2160000000</v>
      </c>
      <c r="P48" s="95"/>
      <c r="Q48" s="82">
        <f>Q47*Q46</f>
        <v>200000000</v>
      </c>
      <c r="T48" s="95"/>
      <c r="U48" s="82">
        <f>U47*U46</f>
        <v>3600000000</v>
      </c>
      <c r="W48" s="95"/>
      <c r="X48" s="82">
        <f>X47*X46</f>
        <v>36000000</v>
      </c>
      <c r="Z48" s="95"/>
      <c r="AA48" s="82">
        <f>AA47*AA46</f>
        <v>40000000000</v>
      </c>
      <c r="AC48" s="95"/>
      <c r="AD48" s="82">
        <f>AD47*AD46</f>
        <v>120000000</v>
      </c>
      <c r="AF48" s="95"/>
    </row>
    <row r="49" spans="1:32" ht="15.75" x14ac:dyDescent="0.3">
      <c r="A49" s="79" t="s">
        <v>151</v>
      </c>
      <c r="B49" s="108" t="s">
        <v>152</v>
      </c>
      <c r="C49" s="121"/>
      <c r="D49" s="82"/>
      <c r="E49" s="67">
        <v>1</v>
      </c>
      <c r="F49" s="93">
        <v>2.9999999999999997E-8</v>
      </c>
      <c r="G49" s="67">
        <v>1.9999999999999999E-11</v>
      </c>
      <c r="H49" s="95">
        <v>1.9999999999999999E-11</v>
      </c>
      <c r="I49" s="82"/>
      <c r="J49" s="104">
        <v>0.2</v>
      </c>
      <c r="K49" s="104">
        <v>0.2</v>
      </c>
      <c r="L49" s="69">
        <v>0.6</v>
      </c>
      <c r="M49" s="82"/>
      <c r="N49" s="104">
        <v>0.2</v>
      </c>
      <c r="O49" s="104">
        <v>0.2</v>
      </c>
      <c r="P49" s="69">
        <v>0.6</v>
      </c>
      <c r="Q49" s="82"/>
      <c r="R49" s="104">
        <v>0.2</v>
      </c>
      <c r="S49" s="104">
        <v>0.2</v>
      </c>
      <c r="T49" s="69">
        <v>0.6</v>
      </c>
      <c r="U49" s="79"/>
      <c r="V49" s="73"/>
      <c r="W49" s="122">
        <v>5.0000000000000004E-6</v>
      </c>
      <c r="X49" s="82"/>
      <c r="Y49" s="123">
        <v>0.8</v>
      </c>
      <c r="Z49" s="124">
        <v>0.2</v>
      </c>
      <c r="AA49" s="79"/>
      <c r="AB49" s="73"/>
      <c r="AC49" s="122">
        <v>1.9999999999999999E-6</v>
      </c>
      <c r="AD49" s="82"/>
      <c r="AE49" s="104">
        <v>0.8</v>
      </c>
      <c r="AF49" s="69">
        <v>0.2</v>
      </c>
    </row>
    <row r="50" spans="1:32" x14ac:dyDescent="0.2">
      <c r="A50" s="79" t="s">
        <v>153</v>
      </c>
      <c r="B50" s="108" t="s">
        <v>154</v>
      </c>
      <c r="C50" s="121" t="s">
        <v>147</v>
      </c>
      <c r="D50" s="125">
        <v>0.72</v>
      </c>
      <c r="H50" s="95"/>
      <c r="I50" s="82"/>
      <c r="L50" s="95"/>
      <c r="M50" s="82"/>
      <c r="P50" s="95"/>
      <c r="Q50" s="82"/>
      <c r="T50" s="95"/>
      <c r="U50" s="126">
        <v>40</v>
      </c>
      <c r="V50" s="73"/>
      <c r="W50" s="95"/>
      <c r="X50" s="82"/>
      <c r="Z50" s="95"/>
      <c r="AA50" s="79"/>
      <c r="AB50" s="73"/>
      <c r="AC50" s="95"/>
      <c r="AD50" s="82"/>
      <c r="AF50" s="95"/>
    </row>
    <row r="51" spans="1:32" x14ac:dyDescent="0.2">
      <c r="A51" s="79" t="s">
        <v>155</v>
      </c>
      <c r="B51" s="108" t="s">
        <v>156</v>
      </c>
      <c r="C51" s="121" t="s">
        <v>157</v>
      </c>
      <c r="D51" s="82">
        <f>D48/D50/24</f>
        <v>2546296296296.2964</v>
      </c>
      <c r="H51" s="95"/>
      <c r="I51" s="79"/>
      <c r="J51" s="73"/>
      <c r="K51" s="73"/>
      <c r="L51" s="121"/>
      <c r="M51" s="79"/>
      <c r="N51" s="73"/>
      <c r="O51" s="73"/>
      <c r="P51" s="121"/>
      <c r="Q51" s="79"/>
      <c r="R51" s="73"/>
      <c r="S51" s="73"/>
      <c r="T51" s="121"/>
      <c r="U51" s="82">
        <f>U48/U50/24</f>
        <v>3750000</v>
      </c>
      <c r="W51" s="121"/>
      <c r="X51" s="79"/>
      <c r="Y51" s="73"/>
      <c r="Z51" s="121"/>
      <c r="AA51" s="108">
        <f>10*U51</f>
        <v>37500000</v>
      </c>
      <c r="AC51" s="121"/>
      <c r="AD51" s="79"/>
      <c r="AE51" s="73"/>
      <c r="AF51" s="121"/>
    </row>
    <row r="52" spans="1:32" x14ac:dyDescent="0.2">
      <c r="A52" s="82" t="s">
        <v>158</v>
      </c>
      <c r="B52" s="79" t="s">
        <v>159</v>
      </c>
      <c r="C52" s="121"/>
      <c r="D52" s="79"/>
      <c r="E52" s="73"/>
      <c r="F52" s="73"/>
      <c r="G52" s="73"/>
      <c r="H52" s="69">
        <v>0.1</v>
      </c>
      <c r="I52" s="79"/>
      <c r="J52" s="73"/>
      <c r="K52" s="73"/>
      <c r="L52" s="69">
        <v>0.02</v>
      </c>
      <c r="M52" s="79"/>
      <c r="N52" s="73"/>
      <c r="O52" s="73"/>
      <c r="P52" s="69">
        <v>0.02</v>
      </c>
      <c r="Q52" s="79"/>
      <c r="R52" s="73"/>
      <c r="S52" s="73"/>
      <c r="T52" s="69">
        <v>0.02</v>
      </c>
      <c r="U52" s="79"/>
      <c r="V52" s="73"/>
      <c r="W52" s="69">
        <v>0.2</v>
      </c>
      <c r="X52" s="79"/>
      <c r="Y52" s="73"/>
      <c r="Z52" s="69">
        <v>0.05</v>
      </c>
      <c r="AA52" s="79"/>
      <c r="AB52" s="73"/>
      <c r="AC52" s="69">
        <v>0.2</v>
      </c>
      <c r="AD52" s="79"/>
      <c r="AE52" s="73"/>
      <c r="AF52" s="69">
        <v>0.05</v>
      </c>
    </row>
    <row r="53" spans="1:32" x14ac:dyDescent="0.2">
      <c r="A53" s="82" t="s">
        <v>160</v>
      </c>
      <c r="B53" s="86" t="s">
        <v>161</v>
      </c>
      <c r="C53" s="121" t="s">
        <v>162</v>
      </c>
      <c r="D53" s="79"/>
      <c r="E53" s="73"/>
      <c r="F53" s="102"/>
      <c r="G53" s="102"/>
      <c r="H53" s="127">
        <v>2</v>
      </c>
      <c r="I53" s="128"/>
      <c r="J53" s="116"/>
      <c r="K53" s="129"/>
      <c r="L53" s="124">
        <v>2.5</v>
      </c>
      <c r="M53" s="128"/>
      <c r="N53" s="116"/>
      <c r="O53" s="129"/>
      <c r="P53" s="124">
        <v>2.5</v>
      </c>
      <c r="Q53" s="128"/>
      <c r="R53" s="116"/>
      <c r="S53" s="129"/>
      <c r="T53" s="124">
        <v>2.5</v>
      </c>
      <c r="U53" s="130"/>
      <c r="V53" s="129"/>
      <c r="W53" s="124">
        <v>2.5</v>
      </c>
      <c r="X53" s="82"/>
      <c r="Y53" s="73"/>
      <c r="Z53" s="69">
        <v>2.5</v>
      </c>
      <c r="AA53" s="130">
        <v>1</v>
      </c>
      <c r="AB53" s="129"/>
      <c r="AC53" s="124">
        <v>2.5</v>
      </c>
      <c r="AD53" s="82"/>
      <c r="AE53" s="73">
        <v>1</v>
      </c>
      <c r="AF53" s="69">
        <v>2.5</v>
      </c>
    </row>
    <row r="54" spans="1:32" x14ac:dyDescent="0.2">
      <c r="A54" s="82" t="s">
        <v>163</v>
      </c>
      <c r="B54" s="82" t="s">
        <v>163</v>
      </c>
      <c r="C54" s="121"/>
      <c r="D54" s="82"/>
      <c r="F54" s="123">
        <v>5.6</v>
      </c>
      <c r="G54" s="123">
        <v>3</v>
      </c>
      <c r="H54" s="131">
        <v>3</v>
      </c>
      <c r="I54" s="128"/>
      <c r="J54" s="116"/>
      <c r="K54" s="123">
        <v>5</v>
      </c>
      <c r="L54" s="131" t="b">
        <f>IF($C$8="acid",K54-0.6,IF($C$8="base",4.5,IF($C$8="amphoter",5)))</f>
        <v>0</v>
      </c>
      <c r="M54" s="128"/>
      <c r="N54" s="116"/>
      <c r="O54" s="123">
        <v>6.8</v>
      </c>
      <c r="P54" s="131" t="b">
        <f>IF($C$8="acid",O54-0.6,IF($C$8="base",4.5,IF($C$8="amphoter",5)))</f>
        <v>0</v>
      </c>
      <c r="Q54" s="128"/>
      <c r="R54" s="116"/>
      <c r="S54" s="123">
        <v>6.3</v>
      </c>
      <c r="T54" s="131" t="b">
        <f>IF($C$8="acid",S54-0.6,IF($C$8="base",4.5,IF($C$8="amphoter",5)))</f>
        <v>0</v>
      </c>
      <c r="U54" s="128"/>
      <c r="V54" s="123">
        <v>7.5</v>
      </c>
      <c r="W54" s="131">
        <f>V54</f>
        <v>7.5</v>
      </c>
      <c r="X54" s="128"/>
      <c r="Y54" s="123">
        <v>7.5</v>
      </c>
      <c r="Z54" s="131" t="b">
        <f>IF($C$8="acid",Y54-0.6,IF($C$8="base",4.5,IF($C$8="amphoter",5)))</f>
        <v>0</v>
      </c>
      <c r="AA54" s="128"/>
      <c r="AB54" s="123">
        <v>8</v>
      </c>
      <c r="AC54" s="131">
        <f>AB54</f>
        <v>8</v>
      </c>
      <c r="AD54" s="128"/>
      <c r="AE54" s="123">
        <v>8</v>
      </c>
      <c r="AF54" s="131" t="b">
        <f>IF($C$8="acid",AE54-0.6,IF($C$8="base",4.5,IF($C$8="amphoter",5)))</f>
        <v>0</v>
      </c>
    </row>
    <row r="55" spans="1:32" x14ac:dyDescent="0.2">
      <c r="A55" s="67" t="s">
        <v>164</v>
      </c>
      <c r="B55" s="108" t="s">
        <v>165</v>
      </c>
      <c r="C55" s="95" t="s">
        <v>166</v>
      </c>
      <c r="D55" s="108">
        <v>2.0000000000000001E-4</v>
      </c>
      <c r="H55" s="95"/>
      <c r="I55" s="108">
        <v>0.03</v>
      </c>
      <c r="L55" s="95"/>
      <c r="M55" s="108">
        <v>0.03</v>
      </c>
      <c r="P55" s="95"/>
      <c r="Q55" s="108">
        <v>0.03</v>
      </c>
      <c r="T55" s="95"/>
      <c r="U55" s="108">
        <v>3.0000000000000001E-3</v>
      </c>
      <c r="W55" s="95"/>
      <c r="X55" s="108">
        <v>3.0000000000000001E-3</v>
      </c>
      <c r="Z55" s="95"/>
      <c r="AA55" s="125">
        <v>0.5</v>
      </c>
      <c r="AC55" s="95"/>
      <c r="AD55" s="125">
        <v>0.5</v>
      </c>
      <c r="AF55" s="95"/>
    </row>
    <row r="56" spans="1:32" x14ac:dyDescent="0.2">
      <c r="A56" s="87" t="s">
        <v>167</v>
      </c>
      <c r="B56" s="132"/>
      <c r="C56" s="68"/>
      <c r="D56" s="132"/>
      <c r="E56" s="107"/>
      <c r="F56" s="107"/>
      <c r="G56" s="107"/>
      <c r="H56" s="68"/>
      <c r="I56" s="132"/>
      <c r="J56" s="107"/>
      <c r="K56" s="107"/>
      <c r="L56" s="68"/>
      <c r="M56" s="132"/>
      <c r="N56" s="107"/>
      <c r="O56" s="107"/>
      <c r="P56" s="68"/>
      <c r="Q56" s="132"/>
      <c r="R56" s="107"/>
      <c r="S56" s="107"/>
      <c r="T56" s="68"/>
      <c r="U56" s="132"/>
      <c r="V56" s="107"/>
      <c r="W56" s="68"/>
      <c r="X56" s="132"/>
      <c r="Y56" s="107"/>
      <c r="Z56" s="68"/>
      <c r="AA56" s="133"/>
      <c r="AB56" s="107"/>
      <c r="AC56" s="68"/>
      <c r="AD56" s="133"/>
      <c r="AE56" s="107"/>
      <c r="AF56" s="68"/>
    </row>
    <row r="57" spans="1:32" ht="15.75" x14ac:dyDescent="0.3">
      <c r="A57" s="82" t="s">
        <v>168</v>
      </c>
      <c r="B57" s="108" t="s">
        <v>169</v>
      </c>
      <c r="C57" s="95"/>
      <c r="D57" s="134">
        <f>10^(0.3*D55)</f>
        <v>1.0001381646494358</v>
      </c>
      <c r="E57" s="102"/>
      <c r="F57" s="102"/>
      <c r="G57" s="102"/>
      <c r="H57" s="135"/>
      <c r="I57" s="134">
        <f>10^(0.3*I55)</f>
        <v>1.02093948370768</v>
      </c>
      <c r="J57" s="102"/>
      <c r="K57" s="102"/>
      <c r="L57" s="135"/>
      <c r="M57" s="134">
        <f>10^(0.3*M55)</f>
        <v>1.02093948370768</v>
      </c>
      <c r="N57" s="102"/>
      <c r="O57" s="102"/>
      <c r="P57" s="135"/>
      <c r="Q57" s="134">
        <f>10^(0.3*Q55)</f>
        <v>1.02093948370768</v>
      </c>
      <c r="R57" s="102"/>
      <c r="S57" s="102"/>
      <c r="T57" s="135"/>
      <c r="U57" s="134">
        <f>10^(0.3*U55)</f>
        <v>1.0020744753364788</v>
      </c>
      <c r="V57" s="102"/>
      <c r="W57" s="135"/>
      <c r="X57" s="134">
        <f>10^(0.3*X55)</f>
        <v>1.0020744753364788</v>
      </c>
      <c r="Y57" s="102"/>
      <c r="Z57" s="135"/>
      <c r="AA57" s="134">
        <f>10^(0.3*AA55)</f>
        <v>1.4125375446227544</v>
      </c>
      <c r="AB57" s="102"/>
      <c r="AC57" s="135"/>
      <c r="AD57" s="134">
        <f>10^(0.3*AD55)</f>
        <v>1.4125375446227544</v>
      </c>
      <c r="AE57" s="102"/>
      <c r="AF57" s="135"/>
    </row>
    <row r="58" spans="1:32" ht="15.75" x14ac:dyDescent="0.3">
      <c r="A58" s="82" t="s">
        <v>170</v>
      </c>
      <c r="B58" s="108" t="s">
        <v>171</v>
      </c>
      <c r="C58" s="95"/>
      <c r="D58" s="134">
        <f>10^(-0.5*1*(SQRT(D55)/(1+SQRT(D55))-0.3*D55))</f>
        <v>0.98414148154203906</v>
      </c>
      <c r="E58" s="102"/>
      <c r="F58" s="102"/>
      <c r="G58" s="102"/>
      <c r="H58" s="135"/>
      <c r="I58" s="134">
        <f>10^(-0.5*1*(SQRT(I55)/(1+SQRT(I55))-0.3*I55))</f>
        <v>0.85247754488743499</v>
      </c>
      <c r="J58" s="102"/>
      <c r="K58" s="102"/>
      <c r="L58" s="135"/>
      <c r="M58" s="134">
        <f>10^(-0.5*1*(SQRT(M55)/(1+SQRT(M55))-0.3*M55))</f>
        <v>0.85247754488743499</v>
      </c>
      <c r="N58" s="102"/>
      <c r="O58" s="102"/>
      <c r="P58" s="135"/>
      <c r="Q58" s="134">
        <f>10^(-0.5*1*(SQRT(Q55)/(1+SQRT(Q55))-0.3*Q55))</f>
        <v>0.85247754488743499</v>
      </c>
      <c r="R58" s="102"/>
      <c r="S58" s="102"/>
      <c r="T58" s="135"/>
      <c r="U58" s="134">
        <f>10^(-0.5*1*(SQRT(U55)/(1+SQRT(U55))-0.3*U55))</f>
        <v>0.94294417075668868</v>
      </c>
      <c r="V58" s="102"/>
      <c r="W58" s="135"/>
      <c r="X58" s="134">
        <f>10^(-0.5*1*(SQRT(X55)/(1+SQRT(X55))-0.3*X55))</f>
        <v>0.94294417075668868</v>
      </c>
      <c r="Y58" s="102"/>
      <c r="Z58" s="135"/>
      <c r="AA58" s="134">
        <f>10^(-0.5*1*(SQRT(AA55)/(1+SQRT(AA55))-0.3*AA55))</f>
        <v>0.73772282187584559</v>
      </c>
      <c r="AB58" s="102"/>
      <c r="AC58" s="135"/>
      <c r="AD58" s="134">
        <f>10^(-0.5*1*(SQRT(AD55)/(1+SQRT(AD55))-0.3*AD55))</f>
        <v>0.73772282187584559</v>
      </c>
      <c r="AE58" s="102"/>
      <c r="AF58" s="135"/>
    </row>
    <row r="59" spans="1:32" x14ac:dyDescent="0.2">
      <c r="A59" s="82" t="s">
        <v>172</v>
      </c>
      <c r="B59" s="82" t="s">
        <v>173</v>
      </c>
      <c r="C59" s="95"/>
      <c r="D59" s="82"/>
      <c r="E59" s="67">
        <v>1</v>
      </c>
      <c r="F59" s="67">
        <f>IF($C$8="neutral",1,IF($C$8="acid",1/(1+10^(F54-$C$10)),IF($C$8="base",1/(1+10^($C$11-F54)),IF($C$8="amphoter",1/(1+10^(F54-$C$10)+10^($C$11-F54))))))</f>
        <v>1</v>
      </c>
      <c r="G59" s="67">
        <f>IF($C$8="neutral",1,IF($C$8="acid",1/(1+10^(G54-$C$10)),IF($C$8="base",1/(1+10^($C$11-G54)),IF($C$8="amphoter",1/(1+10^(G54-$C$10)+10^($C$11-G54))))))</f>
        <v>1</v>
      </c>
      <c r="H59" s="95">
        <f>IF($C$8="neutral",1,IF($C$8="acid",1/(1+10^(H54-$C$10)),IF($C$8="base",1/(1+10^($C$11-H54)),IF($C$8="amphoter",1/(1+10^(H54-$C$10)+10^($C$11-H54))))))</f>
        <v>1</v>
      </c>
      <c r="I59" s="82"/>
      <c r="J59" s="67">
        <v>1</v>
      </c>
      <c r="K59" s="67">
        <f>IF($C$8="neutral",1,IF($C$8="acid",1/(1+10^(K54-$C$10)),IF($C$8="base",1/(1+10^($C$11-K54)),IF($C$8="amphoter",1/(1+10^(K54-$C$10)+10^($C$11-K54))))))</f>
        <v>1</v>
      </c>
      <c r="L59" s="95">
        <f>IF($C$8="neutral",1,IF($C$8="acid",1/(1+10^(L54-$C$10)),IF($C$8="base",1/(1+10^($C$11-L54)),IF($C$8="amphoter",1/(1+10^(L54-$C$10)+10^($C$11-L54))))))</f>
        <v>1</v>
      </c>
      <c r="M59" s="82"/>
      <c r="N59" s="67">
        <v>1</v>
      </c>
      <c r="O59" s="67">
        <f>IF($C$8="neutral",1,IF($C$8="acid",1/(1+10^(O54-$C$10)),IF($C$8="base",1/(1+10^($C$11-O54)),IF($C$8="amphoter",1/(1+10^(O54-$C$10)+10^($C$11-O54))))))</f>
        <v>1</v>
      </c>
      <c r="P59" s="95">
        <f>IF($C$8="neutral",1,IF($C$8="acid",1/(1+10^(P54-$C$10)),IF($C$8="base",1/(1+10^($C$11-P54)),IF($C$8="amphoter",1/(1+10^(P54-$C$10)+10^($C$11-P54))))))</f>
        <v>1</v>
      </c>
      <c r="Q59" s="82"/>
      <c r="R59" s="67">
        <v>1</v>
      </c>
      <c r="S59" s="67">
        <f>IF($C$8="neutral",1,IF($C$8="acid",1/(1+10^(S54-$C$10)),IF($C$8="base",1/(1+10^($C$11-S54)),IF($C$8="amphoter",1/(1+10^(S54-$C$10)+10^($C$11-S54))))))</f>
        <v>1</v>
      </c>
      <c r="T59" s="95">
        <f>IF($C$8="neutral",1,IF($C$8="acid",1/(1+10^(T54-$C$10)),IF($C$8="base",1/(1+10^($C$11-T54)),IF($C$8="amphoter",1/(1+10^(T54-$C$10)+10^($C$11-T54))))))</f>
        <v>1</v>
      </c>
      <c r="U59" s="82"/>
      <c r="V59" s="67">
        <f>IF($C$8="neutral",1,IF($C$8="acid",1/(1+10^(V54-$C$10)),IF($C$8="base",1/(1+10^($C$11-V54)),IF($C$8="amphoter",1/(1+10^(V54-$C$10)+10^($C$11-V54))))))</f>
        <v>1</v>
      </c>
      <c r="W59" s="95">
        <f>IF($C$8="neutral",1,IF($C$8="acid",1/(1+10^(W54-$C$10)),IF($C$8="base",1/(1+10^($C$11-W54)),IF($C$8="amphoter",1/(1+10^(W54-$C$10)+10^($C$11-W54))))))</f>
        <v>1</v>
      </c>
      <c r="X59" s="82"/>
      <c r="Y59" s="67">
        <f>IF($C$8="neutral",1,IF($C$8="acid",1/(1+10^(Y54-$C$10)),IF($C$8="base",1/(1+10^($C$11-Y54)),IF($C$8="amphoter",1/(1+10^(Y54-$C$10)+10^($C$11-Y54))))))</f>
        <v>1</v>
      </c>
      <c r="Z59" s="95">
        <f>IF($C$8="neutral",1,IF($C$8="acid",1/(1+10^(Z54-$C$10)),IF($C$8="base",1/(1+10^($C$11-Z54)),IF($C$8="amphoter",1/(1+10^(Z54-$C$10)+10^($C$11-Z54))))))</f>
        <v>1</v>
      </c>
      <c r="AA59" s="82"/>
      <c r="AB59" s="67">
        <f>IF($C$8="neutral",1,IF($C$8="acid",1/(1+10^(AB54-$C$10)),IF($C$8="base",1/(1+10^($C$11-AB54)),IF($C$8="amphoter",1/(1+10^(AB54-$C$10)+10^($C$11-AB54))))))</f>
        <v>1</v>
      </c>
      <c r="AC59" s="95">
        <f>IF($C$8="neutral",1,IF($C$8="acid",1/(1+10^(AC54-$C$10)),IF($C$8="base",1/(1+10^($C$11-AC54)),IF($C$8="amphoter",1/(1+10^(AC54-$C$10)+10^($C$11-AC54))))))</f>
        <v>1</v>
      </c>
      <c r="AD59" s="82"/>
      <c r="AE59" s="67">
        <f>IF($C$8="neutral",1,IF($C$8="acid",1/(1+10^(AE54-$C$10)),IF($C$8="base",1/(1+10^($C$11-AE54)),IF($C$8="amphoter",1/(1+10^(AE54-$C$10)+10^($C$11-AE54))))))</f>
        <v>1</v>
      </c>
      <c r="AF59" s="95">
        <f>IF($C$8="neutral",1,IF($C$8="acid",1/(1+10^(AF54-$C$10)),IF($C$8="base",1/(1+10^($C$11-AF54)),IF($C$8="amphoter",1/(1+10^(AF54-$C$10)+10^($C$11-AF54))))))</f>
        <v>1</v>
      </c>
    </row>
    <row r="60" spans="1:32" x14ac:dyDescent="0.2">
      <c r="A60" s="82" t="s">
        <v>174</v>
      </c>
      <c r="B60" s="82" t="s">
        <v>175</v>
      </c>
      <c r="C60" s="95"/>
      <c r="D60" s="82"/>
      <c r="F60" s="67">
        <f>IF($C$8="neutral",0,IF($C$8="acid",1-F59,IF($C$8="base",0,IF($C$8="amphoter",F59*10^(F54-$C$10)))))</f>
        <v>0</v>
      </c>
      <c r="G60" s="67">
        <f>IF($C$8="neutral",0,IF($C$8="acid",1-G59,IF($C$8="base",0,IF($C$8="amphoter",G59*10^(G54-$C$10)))))</f>
        <v>0</v>
      </c>
      <c r="H60" s="95">
        <f>IF($C$8="neutral",0,IF($C$8="acid",1-H59,IF($C$8="base",0,IF($C$8="amphoter",H59*10^(H54-$C$10)))))</f>
        <v>0</v>
      </c>
      <c r="I60" s="82"/>
      <c r="K60" s="67">
        <f>IF($C$8="neutral",0,IF($C$8="acid",1-K59,IF($C$8="base",0,IF($C$8="amphoter",K59*10^(K54-$C$10)))))</f>
        <v>0</v>
      </c>
      <c r="L60" s="95">
        <f>IF($C$8="neutral",0,IF($C$8="acid",1-L59,IF($C$8="base",0,IF($C$8="amphoter",L59*10^(L54-$C$10)))))</f>
        <v>0</v>
      </c>
      <c r="M60" s="82"/>
      <c r="O60" s="67">
        <f>IF($C$8="neutral",0,IF($C$8="acid",1-O59,IF($C$8="base",0,IF($C$8="amphoter",O59*10^(O54-$C$10)))))</f>
        <v>0</v>
      </c>
      <c r="P60" s="95">
        <f>IF($C$8="neutral",0,IF($C$8="acid",1-P59,IF($C$8="base",0,IF($C$8="amphoter",P59*10^(P54-$C$10)))))</f>
        <v>0</v>
      </c>
      <c r="Q60" s="82"/>
      <c r="S60" s="67">
        <f>IF($C$8="neutral",0,IF($C$8="acid",1-S59,IF($C$8="base",0,IF($C$8="amphoter",S59*10^(S54-$C$10)))))</f>
        <v>0</v>
      </c>
      <c r="T60" s="95">
        <f>IF($C$8="neutral",0,IF($C$8="acid",1-T59,IF($C$8="base",0,IF($C$8="amphoter",T59*10^(T54-$C$10)))))</f>
        <v>0</v>
      </c>
      <c r="U60" s="82"/>
      <c r="V60" s="67">
        <f>IF($C$8="neutral",0,IF($C$8="acid",1-V59,IF($C$8="base",0,IF($C$8="amphoter",V59*10^(V54-$C$10)))))</f>
        <v>0</v>
      </c>
      <c r="W60" s="95">
        <f>IF($C$8="neutral",0,IF($C$8="acid",1-W59,IF($C$8="base",0,IF($C$8="amphoter",W59*10^(W54-$C$10)))))</f>
        <v>0</v>
      </c>
      <c r="X60" s="82"/>
      <c r="Y60" s="67">
        <f>IF($C$8="neutral",0,IF($C$8="acid",1-Y59,IF($C$8="base",0,IF($C$8="amphoter",Y59*10^(Y54-$C$10)))))</f>
        <v>0</v>
      </c>
      <c r="Z60" s="95">
        <f>IF($C$8="neutral",0,IF($C$8="acid",1-Z59,IF($C$8="base",0,IF($C$8="amphoter",Z59*10^(Z54-$C$10)))))</f>
        <v>0</v>
      </c>
      <c r="AA60" s="82"/>
      <c r="AB60" s="67">
        <f>IF($C$8="neutral",0,IF($C$8="acid",1-AB59,IF($C$8="base",0,IF($C$8="amphoter",AB59*10^(AB54-$C$10)))))</f>
        <v>0</v>
      </c>
      <c r="AC60" s="95">
        <f>IF($C$8="neutral",0,IF($C$8="acid",1-AC59,IF($C$8="base",0,IF($C$8="amphoter",AC59*10^(AC54-$C$10)))))</f>
        <v>0</v>
      </c>
      <c r="AD60" s="82"/>
      <c r="AE60" s="67">
        <f>IF($C$8="neutral",0,IF($C$8="acid",1-AE59,IF($C$8="base",0,IF($C$8="amphoter",AE59*10^(AE54-$C$10)))))</f>
        <v>0</v>
      </c>
      <c r="AF60" s="95">
        <f>IF($C$8="neutral",0,IF($C$8="acid",1-AF59,IF($C$8="base",0,IF($C$8="amphoter",AF59*10^(AF54-$C$10)))))</f>
        <v>0</v>
      </c>
    </row>
    <row r="61" spans="1:32" x14ac:dyDescent="0.2">
      <c r="A61" s="82" t="s">
        <v>176</v>
      </c>
      <c r="B61" s="82" t="s">
        <v>177</v>
      </c>
      <c r="C61" s="95"/>
      <c r="D61" s="82"/>
      <c r="F61" s="67">
        <f>IF($C$8="neutral",0,IF($C$8="acid",0,IF($C$8="base",1-F59,IF($C$8="amphoter",F59*10^($C$11-F54)))))</f>
        <v>0</v>
      </c>
      <c r="G61" s="67">
        <f>IF($C$8="neutral",0,IF($C$8="acid",0,IF($C$8="base",1-G59,IF($C$8="amphoter",G59*10^($C$11-G54)))))</f>
        <v>0</v>
      </c>
      <c r="H61" s="95">
        <f>IF($C$8="neutral",0,IF($C$8="acid",0,IF($C$8="base",1-H59,IF($C$8="amphoter",H59*10^($C$11-H54)))))</f>
        <v>0</v>
      </c>
      <c r="I61" s="82"/>
      <c r="K61" s="67">
        <f>IF($C$8="neutral",0,IF($C$8="acid",0,IF($C$8="base",1-K59,IF($C$8="amphoter",K59*10^($C$11-K54)))))</f>
        <v>0</v>
      </c>
      <c r="L61" s="95">
        <f>IF($C$8="neutral",0,IF($C$8="acid",0,IF($C$8="base",1-L59,IF($C$8="amphoter",L59*10^($C$11-L54)))))</f>
        <v>0</v>
      </c>
      <c r="M61" s="82"/>
      <c r="O61" s="67">
        <f>IF($C$8="neutral",0,IF($C$8="acid",0,IF($C$8="base",1-O59,IF($C$8="amphoter",O59*10^($C$11-O54)))))</f>
        <v>0</v>
      </c>
      <c r="P61" s="95">
        <f>IF($C$8="neutral",0,IF($C$8="acid",0,IF($C$8="base",1-P59,IF($C$8="amphoter",P59*10^($C$11-P54)))))</f>
        <v>0</v>
      </c>
      <c r="Q61" s="82"/>
      <c r="R61" s="67">
        <v>0</v>
      </c>
      <c r="S61" s="67">
        <f>IF($C$8="neutral",0,IF($C$8="acid",0,IF($C$8="base",1-S59,IF($C$8="amphoter",S59*10^($C$11-S54)))))</f>
        <v>0</v>
      </c>
      <c r="T61" s="95">
        <f>IF($C$8="neutral",0,IF($C$8="acid",0,IF($C$8="base",1-T59,IF($C$8="amphoter",T59*10^($C$11-T54)))))</f>
        <v>0</v>
      </c>
      <c r="U61" s="82"/>
      <c r="V61" s="67">
        <f>IF($C$8="neutral",0,IF($C$8="acid",0,IF($C$8="base",1-V59,IF($C$8="amphoter",V59*10^($C$11-V54)))))</f>
        <v>0</v>
      </c>
      <c r="W61" s="95">
        <f>IF($C$8="neutral",0,IF($C$8="acid",0,IF($C$8="base",1-W59,IF($C$8="amphoter",W59*10^($C$11-W54)))))</f>
        <v>0</v>
      </c>
      <c r="X61" s="82"/>
      <c r="Y61" s="67">
        <f>IF($C$8="neutral",0,IF($C$8="acid",0,IF($C$8="base",1-Y59,IF($C$8="amphoter",Y59*10^($C$11-Y54)))))</f>
        <v>0</v>
      </c>
      <c r="Z61" s="95">
        <f>IF($C$8="neutral",0,IF($C$8="acid",0,IF($C$8="base",1-Z59,IF($C$8="amphoter",Z59*10^($C$11-Z54)))))</f>
        <v>0</v>
      </c>
      <c r="AA61" s="82"/>
      <c r="AB61" s="67">
        <f>IF($C$8="neutral",0,IF($C$8="acid",0,IF($C$8="base",1-AB59,IF($C$8="amphoter",AB59*10^($C$11-AB54)))))</f>
        <v>0</v>
      </c>
      <c r="AC61" s="95">
        <f>IF($C$8="neutral",0,IF($C$8="acid",0,IF($C$8="base",1-AC59,IF($C$8="amphoter",AC59*10^($C$11-AC54)))))</f>
        <v>0</v>
      </c>
      <c r="AD61" s="82"/>
      <c r="AE61" s="67">
        <f>IF($C$8="neutral",0,IF($C$8="acid",0,IF($C$8="base",1-AE59,IF($C$8="amphoter",AE59*10^($C$11-AE54)))))</f>
        <v>0</v>
      </c>
      <c r="AF61" s="95">
        <f>IF($C$8="neutral",0,IF($C$8="acid",0,IF($C$8="base",1-AF59,IF($C$8="amphoter",AF59*10^($C$11-AF54)))))</f>
        <v>0</v>
      </c>
    </row>
    <row r="62" spans="1:32" x14ac:dyDescent="0.2">
      <c r="A62" s="82" t="s">
        <v>178</v>
      </c>
      <c r="B62" s="82" t="s">
        <v>179</v>
      </c>
      <c r="C62" s="95" t="s">
        <v>123</v>
      </c>
      <c r="D62" s="136"/>
      <c r="E62" s="103"/>
      <c r="F62" s="103"/>
      <c r="G62" s="103"/>
      <c r="H62" s="95">
        <f>0.54*D37*H52*H53*D36</f>
        <v>14.568799131989863</v>
      </c>
      <c r="I62" s="134"/>
      <c r="J62" s="102"/>
      <c r="K62" s="102"/>
      <c r="L62" s="135">
        <f>$D$42*L52*L53</f>
        <v>3.3440287634246237</v>
      </c>
      <c r="M62" s="134"/>
      <c r="N62" s="102"/>
      <c r="O62" s="102"/>
      <c r="P62" s="135">
        <f>$D$42*P52*P53</f>
        <v>3.3440287634246237</v>
      </c>
      <c r="Q62" s="134"/>
      <c r="R62" s="102"/>
      <c r="S62" s="102"/>
      <c r="T62" s="135">
        <f>$D$42*T52*T53</f>
        <v>3.3440287634246237</v>
      </c>
      <c r="U62" s="134"/>
      <c r="V62" s="102"/>
      <c r="W62" s="135">
        <f>$D$42*W52*W53</f>
        <v>33.440287634246232</v>
      </c>
      <c r="X62" s="134"/>
      <c r="Y62" s="102"/>
      <c r="Z62" s="135">
        <f>$D$42*Z52*Z53</f>
        <v>8.360071908561558</v>
      </c>
      <c r="AA62" s="134"/>
      <c r="AB62" s="102"/>
      <c r="AC62" s="135">
        <f>$D$42*AC52*AC53</f>
        <v>33.440287634246232</v>
      </c>
      <c r="AD62" s="134"/>
      <c r="AE62" s="102"/>
      <c r="AF62" s="135">
        <f>$D$42*AF52*AF53</f>
        <v>8.360071908561558</v>
      </c>
    </row>
    <row r="63" spans="1:32" x14ac:dyDescent="0.2">
      <c r="A63" s="82" t="s">
        <v>180</v>
      </c>
      <c r="B63" s="82" t="s">
        <v>181</v>
      </c>
      <c r="C63" s="95" t="s">
        <v>123</v>
      </c>
      <c r="D63" s="136"/>
      <c r="E63" s="103"/>
      <c r="F63" s="103"/>
      <c r="G63" s="103"/>
      <c r="H63" s="137">
        <f>IF(H60=0,0,$E$42*H52*H53)</f>
        <v>0</v>
      </c>
      <c r="I63" s="134"/>
      <c r="J63" s="102"/>
      <c r="K63" s="102"/>
      <c r="L63" s="135">
        <f>IF(L60=0,0,$E$42*L52*L53)</f>
        <v>0</v>
      </c>
      <c r="M63" s="134"/>
      <c r="N63" s="102"/>
      <c r="O63" s="102"/>
      <c r="P63" s="135">
        <f>IF(P60=0,0,$E$42*P52*P53)</f>
        <v>0</v>
      </c>
      <c r="Q63" s="134"/>
      <c r="R63" s="102"/>
      <c r="S63" s="102"/>
      <c r="T63" s="135">
        <f>IF(T60=0,0,$E$42*T52*T53)</f>
        <v>0</v>
      </c>
      <c r="U63" s="134"/>
      <c r="V63" s="102"/>
      <c r="W63" s="135">
        <f>IF(W60=0,0,$E$42*W52*W53)</f>
        <v>0</v>
      </c>
      <c r="X63" s="134"/>
      <c r="Y63" s="102"/>
      <c r="Z63" s="135">
        <f>IF(Z60=0,0,$E$42*Z52*Z53)</f>
        <v>0</v>
      </c>
      <c r="AA63" s="134"/>
      <c r="AB63" s="102"/>
      <c r="AC63" s="135">
        <f>IF(AC60=0,0,$E$42*AC52*AC53)</f>
        <v>0</v>
      </c>
      <c r="AD63" s="134"/>
      <c r="AE63" s="102"/>
      <c r="AF63" s="135">
        <f>IF(AF60=0,0,$E$42*AF52*AF53)</f>
        <v>0</v>
      </c>
    </row>
    <row r="64" spans="1:32" x14ac:dyDescent="0.2">
      <c r="A64" s="82" t="s">
        <v>182</v>
      </c>
      <c r="B64" s="82" t="s">
        <v>183</v>
      </c>
      <c r="C64" s="95" t="s">
        <v>123</v>
      </c>
      <c r="D64" s="136"/>
      <c r="E64" s="103"/>
      <c r="F64" s="103"/>
      <c r="G64" s="103"/>
      <c r="H64" s="135">
        <f>IF(H61=0,0,$F$42*H52*H53)</f>
        <v>0</v>
      </c>
      <c r="I64" s="134"/>
      <c r="J64" s="102"/>
      <c r="K64" s="102"/>
      <c r="L64" s="135">
        <f>IF(L61=0,0,$F$42*L52*L53)</f>
        <v>0</v>
      </c>
      <c r="M64" s="134"/>
      <c r="N64" s="102"/>
      <c r="O64" s="102"/>
      <c r="P64" s="135">
        <f>IF(P61=0,0,$F$42*P52*P53)</f>
        <v>0</v>
      </c>
      <c r="Q64" s="134"/>
      <c r="R64" s="102"/>
      <c r="S64" s="102"/>
      <c r="T64" s="135">
        <f>IF(T61=0,0,$F$42*T52*T53)</f>
        <v>0</v>
      </c>
      <c r="U64" s="134"/>
      <c r="V64" s="102"/>
      <c r="W64" s="135">
        <f>IF(W61=0,0,$F$42*W52*W53)</f>
        <v>0</v>
      </c>
      <c r="X64" s="134"/>
      <c r="Y64" s="102"/>
      <c r="Z64" s="135">
        <f>IF(Z61=0,0,$F$42*Z52*Z53)</f>
        <v>0</v>
      </c>
      <c r="AA64" s="134"/>
      <c r="AB64" s="102"/>
      <c r="AC64" s="135">
        <f>IF(AC61=0,0,$F$42*AC52*AC53)</f>
        <v>0</v>
      </c>
      <c r="AD64" s="134"/>
      <c r="AE64" s="102"/>
      <c r="AF64" s="135">
        <f>IF(AF61=0,0,$F$42*AF52*AF53)</f>
        <v>0</v>
      </c>
    </row>
    <row r="65" spans="1:32" x14ac:dyDescent="0.2">
      <c r="A65" s="82" t="s">
        <v>184</v>
      </c>
      <c r="B65" s="108" t="s">
        <v>185</v>
      </c>
      <c r="C65" s="95"/>
      <c r="D65" s="138"/>
      <c r="E65" s="83">
        <f>D36*F59</f>
        <v>1.4958911747641013</v>
      </c>
      <c r="F65" s="83">
        <f>F59/D57+F60/D58+F61/D58</f>
        <v>0.99986185443739739</v>
      </c>
      <c r="G65" s="83">
        <f>G59/D57+G60/D58+G61/D58</f>
        <v>0.99986185443739739</v>
      </c>
      <c r="H65" s="139">
        <f>H59*H62/D57+H60*H63/D58+H61*H64/D58</f>
        <v>14.566786517037329</v>
      </c>
      <c r="I65" s="138"/>
      <c r="J65" s="83">
        <f>$D$36*K59</f>
        <v>1.4958911747641013</v>
      </c>
      <c r="K65" s="83">
        <f>K59/I57+K60/I58+K61/I58</f>
        <v>0.97948998540869892</v>
      </c>
      <c r="L65" s="139">
        <f>L59*L62/I57+L60*L63/I58+L61*L64/I58</f>
        <v>3.2754426846930542</v>
      </c>
      <c r="M65" s="138"/>
      <c r="N65" s="83">
        <f>$D$36*O59</f>
        <v>1.4958911747641013</v>
      </c>
      <c r="O65" s="83">
        <f>O59/M57+O60/M58+O61/M58</f>
        <v>0.97948998540869892</v>
      </c>
      <c r="P65" s="139">
        <f>P59*P62/M57+P60*P63/M58+P61*P64/M58</f>
        <v>3.2754426846930542</v>
      </c>
      <c r="Q65" s="138"/>
      <c r="R65" s="83">
        <f>$D$36*S59</f>
        <v>1.4958911747641013</v>
      </c>
      <c r="S65" s="83">
        <f>S59/Q57+S60/Q58+S61/Q58</f>
        <v>0.97948998540869892</v>
      </c>
      <c r="T65" s="139">
        <f>T59*T62/Q57+T60*T63/Q58+T61*T64/Q58</f>
        <v>3.2754426846930542</v>
      </c>
      <c r="U65" s="138"/>
      <c r="V65" s="83">
        <f>V59/U57+V60/U58+V61/U58</f>
        <v>0.99792981920252766</v>
      </c>
      <c r="W65" s="139">
        <f>W59*W62/U57+W60*W63/U58+W61*W64/U58</f>
        <v>33.371060192923863</v>
      </c>
      <c r="X65" s="138"/>
      <c r="Y65" s="83">
        <f>Y59/X57+Y60/X58+Y61/X58</f>
        <v>0.99792981920252766</v>
      </c>
      <c r="Z65" s="139">
        <f>Z59*Z62/X57+Z60*Z63/X58+Z61*Z64/X58</f>
        <v>8.3427650482309659</v>
      </c>
      <c r="AA65" s="138"/>
      <c r="AB65" s="83">
        <f>AB59/AA57+AB60/AA58+AB61/AA58</f>
        <v>0.70794578438413791</v>
      </c>
      <c r="AC65" s="139">
        <f>AC59*AC62/AA57+AC60*AC63/AA58+AC61*AC64/AA58</f>
        <v>23.673910659257636</v>
      </c>
      <c r="AD65" s="138"/>
      <c r="AE65" s="83">
        <f>AE59/AD57+AE60/AD58+AE61/AD58</f>
        <v>0.70794578438413791</v>
      </c>
      <c r="AF65" s="139">
        <f>AF59*AF62/AD57+AF60*AF63/AD58+AF61*AF64/AD58</f>
        <v>5.9184776648144091</v>
      </c>
    </row>
    <row r="66" spans="1:32" x14ac:dyDescent="0.2">
      <c r="A66" s="97" t="s">
        <v>186</v>
      </c>
      <c r="B66" s="112" t="s">
        <v>187</v>
      </c>
      <c r="C66" s="140"/>
      <c r="D66" s="141">
        <f>E66+F66+H66+G66</f>
        <v>1.4958912050712898</v>
      </c>
      <c r="E66" s="142">
        <f>E65</f>
        <v>1.4958911747641013</v>
      </c>
      <c r="F66" s="142">
        <f>F49*F65</f>
        <v>2.9995855633121919E-8</v>
      </c>
      <c r="G66" s="142">
        <f>G49*G65</f>
        <v>1.9997237088747946E-11</v>
      </c>
      <c r="H66" s="143">
        <f>H49*H65</f>
        <v>2.9133573034074656E-10</v>
      </c>
      <c r="I66" s="141">
        <f>J66+K66+L66</f>
        <v>2.4603418428503927</v>
      </c>
      <c r="J66" s="142">
        <f>J49*J65</f>
        <v>0.29917823495282025</v>
      </c>
      <c r="K66" s="142">
        <f>K49*K65</f>
        <v>0.1958979970817398</v>
      </c>
      <c r="L66" s="143">
        <f>L49*L65</f>
        <v>1.9652656108158324</v>
      </c>
      <c r="M66" s="141">
        <f>N66+O66+P66</f>
        <v>2.4603418428503927</v>
      </c>
      <c r="N66" s="142">
        <f>N49*N65</f>
        <v>0.29917823495282025</v>
      </c>
      <c r="O66" s="142">
        <f>O49*O65</f>
        <v>0.1958979970817398</v>
      </c>
      <c r="P66" s="143">
        <f>P49*P65</f>
        <v>1.9652656108158324</v>
      </c>
      <c r="Q66" s="141">
        <f>R66+S66+T66</f>
        <v>2.4603418428503927</v>
      </c>
      <c r="R66" s="142">
        <f>R49*R65</f>
        <v>0.29917823495282025</v>
      </c>
      <c r="S66" s="142">
        <f>S49*S65</f>
        <v>0.1958979970817398</v>
      </c>
      <c r="T66" s="143">
        <f>T49*T65</f>
        <v>1.9652656108158324</v>
      </c>
      <c r="U66" s="141">
        <f>V66+W66</f>
        <v>0.99809667450349226</v>
      </c>
      <c r="V66" s="142">
        <f>V65</f>
        <v>0.99792981920252766</v>
      </c>
      <c r="W66" s="143">
        <f>W49*W65</f>
        <v>1.6685530096461934E-4</v>
      </c>
      <c r="X66" s="141">
        <f>Y66+Z66</f>
        <v>2.4668968650082155</v>
      </c>
      <c r="Y66" s="142">
        <f>Y49*Y65</f>
        <v>0.79834385536202213</v>
      </c>
      <c r="Z66" s="143">
        <f>Z49*Z65</f>
        <v>1.6685530096461934</v>
      </c>
      <c r="AA66" s="141">
        <f>AB66+AC66</f>
        <v>0.70799313220545645</v>
      </c>
      <c r="AB66" s="142">
        <f>AB65</f>
        <v>0.70794578438413791</v>
      </c>
      <c r="AC66" s="143">
        <f>AC49*AC65</f>
        <v>4.7347821318515273E-5</v>
      </c>
      <c r="AD66" s="141">
        <f>AE66+AF66</f>
        <v>1.750052160470192</v>
      </c>
      <c r="AE66" s="142">
        <f>AE49*AE65</f>
        <v>0.56635662750731031</v>
      </c>
      <c r="AF66" s="143">
        <f>AF49*AF65</f>
        <v>1.1836955329628818</v>
      </c>
    </row>
    <row r="67" spans="1:32" x14ac:dyDescent="0.2">
      <c r="B67" s="93"/>
      <c r="C67" s="144"/>
      <c r="D67" s="83"/>
      <c r="E67" s="83"/>
      <c r="F67" s="83"/>
      <c r="G67" s="83"/>
      <c r="H67" s="83"/>
    </row>
    <row r="68" spans="1:32" x14ac:dyDescent="0.2">
      <c r="A68" s="184" t="s">
        <v>188</v>
      </c>
      <c r="B68" s="190"/>
      <c r="C68" s="190"/>
      <c r="D68" s="191"/>
      <c r="E68" s="87" t="s">
        <v>189</v>
      </c>
      <c r="F68" s="107"/>
      <c r="G68" s="107"/>
      <c r="H68" s="68"/>
      <c r="I68" s="87" t="s">
        <v>190</v>
      </c>
      <c r="J68" s="107"/>
      <c r="K68" s="107"/>
      <c r="L68" s="68"/>
    </row>
    <row r="69" spans="1:32" x14ac:dyDescent="0.2">
      <c r="A69" s="82"/>
      <c r="B69" s="73"/>
      <c r="C69" s="73" t="s">
        <v>191</v>
      </c>
      <c r="D69" s="121" t="s">
        <v>192</v>
      </c>
      <c r="E69" s="82"/>
      <c r="G69" s="73" t="s">
        <v>191</v>
      </c>
      <c r="H69" s="121" t="s">
        <v>192</v>
      </c>
      <c r="I69" s="82"/>
      <c r="L69" s="95"/>
    </row>
    <row r="70" spans="1:32" ht="27" x14ac:dyDescent="0.3">
      <c r="A70" s="145" t="s">
        <v>193</v>
      </c>
      <c r="B70" s="81" t="s">
        <v>194</v>
      </c>
      <c r="C70" s="81">
        <f>0.01*(0.3+0.2*3)*(18/C9)^0.335</f>
        <v>5.5068989420257539E-3</v>
      </c>
      <c r="D70" s="62">
        <f>C70*3600</f>
        <v>19.824836191292714</v>
      </c>
      <c r="E70" s="145" t="s">
        <v>195</v>
      </c>
      <c r="F70" s="146" t="s">
        <v>196</v>
      </c>
      <c r="G70" s="81">
        <v>1E-3</v>
      </c>
      <c r="H70" s="62">
        <f>G70*3600</f>
        <v>3.6</v>
      </c>
      <c r="I70" s="145" t="s">
        <v>197</v>
      </c>
      <c r="J70" s="146" t="s">
        <v>198</v>
      </c>
      <c r="K70" s="81" t="s">
        <v>99</v>
      </c>
      <c r="L70" s="62">
        <v>79</v>
      </c>
    </row>
    <row r="71" spans="1:32" ht="27" x14ac:dyDescent="0.3">
      <c r="A71" s="145" t="s">
        <v>199</v>
      </c>
      <c r="B71" s="81" t="s">
        <v>200</v>
      </c>
      <c r="C71" s="81">
        <f>0.01*(0.0004+0.00004*9)*(32/C9)^0.25</f>
        <v>6.0824344349221992E-6</v>
      </c>
      <c r="D71" s="62">
        <f>C71*3600</f>
        <v>2.1896763965719917E-2</v>
      </c>
      <c r="E71" s="147" t="s">
        <v>201</v>
      </c>
      <c r="F71" s="146" t="s">
        <v>202</v>
      </c>
      <c r="G71" s="81">
        <v>3.5999999999999999E-7</v>
      </c>
      <c r="H71" s="148">
        <v>1.2999999999999999E-3</v>
      </c>
      <c r="I71" s="145" t="s">
        <v>203</v>
      </c>
      <c r="J71" s="146" t="s">
        <v>204</v>
      </c>
      <c r="K71" s="81" t="s">
        <v>99</v>
      </c>
      <c r="L71" s="62">
        <v>6</v>
      </c>
    </row>
    <row r="72" spans="1:32" ht="39.75" x14ac:dyDescent="0.3">
      <c r="A72" s="145" t="s">
        <v>205</v>
      </c>
      <c r="B72" s="81" t="s">
        <v>206</v>
      </c>
      <c r="C72" s="81">
        <v>5.5600000000000004E-10</v>
      </c>
      <c r="D72" s="62">
        <f>C72*3600</f>
        <v>2.0016E-6</v>
      </c>
      <c r="E72" s="145" t="s">
        <v>207</v>
      </c>
      <c r="F72" s="146" t="s">
        <v>208</v>
      </c>
      <c r="G72" s="81"/>
      <c r="H72" s="62">
        <v>8.0000000000000007E-5</v>
      </c>
      <c r="I72" s="145" t="s">
        <v>209</v>
      </c>
      <c r="J72" s="81" t="s">
        <v>210</v>
      </c>
      <c r="K72" s="81" t="s">
        <v>17</v>
      </c>
      <c r="L72" s="62">
        <v>200000</v>
      </c>
    </row>
    <row r="73" spans="1:32" ht="39.75" x14ac:dyDescent="0.3">
      <c r="A73" s="145" t="s">
        <v>211</v>
      </c>
      <c r="B73" s="81" t="s">
        <v>212</v>
      </c>
      <c r="C73" s="81">
        <v>5.5600000000000001E-6</v>
      </c>
      <c r="D73" s="62">
        <f>C73*3600</f>
        <v>2.0015999999999999E-2</v>
      </c>
      <c r="E73" s="145" t="s">
        <v>213</v>
      </c>
      <c r="F73" s="146" t="s">
        <v>214</v>
      </c>
      <c r="G73" s="81">
        <v>2.8900000000000001E-5</v>
      </c>
      <c r="H73" s="62">
        <f>G73*3600</f>
        <v>0.10404000000000001</v>
      </c>
      <c r="I73" s="145" t="s">
        <v>215</v>
      </c>
      <c r="J73" s="81" t="s">
        <v>216</v>
      </c>
      <c r="K73" s="81" t="s">
        <v>17</v>
      </c>
      <c r="L73" s="62">
        <v>0.25</v>
      </c>
    </row>
    <row r="74" spans="1:32" ht="27" x14ac:dyDescent="0.3">
      <c r="A74" s="145" t="s">
        <v>217</v>
      </c>
      <c r="B74" s="81" t="s">
        <v>218</v>
      </c>
      <c r="C74" s="81">
        <v>2.7800000000000001E-6</v>
      </c>
      <c r="D74" s="62">
        <v>0.01</v>
      </c>
      <c r="E74" s="145" t="s">
        <v>219</v>
      </c>
      <c r="F74" s="146" t="s">
        <v>220</v>
      </c>
      <c r="G74" s="81">
        <v>2.8900000000000001E-5</v>
      </c>
      <c r="H74" s="62">
        <f>G74*3600</f>
        <v>0.10404000000000001</v>
      </c>
      <c r="I74" s="149" t="s">
        <v>221</v>
      </c>
      <c r="J74" s="114" t="s">
        <v>222</v>
      </c>
      <c r="K74" s="114" t="s">
        <v>17</v>
      </c>
      <c r="L74" s="115">
        <v>0.25</v>
      </c>
    </row>
    <row r="75" spans="1:32" s="84" customFormat="1" ht="27" x14ac:dyDescent="0.3">
      <c r="A75" s="145" t="s">
        <v>223</v>
      </c>
      <c r="B75" s="77" t="s">
        <v>224</v>
      </c>
      <c r="C75" s="77">
        <v>2.7800000000000001E-8</v>
      </c>
      <c r="D75" s="62">
        <v>1E-4</v>
      </c>
      <c r="E75" s="145" t="s">
        <v>225</v>
      </c>
      <c r="F75" s="146" t="s">
        <v>226</v>
      </c>
      <c r="G75" s="81"/>
      <c r="H75" s="62">
        <v>2.7800000000000001E-6</v>
      </c>
      <c r="I75" s="67"/>
    </row>
    <row r="76" spans="1:32" ht="27" x14ac:dyDescent="0.3">
      <c r="A76" s="145"/>
      <c r="B76" s="81"/>
      <c r="C76" s="81"/>
      <c r="D76" s="62"/>
      <c r="E76" s="145" t="s">
        <v>227</v>
      </c>
      <c r="F76" s="146" t="s">
        <v>228</v>
      </c>
      <c r="G76" s="81"/>
      <c r="H76" s="62">
        <v>6.9800000000000003E-7</v>
      </c>
    </row>
    <row r="77" spans="1:32" ht="27" x14ac:dyDescent="0.3">
      <c r="A77" s="145" t="s">
        <v>229</v>
      </c>
      <c r="B77" s="81" t="s">
        <v>230</v>
      </c>
      <c r="C77" s="81">
        <f>1/(AB59/C71+1/(D36*C70))</f>
        <v>6.0779466997910533E-6</v>
      </c>
      <c r="D77" s="62">
        <f>C77*3600</f>
        <v>2.1880608119247792E-2</v>
      </c>
      <c r="E77" s="145" t="s">
        <v>231</v>
      </c>
      <c r="F77" s="146" t="s">
        <v>232</v>
      </c>
      <c r="G77" s="81"/>
      <c r="H77" s="62">
        <v>3.4200000000000002E-7</v>
      </c>
    </row>
    <row r="78" spans="1:32" ht="27" x14ac:dyDescent="0.3">
      <c r="A78" s="145" t="s">
        <v>233</v>
      </c>
      <c r="B78" s="81" t="s">
        <v>234</v>
      </c>
      <c r="C78" s="81">
        <f>1/(V59/C71+1/(D36*C70))</f>
        <v>6.0779466997910533E-6</v>
      </c>
      <c r="D78" s="62">
        <f>C78*3600</f>
        <v>2.1880608119247792E-2</v>
      </c>
      <c r="E78" s="145" t="s">
        <v>235</v>
      </c>
      <c r="F78" s="146" t="s">
        <v>236</v>
      </c>
      <c r="G78" s="81"/>
      <c r="H78" s="62">
        <v>3.4200000000000002E-7</v>
      </c>
    </row>
    <row r="79" spans="1:32" ht="15.75" x14ac:dyDescent="0.3">
      <c r="A79" s="145" t="s">
        <v>237</v>
      </c>
      <c r="B79" s="81" t="s">
        <v>238</v>
      </c>
      <c r="C79" s="81">
        <f>1/(1/(C72/K59+D36*C73)+1/(D36*C70))</f>
        <v>8.3093209261183264E-6</v>
      </c>
      <c r="D79" s="62">
        <f>C79*3600</f>
        <v>2.9913555334025975E-2</v>
      </c>
      <c r="E79" s="147" t="s">
        <v>239</v>
      </c>
      <c r="F79" s="146" t="s">
        <v>240</v>
      </c>
      <c r="G79" s="81">
        <v>9.5100000000000009E-13</v>
      </c>
      <c r="H79" s="62">
        <f>G79*3600</f>
        <v>3.4236000000000005E-9</v>
      </c>
      <c r="I79" s="150"/>
    </row>
    <row r="80" spans="1:32" ht="15.75" x14ac:dyDescent="0.3">
      <c r="A80" s="145" t="s">
        <v>241</v>
      </c>
      <c r="B80" s="81" t="s">
        <v>242</v>
      </c>
      <c r="C80" s="81">
        <f>1/(1/(C72/O59+D36*C73)+1/(D36*C70))</f>
        <v>8.3093209261183264E-6</v>
      </c>
      <c r="D80" s="62">
        <f>C80*3600</f>
        <v>2.9913555334025975E-2</v>
      </c>
      <c r="E80" s="147" t="s">
        <v>243</v>
      </c>
      <c r="F80" s="146" t="s">
        <v>244</v>
      </c>
      <c r="G80" s="81">
        <v>9.5100000000000009E-13</v>
      </c>
      <c r="H80" s="62">
        <f>G80*3600</f>
        <v>3.4236000000000005E-9</v>
      </c>
    </row>
    <row r="81" spans="1:11" ht="15.75" x14ac:dyDescent="0.3">
      <c r="A81" s="145" t="s">
        <v>245</v>
      </c>
      <c r="B81" s="81" t="s">
        <v>246</v>
      </c>
      <c r="C81" s="81">
        <f>1/(1/(C72/S59+D36*C73)+1/(D36*C70))</f>
        <v>8.3093209261183264E-6</v>
      </c>
      <c r="D81" s="62">
        <f>C81*3600</f>
        <v>2.9913555334025975E-2</v>
      </c>
      <c r="E81" s="151" t="s">
        <v>247</v>
      </c>
      <c r="F81" s="152" t="s">
        <v>248</v>
      </c>
      <c r="G81" s="114">
        <v>9.5100000000000009E-13</v>
      </c>
      <c r="H81" s="115">
        <f>G81*3600</f>
        <v>3.4236000000000005E-9</v>
      </c>
    </row>
    <row r="82" spans="1:11" s="84" customFormat="1" ht="15.75" x14ac:dyDescent="0.3">
      <c r="A82" s="145" t="s">
        <v>249</v>
      </c>
      <c r="B82" s="77" t="s">
        <v>250</v>
      </c>
      <c r="C82" s="77">
        <f>1/(1/C74+1/C75)</f>
        <v>2.7524752475247529E-8</v>
      </c>
      <c r="D82" s="64">
        <f>1/(1/D74+1/D75)</f>
        <v>9.9009900990099017E-5</v>
      </c>
    </row>
    <row r="83" spans="1:11" ht="15.75" x14ac:dyDescent="0.3">
      <c r="A83" s="149" t="s">
        <v>251</v>
      </c>
      <c r="B83" s="114" t="s">
        <v>252</v>
      </c>
      <c r="C83" s="114">
        <f>1/(1/C74+1/C75)</f>
        <v>2.7524752475247529E-8</v>
      </c>
      <c r="D83" s="115">
        <f>1/(1/D74+1/D75)</f>
        <v>9.9009900990099017E-5</v>
      </c>
    </row>
    <row r="84" spans="1:11" x14ac:dyDescent="0.2">
      <c r="K84" s="83"/>
    </row>
    <row r="85" spans="1:11" x14ac:dyDescent="0.2">
      <c r="F85" s="84"/>
      <c r="K85" s="83"/>
    </row>
    <row r="86" spans="1:11" ht="14.25" x14ac:dyDescent="0.2">
      <c r="A86" s="187" t="s">
        <v>253</v>
      </c>
      <c r="B86" s="188"/>
      <c r="C86" s="188"/>
      <c r="D86" s="188"/>
      <c r="E86" s="188"/>
      <c r="F86" s="189"/>
    </row>
    <row r="87" spans="1:11" ht="15.75" x14ac:dyDescent="0.3">
      <c r="A87" s="153" t="s">
        <v>254</v>
      </c>
      <c r="B87" s="81">
        <f>AA46*D77*G59+U46*D78*G59+I46*D79*G59+M46*D80*G59+Q46*D81*G59</f>
        <v>1274425109.1802964</v>
      </c>
      <c r="C87" s="154" t="s">
        <v>255</v>
      </c>
      <c r="D87" s="77">
        <f>I46*K65*H72*L73</f>
        <v>470155.19299617549</v>
      </c>
      <c r="E87" s="154" t="s">
        <v>256</v>
      </c>
      <c r="F87" s="62">
        <f>D66*D51</f>
        <v>3808982235135.229</v>
      </c>
    </row>
    <row r="88" spans="1:11" ht="15.75" x14ac:dyDescent="0.3">
      <c r="A88" s="153" t="s">
        <v>257</v>
      </c>
      <c r="B88" s="81">
        <f>U46*D83</f>
        <v>118811.88118811882</v>
      </c>
      <c r="C88" s="154" t="s">
        <v>258</v>
      </c>
      <c r="D88" s="77">
        <f>M46*O65*H72*L73</f>
        <v>211569.83684827897</v>
      </c>
      <c r="E88" s="154" t="s">
        <v>259</v>
      </c>
      <c r="F88" s="62">
        <f>U66*U51</f>
        <v>3742862.5293880962</v>
      </c>
    </row>
    <row r="89" spans="1:11" ht="15.75" x14ac:dyDescent="0.3">
      <c r="A89" s="153" t="s">
        <v>260</v>
      </c>
      <c r="B89" s="81">
        <f>AA46*D82</f>
        <v>396039.60396039608</v>
      </c>
      <c r="C89" s="154" t="s">
        <v>261</v>
      </c>
      <c r="D89" s="77">
        <f>Q46*S65*H72*L73</f>
        <v>78359.198832695925</v>
      </c>
      <c r="E89" s="154" t="s">
        <v>262</v>
      </c>
      <c r="F89" s="62">
        <f>AA66*AA51</f>
        <v>26549742.457704619</v>
      </c>
    </row>
    <row r="90" spans="1:11" ht="15.75" x14ac:dyDescent="0.3">
      <c r="A90" s="153" t="s">
        <v>263</v>
      </c>
      <c r="B90" s="81">
        <f>I46*D79*K59</f>
        <v>717925328.01662338</v>
      </c>
      <c r="C90" s="155"/>
      <c r="D90" s="81"/>
      <c r="E90" s="155"/>
      <c r="F90" s="62"/>
    </row>
    <row r="91" spans="1:11" ht="15.75" x14ac:dyDescent="0.3">
      <c r="A91" s="153" t="s">
        <v>264</v>
      </c>
      <c r="B91" s="81">
        <f>M46*D80*O59</f>
        <v>323066397.60748053</v>
      </c>
      <c r="C91" s="154" t="s">
        <v>265</v>
      </c>
      <c r="D91" s="77">
        <f>I46*I66*H79</f>
        <v>202.15743199638254</v>
      </c>
      <c r="E91" s="154" t="s">
        <v>266</v>
      </c>
      <c r="F91" s="64">
        <f>I46*K65*L74*H72</f>
        <v>470155.19299617549</v>
      </c>
    </row>
    <row r="92" spans="1:11" ht="15.75" x14ac:dyDescent="0.3">
      <c r="A92" s="153" t="s">
        <v>267</v>
      </c>
      <c r="B92" s="81">
        <f>Q46*D81*S59</f>
        <v>119654221.3361039</v>
      </c>
      <c r="C92" s="154" t="s">
        <v>268</v>
      </c>
      <c r="D92" s="77">
        <f>M46*M66*H80</f>
        <v>90.970844398372137</v>
      </c>
      <c r="E92" s="154" t="s">
        <v>269</v>
      </c>
      <c r="F92" s="64">
        <f>M46*O65*L74*H72</f>
        <v>211569.83684827897</v>
      </c>
    </row>
    <row r="93" spans="1:11" ht="15.75" x14ac:dyDescent="0.3">
      <c r="A93" s="153" t="s">
        <v>270</v>
      </c>
      <c r="B93" s="81">
        <f>U46*D78*V59</f>
        <v>26256729.74309735</v>
      </c>
      <c r="C93" s="154" t="s">
        <v>271</v>
      </c>
      <c r="D93" s="77">
        <f>Q46*Q66*H81</f>
        <v>33.692905332730426</v>
      </c>
      <c r="E93" s="154" t="s">
        <v>272</v>
      </c>
      <c r="F93" s="64">
        <f>Q46*S65*L74*H72</f>
        <v>78359.198832695925</v>
      </c>
    </row>
    <row r="94" spans="1:11" ht="15.75" x14ac:dyDescent="0.3">
      <c r="A94" s="153" t="s">
        <v>273</v>
      </c>
      <c r="B94" s="81">
        <f>AA46*D77*AB59</f>
        <v>87522432.476991162</v>
      </c>
      <c r="C94" s="155"/>
      <c r="D94" s="81"/>
      <c r="E94" s="155"/>
      <c r="F94" s="62"/>
    </row>
    <row r="95" spans="1:11" ht="15.75" x14ac:dyDescent="0.3">
      <c r="A95" s="147"/>
      <c r="B95" s="81"/>
      <c r="C95" s="154" t="s">
        <v>274</v>
      </c>
      <c r="D95" s="77">
        <f>U46*W66*H74</f>
        <v>20831.550614830798</v>
      </c>
      <c r="E95" s="154" t="s">
        <v>275</v>
      </c>
      <c r="F95" s="64">
        <f>U46*X66*H78</f>
        <v>1012.4144733993717</v>
      </c>
    </row>
    <row r="96" spans="1:11" ht="15.75" x14ac:dyDescent="0.3">
      <c r="A96" s="153" t="s">
        <v>276</v>
      </c>
      <c r="B96" s="81">
        <f>D46*(G66+H66)*H70</f>
        <v>49.315142040831937</v>
      </c>
      <c r="C96" s="154" t="s">
        <v>277</v>
      </c>
      <c r="D96" s="77">
        <f>AA46*AC66*H73</f>
        <v>19704.269319913317</v>
      </c>
      <c r="E96" s="154" t="s">
        <v>278</v>
      </c>
      <c r="F96" s="64">
        <f>AA46*AD66*H77</f>
        <v>2394.0713555232228</v>
      </c>
    </row>
    <row r="97" spans="1:9" ht="15.75" x14ac:dyDescent="0.3">
      <c r="A97" s="153" t="s">
        <v>279</v>
      </c>
      <c r="B97" s="81">
        <f>D46*H71*((H66+G66)*L72+F65)</f>
        <v>57195659.722966522</v>
      </c>
      <c r="C97" s="154" t="s">
        <v>280</v>
      </c>
      <c r="D97" s="77">
        <f>X46*H75*X66</f>
        <v>8229.5679416674066</v>
      </c>
      <c r="E97" s="155"/>
      <c r="F97" s="62"/>
    </row>
    <row r="98" spans="1:9" ht="15.75" x14ac:dyDescent="0.3">
      <c r="A98" s="153" t="s">
        <v>281</v>
      </c>
      <c r="B98" s="81">
        <f>B87+B96+F87+F98</f>
        <v>6493927307901.8779</v>
      </c>
      <c r="C98" s="154" t="s">
        <v>282</v>
      </c>
      <c r="D98" s="77">
        <f>AA46*AD66*H76</f>
        <v>4886.1456320327761</v>
      </c>
      <c r="E98" s="154" t="s">
        <v>283</v>
      </c>
      <c r="F98" s="62">
        <f>E66*D48*C15</f>
        <v>2683670647608.1533</v>
      </c>
      <c r="G98" s="150"/>
    </row>
    <row r="99" spans="1:9" ht="15.75" x14ac:dyDescent="0.3">
      <c r="A99" s="153" t="s">
        <v>284</v>
      </c>
      <c r="B99" s="81">
        <f>B87+B96+F87+F98+B97</f>
        <v>6493984503561.6006</v>
      </c>
      <c r="E99" s="154" t="s">
        <v>285</v>
      </c>
      <c r="F99" s="64">
        <f>I66*I48*C16</f>
        <v>3720826.9343681666</v>
      </c>
    </row>
    <row r="100" spans="1:9" ht="15.75" x14ac:dyDescent="0.3">
      <c r="A100" s="153" t="s">
        <v>286</v>
      </c>
      <c r="B100" s="81">
        <f>MIN((B98+2*D66*D48/L70)*(L70+L71)/L70,(B98*L70+B99*L71)/(L70+L71))</f>
        <v>6493931345242.5645</v>
      </c>
      <c r="E100" s="154" t="s">
        <v>287</v>
      </c>
      <c r="F100" s="62">
        <f>M66*M48*C16</f>
        <v>6697488.4818627005</v>
      </c>
    </row>
    <row r="101" spans="1:9" ht="15.75" x14ac:dyDescent="0.3">
      <c r="A101" s="153" t="s">
        <v>288</v>
      </c>
      <c r="B101" s="81">
        <f>F87+F98</f>
        <v>6492652882743.3828</v>
      </c>
      <c r="E101" s="154" t="s">
        <v>289</v>
      </c>
      <c r="F101" s="62">
        <f>Q66*Q48*C16</f>
        <v>620137.82239469443</v>
      </c>
    </row>
    <row r="102" spans="1:9" ht="15.75" x14ac:dyDescent="0.3">
      <c r="A102" s="153" t="s">
        <v>290</v>
      </c>
      <c r="B102" s="81">
        <f>B100-B101</f>
        <v>1278462499.1816406</v>
      </c>
      <c r="E102" s="154" t="s">
        <v>291</v>
      </c>
      <c r="F102" s="62">
        <f>U66*U48*C17</f>
        <v>14650473.088765124</v>
      </c>
    </row>
    <row r="103" spans="1:9" ht="15.75" x14ac:dyDescent="0.3">
      <c r="A103" s="153" t="s">
        <v>292</v>
      </c>
      <c r="B103" s="81">
        <f>B102/D46*I46</f>
        <v>697343181.371804</v>
      </c>
      <c r="C103" s="83"/>
      <c r="D103" s="156"/>
      <c r="E103" s="154" t="s">
        <v>293</v>
      </c>
      <c r="F103" s="62">
        <f>X66*X48*C18</f>
        <v>36210.125789208265</v>
      </c>
    </row>
    <row r="104" spans="1:9" ht="15.75" x14ac:dyDescent="0.3">
      <c r="A104" s="153" t="s">
        <v>294</v>
      </c>
      <c r="B104" s="81">
        <f>B102/D46*M46</f>
        <v>313804431.61731178</v>
      </c>
      <c r="E104" s="154" t="s">
        <v>295</v>
      </c>
      <c r="F104" s="62">
        <f>AA66*AA48*C17</f>
        <v>115469045.51623923</v>
      </c>
    </row>
    <row r="105" spans="1:9" ht="15.75" x14ac:dyDescent="0.3">
      <c r="A105" s="153" t="s">
        <v>296</v>
      </c>
      <c r="B105" s="81">
        <f>B102/D46*Q46</f>
        <v>116223863.56196733</v>
      </c>
      <c r="E105" s="154" t="s">
        <v>297</v>
      </c>
      <c r="F105" s="62">
        <f>AD66*AD48*C18</f>
        <v>85626.615590312082</v>
      </c>
    </row>
    <row r="106" spans="1:9" ht="15.75" x14ac:dyDescent="0.3">
      <c r="A106" s="153" t="s">
        <v>298</v>
      </c>
      <c r="B106" s="81">
        <f>B102/D46*U46</f>
        <v>34867159.068590201</v>
      </c>
      <c r="F106" s="95"/>
      <c r="H106" s="84"/>
    </row>
    <row r="107" spans="1:9" ht="15.75" x14ac:dyDescent="0.3">
      <c r="A107" s="157" t="s">
        <v>299</v>
      </c>
      <c r="B107" s="114">
        <f>B102/D46*AA46</f>
        <v>116223863.56196733</v>
      </c>
      <c r="C107" s="99"/>
      <c r="D107" s="99"/>
      <c r="E107" s="99"/>
      <c r="F107" s="158"/>
      <c r="G107" s="84"/>
      <c r="H107" s="84"/>
    </row>
    <row r="108" spans="1:9" x14ac:dyDescent="0.2">
      <c r="A108" s="93"/>
      <c r="B108" s="159"/>
      <c r="F108" s="156"/>
      <c r="G108" s="84"/>
      <c r="H108" s="84"/>
    </row>
    <row r="110" spans="1:9" ht="15.75" x14ac:dyDescent="0.3">
      <c r="A110" s="87" t="s">
        <v>300</v>
      </c>
      <c r="B110" s="107" t="s">
        <v>301</v>
      </c>
      <c r="C110" s="107" t="s">
        <v>302</v>
      </c>
      <c r="D110" s="107" t="s">
        <v>303</v>
      </c>
      <c r="E110" s="107" t="s">
        <v>304</v>
      </c>
      <c r="F110" s="107" t="s">
        <v>305</v>
      </c>
      <c r="G110" s="107" t="s">
        <v>306</v>
      </c>
      <c r="H110" s="107" t="s">
        <v>307</v>
      </c>
      <c r="I110" s="68" t="s">
        <v>308</v>
      </c>
    </row>
    <row r="111" spans="1:9" x14ac:dyDescent="0.2">
      <c r="A111" s="82" t="s">
        <v>100</v>
      </c>
      <c r="B111" s="83">
        <f>B100</f>
        <v>6493931345242.5645</v>
      </c>
      <c r="C111" s="83">
        <f>-B90</f>
        <v>-717925328.01662338</v>
      </c>
      <c r="D111" s="83">
        <f>-B91</f>
        <v>-323066397.60748053</v>
      </c>
      <c r="E111" s="83">
        <f>-B92</f>
        <v>-119654221.3361039</v>
      </c>
      <c r="F111" s="83">
        <f>-B93</f>
        <v>-26256729.74309735</v>
      </c>
      <c r="G111" s="83">
        <v>0</v>
      </c>
      <c r="H111" s="83">
        <f>-B94</f>
        <v>-87522432.476991162</v>
      </c>
      <c r="I111" s="139">
        <v>0</v>
      </c>
    </row>
    <row r="112" spans="1:9" x14ac:dyDescent="0.2">
      <c r="A112" s="82" t="s">
        <v>102</v>
      </c>
      <c r="B112" s="83">
        <f>-B103</f>
        <v>-697343181.371804</v>
      </c>
      <c r="C112" s="83">
        <f>B90+D87+D91+F91+F99</f>
        <v>722586667.49441576</v>
      </c>
      <c r="D112" s="83">
        <v>0</v>
      </c>
      <c r="E112" s="83">
        <v>0</v>
      </c>
      <c r="F112" s="83">
        <v>0</v>
      </c>
      <c r="G112" s="83">
        <v>0</v>
      </c>
      <c r="H112" s="83">
        <v>0</v>
      </c>
      <c r="I112" s="139">
        <v>0</v>
      </c>
    </row>
    <row r="113" spans="1:9" x14ac:dyDescent="0.2">
      <c r="A113" s="82" t="s">
        <v>103</v>
      </c>
      <c r="B113" s="83">
        <f>-B104</f>
        <v>-313804431.61731178</v>
      </c>
      <c r="C113" s="83">
        <v>0</v>
      </c>
      <c r="D113" s="83">
        <f>B91+D88+D92+F92+F100</f>
        <v>330187116.73388416</v>
      </c>
      <c r="E113" s="83">
        <v>0</v>
      </c>
      <c r="F113" s="83">
        <v>0</v>
      </c>
      <c r="G113" s="83">
        <v>0</v>
      </c>
      <c r="H113" s="83">
        <v>0</v>
      </c>
      <c r="I113" s="139">
        <v>0</v>
      </c>
    </row>
    <row r="114" spans="1:9" x14ac:dyDescent="0.2">
      <c r="A114" s="82" t="s">
        <v>105</v>
      </c>
      <c r="B114" s="83">
        <f>-B105</f>
        <v>-116223863.56196733</v>
      </c>
      <c r="C114" s="83">
        <v>0</v>
      </c>
      <c r="D114" s="83">
        <v>0</v>
      </c>
      <c r="E114" s="83">
        <f>B92+D89+D93+F93+F101</f>
        <v>120431111.24906932</v>
      </c>
      <c r="F114" s="83">
        <v>0</v>
      </c>
      <c r="G114" s="83">
        <v>0</v>
      </c>
      <c r="H114" s="83">
        <v>0</v>
      </c>
      <c r="I114" s="139">
        <v>0</v>
      </c>
    </row>
    <row r="115" spans="1:9" x14ac:dyDescent="0.2">
      <c r="A115" s="82" t="s">
        <v>106</v>
      </c>
      <c r="B115" s="83">
        <f>-B106</f>
        <v>-34867159.068590201</v>
      </c>
      <c r="C115" s="83">
        <f>-D87-D91</f>
        <v>-470357.35042817186</v>
      </c>
      <c r="D115" s="83">
        <f>-D88-D92</f>
        <v>-211660.80769267734</v>
      </c>
      <c r="E115" s="83">
        <f>-D89-D93</f>
        <v>-78392.891738028658</v>
      </c>
      <c r="F115" s="83">
        <f>B93+B88+D95+F88+F102</f>
        <v>44789708.793053515</v>
      </c>
      <c r="G115" s="83">
        <f>-B88-D97</f>
        <v>-127041.44912978623</v>
      </c>
      <c r="H115" s="83">
        <v>0</v>
      </c>
      <c r="I115" s="139">
        <v>0</v>
      </c>
    </row>
    <row r="116" spans="1:9" x14ac:dyDescent="0.2">
      <c r="A116" s="82" t="s">
        <v>141</v>
      </c>
      <c r="B116" s="83">
        <v>0</v>
      </c>
      <c r="C116" s="83">
        <v>0</v>
      </c>
      <c r="D116" s="83">
        <v>0</v>
      </c>
      <c r="E116" s="83">
        <v>0</v>
      </c>
      <c r="F116" s="83">
        <f>-B88-D95</f>
        <v>-139643.43180294961</v>
      </c>
      <c r="G116" s="160">
        <f>B88+D97+F95+F103</f>
        <v>164263.98939239385</v>
      </c>
      <c r="H116" s="83">
        <v>0</v>
      </c>
      <c r="I116" s="139">
        <v>0</v>
      </c>
    </row>
    <row r="117" spans="1:9" x14ac:dyDescent="0.2">
      <c r="A117" s="82" t="s">
        <v>109</v>
      </c>
      <c r="B117" s="83">
        <f>-B107</f>
        <v>-116223863.56196733</v>
      </c>
      <c r="C117" s="83">
        <v>0</v>
      </c>
      <c r="D117" s="83">
        <v>0</v>
      </c>
      <c r="E117" s="83">
        <v>0</v>
      </c>
      <c r="F117" s="83">
        <f>-F88</f>
        <v>-3742862.5293880962</v>
      </c>
      <c r="G117" s="83">
        <v>0</v>
      </c>
      <c r="H117" s="83">
        <f>B94+B89+D96+F89+F104</f>
        <v>229956964.32421529</v>
      </c>
      <c r="I117" s="139">
        <f>-B89-D98</f>
        <v>-400925.74959242885</v>
      </c>
    </row>
    <row r="118" spans="1:9" x14ac:dyDescent="0.2">
      <c r="A118" s="97" t="s">
        <v>142</v>
      </c>
      <c r="B118" s="142">
        <v>0</v>
      </c>
      <c r="C118" s="142">
        <v>0</v>
      </c>
      <c r="D118" s="142">
        <v>0</v>
      </c>
      <c r="E118" s="142">
        <v>0</v>
      </c>
      <c r="F118" s="142">
        <v>0</v>
      </c>
      <c r="G118" s="142">
        <v>0</v>
      </c>
      <c r="H118" s="142">
        <f>-B89-D96</f>
        <v>-415743.87328030937</v>
      </c>
      <c r="I118" s="143">
        <f>B89+D98+F96+F105</f>
        <v>488946.43653826416</v>
      </c>
    </row>
    <row r="119" spans="1:9" x14ac:dyDescent="0.2">
      <c r="A119" s="102"/>
      <c r="B119" s="116"/>
    </row>
    <row r="120" spans="1:9" x14ac:dyDescent="0.2">
      <c r="A120" s="102"/>
      <c r="B120" s="116"/>
    </row>
    <row r="121" spans="1:9" x14ac:dyDescent="0.2">
      <c r="A121" s="102"/>
      <c r="B121" s="116"/>
    </row>
    <row r="122" spans="1:9" x14ac:dyDescent="0.2">
      <c r="A122" s="102"/>
      <c r="B122" s="116"/>
    </row>
    <row r="123" spans="1:9" x14ac:dyDescent="0.2">
      <c r="A123" s="102"/>
      <c r="B123" s="116"/>
    </row>
    <row r="124" spans="1:9" x14ac:dyDescent="0.2">
      <c r="A124" s="102"/>
      <c r="B124" s="116"/>
    </row>
    <row r="125" spans="1:9" x14ac:dyDescent="0.2">
      <c r="A125" s="102"/>
      <c r="B125" s="116"/>
    </row>
    <row r="126" spans="1:9" x14ac:dyDescent="0.2">
      <c r="A126" s="102"/>
      <c r="B126" s="116"/>
    </row>
    <row r="127" spans="1:9" x14ac:dyDescent="0.2">
      <c r="A127" s="102"/>
      <c r="B127" s="116"/>
    </row>
    <row r="128" spans="1:9" x14ac:dyDescent="0.2">
      <c r="A128" s="102"/>
      <c r="B128" s="116"/>
    </row>
    <row r="129" spans="1:2" x14ac:dyDescent="0.2">
      <c r="A129" s="102"/>
      <c r="B129" s="116"/>
    </row>
    <row r="130" spans="1:2" x14ac:dyDescent="0.2">
      <c r="A130" s="102"/>
      <c r="B130" s="116"/>
    </row>
    <row r="131" spans="1:2" x14ac:dyDescent="0.2">
      <c r="A131" s="102"/>
      <c r="B131" s="116"/>
    </row>
    <row r="132" spans="1:2" x14ac:dyDescent="0.2">
      <c r="A132" s="102"/>
      <c r="B132" s="116"/>
    </row>
    <row r="133" spans="1:2" x14ac:dyDescent="0.2">
      <c r="A133" s="102"/>
      <c r="B133" s="116"/>
    </row>
    <row r="134" spans="1:2" x14ac:dyDescent="0.2">
      <c r="A134" s="102"/>
      <c r="B134" s="116"/>
    </row>
    <row r="135" spans="1:2" x14ac:dyDescent="0.2">
      <c r="A135" s="102"/>
      <c r="B135" s="116"/>
    </row>
    <row r="136" spans="1:2" x14ac:dyDescent="0.2">
      <c r="A136" s="102"/>
      <c r="B136" s="116"/>
    </row>
    <row r="137" spans="1:2" x14ac:dyDescent="0.2">
      <c r="A137" s="102"/>
      <c r="B137" s="116"/>
    </row>
    <row r="138" spans="1:2" x14ac:dyDescent="0.2">
      <c r="A138" s="102"/>
      <c r="B138" s="116"/>
    </row>
    <row r="139" spans="1:2" x14ac:dyDescent="0.2">
      <c r="A139" s="102"/>
      <c r="B139" s="116"/>
    </row>
    <row r="140" spans="1:2" x14ac:dyDescent="0.2">
      <c r="A140" s="102"/>
      <c r="B140" s="116"/>
    </row>
    <row r="141" spans="1:2" x14ac:dyDescent="0.2">
      <c r="A141" s="102"/>
      <c r="B141" s="116"/>
    </row>
    <row r="142" spans="1:2" x14ac:dyDescent="0.2">
      <c r="A142" s="102"/>
      <c r="B142" s="116"/>
    </row>
    <row r="143" spans="1:2" x14ac:dyDescent="0.2">
      <c r="A143" s="102"/>
      <c r="B143" s="116"/>
    </row>
    <row r="144" spans="1:2" x14ac:dyDescent="0.2">
      <c r="A144" s="102"/>
      <c r="B144" s="116"/>
    </row>
    <row r="145" spans="1:2" x14ac:dyDescent="0.2">
      <c r="A145" s="102"/>
      <c r="B145" s="116"/>
    </row>
    <row r="146" spans="1:2" x14ac:dyDescent="0.2">
      <c r="A146" s="102"/>
      <c r="B146" s="116"/>
    </row>
    <row r="147" spans="1:2" x14ac:dyDescent="0.2">
      <c r="A147" s="102"/>
      <c r="B147" s="116"/>
    </row>
    <row r="148" spans="1:2" x14ac:dyDescent="0.2">
      <c r="A148" s="102"/>
      <c r="B148" s="116"/>
    </row>
    <row r="149" spans="1:2" x14ac:dyDescent="0.2">
      <c r="A149" s="102"/>
      <c r="B149" s="116"/>
    </row>
    <row r="150" spans="1:2" x14ac:dyDescent="0.2">
      <c r="A150" s="102"/>
      <c r="B150" s="116"/>
    </row>
    <row r="151" spans="1:2" x14ac:dyDescent="0.2">
      <c r="A151" s="102"/>
      <c r="B151" s="116"/>
    </row>
    <row r="152" spans="1:2" x14ac:dyDescent="0.2">
      <c r="A152" s="102"/>
      <c r="B152" s="116"/>
    </row>
    <row r="153" spans="1:2" x14ac:dyDescent="0.2">
      <c r="A153" s="102"/>
      <c r="B153" s="116"/>
    </row>
    <row r="154" spans="1:2" x14ac:dyDescent="0.2">
      <c r="A154" s="102"/>
      <c r="B154" s="116"/>
    </row>
    <row r="155" spans="1:2" x14ac:dyDescent="0.2">
      <c r="A155" s="102"/>
      <c r="B155" s="116"/>
    </row>
    <row r="156" spans="1:2" x14ac:dyDescent="0.2">
      <c r="A156" s="102"/>
      <c r="B156" s="116"/>
    </row>
    <row r="157" spans="1:2" x14ac:dyDescent="0.2">
      <c r="A157" s="102"/>
      <c r="B157" s="116"/>
    </row>
    <row r="158" spans="1:2" x14ac:dyDescent="0.2">
      <c r="A158" s="102"/>
      <c r="B158" s="116"/>
    </row>
    <row r="159" spans="1:2" x14ac:dyDescent="0.2">
      <c r="A159" s="102"/>
      <c r="B159" s="116"/>
    </row>
    <row r="160" spans="1:2" x14ac:dyDescent="0.2">
      <c r="A160" s="102"/>
      <c r="B160" s="116"/>
    </row>
    <row r="161" spans="1:2" x14ac:dyDescent="0.2">
      <c r="A161" s="102"/>
      <c r="B161" s="116"/>
    </row>
    <row r="162" spans="1:2" x14ac:dyDescent="0.2">
      <c r="A162" s="102"/>
      <c r="B162" s="116"/>
    </row>
    <row r="163" spans="1:2" x14ac:dyDescent="0.2">
      <c r="A163" s="102"/>
      <c r="B163" s="116"/>
    </row>
    <row r="164" spans="1:2" x14ac:dyDescent="0.2">
      <c r="A164" s="102"/>
      <c r="B164" s="116"/>
    </row>
    <row r="165" spans="1:2" x14ac:dyDescent="0.2">
      <c r="A165" s="102"/>
      <c r="B165" s="116"/>
    </row>
    <row r="166" spans="1:2" x14ac:dyDescent="0.2">
      <c r="A166" s="102"/>
      <c r="B166" s="116"/>
    </row>
    <row r="167" spans="1:2" x14ac:dyDescent="0.2">
      <c r="A167" s="102"/>
      <c r="B167" s="116"/>
    </row>
    <row r="168" spans="1:2" x14ac:dyDescent="0.2">
      <c r="A168" s="102"/>
      <c r="B168" s="116"/>
    </row>
    <row r="169" spans="1:2" x14ac:dyDescent="0.2">
      <c r="A169" s="102"/>
      <c r="B169" s="116"/>
    </row>
    <row r="170" spans="1:2" x14ac:dyDescent="0.2">
      <c r="A170" s="102"/>
      <c r="B170" s="116"/>
    </row>
    <row r="171" spans="1:2" x14ac:dyDescent="0.2">
      <c r="A171" s="102"/>
      <c r="B171" s="116"/>
    </row>
    <row r="172" spans="1:2" x14ac:dyDescent="0.2">
      <c r="A172" s="102"/>
      <c r="B172" s="116"/>
    </row>
    <row r="173" spans="1:2" x14ac:dyDescent="0.2">
      <c r="A173" s="102"/>
      <c r="B173" s="116"/>
    </row>
    <row r="174" spans="1:2" x14ac:dyDescent="0.2">
      <c r="A174" s="102"/>
      <c r="B174" s="116"/>
    </row>
    <row r="175" spans="1:2" x14ac:dyDescent="0.2">
      <c r="A175" s="102"/>
      <c r="B175" s="116"/>
    </row>
    <row r="176" spans="1:2" x14ac:dyDescent="0.2">
      <c r="A176" s="102"/>
      <c r="B176" s="116"/>
    </row>
    <row r="177" spans="1:2" x14ac:dyDescent="0.2">
      <c r="A177" s="102"/>
      <c r="B177" s="116"/>
    </row>
    <row r="178" spans="1:2" x14ac:dyDescent="0.2">
      <c r="A178" s="102"/>
      <c r="B178" s="116"/>
    </row>
    <row r="179" spans="1:2" x14ac:dyDescent="0.2">
      <c r="A179" s="102"/>
      <c r="B179" s="116"/>
    </row>
    <row r="180" spans="1:2" x14ac:dyDescent="0.2">
      <c r="A180" s="102"/>
      <c r="B180" s="116"/>
    </row>
    <row r="181" spans="1:2" x14ac:dyDescent="0.2">
      <c r="A181" s="102"/>
      <c r="B181" s="116"/>
    </row>
    <row r="182" spans="1:2" x14ac:dyDescent="0.2">
      <c r="A182" s="102"/>
      <c r="B182" s="116"/>
    </row>
    <row r="183" spans="1:2" x14ac:dyDescent="0.2">
      <c r="A183" s="102"/>
      <c r="B183" s="116"/>
    </row>
    <row r="184" spans="1:2" x14ac:dyDescent="0.2">
      <c r="A184" s="102"/>
      <c r="B184" s="116"/>
    </row>
    <row r="185" spans="1:2" x14ac:dyDescent="0.2">
      <c r="A185" s="102"/>
      <c r="B185" s="116"/>
    </row>
    <row r="186" spans="1:2" x14ac:dyDescent="0.2">
      <c r="A186" s="102"/>
      <c r="B186" s="116"/>
    </row>
    <row r="187" spans="1:2" x14ac:dyDescent="0.2">
      <c r="A187" s="102"/>
      <c r="B187" s="116"/>
    </row>
    <row r="188" spans="1:2" x14ac:dyDescent="0.2">
      <c r="A188" s="102"/>
      <c r="B188" s="116"/>
    </row>
    <row r="189" spans="1:2" x14ac:dyDescent="0.2">
      <c r="A189" s="102"/>
      <c r="B189" s="116"/>
    </row>
    <row r="190" spans="1:2" x14ac:dyDescent="0.2">
      <c r="A190" s="102"/>
      <c r="B190" s="116"/>
    </row>
    <row r="191" spans="1:2" x14ac:dyDescent="0.2">
      <c r="A191" s="102"/>
      <c r="B191" s="116"/>
    </row>
    <row r="192" spans="1:2" x14ac:dyDescent="0.2">
      <c r="A192" s="102"/>
      <c r="B192" s="116"/>
    </row>
    <row r="193" spans="1:2" x14ac:dyDescent="0.2">
      <c r="A193" s="102"/>
      <c r="B193" s="116"/>
    </row>
    <row r="194" spans="1:2" x14ac:dyDescent="0.2">
      <c r="A194" s="102"/>
      <c r="B194" s="116"/>
    </row>
    <row r="195" spans="1:2" x14ac:dyDescent="0.2">
      <c r="A195" s="102"/>
      <c r="B195" s="116"/>
    </row>
    <row r="196" spans="1:2" x14ac:dyDescent="0.2">
      <c r="A196" s="102"/>
      <c r="B196" s="116"/>
    </row>
    <row r="197" spans="1:2" x14ac:dyDescent="0.2">
      <c r="A197" s="102"/>
      <c r="B197" s="116"/>
    </row>
    <row r="198" spans="1:2" x14ac:dyDescent="0.2">
      <c r="A198" s="102"/>
      <c r="B198" s="116"/>
    </row>
    <row r="199" spans="1:2" x14ac:dyDescent="0.2">
      <c r="A199" s="102"/>
      <c r="B199" s="116"/>
    </row>
    <row r="200" spans="1:2" x14ac:dyDescent="0.2">
      <c r="A200" s="102"/>
      <c r="B200" s="116"/>
    </row>
    <row r="201" spans="1:2" x14ac:dyDescent="0.2">
      <c r="A201" s="102"/>
      <c r="B201" s="116"/>
    </row>
    <row r="202" spans="1:2" x14ac:dyDescent="0.2">
      <c r="A202" s="102"/>
      <c r="B202" s="116"/>
    </row>
    <row r="203" spans="1:2" x14ac:dyDescent="0.2">
      <c r="A203" s="102"/>
      <c r="B203" s="116"/>
    </row>
    <row r="204" spans="1:2" x14ac:dyDescent="0.2">
      <c r="A204" s="102"/>
      <c r="B204" s="116"/>
    </row>
    <row r="205" spans="1:2" x14ac:dyDescent="0.2">
      <c r="A205" s="102"/>
      <c r="B205" s="116"/>
    </row>
    <row r="206" spans="1:2" x14ac:dyDescent="0.2">
      <c r="A206" s="102"/>
      <c r="B206" s="116"/>
    </row>
    <row r="207" spans="1:2" x14ac:dyDescent="0.2">
      <c r="A207" s="102"/>
      <c r="B207" s="116"/>
    </row>
    <row r="208" spans="1:2" x14ac:dyDescent="0.2">
      <c r="A208" s="102"/>
      <c r="B208" s="116"/>
    </row>
    <row r="209" spans="1:2" x14ac:dyDescent="0.2">
      <c r="A209" s="102"/>
      <c r="B209" s="116"/>
    </row>
    <row r="210" spans="1:2" x14ac:dyDescent="0.2">
      <c r="A210" s="102"/>
      <c r="B210" s="116"/>
    </row>
    <row r="211" spans="1:2" x14ac:dyDescent="0.2">
      <c r="A211" s="102"/>
      <c r="B211" s="116"/>
    </row>
    <row r="212" spans="1:2" x14ac:dyDescent="0.2">
      <c r="A212" s="102"/>
      <c r="B212" s="116"/>
    </row>
    <row r="213" spans="1:2" x14ac:dyDescent="0.2">
      <c r="A213" s="102"/>
      <c r="B213" s="116"/>
    </row>
    <row r="214" spans="1:2" x14ac:dyDescent="0.2">
      <c r="A214" s="102"/>
      <c r="B214" s="116"/>
    </row>
    <row r="215" spans="1:2" x14ac:dyDescent="0.2">
      <c r="A215" s="102"/>
      <c r="B215" s="116"/>
    </row>
    <row r="216" spans="1:2" x14ac:dyDescent="0.2">
      <c r="A216" s="102"/>
      <c r="B216" s="116"/>
    </row>
    <row r="217" spans="1:2" x14ac:dyDescent="0.2">
      <c r="A217" s="102"/>
      <c r="B217" s="116"/>
    </row>
    <row r="218" spans="1:2" x14ac:dyDescent="0.2">
      <c r="A218" s="102"/>
      <c r="B218" s="116"/>
    </row>
    <row r="219" spans="1:2" x14ac:dyDescent="0.2">
      <c r="A219" s="102"/>
      <c r="B219" s="116"/>
    </row>
    <row r="220" spans="1:2" x14ac:dyDescent="0.2">
      <c r="A220" s="102"/>
      <c r="B220" s="116"/>
    </row>
    <row r="221" spans="1:2" x14ac:dyDescent="0.2">
      <c r="A221" s="102"/>
      <c r="B221" s="116"/>
    </row>
    <row r="222" spans="1:2" x14ac:dyDescent="0.2">
      <c r="A222" s="102"/>
      <c r="B222" s="116"/>
    </row>
    <row r="223" spans="1:2" x14ac:dyDescent="0.2">
      <c r="A223" s="102"/>
      <c r="B223" s="116"/>
    </row>
    <row r="224" spans="1:2" x14ac:dyDescent="0.2">
      <c r="A224" s="102"/>
      <c r="B224" s="116"/>
    </row>
    <row r="225" spans="1:2" x14ac:dyDescent="0.2">
      <c r="A225" s="102"/>
      <c r="B225" s="116"/>
    </row>
    <row r="226" spans="1:2" x14ac:dyDescent="0.2">
      <c r="A226" s="102"/>
      <c r="B226" s="116"/>
    </row>
    <row r="227" spans="1:2" x14ac:dyDescent="0.2">
      <c r="A227" s="102"/>
      <c r="B227" s="116"/>
    </row>
    <row r="228" spans="1:2" x14ac:dyDescent="0.2">
      <c r="A228" s="102"/>
      <c r="B228" s="116"/>
    </row>
    <row r="229" spans="1:2" x14ac:dyDescent="0.2">
      <c r="A229" s="102"/>
      <c r="B229" s="116"/>
    </row>
    <row r="230" spans="1:2" x14ac:dyDescent="0.2">
      <c r="A230" s="102"/>
      <c r="B230" s="116"/>
    </row>
    <row r="231" spans="1:2" x14ac:dyDescent="0.2">
      <c r="A231" s="102"/>
      <c r="B231" s="116"/>
    </row>
    <row r="232" spans="1:2" x14ac:dyDescent="0.2">
      <c r="A232" s="102"/>
      <c r="B232" s="116"/>
    </row>
    <row r="233" spans="1:2" x14ac:dyDescent="0.2">
      <c r="A233" s="102"/>
      <c r="B233" s="116"/>
    </row>
    <row r="234" spans="1:2" x14ac:dyDescent="0.2">
      <c r="A234" s="102"/>
      <c r="B234" s="116"/>
    </row>
    <row r="235" spans="1:2" x14ac:dyDescent="0.2">
      <c r="A235" s="102"/>
      <c r="B235" s="116"/>
    </row>
    <row r="236" spans="1:2" x14ac:dyDescent="0.2">
      <c r="A236" s="102"/>
      <c r="B236" s="116"/>
    </row>
    <row r="237" spans="1:2" x14ac:dyDescent="0.2">
      <c r="A237" s="102"/>
      <c r="B237" s="116"/>
    </row>
    <row r="238" spans="1:2" x14ac:dyDescent="0.2">
      <c r="A238" s="102"/>
      <c r="B238" s="116"/>
    </row>
    <row r="239" spans="1:2" x14ac:dyDescent="0.2">
      <c r="A239" s="102"/>
      <c r="B239" s="116"/>
    </row>
    <row r="240" spans="1:2" x14ac:dyDescent="0.2">
      <c r="A240" s="102"/>
      <c r="B240" s="116"/>
    </row>
    <row r="241" spans="1:2" x14ac:dyDescent="0.2">
      <c r="A241" s="102"/>
      <c r="B241" s="116"/>
    </row>
    <row r="242" spans="1:2" x14ac:dyDescent="0.2">
      <c r="A242" s="102"/>
      <c r="B242" s="116"/>
    </row>
    <row r="243" spans="1:2" x14ac:dyDescent="0.2">
      <c r="A243" s="102"/>
      <c r="B243" s="116"/>
    </row>
    <row r="244" spans="1:2" x14ac:dyDescent="0.2">
      <c r="A244" s="102"/>
      <c r="B244" s="116"/>
    </row>
    <row r="245" spans="1:2" x14ac:dyDescent="0.2">
      <c r="A245" s="102"/>
      <c r="B245" s="116"/>
    </row>
    <row r="246" spans="1:2" x14ac:dyDescent="0.2">
      <c r="A246" s="102"/>
      <c r="B246" s="116"/>
    </row>
    <row r="247" spans="1:2" x14ac:dyDescent="0.2">
      <c r="A247" s="102"/>
      <c r="B247" s="116"/>
    </row>
    <row r="248" spans="1:2" x14ac:dyDescent="0.2">
      <c r="A248" s="102"/>
      <c r="B248" s="116"/>
    </row>
    <row r="249" spans="1:2" x14ac:dyDescent="0.2">
      <c r="A249" s="102"/>
      <c r="B249" s="116"/>
    </row>
    <row r="250" spans="1:2" x14ac:dyDescent="0.2">
      <c r="A250" s="102"/>
      <c r="B250" s="116"/>
    </row>
    <row r="251" spans="1:2" x14ac:dyDescent="0.2">
      <c r="A251" s="102"/>
      <c r="B251" s="116"/>
    </row>
    <row r="252" spans="1:2" x14ac:dyDescent="0.2">
      <c r="A252" s="102"/>
      <c r="B252" s="116"/>
    </row>
    <row r="253" spans="1:2" x14ac:dyDescent="0.2">
      <c r="A253" s="102"/>
      <c r="B253" s="116"/>
    </row>
    <row r="254" spans="1:2" x14ac:dyDescent="0.2">
      <c r="A254" s="102"/>
      <c r="B254" s="116"/>
    </row>
    <row r="255" spans="1:2" x14ac:dyDescent="0.2">
      <c r="A255" s="102"/>
      <c r="B255" s="116"/>
    </row>
    <row r="256" spans="1:2" x14ac:dyDescent="0.2">
      <c r="A256" s="102"/>
      <c r="B256" s="116"/>
    </row>
    <row r="257" spans="1:2" x14ac:dyDescent="0.2">
      <c r="A257" s="102"/>
      <c r="B257" s="116"/>
    </row>
    <row r="258" spans="1:2" x14ac:dyDescent="0.2">
      <c r="A258" s="102"/>
      <c r="B258" s="116"/>
    </row>
    <row r="259" spans="1:2" x14ac:dyDescent="0.2">
      <c r="A259" s="102"/>
      <c r="B259" s="116"/>
    </row>
    <row r="260" spans="1:2" x14ac:dyDescent="0.2">
      <c r="A260" s="102"/>
      <c r="B260" s="116"/>
    </row>
    <row r="261" spans="1:2" x14ac:dyDescent="0.2">
      <c r="A261" s="102"/>
      <c r="B261" s="116"/>
    </row>
    <row r="262" spans="1:2" x14ac:dyDescent="0.2">
      <c r="A262" s="102"/>
      <c r="B262" s="116"/>
    </row>
    <row r="263" spans="1:2" x14ac:dyDescent="0.2">
      <c r="A263" s="102"/>
      <c r="B263" s="116"/>
    </row>
    <row r="264" spans="1:2" x14ac:dyDescent="0.2">
      <c r="A264" s="102"/>
      <c r="B264" s="116"/>
    </row>
    <row r="265" spans="1:2" x14ac:dyDescent="0.2">
      <c r="A265" s="102"/>
      <c r="B265" s="116"/>
    </row>
    <row r="266" spans="1:2" x14ac:dyDescent="0.2">
      <c r="A266" s="102"/>
      <c r="B266" s="116"/>
    </row>
    <row r="267" spans="1:2" x14ac:dyDescent="0.2">
      <c r="A267" s="102"/>
      <c r="B267" s="116"/>
    </row>
    <row r="268" spans="1:2" x14ac:dyDescent="0.2">
      <c r="A268" s="102"/>
      <c r="B268" s="116"/>
    </row>
    <row r="269" spans="1:2" x14ac:dyDescent="0.2">
      <c r="A269" s="102"/>
      <c r="B269" s="116"/>
    </row>
    <row r="270" spans="1:2" x14ac:dyDescent="0.2">
      <c r="A270" s="102"/>
      <c r="B270" s="116"/>
    </row>
    <row r="271" spans="1:2" x14ac:dyDescent="0.2">
      <c r="A271" s="102"/>
      <c r="B271" s="116"/>
    </row>
    <row r="272" spans="1:2" x14ac:dyDescent="0.2">
      <c r="A272" s="102"/>
      <c r="B272" s="116"/>
    </row>
    <row r="273" spans="1:2" x14ac:dyDescent="0.2">
      <c r="A273" s="102"/>
      <c r="B273" s="116"/>
    </row>
    <row r="274" spans="1:2" x14ac:dyDescent="0.2">
      <c r="A274" s="102"/>
      <c r="B274" s="116"/>
    </row>
    <row r="275" spans="1:2" x14ac:dyDescent="0.2">
      <c r="A275" s="102"/>
      <c r="B275" s="116"/>
    </row>
    <row r="276" spans="1:2" x14ac:dyDescent="0.2">
      <c r="A276" s="102"/>
      <c r="B276" s="116"/>
    </row>
    <row r="277" spans="1:2" x14ac:dyDescent="0.2">
      <c r="A277" s="102"/>
      <c r="B277" s="116"/>
    </row>
    <row r="278" spans="1:2" x14ac:dyDescent="0.2">
      <c r="A278" s="102"/>
      <c r="B278" s="116"/>
    </row>
    <row r="279" spans="1:2" x14ac:dyDescent="0.2">
      <c r="A279" s="102"/>
      <c r="B279" s="116"/>
    </row>
    <row r="280" spans="1:2" x14ac:dyDescent="0.2">
      <c r="A280" s="102"/>
      <c r="B280" s="116"/>
    </row>
    <row r="281" spans="1:2" x14ac:dyDescent="0.2">
      <c r="A281" s="102"/>
      <c r="B281" s="116"/>
    </row>
    <row r="282" spans="1:2" x14ac:dyDescent="0.2">
      <c r="A282" s="102"/>
      <c r="B282" s="116"/>
    </row>
    <row r="283" spans="1:2" x14ac:dyDescent="0.2">
      <c r="A283" s="102"/>
      <c r="B283" s="116"/>
    </row>
    <row r="284" spans="1:2" x14ac:dyDescent="0.2">
      <c r="A284" s="102"/>
      <c r="B284" s="116"/>
    </row>
    <row r="285" spans="1:2" x14ac:dyDescent="0.2">
      <c r="A285" s="102"/>
      <c r="B285" s="116"/>
    </row>
    <row r="286" spans="1:2" x14ac:dyDescent="0.2">
      <c r="A286" s="102"/>
      <c r="B286" s="116"/>
    </row>
    <row r="287" spans="1:2" x14ac:dyDescent="0.2">
      <c r="A287" s="102"/>
      <c r="B287" s="116"/>
    </row>
    <row r="288" spans="1:2" x14ac:dyDescent="0.2">
      <c r="A288" s="102"/>
      <c r="B288" s="116"/>
    </row>
    <row r="289" spans="1:2" x14ac:dyDescent="0.2">
      <c r="A289" s="102"/>
      <c r="B289" s="116"/>
    </row>
    <row r="290" spans="1:2" x14ac:dyDescent="0.2">
      <c r="A290" s="102"/>
      <c r="B290" s="116"/>
    </row>
    <row r="291" spans="1:2" x14ac:dyDescent="0.2">
      <c r="A291" s="102"/>
      <c r="B291" s="116"/>
    </row>
    <row r="292" spans="1:2" x14ac:dyDescent="0.2">
      <c r="A292" s="102"/>
      <c r="B292" s="116"/>
    </row>
    <row r="293" spans="1:2" x14ac:dyDescent="0.2">
      <c r="A293" s="102"/>
      <c r="B293" s="116"/>
    </row>
    <row r="294" spans="1:2" x14ac:dyDescent="0.2">
      <c r="A294" s="102"/>
      <c r="B294" s="116"/>
    </row>
    <row r="295" spans="1:2" x14ac:dyDescent="0.2">
      <c r="A295" s="102"/>
      <c r="B295" s="116"/>
    </row>
    <row r="296" spans="1:2" x14ac:dyDescent="0.2">
      <c r="A296" s="102"/>
      <c r="B296" s="116"/>
    </row>
    <row r="297" spans="1:2" x14ac:dyDescent="0.2">
      <c r="A297" s="102"/>
      <c r="B297" s="116"/>
    </row>
    <row r="298" spans="1:2" x14ac:dyDescent="0.2">
      <c r="A298" s="102"/>
      <c r="B298" s="116"/>
    </row>
    <row r="299" spans="1:2" x14ac:dyDescent="0.2">
      <c r="A299" s="102"/>
      <c r="B299" s="116"/>
    </row>
    <row r="300" spans="1:2" x14ac:dyDescent="0.2">
      <c r="A300" s="102"/>
      <c r="B300" s="116"/>
    </row>
    <row r="301" spans="1:2" x14ac:dyDescent="0.2">
      <c r="A301" s="102"/>
      <c r="B301" s="116"/>
    </row>
    <row r="302" spans="1:2" x14ac:dyDescent="0.2">
      <c r="A302" s="102"/>
      <c r="B302" s="116"/>
    </row>
    <row r="303" spans="1:2" x14ac:dyDescent="0.2">
      <c r="A303" s="102"/>
      <c r="B303" s="116"/>
    </row>
    <row r="304" spans="1:2" x14ac:dyDescent="0.2">
      <c r="A304" s="102"/>
      <c r="B304" s="116"/>
    </row>
    <row r="305" spans="1:2" x14ac:dyDescent="0.2">
      <c r="A305" s="102"/>
      <c r="B305" s="116"/>
    </row>
    <row r="306" spans="1:2" x14ac:dyDescent="0.2">
      <c r="A306" s="102"/>
      <c r="B306" s="116"/>
    </row>
    <row r="307" spans="1:2" x14ac:dyDescent="0.2">
      <c r="A307" s="102"/>
      <c r="B307" s="116"/>
    </row>
    <row r="308" spans="1:2" x14ac:dyDescent="0.2">
      <c r="A308" s="102"/>
      <c r="B308" s="116"/>
    </row>
    <row r="309" spans="1:2" x14ac:dyDescent="0.2">
      <c r="A309" s="102"/>
      <c r="B309" s="116"/>
    </row>
    <row r="310" spans="1:2" x14ac:dyDescent="0.2">
      <c r="A310" s="102"/>
      <c r="B310" s="116"/>
    </row>
    <row r="311" spans="1:2" x14ac:dyDescent="0.2">
      <c r="A311" s="102"/>
      <c r="B311" s="116"/>
    </row>
    <row r="312" spans="1:2" x14ac:dyDescent="0.2">
      <c r="A312" s="102"/>
      <c r="B312" s="116"/>
    </row>
    <row r="313" spans="1:2" x14ac:dyDescent="0.2">
      <c r="A313" s="102"/>
      <c r="B313" s="116"/>
    </row>
    <row r="314" spans="1:2" x14ac:dyDescent="0.2">
      <c r="A314" s="102"/>
      <c r="B314" s="116"/>
    </row>
    <row r="315" spans="1:2" x14ac:dyDescent="0.2">
      <c r="A315" s="102"/>
      <c r="B315" s="116"/>
    </row>
    <row r="316" spans="1:2" x14ac:dyDescent="0.2">
      <c r="A316" s="102"/>
      <c r="B316" s="116"/>
    </row>
    <row r="317" spans="1:2" x14ac:dyDescent="0.2">
      <c r="A317" s="102"/>
      <c r="B317" s="116"/>
    </row>
    <row r="318" spans="1:2" x14ac:dyDescent="0.2">
      <c r="A318" s="102"/>
      <c r="B318" s="116"/>
    </row>
    <row r="319" spans="1:2" x14ac:dyDescent="0.2">
      <c r="A319" s="102"/>
      <c r="B319" s="116"/>
    </row>
    <row r="320" spans="1:2" x14ac:dyDescent="0.2">
      <c r="A320" s="102"/>
      <c r="B320" s="116"/>
    </row>
    <row r="321" spans="1:2" x14ac:dyDescent="0.2">
      <c r="A321" s="102"/>
      <c r="B321" s="116"/>
    </row>
    <row r="322" spans="1:2" x14ac:dyDescent="0.2">
      <c r="A322" s="102"/>
      <c r="B322" s="116"/>
    </row>
    <row r="323" spans="1:2" x14ac:dyDescent="0.2">
      <c r="A323" s="102"/>
      <c r="B323" s="116"/>
    </row>
    <row r="324" spans="1:2" x14ac:dyDescent="0.2">
      <c r="A324" s="102"/>
      <c r="B324" s="116"/>
    </row>
    <row r="325" spans="1:2" x14ac:dyDescent="0.2">
      <c r="A325" s="102"/>
      <c r="B325" s="116"/>
    </row>
    <row r="326" spans="1:2" x14ac:dyDescent="0.2">
      <c r="A326" s="102"/>
      <c r="B326" s="116"/>
    </row>
    <row r="327" spans="1:2" x14ac:dyDescent="0.2">
      <c r="A327" s="102"/>
      <c r="B327" s="116"/>
    </row>
    <row r="328" spans="1:2" x14ac:dyDescent="0.2">
      <c r="A328" s="102"/>
      <c r="B328" s="116"/>
    </row>
    <row r="329" spans="1:2" x14ac:dyDescent="0.2">
      <c r="A329" s="102"/>
      <c r="B329" s="116"/>
    </row>
    <row r="330" spans="1:2" x14ac:dyDescent="0.2">
      <c r="A330" s="102"/>
      <c r="B330" s="116"/>
    </row>
    <row r="331" spans="1:2" x14ac:dyDescent="0.2">
      <c r="A331" s="102"/>
      <c r="B331" s="116"/>
    </row>
    <row r="332" spans="1:2" x14ac:dyDescent="0.2">
      <c r="A332" s="102"/>
      <c r="B332" s="116"/>
    </row>
    <row r="333" spans="1:2" x14ac:dyDescent="0.2">
      <c r="A333" s="102"/>
      <c r="B333" s="116"/>
    </row>
    <row r="334" spans="1:2" x14ac:dyDescent="0.2">
      <c r="A334" s="102"/>
      <c r="B334" s="116"/>
    </row>
    <row r="335" spans="1:2" x14ac:dyDescent="0.2">
      <c r="A335" s="102"/>
      <c r="B335" s="116"/>
    </row>
    <row r="336" spans="1:2" x14ac:dyDescent="0.2">
      <c r="A336" s="102"/>
      <c r="B336" s="116"/>
    </row>
    <row r="337" spans="1:2" x14ac:dyDescent="0.2">
      <c r="A337" s="102"/>
      <c r="B337" s="116"/>
    </row>
    <row r="338" spans="1:2" x14ac:dyDescent="0.2">
      <c r="A338" s="102"/>
      <c r="B338" s="116"/>
    </row>
    <row r="339" spans="1:2" x14ac:dyDescent="0.2">
      <c r="A339" s="102"/>
      <c r="B339" s="116"/>
    </row>
    <row r="340" spans="1:2" x14ac:dyDescent="0.2">
      <c r="A340" s="102"/>
      <c r="B340" s="116"/>
    </row>
    <row r="341" spans="1:2" x14ac:dyDescent="0.2">
      <c r="A341" s="102"/>
      <c r="B341" s="116"/>
    </row>
    <row r="342" spans="1:2" x14ac:dyDescent="0.2">
      <c r="A342" s="102"/>
      <c r="B342" s="116"/>
    </row>
    <row r="343" spans="1:2" x14ac:dyDescent="0.2">
      <c r="A343" s="102"/>
      <c r="B343" s="116"/>
    </row>
    <row r="344" spans="1:2" x14ac:dyDescent="0.2">
      <c r="A344" s="102"/>
      <c r="B344" s="116"/>
    </row>
    <row r="345" spans="1:2" x14ac:dyDescent="0.2">
      <c r="A345" s="102"/>
      <c r="B345" s="116"/>
    </row>
    <row r="346" spans="1:2" x14ac:dyDescent="0.2">
      <c r="A346" s="102"/>
      <c r="B346" s="116"/>
    </row>
    <row r="347" spans="1:2" x14ac:dyDescent="0.2">
      <c r="A347" s="102"/>
      <c r="B347" s="116"/>
    </row>
    <row r="348" spans="1:2" x14ac:dyDescent="0.2">
      <c r="A348" s="102"/>
      <c r="B348" s="116"/>
    </row>
    <row r="349" spans="1:2" x14ac:dyDescent="0.2">
      <c r="A349" s="102"/>
      <c r="B349" s="116"/>
    </row>
    <row r="350" spans="1:2" x14ac:dyDescent="0.2">
      <c r="A350" s="102"/>
      <c r="B350" s="116"/>
    </row>
    <row r="351" spans="1:2" x14ac:dyDescent="0.2">
      <c r="A351" s="102"/>
      <c r="B351" s="116"/>
    </row>
    <row r="352" spans="1:2" x14ac:dyDescent="0.2">
      <c r="A352" s="102"/>
      <c r="B352" s="116"/>
    </row>
    <row r="353" spans="1:2" x14ac:dyDescent="0.2">
      <c r="A353" s="102"/>
      <c r="B353" s="116"/>
    </row>
    <row r="354" spans="1:2" x14ac:dyDescent="0.2">
      <c r="A354" s="102"/>
      <c r="B354" s="116"/>
    </row>
    <row r="355" spans="1:2" x14ac:dyDescent="0.2">
      <c r="A355" s="102"/>
      <c r="B355" s="116"/>
    </row>
    <row r="356" spans="1:2" x14ac:dyDescent="0.2">
      <c r="A356" s="102"/>
      <c r="B356" s="116"/>
    </row>
    <row r="357" spans="1:2" x14ac:dyDescent="0.2">
      <c r="A357" s="102"/>
      <c r="B357" s="116"/>
    </row>
    <row r="358" spans="1:2" x14ac:dyDescent="0.2">
      <c r="A358" s="102"/>
      <c r="B358" s="116"/>
    </row>
    <row r="359" spans="1:2" x14ac:dyDescent="0.2">
      <c r="A359" s="102"/>
      <c r="B359" s="116"/>
    </row>
    <row r="360" spans="1:2" x14ac:dyDescent="0.2">
      <c r="A360" s="102"/>
      <c r="B360" s="116"/>
    </row>
    <row r="361" spans="1:2" x14ac:dyDescent="0.2">
      <c r="A361" s="102"/>
      <c r="B361" s="116"/>
    </row>
    <row r="362" spans="1:2" x14ac:dyDescent="0.2">
      <c r="A362" s="102"/>
      <c r="B362" s="116"/>
    </row>
    <row r="363" spans="1:2" x14ac:dyDescent="0.2">
      <c r="A363" s="102"/>
      <c r="B363" s="116"/>
    </row>
    <row r="364" spans="1:2" x14ac:dyDescent="0.2">
      <c r="A364" s="102"/>
      <c r="B364" s="116"/>
    </row>
    <row r="365" spans="1:2" x14ac:dyDescent="0.2">
      <c r="A365" s="102"/>
      <c r="B365" s="116"/>
    </row>
    <row r="366" spans="1:2" x14ac:dyDescent="0.2">
      <c r="A366" s="102"/>
      <c r="B366" s="116"/>
    </row>
    <row r="367" spans="1:2" x14ac:dyDescent="0.2">
      <c r="A367" s="102"/>
      <c r="B367" s="116"/>
    </row>
    <row r="368" spans="1:2" x14ac:dyDescent="0.2">
      <c r="A368" s="102"/>
      <c r="B368" s="116"/>
    </row>
    <row r="369" spans="1:2" x14ac:dyDescent="0.2">
      <c r="A369" s="102"/>
      <c r="B369" s="116"/>
    </row>
    <row r="370" spans="1:2" x14ac:dyDescent="0.2">
      <c r="A370" s="102"/>
      <c r="B370" s="116"/>
    </row>
    <row r="371" spans="1:2" x14ac:dyDescent="0.2">
      <c r="A371" s="102"/>
      <c r="B371" s="116"/>
    </row>
    <row r="372" spans="1:2" x14ac:dyDescent="0.2">
      <c r="A372" s="102"/>
      <c r="B372" s="116"/>
    </row>
    <row r="373" spans="1:2" x14ac:dyDescent="0.2">
      <c r="A373" s="102"/>
      <c r="B373" s="116"/>
    </row>
    <row r="374" spans="1:2" x14ac:dyDescent="0.2">
      <c r="A374" s="102"/>
      <c r="B374" s="116"/>
    </row>
    <row r="375" spans="1:2" x14ac:dyDescent="0.2">
      <c r="A375" s="102"/>
      <c r="B375" s="116"/>
    </row>
    <row r="376" spans="1:2" x14ac:dyDescent="0.2">
      <c r="A376" s="102"/>
      <c r="B376" s="116"/>
    </row>
    <row r="377" spans="1:2" x14ac:dyDescent="0.2">
      <c r="A377" s="102"/>
      <c r="B377" s="116"/>
    </row>
    <row r="378" spans="1:2" x14ac:dyDescent="0.2">
      <c r="A378" s="102"/>
      <c r="B378" s="116"/>
    </row>
    <row r="379" spans="1:2" x14ac:dyDescent="0.2">
      <c r="A379" s="102"/>
      <c r="B379" s="116"/>
    </row>
    <row r="380" spans="1:2" x14ac:dyDescent="0.2">
      <c r="A380" s="102"/>
      <c r="B380" s="116"/>
    </row>
    <row r="381" spans="1:2" x14ac:dyDescent="0.2">
      <c r="A381" s="102"/>
      <c r="B381" s="116"/>
    </row>
    <row r="382" spans="1:2" x14ac:dyDescent="0.2">
      <c r="A382" s="102"/>
      <c r="B382" s="116"/>
    </row>
    <row r="383" spans="1:2" x14ac:dyDescent="0.2">
      <c r="A383" s="102"/>
      <c r="B383" s="116"/>
    </row>
    <row r="384" spans="1:2" x14ac:dyDescent="0.2">
      <c r="A384" s="102"/>
      <c r="B384" s="116"/>
    </row>
    <row r="385" spans="1:2" x14ac:dyDescent="0.2">
      <c r="A385" s="102"/>
      <c r="B385" s="116"/>
    </row>
    <row r="386" spans="1:2" x14ac:dyDescent="0.2">
      <c r="A386" s="102"/>
      <c r="B386" s="116"/>
    </row>
    <row r="387" spans="1:2" x14ac:dyDescent="0.2">
      <c r="A387" s="102"/>
      <c r="B387" s="116"/>
    </row>
    <row r="388" spans="1:2" x14ac:dyDescent="0.2">
      <c r="A388" s="102"/>
      <c r="B388" s="116"/>
    </row>
    <row r="389" spans="1:2" x14ac:dyDescent="0.2">
      <c r="A389" s="102"/>
      <c r="B389" s="116"/>
    </row>
    <row r="390" spans="1:2" x14ac:dyDescent="0.2">
      <c r="A390" s="102"/>
      <c r="B390" s="116"/>
    </row>
    <row r="391" spans="1:2" x14ac:dyDescent="0.2">
      <c r="A391" s="102"/>
      <c r="B391" s="116"/>
    </row>
    <row r="392" spans="1:2" x14ac:dyDescent="0.2">
      <c r="A392" s="102"/>
      <c r="B392" s="116"/>
    </row>
    <row r="393" spans="1:2" x14ac:dyDescent="0.2">
      <c r="A393" s="102"/>
      <c r="B393" s="116"/>
    </row>
    <row r="394" spans="1:2" x14ac:dyDescent="0.2">
      <c r="A394" s="102"/>
      <c r="B394" s="116"/>
    </row>
    <row r="395" spans="1:2" x14ac:dyDescent="0.2">
      <c r="A395" s="102"/>
      <c r="B395" s="116"/>
    </row>
    <row r="396" spans="1:2" x14ac:dyDescent="0.2">
      <c r="A396" s="102"/>
      <c r="B396" s="116"/>
    </row>
    <row r="397" spans="1:2" x14ac:dyDescent="0.2">
      <c r="A397" s="102"/>
      <c r="B397" s="116"/>
    </row>
    <row r="398" spans="1:2" x14ac:dyDescent="0.2">
      <c r="A398" s="102"/>
      <c r="B398" s="116"/>
    </row>
    <row r="399" spans="1:2" x14ac:dyDescent="0.2">
      <c r="A399" s="102"/>
      <c r="B399" s="116"/>
    </row>
    <row r="400" spans="1:2" x14ac:dyDescent="0.2">
      <c r="A400" s="102"/>
      <c r="B400" s="116"/>
    </row>
    <row r="401" spans="1:2" x14ac:dyDescent="0.2">
      <c r="A401" s="102"/>
      <c r="B401" s="116"/>
    </row>
    <row r="402" spans="1:2" x14ac:dyDescent="0.2">
      <c r="A402" s="102"/>
      <c r="B402" s="116"/>
    </row>
    <row r="403" spans="1:2" x14ac:dyDescent="0.2">
      <c r="A403" s="102"/>
      <c r="B403" s="116"/>
    </row>
    <row r="404" spans="1:2" x14ac:dyDescent="0.2">
      <c r="A404" s="102"/>
      <c r="B404" s="116"/>
    </row>
    <row r="405" spans="1:2" x14ac:dyDescent="0.2">
      <c r="A405" s="102"/>
      <c r="B405" s="116"/>
    </row>
    <row r="406" spans="1:2" x14ac:dyDescent="0.2">
      <c r="A406" s="102"/>
      <c r="B406" s="116"/>
    </row>
    <row r="407" spans="1:2" x14ac:dyDescent="0.2">
      <c r="A407" s="102"/>
      <c r="B407" s="116"/>
    </row>
    <row r="408" spans="1:2" x14ac:dyDescent="0.2">
      <c r="A408" s="102"/>
      <c r="B408" s="116"/>
    </row>
    <row r="409" spans="1:2" x14ac:dyDescent="0.2">
      <c r="A409" s="102"/>
      <c r="B409" s="116"/>
    </row>
    <row r="410" spans="1:2" x14ac:dyDescent="0.2">
      <c r="A410" s="102"/>
      <c r="B410" s="116"/>
    </row>
    <row r="411" spans="1:2" x14ac:dyDescent="0.2">
      <c r="A411" s="102"/>
      <c r="B411" s="116"/>
    </row>
    <row r="412" spans="1:2" x14ac:dyDescent="0.2">
      <c r="A412" s="102"/>
      <c r="B412" s="116"/>
    </row>
    <row r="413" spans="1:2" x14ac:dyDescent="0.2">
      <c r="A413" s="102"/>
      <c r="B413" s="116"/>
    </row>
    <row r="414" spans="1:2" x14ac:dyDescent="0.2">
      <c r="A414" s="102"/>
      <c r="B414" s="116"/>
    </row>
    <row r="415" spans="1:2" x14ac:dyDescent="0.2">
      <c r="A415" s="102"/>
      <c r="B415" s="116"/>
    </row>
    <row r="416" spans="1:2" x14ac:dyDescent="0.2">
      <c r="A416" s="102"/>
      <c r="B416" s="116"/>
    </row>
    <row r="417" spans="1:2" x14ac:dyDescent="0.2">
      <c r="A417" s="102"/>
      <c r="B417" s="116"/>
    </row>
    <row r="418" spans="1:2" x14ac:dyDescent="0.2">
      <c r="A418" s="102"/>
      <c r="B418" s="116"/>
    </row>
    <row r="419" spans="1:2" x14ac:dyDescent="0.2">
      <c r="A419" s="102"/>
      <c r="B419" s="116"/>
    </row>
    <row r="420" spans="1:2" x14ac:dyDescent="0.2">
      <c r="A420" s="102"/>
      <c r="B420" s="116"/>
    </row>
    <row r="421" spans="1:2" x14ac:dyDescent="0.2">
      <c r="A421" s="102"/>
      <c r="B421" s="116"/>
    </row>
    <row r="422" spans="1:2" x14ac:dyDescent="0.2">
      <c r="A422" s="102"/>
      <c r="B422" s="116"/>
    </row>
    <row r="423" spans="1:2" x14ac:dyDescent="0.2">
      <c r="A423" s="102"/>
      <c r="B423" s="116"/>
    </row>
    <row r="424" spans="1:2" x14ac:dyDescent="0.2">
      <c r="A424" s="102"/>
      <c r="B424" s="116"/>
    </row>
    <row r="425" spans="1:2" x14ac:dyDescent="0.2">
      <c r="A425" s="102"/>
      <c r="B425" s="116"/>
    </row>
    <row r="426" spans="1:2" x14ac:dyDescent="0.2">
      <c r="A426" s="102"/>
      <c r="B426" s="116"/>
    </row>
    <row r="427" spans="1:2" x14ac:dyDescent="0.2">
      <c r="A427" s="102"/>
      <c r="B427" s="116"/>
    </row>
    <row r="428" spans="1:2" x14ac:dyDescent="0.2">
      <c r="A428" s="102"/>
      <c r="B428" s="116"/>
    </row>
    <row r="429" spans="1:2" x14ac:dyDescent="0.2">
      <c r="A429" s="102"/>
      <c r="B429" s="116"/>
    </row>
    <row r="430" spans="1:2" x14ac:dyDescent="0.2">
      <c r="A430" s="102"/>
      <c r="B430" s="116"/>
    </row>
    <row r="431" spans="1:2" x14ac:dyDescent="0.2">
      <c r="A431" s="102"/>
      <c r="B431" s="116"/>
    </row>
    <row r="432" spans="1:2" x14ac:dyDescent="0.2">
      <c r="A432" s="102"/>
      <c r="B432" s="116"/>
    </row>
    <row r="433" spans="1:2" x14ac:dyDescent="0.2">
      <c r="A433" s="102"/>
      <c r="B433" s="116"/>
    </row>
    <row r="434" spans="1:2" x14ac:dyDescent="0.2">
      <c r="A434" s="102"/>
      <c r="B434" s="116"/>
    </row>
    <row r="435" spans="1:2" x14ac:dyDescent="0.2">
      <c r="A435" s="102"/>
      <c r="B435" s="116"/>
    </row>
    <row r="436" spans="1:2" x14ac:dyDescent="0.2">
      <c r="A436" s="102"/>
      <c r="B436" s="116"/>
    </row>
    <row r="437" spans="1:2" x14ac:dyDescent="0.2">
      <c r="A437" s="102"/>
      <c r="B437" s="116"/>
    </row>
    <row r="438" spans="1:2" x14ac:dyDescent="0.2">
      <c r="A438" s="102"/>
      <c r="B438" s="116"/>
    </row>
    <row r="439" spans="1:2" x14ac:dyDescent="0.2">
      <c r="A439" s="102"/>
      <c r="B439" s="116"/>
    </row>
    <row r="440" spans="1:2" x14ac:dyDescent="0.2">
      <c r="A440" s="102"/>
      <c r="B440" s="116"/>
    </row>
    <row r="441" spans="1:2" x14ac:dyDescent="0.2">
      <c r="A441" s="102"/>
      <c r="B441" s="116"/>
    </row>
    <row r="442" spans="1:2" x14ac:dyDescent="0.2">
      <c r="A442" s="102"/>
      <c r="B442" s="116"/>
    </row>
    <row r="443" spans="1:2" x14ac:dyDescent="0.2">
      <c r="A443" s="102"/>
      <c r="B443" s="116"/>
    </row>
    <row r="444" spans="1:2" x14ac:dyDescent="0.2">
      <c r="A444" s="102"/>
      <c r="B444" s="116"/>
    </row>
    <row r="445" spans="1:2" x14ac:dyDescent="0.2">
      <c r="A445" s="102"/>
      <c r="B445" s="116"/>
    </row>
    <row r="446" spans="1:2" x14ac:dyDescent="0.2">
      <c r="A446" s="102"/>
      <c r="B446" s="116"/>
    </row>
    <row r="447" spans="1:2" x14ac:dyDescent="0.2">
      <c r="A447" s="102"/>
      <c r="B447" s="116"/>
    </row>
    <row r="448" spans="1:2" x14ac:dyDescent="0.2">
      <c r="A448" s="102"/>
      <c r="B448" s="116"/>
    </row>
    <row r="449" spans="1:2" x14ac:dyDescent="0.2">
      <c r="A449" s="102"/>
      <c r="B449" s="116"/>
    </row>
    <row r="450" spans="1:2" x14ac:dyDescent="0.2">
      <c r="A450" s="102"/>
      <c r="B450" s="116"/>
    </row>
    <row r="451" spans="1:2" x14ac:dyDescent="0.2">
      <c r="A451" s="102"/>
      <c r="B451" s="116"/>
    </row>
    <row r="452" spans="1:2" x14ac:dyDescent="0.2">
      <c r="A452" s="102"/>
      <c r="B452" s="116"/>
    </row>
    <row r="453" spans="1:2" x14ac:dyDescent="0.2">
      <c r="A453" s="102"/>
      <c r="B453" s="116"/>
    </row>
    <row r="454" spans="1:2" x14ac:dyDescent="0.2">
      <c r="A454" s="102"/>
      <c r="B454" s="116"/>
    </row>
    <row r="455" spans="1:2" x14ac:dyDescent="0.2">
      <c r="A455" s="102"/>
      <c r="B455" s="116"/>
    </row>
    <row r="456" spans="1:2" x14ac:dyDescent="0.2">
      <c r="A456" s="102"/>
      <c r="B456" s="116"/>
    </row>
    <row r="457" spans="1:2" x14ac:dyDescent="0.2">
      <c r="A457" s="102"/>
      <c r="B457" s="116"/>
    </row>
    <row r="458" spans="1:2" x14ac:dyDescent="0.2">
      <c r="A458" s="102"/>
      <c r="B458" s="116"/>
    </row>
    <row r="459" spans="1:2" x14ac:dyDescent="0.2">
      <c r="A459" s="102"/>
      <c r="B459" s="116"/>
    </row>
    <row r="460" spans="1:2" x14ac:dyDescent="0.2">
      <c r="A460" s="102"/>
      <c r="B460" s="116"/>
    </row>
    <row r="461" spans="1:2" x14ac:dyDescent="0.2">
      <c r="A461" s="102"/>
      <c r="B461" s="116"/>
    </row>
    <row r="462" spans="1:2" x14ac:dyDescent="0.2">
      <c r="A462" s="102"/>
      <c r="B462" s="116"/>
    </row>
    <row r="463" spans="1:2" x14ac:dyDescent="0.2">
      <c r="A463" s="102"/>
      <c r="B463" s="116"/>
    </row>
    <row r="464" spans="1:2" x14ac:dyDescent="0.2">
      <c r="A464" s="102"/>
      <c r="B464" s="116"/>
    </row>
    <row r="465" spans="1:2" x14ac:dyDescent="0.2">
      <c r="A465" s="102"/>
      <c r="B465" s="116"/>
    </row>
    <row r="466" spans="1:2" x14ac:dyDescent="0.2">
      <c r="A466" s="102"/>
      <c r="B466" s="116"/>
    </row>
    <row r="467" spans="1:2" x14ac:dyDescent="0.2">
      <c r="A467" s="102"/>
      <c r="B467" s="116"/>
    </row>
    <row r="468" spans="1:2" x14ac:dyDescent="0.2">
      <c r="A468" s="102"/>
      <c r="B468" s="116"/>
    </row>
    <row r="469" spans="1:2" x14ac:dyDescent="0.2">
      <c r="A469" s="102"/>
      <c r="B469" s="116"/>
    </row>
    <row r="470" spans="1:2" x14ac:dyDescent="0.2">
      <c r="A470" s="102"/>
      <c r="B470" s="116"/>
    </row>
    <row r="471" spans="1:2" x14ac:dyDescent="0.2">
      <c r="A471" s="102"/>
      <c r="B471" s="116"/>
    </row>
    <row r="472" spans="1:2" x14ac:dyDescent="0.2">
      <c r="A472" s="102"/>
      <c r="B472" s="116"/>
    </row>
    <row r="473" spans="1:2" x14ac:dyDescent="0.2">
      <c r="A473" s="102"/>
      <c r="B473" s="116"/>
    </row>
    <row r="474" spans="1:2" x14ac:dyDescent="0.2">
      <c r="A474" s="102"/>
      <c r="B474" s="116"/>
    </row>
    <row r="475" spans="1:2" x14ac:dyDescent="0.2">
      <c r="A475" s="102"/>
      <c r="B475" s="116"/>
    </row>
    <row r="476" spans="1:2" x14ac:dyDescent="0.2">
      <c r="A476" s="102"/>
      <c r="B476" s="116"/>
    </row>
    <row r="477" spans="1:2" x14ac:dyDescent="0.2">
      <c r="A477" s="102"/>
      <c r="B477" s="116"/>
    </row>
    <row r="478" spans="1:2" x14ac:dyDescent="0.2">
      <c r="A478" s="102"/>
      <c r="B478" s="116"/>
    </row>
    <row r="479" spans="1:2" x14ac:dyDescent="0.2">
      <c r="A479" s="102"/>
      <c r="B479" s="116"/>
    </row>
    <row r="480" spans="1:2" x14ac:dyDescent="0.2">
      <c r="A480" s="102"/>
      <c r="B480" s="116"/>
    </row>
    <row r="481" spans="1:2" x14ac:dyDescent="0.2">
      <c r="A481" s="102"/>
      <c r="B481" s="116"/>
    </row>
    <row r="482" spans="1:2" x14ac:dyDescent="0.2">
      <c r="A482" s="102"/>
      <c r="B482" s="116"/>
    </row>
    <row r="483" spans="1:2" x14ac:dyDescent="0.2">
      <c r="A483" s="102"/>
      <c r="B483" s="116"/>
    </row>
    <row r="484" spans="1:2" x14ac:dyDescent="0.2">
      <c r="A484" s="102"/>
      <c r="B484" s="116"/>
    </row>
    <row r="485" spans="1:2" x14ac:dyDescent="0.2">
      <c r="A485" s="102"/>
      <c r="B485" s="116"/>
    </row>
    <row r="486" spans="1:2" x14ac:dyDescent="0.2">
      <c r="A486" s="102"/>
      <c r="B486" s="116"/>
    </row>
    <row r="487" spans="1:2" x14ac:dyDescent="0.2">
      <c r="A487" s="102"/>
      <c r="B487" s="116"/>
    </row>
    <row r="488" spans="1:2" x14ac:dyDescent="0.2">
      <c r="A488" s="102"/>
      <c r="B488" s="116"/>
    </row>
    <row r="489" spans="1:2" x14ac:dyDescent="0.2">
      <c r="A489" s="102"/>
      <c r="B489" s="116"/>
    </row>
    <row r="490" spans="1:2" x14ac:dyDescent="0.2">
      <c r="A490" s="102"/>
      <c r="B490" s="116"/>
    </row>
    <row r="491" spans="1:2" x14ac:dyDescent="0.2">
      <c r="A491" s="102"/>
      <c r="B491" s="116"/>
    </row>
    <row r="492" spans="1:2" x14ac:dyDescent="0.2">
      <c r="A492" s="102"/>
      <c r="B492" s="116"/>
    </row>
    <row r="493" spans="1:2" x14ac:dyDescent="0.2">
      <c r="A493" s="102"/>
      <c r="B493" s="116"/>
    </row>
    <row r="494" spans="1:2" x14ac:dyDescent="0.2">
      <c r="A494" s="102"/>
      <c r="B494" s="116"/>
    </row>
    <row r="495" spans="1:2" x14ac:dyDescent="0.2">
      <c r="A495" s="102"/>
      <c r="B495" s="116"/>
    </row>
    <row r="496" spans="1:2" x14ac:dyDescent="0.2">
      <c r="A496" s="102"/>
      <c r="B496" s="116"/>
    </row>
    <row r="497" spans="1:2" x14ac:dyDescent="0.2">
      <c r="A497" s="102"/>
      <c r="B497" s="116"/>
    </row>
    <row r="498" spans="1:2" x14ac:dyDescent="0.2">
      <c r="A498" s="102"/>
      <c r="B498" s="116"/>
    </row>
    <row r="499" spans="1:2" x14ac:dyDescent="0.2">
      <c r="A499" s="102"/>
      <c r="B499" s="116"/>
    </row>
    <row r="500" spans="1:2" x14ac:dyDescent="0.2">
      <c r="A500" s="102"/>
      <c r="B500" s="116"/>
    </row>
    <row r="501" spans="1:2" x14ac:dyDescent="0.2">
      <c r="A501" s="102"/>
      <c r="B501" s="116"/>
    </row>
    <row r="502" spans="1:2" x14ac:dyDescent="0.2">
      <c r="A502" s="102"/>
      <c r="B502" s="116"/>
    </row>
    <row r="503" spans="1:2" x14ac:dyDescent="0.2">
      <c r="A503" s="102"/>
      <c r="B503" s="116"/>
    </row>
    <row r="504" spans="1:2" x14ac:dyDescent="0.2">
      <c r="A504" s="102"/>
      <c r="B504" s="116"/>
    </row>
    <row r="505" spans="1:2" x14ac:dyDescent="0.2">
      <c r="A505" s="102"/>
      <c r="B505" s="116"/>
    </row>
    <row r="506" spans="1:2" x14ac:dyDescent="0.2">
      <c r="A506" s="102"/>
      <c r="B506" s="116"/>
    </row>
    <row r="507" spans="1:2" x14ac:dyDescent="0.2">
      <c r="A507" s="102"/>
      <c r="B507" s="116"/>
    </row>
    <row r="508" spans="1:2" x14ac:dyDescent="0.2">
      <c r="A508" s="102"/>
      <c r="B508" s="116"/>
    </row>
    <row r="509" spans="1:2" x14ac:dyDescent="0.2">
      <c r="A509" s="102"/>
      <c r="B509" s="116"/>
    </row>
    <row r="510" spans="1:2" x14ac:dyDescent="0.2">
      <c r="A510" s="102"/>
      <c r="B510" s="116"/>
    </row>
    <row r="511" spans="1:2" x14ac:dyDescent="0.2">
      <c r="A511" s="102"/>
      <c r="B511" s="116"/>
    </row>
    <row r="512" spans="1:2" x14ac:dyDescent="0.2">
      <c r="A512" s="102"/>
      <c r="B512" s="116"/>
    </row>
    <row r="513" spans="1:2" x14ac:dyDescent="0.2">
      <c r="A513" s="102"/>
      <c r="B513" s="116"/>
    </row>
    <row r="514" spans="1:2" x14ac:dyDescent="0.2">
      <c r="A514" s="102"/>
      <c r="B514" s="116"/>
    </row>
    <row r="515" spans="1:2" x14ac:dyDescent="0.2">
      <c r="A515" s="102"/>
      <c r="B515" s="116"/>
    </row>
    <row r="516" spans="1:2" x14ac:dyDescent="0.2">
      <c r="A516" s="102"/>
      <c r="B516" s="116"/>
    </row>
    <row r="517" spans="1:2" x14ac:dyDescent="0.2">
      <c r="A517" s="102"/>
      <c r="B517" s="116"/>
    </row>
    <row r="518" spans="1:2" x14ac:dyDescent="0.2">
      <c r="A518" s="102"/>
      <c r="B518" s="116"/>
    </row>
    <row r="519" spans="1:2" x14ac:dyDescent="0.2">
      <c r="A519" s="102"/>
      <c r="B519" s="116"/>
    </row>
    <row r="520" spans="1:2" x14ac:dyDescent="0.2">
      <c r="A520" s="102"/>
      <c r="B520" s="116"/>
    </row>
    <row r="521" spans="1:2" x14ac:dyDescent="0.2">
      <c r="A521" s="102"/>
      <c r="B521" s="116"/>
    </row>
    <row r="522" spans="1:2" x14ac:dyDescent="0.2">
      <c r="A522" s="102"/>
      <c r="B522" s="116"/>
    </row>
    <row r="523" spans="1:2" x14ac:dyDescent="0.2">
      <c r="A523" s="102"/>
      <c r="B523" s="116"/>
    </row>
    <row r="524" spans="1:2" x14ac:dyDescent="0.2">
      <c r="A524" s="102"/>
      <c r="B524" s="116"/>
    </row>
    <row r="525" spans="1:2" x14ac:dyDescent="0.2">
      <c r="A525" s="102"/>
      <c r="B525" s="116"/>
    </row>
    <row r="526" spans="1:2" x14ac:dyDescent="0.2">
      <c r="A526" s="102"/>
      <c r="B526" s="116"/>
    </row>
    <row r="527" spans="1:2" x14ac:dyDescent="0.2">
      <c r="A527" s="102"/>
      <c r="B527" s="116"/>
    </row>
    <row r="528" spans="1:2" x14ac:dyDescent="0.2">
      <c r="A528" s="102"/>
      <c r="B528" s="116"/>
    </row>
    <row r="529" spans="1:2" x14ac:dyDescent="0.2">
      <c r="A529" s="102"/>
      <c r="B529" s="116"/>
    </row>
    <row r="530" spans="1:2" x14ac:dyDescent="0.2">
      <c r="A530" s="102"/>
      <c r="B530" s="116"/>
    </row>
    <row r="531" spans="1:2" x14ac:dyDescent="0.2">
      <c r="A531" s="102"/>
      <c r="B531" s="116"/>
    </row>
    <row r="532" spans="1:2" x14ac:dyDescent="0.2">
      <c r="A532" s="102"/>
      <c r="B532" s="116"/>
    </row>
    <row r="533" spans="1:2" x14ac:dyDescent="0.2">
      <c r="A533" s="102"/>
      <c r="B533" s="116"/>
    </row>
    <row r="534" spans="1:2" x14ac:dyDescent="0.2">
      <c r="A534" s="102"/>
      <c r="B534" s="116"/>
    </row>
    <row r="535" spans="1:2" x14ac:dyDescent="0.2">
      <c r="A535" s="102"/>
      <c r="B535" s="116"/>
    </row>
    <row r="536" spans="1:2" x14ac:dyDescent="0.2">
      <c r="A536" s="102"/>
      <c r="B536" s="116"/>
    </row>
    <row r="537" spans="1:2" x14ac:dyDescent="0.2">
      <c r="A537" s="102"/>
      <c r="B537" s="116"/>
    </row>
    <row r="538" spans="1:2" x14ac:dyDescent="0.2">
      <c r="A538" s="102"/>
      <c r="B538" s="116"/>
    </row>
    <row r="539" spans="1:2" x14ac:dyDescent="0.2">
      <c r="A539" s="102"/>
      <c r="B539" s="116"/>
    </row>
    <row r="540" spans="1:2" x14ac:dyDescent="0.2">
      <c r="A540" s="102"/>
      <c r="B540" s="116"/>
    </row>
    <row r="541" spans="1:2" x14ac:dyDescent="0.2">
      <c r="A541" s="102"/>
      <c r="B541" s="116"/>
    </row>
    <row r="542" spans="1:2" x14ac:dyDescent="0.2">
      <c r="A542" s="102"/>
      <c r="B542" s="116"/>
    </row>
    <row r="543" spans="1:2" x14ac:dyDescent="0.2">
      <c r="A543" s="102"/>
      <c r="B543" s="116"/>
    </row>
    <row r="544" spans="1:2" x14ac:dyDescent="0.2">
      <c r="A544" s="102"/>
      <c r="B544" s="116"/>
    </row>
    <row r="545" spans="1:2" x14ac:dyDescent="0.2">
      <c r="A545" s="102"/>
      <c r="B545" s="116"/>
    </row>
    <row r="546" spans="1:2" x14ac:dyDescent="0.2">
      <c r="A546" s="102"/>
      <c r="B546" s="116"/>
    </row>
    <row r="547" spans="1:2" x14ac:dyDescent="0.2">
      <c r="A547" s="102"/>
      <c r="B547" s="116"/>
    </row>
    <row r="548" spans="1:2" x14ac:dyDescent="0.2">
      <c r="A548" s="102"/>
      <c r="B548" s="116"/>
    </row>
    <row r="549" spans="1:2" x14ac:dyDescent="0.2">
      <c r="A549" s="102"/>
      <c r="B549" s="116"/>
    </row>
    <row r="550" spans="1:2" x14ac:dyDescent="0.2">
      <c r="A550" s="102"/>
      <c r="B550" s="116"/>
    </row>
    <row r="551" spans="1:2" x14ac:dyDescent="0.2">
      <c r="A551" s="102"/>
      <c r="B551" s="116"/>
    </row>
    <row r="552" spans="1:2" x14ac:dyDescent="0.2">
      <c r="A552" s="102"/>
      <c r="B552" s="116"/>
    </row>
    <row r="553" spans="1:2" x14ac:dyDescent="0.2">
      <c r="A553" s="102"/>
      <c r="B553" s="116"/>
    </row>
    <row r="554" spans="1:2" x14ac:dyDescent="0.2">
      <c r="A554" s="102"/>
      <c r="B554" s="116"/>
    </row>
    <row r="555" spans="1:2" x14ac:dyDescent="0.2">
      <c r="A555" s="102"/>
      <c r="B555" s="116"/>
    </row>
    <row r="556" spans="1:2" x14ac:dyDescent="0.2">
      <c r="A556" s="102"/>
      <c r="B556" s="116"/>
    </row>
    <row r="557" spans="1:2" x14ac:dyDescent="0.2">
      <c r="A557" s="102"/>
      <c r="B557" s="116"/>
    </row>
    <row r="558" spans="1:2" x14ac:dyDescent="0.2">
      <c r="A558" s="102"/>
      <c r="B558" s="116"/>
    </row>
    <row r="559" spans="1:2" x14ac:dyDescent="0.2">
      <c r="A559" s="102"/>
      <c r="B559" s="116"/>
    </row>
    <row r="560" spans="1:2" x14ac:dyDescent="0.2">
      <c r="A560" s="102"/>
      <c r="B560" s="116"/>
    </row>
    <row r="561" spans="1:2" x14ac:dyDescent="0.2">
      <c r="A561" s="102"/>
      <c r="B561" s="116"/>
    </row>
    <row r="562" spans="1:2" x14ac:dyDescent="0.2">
      <c r="A562" s="102"/>
      <c r="B562" s="116"/>
    </row>
    <row r="563" spans="1:2" x14ac:dyDescent="0.2">
      <c r="A563" s="102"/>
      <c r="B563" s="116"/>
    </row>
    <row r="564" spans="1:2" x14ac:dyDescent="0.2">
      <c r="A564" s="102"/>
      <c r="B564" s="116"/>
    </row>
    <row r="565" spans="1:2" x14ac:dyDescent="0.2">
      <c r="A565" s="102"/>
      <c r="B565" s="116"/>
    </row>
    <row r="566" spans="1:2" x14ac:dyDescent="0.2">
      <c r="A566" s="102"/>
      <c r="B566" s="116"/>
    </row>
    <row r="567" spans="1:2" x14ac:dyDescent="0.2">
      <c r="A567" s="102"/>
      <c r="B567" s="116"/>
    </row>
    <row r="568" spans="1:2" x14ac:dyDescent="0.2">
      <c r="A568" s="102"/>
      <c r="B568" s="116"/>
    </row>
    <row r="569" spans="1:2" x14ac:dyDescent="0.2">
      <c r="A569" s="102"/>
      <c r="B569" s="116"/>
    </row>
    <row r="570" spans="1:2" x14ac:dyDescent="0.2">
      <c r="A570" s="102"/>
      <c r="B570" s="116"/>
    </row>
    <row r="571" spans="1:2" x14ac:dyDescent="0.2">
      <c r="A571" s="102"/>
      <c r="B571" s="116"/>
    </row>
    <row r="572" spans="1:2" x14ac:dyDescent="0.2">
      <c r="A572" s="102"/>
      <c r="B572" s="116"/>
    </row>
    <row r="573" spans="1:2" x14ac:dyDescent="0.2">
      <c r="A573" s="102"/>
      <c r="B573" s="116"/>
    </row>
    <row r="574" spans="1:2" x14ac:dyDescent="0.2">
      <c r="A574" s="102"/>
      <c r="B574" s="116"/>
    </row>
    <row r="575" spans="1:2" x14ac:dyDescent="0.2">
      <c r="A575" s="102"/>
      <c r="B575" s="116"/>
    </row>
    <row r="576" spans="1:2" x14ac:dyDescent="0.2">
      <c r="A576" s="102"/>
      <c r="B576" s="116"/>
    </row>
    <row r="577" spans="1:2" x14ac:dyDescent="0.2">
      <c r="A577" s="102"/>
      <c r="B577" s="116"/>
    </row>
    <row r="578" spans="1:2" x14ac:dyDescent="0.2">
      <c r="A578" s="102"/>
      <c r="B578" s="116"/>
    </row>
    <row r="579" spans="1:2" x14ac:dyDescent="0.2">
      <c r="A579" s="102"/>
      <c r="B579" s="116"/>
    </row>
    <row r="580" spans="1:2" x14ac:dyDescent="0.2">
      <c r="A580" s="102"/>
      <c r="B580" s="116"/>
    </row>
    <row r="581" spans="1:2" x14ac:dyDescent="0.2">
      <c r="A581" s="102"/>
      <c r="B581" s="116"/>
    </row>
    <row r="582" spans="1:2" x14ac:dyDescent="0.2">
      <c r="A582" s="102"/>
      <c r="B582" s="116"/>
    </row>
    <row r="583" spans="1:2" x14ac:dyDescent="0.2">
      <c r="A583" s="102"/>
      <c r="B583" s="116"/>
    </row>
    <row r="584" spans="1:2" x14ac:dyDescent="0.2">
      <c r="A584" s="102"/>
      <c r="B584" s="116"/>
    </row>
    <row r="585" spans="1:2" x14ac:dyDescent="0.2">
      <c r="A585" s="102"/>
      <c r="B585" s="116"/>
    </row>
    <row r="586" spans="1:2" x14ac:dyDescent="0.2">
      <c r="A586" s="102"/>
      <c r="B586" s="116"/>
    </row>
    <row r="587" spans="1:2" x14ac:dyDescent="0.2">
      <c r="A587" s="102"/>
      <c r="B587" s="116"/>
    </row>
    <row r="588" spans="1:2" x14ac:dyDescent="0.2">
      <c r="A588" s="102"/>
      <c r="B588" s="116"/>
    </row>
    <row r="589" spans="1:2" x14ac:dyDescent="0.2">
      <c r="A589" s="102"/>
      <c r="B589" s="116"/>
    </row>
    <row r="590" spans="1:2" x14ac:dyDescent="0.2">
      <c r="A590" s="102"/>
      <c r="B590" s="116"/>
    </row>
    <row r="591" spans="1:2" x14ac:dyDescent="0.2">
      <c r="A591" s="102"/>
      <c r="B591" s="116"/>
    </row>
    <row r="592" spans="1:2" x14ac:dyDescent="0.2">
      <c r="A592" s="102"/>
      <c r="B592" s="116"/>
    </row>
    <row r="593" spans="1:2" x14ac:dyDescent="0.2">
      <c r="A593" s="102"/>
      <c r="B593" s="116"/>
    </row>
    <row r="594" spans="1:2" x14ac:dyDescent="0.2">
      <c r="A594" s="102"/>
      <c r="B594" s="116"/>
    </row>
    <row r="595" spans="1:2" x14ac:dyDescent="0.2">
      <c r="A595" s="102"/>
      <c r="B595" s="116"/>
    </row>
    <row r="596" spans="1:2" x14ac:dyDescent="0.2">
      <c r="A596" s="102"/>
      <c r="B596" s="116"/>
    </row>
    <row r="597" spans="1:2" x14ac:dyDescent="0.2">
      <c r="A597" s="102"/>
      <c r="B597" s="116"/>
    </row>
    <row r="598" spans="1:2" x14ac:dyDescent="0.2">
      <c r="A598" s="102"/>
      <c r="B598" s="116"/>
    </row>
    <row r="599" spans="1:2" x14ac:dyDescent="0.2">
      <c r="A599" s="102"/>
      <c r="B599" s="116"/>
    </row>
    <row r="600" spans="1:2" x14ac:dyDescent="0.2">
      <c r="A600" s="102"/>
      <c r="B600" s="116"/>
    </row>
    <row r="601" spans="1:2" x14ac:dyDescent="0.2">
      <c r="A601" s="102"/>
      <c r="B601" s="116"/>
    </row>
    <row r="602" spans="1:2" x14ac:dyDescent="0.2">
      <c r="A602" s="102"/>
      <c r="B602" s="116"/>
    </row>
    <row r="603" spans="1:2" x14ac:dyDescent="0.2">
      <c r="A603" s="102"/>
      <c r="B603" s="116"/>
    </row>
    <row r="604" spans="1:2" x14ac:dyDescent="0.2">
      <c r="A604" s="102"/>
      <c r="B604" s="116"/>
    </row>
    <row r="605" spans="1:2" x14ac:dyDescent="0.2">
      <c r="A605" s="102"/>
      <c r="B605" s="116"/>
    </row>
    <row r="606" spans="1:2" x14ac:dyDescent="0.2">
      <c r="A606" s="102"/>
      <c r="B606" s="116"/>
    </row>
    <row r="607" spans="1:2" x14ac:dyDescent="0.2">
      <c r="A607" s="102"/>
      <c r="B607" s="116"/>
    </row>
    <row r="608" spans="1:2" x14ac:dyDescent="0.2">
      <c r="A608" s="102"/>
      <c r="B608" s="116"/>
    </row>
    <row r="609" spans="1:2" x14ac:dyDescent="0.2">
      <c r="A609" s="102"/>
      <c r="B609" s="116"/>
    </row>
    <row r="610" spans="1:2" x14ac:dyDescent="0.2">
      <c r="A610" s="102"/>
      <c r="B610" s="116"/>
    </row>
    <row r="611" spans="1:2" x14ac:dyDescent="0.2">
      <c r="A611" s="102"/>
      <c r="B611" s="116"/>
    </row>
    <row r="612" spans="1:2" x14ac:dyDescent="0.2">
      <c r="A612" s="102"/>
      <c r="B612" s="116"/>
    </row>
    <row r="613" spans="1:2" x14ac:dyDescent="0.2">
      <c r="A613" s="102"/>
      <c r="B613" s="116"/>
    </row>
    <row r="614" spans="1:2" x14ac:dyDescent="0.2">
      <c r="A614" s="102"/>
      <c r="B614" s="116"/>
    </row>
    <row r="615" spans="1:2" x14ac:dyDescent="0.2">
      <c r="A615" s="102"/>
      <c r="B615" s="116"/>
    </row>
    <row r="616" spans="1:2" x14ac:dyDescent="0.2">
      <c r="A616" s="102"/>
      <c r="B616" s="116"/>
    </row>
    <row r="617" spans="1:2" x14ac:dyDescent="0.2">
      <c r="A617" s="102"/>
      <c r="B617" s="116"/>
    </row>
    <row r="618" spans="1:2" x14ac:dyDescent="0.2">
      <c r="A618" s="102"/>
      <c r="B618" s="116"/>
    </row>
    <row r="619" spans="1:2" x14ac:dyDescent="0.2">
      <c r="A619" s="102"/>
      <c r="B619" s="116"/>
    </row>
    <row r="620" spans="1:2" x14ac:dyDescent="0.2">
      <c r="A620" s="102"/>
      <c r="B620" s="116"/>
    </row>
    <row r="621" spans="1:2" x14ac:dyDescent="0.2">
      <c r="A621" s="102"/>
      <c r="B621" s="116"/>
    </row>
    <row r="622" spans="1:2" x14ac:dyDescent="0.2">
      <c r="A622" s="102"/>
      <c r="B622" s="116"/>
    </row>
    <row r="623" spans="1:2" x14ac:dyDescent="0.2">
      <c r="A623" s="102"/>
      <c r="B623" s="116"/>
    </row>
    <row r="624" spans="1:2" x14ac:dyDescent="0.2">
      <c r="A624" s="102"/>
      <c r="B624" s="116"/>
    </row>
    <row r="625" spans="1:2" x14ac:dyDescent="0.2">
      <c r="A625" s="102"/>
      <c r="B625" s="116"/>
    </row>
    <row r="626" spans="1:2" x14ac:dyDescent="0.2">
      <c r="A626" s="102"/>
      <c r="B626" s="116"/>
    </row>
    <row r="627" spans="1:2" x14ac:dyDescent="0.2">
      <c r="A627" s="102"/>
      <c r="B627" s="116"/>
    </row>
    <row r="628" spans="1:2" x14ac:dyDescent="0.2">
      <c r="A628" s="102"/>
      <c r="B628" s="116"/>
    </row>
    <row r="629" spans="1:2" x14ac:dyDescent="0.2">
      <c r="A629" s="102"/>
      <c r="B629" s="116"/>
    </row>
    <row r="630" spans="1:2" x14ac:dyDescent="0.2">
      <c r="A630" s="102"/>
      <c r="B630" s="116"/>
    </row>
    <row r="631" spans="1:2" x14ac:dyDescent="0.2">
      <c r="A631" s="102"/>
      <c r="B631" s="116"/>
    </row>
    <row r="632" spans="1:2" x14ac:dyDescent="0.2">
      <c r="A632" s="102"/>
      <c r="B632" s="116"/>
    </row>
    <row r="633" spans="1:2" x14ac:dyDescent="0.2">
      <c r="A633" s="102"/>
      <c r="B633" s="116"/>
    </row>
    <row r="634" spans="1:2" x14ac:dyDescent="0.2">
      <c r="A634" s="102"/>
      <c r="B634" s="116"/>
    </row>
    <row r="635" spans="1:2" x14ac:dyDescent="0.2">
      <c r="A635" s="102"/>
      <c r="B635" s="116"/>
    </row>
    <row r="636" spans="1:2" x14ac:dyDescent="0.2">
      <c r="A636" s="102"/>
      <c r="B636" s="116"/>
    </row>
    <row r="637" spans="1:2" x14ac:dyDescent="0.2">
      <c r="A637" s="102"/>
      <c r="B637" s="116"/>
    </row>
    <row r="638" spans="1:2" x14ac:dyDescent="0.2">
      <c r="A638" s="102"/>
      <c r="B638" s="116"/>
    </row>
    <row r="639" spans="1:2" x14ac:dyDescent="0.2">
      <c r="A639" s="102"/>
      <c r="B639" s="116"/>
    </row>
    <row r="640" spans="1:2" x14ac:dyDescent="0.2">
      <c r="A640" s="102"/>
      <c r="B640" s="116"/>
    </row>
    <row r="641" spans="1:2" x14ac:dyDescent="0.2">
      <c r="A641" s="102"/>
      <c r="B641" s="116"/>
    </row>
    <row r="642" spans="1:2" x14ac:dyDescent="0.2">
      <c r="A642" s="102"/>
      <c r="B642" s="116"/>
    </row>
    <row r="643" spans="1:2" x14ac:dyDescent="0.2">
      <c r="A643" s="102"/>
      <c r="B643" s="116"/>
    </row>
    <row r="644" spans="1:2" x14ac:dyDescent="0.2">
      <c r="A644" s="102"/>
      <c r="B644" s="116"/>
    </row>
    <row r="645" spans="1:2" x14ac:dyDescent="0.2">
      <c r="A645" s="102"/>
      <c r="B645" s="116"/>
    </row>
    <row r="646" spans="1:2" x14ac:dyDescent="0.2">
      <c r="A646" s="102"/>
      <c r="B646" s="116"/>
    </row>
    <row r="647" spans="1:2" x14ac:dyDescent="0.2">
      <c r="A647" s="102"/>
      <c r="B647" s="116"/>
    </row>
    <row r="648" spans="1:2" x14ac:dyDescent="0.2">
      <c r="A648" s="102"/>
      <c r="B648" s="116"/>
    </row>
    <row r="649" spans="1:2" x14ac:dyDescent="0.2">
      <c r="A649" s="102"/>
      <c r="B649" s="116"/>
    </row>
    <row r="650" spans="1:2" x14ac:dyDescent="0.2">
      <c r="A650" s="102"/>
      <c r="B650" s="116"/>
    </row>
    <row r="651" spans="1:2" x14ac:dyDescent="0.2">
      <c r="A651" s="102"/>
      <c r="B651" s="116"/>
    </row>
    <row r="652" spans="1:2" x14ac:dyDescent="0.2">
      <c r="A652" s="102"/>
      <c r="B652" s="116"/>
    </row>
    <row r="653" spans="1:2" x14ac:dyDescent="0.2">
      <c r="A653" s="102"/>
      <c r="B653" s="116"/>
    </row>
    <row r="654" spans="1:2" x14ac:dyDescent="0.2">
      <c r="A654" s="102"/>
      <c r="B654" s="116"/>
    </row>
    <row r="655" spans="1:2" x14ac:dyDescent="0.2">
      <c r="A655" s="102"/>
      <c r="B655" s="116"/>
    </row>
    <row r="656" spans="1:2" x14ac:dyDescent="0.2">
      <c r="A656" s="102"/>
      <c r="B656" s="116"/>
    </row>
    <row r="657" spans="1:2" x14ac:dyDescent="0.2">
      <c r="A657" s="102"/>
      <c r="B657" s="116"/>
    </row>
    <row r="658" spans="1:2" x14ac:dyDescent="0.2">
      <c r="A658" s="102"/>
      <c r="B658" s="116"/>
    </row>
    <row r="659" spans="1:2" x14ac:dyDescent="0.2">
      <c r="A659" s="102"/>
      <c r="B659" s="116"/>
    </row>
    <row r="660" spans="1:2" x14ac:dyDescent="0.2">
      <c r="A660" s="102"/>
      <c r="B660" s="116"/>
    </row>
    <row r="661" spans="1:2" x14ac:dyDescent="0.2">
      <c r="A661" s="102"/>
      <c r="B661" s="116"/>
    </row>
    <row r="662" spans="1:2" x14ac:dyDescent="0.2">
      <c r="A662" s="102"/>
      <c r="B662" s="116"/>
    </row>
    <row r="663" spans="1:2" x14ac:dyDescent="0.2">
      <c r="A663" s="102"/>
      <c r="B663" s="116"/>
    </row>
    <row r="664" spans="1:2" x14ac:dyDescent="0.2">
      <c r="A664" s="102"/>
      <c r="B664" s="116"/>
    </row>
    <row r="665" spans="1:2" x14ac:dyDescent="0.2">
      <c r="A665" s="102"/>
      <c r="B665" s="116"/>
    </row>
    <row r="666" spans="1:2" x14ac:dyDescent="0.2">
      <c r="A666" s="102"/>
      <c r="B666" s="116"/>
    </row>
    <row r="667" spans="1:2" x14ac:dyDescent="0.2">
      <c r="A667" s="102"/>
      <c r="B667" s="116"/>
    </row>
    <row r="668" spans="1:2" x14ac:dyDescent="0.2">
      <c r="A668" s="102"/>
      <c r="B668" s="116"/>
    </row>
    <row r="669" spans="1:2" x14ac:dyDescent="0.2">
      <c r="A669" s="102"/>
      <c r="B669" s="116"/>
    </row>
    <row r="670" spans="1:2" x14ac:dyDescent="0.2">
      <c r="A670" s="102"/>
      <c r="B670" s="116"/>
    </row>
    <row r="671" spans="1:2" x14ac:dyDescent="0.2">
      <c r="A671" s="102"/>
      <c r="B671" s="116"/>
    </row>
    <row r="672" spans="1:2" x14ac:dyDescent="0.2">
      <c r="A672" s="102"/>
      <c r="B672" s="116"/>
    </row>
    <row r="673" spans="1:2" x14ac:dyDescent="0.2">
      <c r="A673" s="102"/>
      <c r="B673" s="116"/>
    </row>
    <row r="674" spans="1:2" x14ac:dyDescent="0.2">
      <c r="A674" s="102"/>
      <c r="B674" s="116"/>
    </row>
    <row r="675" spans="1:2" x14ac:dyDescent="0.2">
      <c r="A675" s="102"/>
      <c r="B675" s="116"/>
    </row>
    <row r="676" spans="1:2" x14ac:dyDescent="0.2">
      <c r="A676" s="102"/>
      <c r="B676" s="116"/>
    </row>
    <row r="677" spans="1:2" x14ac:dyDescent="0.2">
      <c r="A677" s="102"/>
      <c r="B677" s="116"/>
    </row>
    <row r="678" spans="1:2" x14ac:dyDescent="0.2">
      <c r="A678" s="102"/>
      <c r="B678" s="116"/>
    </row>
    <row r="679" spans="1:2" x14ac:dyDescent="0.2">
      <c r="A679" s="102"/>
      <c r="B679" s="116"/>
    </row>
    <row r="680" spans="1:2" x14ac:dyDescent="0.2">
      <c r="A680" s="102"/>
      <c r="B680" s="116"/>
    </row>
    <row r="681" spans="1:2" x14ac:dyDescent="0.2">
      <c r="A681" s="102"/>
      <c r="B681" s="116"/>
    </row>
    <row r="682" spans="1:2" x14ac:dyDescent="0.2">
      <c r="A682" s="102"/>
      <c r="B682" s="116"/>
    </row>
    <row r="683" spans="1:2" x14ac:dyDescent="0.2">
      <c r="A683" s="102"/>
      <c r="B683" s="116"/>
    </row>
    <row r="684" spans="1:2" x14ac:dyDescent="0.2">
      <c r="A684" s="102"/>
      <c r="B684" s="116"/>
    </row>
    <row r="685" spans="1:2" x14ac:dyDescent="0.2">
      <c r="A685" s="102"/>
      <c r="B685" s="116"/>
    </row>
    <row r="686" spans="1:2" x14ac:dyDescent="0.2">
      <c r="A686" s="102"/>
      <c r="B686" s="116"/>
    </row>
    <row r="687" spans="1:2" x14ac:dyDescent="0.2">
      <c r="A687" s="102"/>
      <c r="B687" s="116"/>
    </row>
    <row r="688" spans="1:2" x14ac:dyDescent="0.2">
      <c r="A688" s="102"/>
      <c r="B688" s="116"/>
    </row>
    <row r="689" spans="1:2" x14ac:dyDescent="0.2">
      <c r="A689" s="102"/>
      <c r="B689" s="116"/>
    </row>
    <row r="690" spans="1:2" x14ac:dyDescent="0.2">
      <c r="A690" s="102"/>
      <c r="B690" s="116"/>
    </row>
    <row r="691" spans="1:2" x14ac:dyDescent="0.2">
      <c r="A691" s="102"/>
      <c r="B691" s="116"/>
    </row>
    <row r="692" spans="1:2" x14ac:dyDescent="0.2">
      <c r="A692" s="102"/>
      <c r="B692" s="116"/>
    </row>
    <row r="693" spans="1:2" x14ac:dyDescent="0.2">
      <c r="A693" s="102"/>
      <c r="B693" s="116"/>
    </row>
    <row r="694" spans="1:2" x14ac:dyDescent="0.2">
      <c r="A694" s="102"/>
      <c r="B694" s="116"/>
    </row>
    <row r="695" spans="1:2" x14ac:dyDescent="0.2">
      <c r="A695" s="102"/>
      <c r="B695" s="116"/>
    </row>
    <row r="696" spans="1:2" x14ac:dyDescent="0.2">
      <c r="A696" s="102"/>
      <c r="B696" s="116"/>
    </row>
    <row r="697" spans="1:2" x14ac:dyDescent="0.2">
      <c r="A697" s="102"/>
      <c r="B697" s="116"/>
    </row>
    <row r="698" spans="1:2" x14ac:dyDescent="0.2">
      <c r="A698" s="102"/>
      <c r="B698" s="116"/>
    </row>
    <row r="699" spans="1:2" x14ac:dyDescent="0.2">
      <c r="A699" s="102"/>
      <c r="B699" s="116"/>
    </row>
    <row r="700" spans="1:2" x14ac:dyDescent="0.2">
      <c r="A700" s="102"/>
      <c r="B700" s="116"/>
    </row>
    <row r="701" spans="1:2" x14ac:dyDescent="0.2">
      <c r="A701" s="102"/>
      <c r="B701" s="116"/>
    </row>
    <row r="702" spans="1:2" x14ac:dyDescent="0.2">
      <c r="A702" s="102"/>
      <c r="B702" s="116"/>
    </row>
    <row r="703" spans="1:2" x14ac:dyDescent="0.2">
      <c r="A703" s="102"/>
      <c r="B703" s="116"/>
    </row>
    <row r="704" spans="1:2" x14ac:dyDescent="0.2">
      <c r="A704" s="102"/>
      <c r="B704" s="116"/>
    </row>
    <row r="705" spans="1:2" x14ac:dyDescent="0.2">
      <c r="A705" s="102"/>
      <c r="B705" s="116"/>
    </row>
    <row r="706" spans="1:2" x14ac:dyDescent="0.2">
      <c r="A706" s="102"/>
      <c r="B706" s="116"/>
    </row>
    <row r="707" spans="1:2" x14ac:dyDescent="0.2">
      <c r="A707" s="102"/>
      <c r="B707" s="116"/>
    </row>
    <row r="708" spans="1:2" x14ac:dyDescent="0.2">
      <c r="A708" s="102"/>
      <c r="B708" s="116"/>
    </row>
    <row r="709" spans="1:2" x14ac:dyDescent="0.2">
      <c r="A709" s="102"/>
      <c r="B709" s="116"/>
    </row>
    <row r="710" spans="1:2" x14ac:dyDescent="0.2">
      <c r="A710" s="102"/>
      <c r="B710" s="116"/>
    </row>
    <row r="711" spans="1:2" x14ac:dyDescent="0.2">
      <c r="A711" s="102"/>
      <c r="B711" s="116"/>
    </row>
    <row r="712" spans="1:2" x14ac:dyDescent="0.2">
      <c r="A712" s="102"/>
      <c r="B712" s="116"/>
    </row>
    <row r="713" spans="1:2" x14ac:dyDescent="0.2">
      <c r="A713" s="102"/>
      <c r="B713" s="116"/>
    </row>
    <row r="714" spans="1:2" x14ac:dyDescent="0.2">
      <c r="A714" s="102"/>
      <c r="B714" s="116"/>
    </row>
    <row r="715" spans="1:2" x14ac:dyDescent="0.2">
      <c r="A715" s="102"/>
      <c r="B715" s="116"/>
    </row>
    <row r="716" spans="1:2" x14ac:dyDescent="0.2">
      <c r="A716" s="102"/>
      <c r="B716" s="116"/>
    </row>
    <row r="717" spans="1:2" x14ac:dyDescent="0.2">
      <c r="A717" s="102"/>
      <c r="B717" s="116"/>
    </row>
    <row r="718" spans="1:2" x14ac:dyDescent="0.2">
      <c r="A718" s="102"/>
      <c r="B718" s="116"/>
    </row>
    <row r="719" spans="1:2" x14ac:dyDescent="0.2">
      <c r="A719" s="102"/>
      <c r="B719" s="116"/>
    </row>
    <row r="720" spans="1:2" x14ac:dyDescent="0.2">
      <c r="A720" s="102"/>
      <c r="B720" s="116"/>
    </row>
    <row r="721" spans="1:2" x14ac:dyDescent="0.2">
      <c r="A721" s="102"/>
      <c r="B721" s="116"/>
    </row>
    <row r="722" spans="1:2" x14ac:dyDescent="0.2">
      <c r="A722" s="102"/>
      <c r="B722" s="116"/>
    </row>
    <row r="723" spans="1:2" x14ac:dyDescent="0.2">
      <c r="A723" s="102"/>
      <c r="B723" s="116"/>
    </row>
    <row r="724" spans="1:2" x14ac:dyDescent="0.2">
      <c r="A724" s="102"/>
      <c r="B724" s="116"/>
    </row>
    <row r="725" spans="1:2" x14ac:dyDescent="0.2">
      <c r="A725" s="102"/>
      <c r="B725" s="116"/>
    </row>
    <row r="726" spans="1:2" x14ac:dyDescent="0.2">
      <c r="A726" s="102"/>
      <c r="B726" s="116"/>
    </row>
    <row r="727" spans="1:2" x14ac:dyDescent="0.2">
      <c r="A727" s="102"/>
      <c r="B727" s="116"/>
    </row>
    <row r="728" spans="1:2" x14ac:dyDescent="0.2">
      <c r="A728" s="102"/>
      <c r="B728" s="116"/>
    </row>
    <row r="729" spans="1:2" x14ac:dyDescent="0.2">
      <c r="A729" s="102"/>
      <c r="B729" s="116"/>
    </row>
    <row r="730" spans="1:2" x14ac:dyDescent="0.2">
      <c r="A730" s="102"/>
      <c r="B730" s="116"/>
    </row>
    <row r="731" spans="1:2" x14ac:dyDescent="0.2">
      <c r="A731" s="102"/>
      <c r="B731" s="116"/>
    </row>
    <row r="732" spans="1:2" x14ac:dyDescent="0.2">
      <c r="A732" s="102"/>
      <c r="B732" s="116"/>
    </row>
    <row r="733" spans="1:2" x14ac:dyDescent="0.2">
      <c r="A733" s="102"/>
      <c r="B733" s="116"/>
    </row>
    <row r="734" spans="1:2" x14ac:dyDescent="0.2">
      <c r="A734" s="102"/>
      <c r="B734" s="116"/>
    </row>
    <row r="735" spans="1:2" x14ac:dyDescent="0.2">
      <c r="A735" s="102"/>
      <c r="B735" s="116"/>
    </row>
    <row r="736" spans="1:2" x14ac:dyDescent="0.2">
      <c r="A736" s="102"/>
      <c r="B736" s="116"/>
    </row>
    <row r="737" spans="1:2" x14ac:dyDescent="0.2">
      <c r="A737" s="102"/>
      <c r="B737" s="116"/>
    </row>
    <row r="738" spans="1:2" x14ac:dyDescent="0.2">
      <c r="A738" s="102"/>
      <c r="B738" s="116"/>
    </row>
    <row r="739" spans="1:2" x14ac:dyDescent="0.2">
      <c r="A739" s="102"/>
      <c r="B739" s="116"/>
    </row>
    <row r="740" spans="1:2" x14ac:dyDescent="0.2">
      <c r="A740" s="102"/>
      <c r="B740" s="116"/>
    </row>
    <row r="741" spans="1:2" x14ac:dyDescent="0.2">
      <c r="A741" s="102"/>
      <c r="B741" s="116"/>
    </row>
    <row r="742" spans="1:2" x14ac:dyDescent="0.2">
      <c r="A742" s="102"/>
      <c r="B742" s="116"/>
    </row>
    <row r="743" spans="1:2" x14ac:dyDescent="0.2">
      <c r="A743" s="102"/>
      <c r="B743" s="116"/>
    </row>
    <row r="744" spans="1:2" x14ac:dyDescent="0.2">
      <c r="A744" s="102"/>
      <c r="B744" s="116"/>
    </row>
    <row r="745" spans="1:2" x14ac:dyDescent="0.2">
      <c r="A745" s="102"/>
      <c r="B745" s="116"/>
    </row>
    <row r="746" spans="1:2" x14ac:dyDescent="0.2">
      <c r="A746" s="102"/>
      <c r="B746" s="116"/>
    </row>
    <row r="747" spans="1:2" x14ac:dyDescent="0.2">
      <c r="A747" s="102"/>
      <c r="B747" s="116"/>
    </row>
    <row r="748" spans="1:2" x14ac:dyDescent="0.2">
      <c r="A748" s="102"/>
      <c r="B748" s="116"/>
    </row>
    <row r="749" spans="1:2" x14ac:dyDescent="0.2">
      <c r="A749" s="102"/>
      <c r="B749" s="116"/>
    </row>
    <row r="750" spans="1:2" x14ac:dyDescent="0.2">
      <c r="A750" s="102"/>
      <c r="B750" s="116"/>
    </row>
    <row r="751" spans="1:2" x14ac:dyDescent="0.2">
      <c r="A751" s="102"/>
      <c r="B751" s="116"/>
    </row>
    <row r="752" spans="1:2" x14ac:dyDescent="0.2">
      <c r="A752" s="102"/>
      <c r="B752" s="116"/>
    </row>
    <row r="753" spans="1:2" x14ac:dyDescent="0.2">
      <c r="A753" s="102"/>
      <c r="B753" s="116"/>
    </row>
    <row r="754" spans="1:2" x14ac:dyDescent="0.2">
      <c r="A754" s="102"/>
      <c r="B754" s="116"/>
    </row>
    <row r="755" spans="1:2" x14ac:dyDescent="0.2">
      <c r="A755" s="102"/>
      <c r="B755" s="116"/>
    </row>
    <row r="756" spans="1:2" x14ac:dyDescent="0.2">
      <c r="A756" s="102"/>
      <c r="B756" s="116"/>
    </row>
    <row r="757" spans="1:2" x14ac:dyDescent="0.2">
      <c r="A757" s="102"/>
      <c r="B757" s="116"/>
    </row>
    <row r="758" spans="1:2" x14ac:dyDescent="0.2">
      <c r="A758" s="102"/>
      <c r="B758" s="116"/>
    </row>
    <row r="759" spans="1:2" x14ac:dyDescent="0.2">
      <c r="A759" s="102"/>
      <c r="B759" s="116"/>
    </row>
    <row r="760" spans="1:2" x14ac:dyDescent="0.2">
      <c r="A760" s="102"/>
      <c r="B760" s="116"/>
    </row>
    <row r="761" spans="1:2" x14ac:dyDescent="0.2">
      <c r="A761" s="102"/>
      <c r="B761" s="116"/>
    </row>
    <row r="762" spans="1:2" x14ac:dyDescent="0.2">
      <c r="A762" s="102"/>
      <c r="B762" s="116"/>
    </row>
    <row r="763" spans="1:2" x14ac:dyDescent="0.2">
      <c r="A763" s="102"/>
      <c r="B763" s="116"/>
    </row>
    <row r="764" spans="1:2" x14ac:dyDescent="0.2">
      <c r="A764" s="102"/>
      <c r="B764" s="116"/>
    </row>
    <row r="765" spans="1:2" x14ac:dyDescent="0.2">
      <c r="A765" s="102"/>
      <c r="B765" s="116"/>
    </row>
    <row r="766" spans="1:2" x14ac:dyDescent="0.2">
      <c r="A766" s="102"/>
      <c r="B766" s="116"/>
    </row>
    <row r="767" spans="1:2" x14ac:dyDescent="0.2">
      <c r="A767" s="102"/>
      <c r="B767" s="116"/>
    </row>
    <row r="768" spans="1:2" x14ac:dyDescent="0.2">
      <c r="A768" s="102"/>
      <c r="B768" s="116"/>
    </row>
    <row r="769" spans="1:2" x14ac:dyDescent="0.2">
      <c r="A769" s="102"/>
      <c r="B769" s="116"/>
    </row>
    <row r="770" spans="1:2" x14ac:dyDescent="0.2">
      <c r="A770" s="102"/>
      <c r="B770" s="116"/>
    </row>
    <row r="771" spans="1:2" x14ac:dyDescent="0.2">
      <c r="A771" s="102"/>
      <c r="B771" s="116"/>
    </row>
    <row r="772" spans="1:2" x14ac:dyDescent="0.2">
      <c r="A772" s="102"/>
      <c r="B772" s="116"/>
    </row>
    <row r="773" spans="1:2" x14ac:dyDescent="0.2">
      <c r="A773" s="102"/>
      <c r="B773" s="116"/>
    </row>
    <row r="774" spans="1:2" x14ac:dyDescent="0.2">
      <c r="A774" s="102"/>
      <c r="B774" s="116"/>
    </row>
    <row r="775" spans="1:2" x14ac:dyDescent="0.2">
      <c r="A775" s="102"/>
      <c r="B775" s="116"/>
    </row>
    <row r="776" spans="1:2" x14ac:dyDescent="0.2">
      <c r="A776" s="102"/>
      <c r="B776" s="116"/>
    </row>
    <row r="777" spans="1:2" x14ac:dyDescent="0.2">
      <c r="A777" s="102"/>
      <c r="B777" s="116"/>
    </row>
    <row r="778" spans="1:2" x14ac:dyDescent="0.2">
      <c r="A778" s="102"/>
      <c r="B778" s="116"/>
    </row>
    <row r="779" spans="1:2" x14ac:dyDescent="0.2">
      <c r="A779" s="102"/>
      <c r="B779" s="116"/>
    </row>
    <row r="780" spans="1:2" x14ac:dyDescent="0.2">
      <c r="A780" s="102"/>
      <c r="B780" s="116"/>
    </row>
    <row r="781" spans="1:2" x14ac:dyDescent="0.2">
      <c r="A781" s="102"/>
      <c r="B781" s="116"/>
    </row>
    <row r="782" spans="1:2" x14ac:dyDescent="0.2">
      <c r="A782" s="102"/>
      <c r="B782" s="116"/>
    </row>
    <row r="783" spans="1:2" x14ac:dyDescent="0.2">
      <c r="A783" s="102"/>
      <c r="B783" s="116"/>
    </row>
    <row r="784" spans="1:2" x14ac:dyDescent="0.2">
      <c r="A784" s="102"/>
      <c r="B784" s="116"/>
    </row>
    <row r="785" spans="1:2" x14ac:dyDescent="0.2">
      <c r="A785" s="102"/>
      <c r="B785" s="116"/>
    </row>
    <row r="786" spans="1:2" x14ac:dyDescent="0.2">
      <c r="A786" s="102"/>
      <c r="B786" s="116"/>
    </row>
    <row r="787" spans="1:2" x14ac:dyDescent="0.2">
      <c r="A787" s="102"/>
      <c r="B787" s="116"/>
    </row>
    <row r="788" spans="1:2" x14ac:dyDescent="0.2">
      <c r="A788" s="102"/>
      <c r="B788" s="116"/>
    </row>
    <row r="789" spans="1:2" x14ac:dyDescent="0.2">
      <c r="A789" s="102"/>
      <c r="B789" s="116"/>
    </row>
    <row r="790" spans="1:2" x14ac:dyDescent="0.2">
      <c r="A790" s="102"/>
      <c r="B790" s="116"/>
    </row>
    <row r="791" spans="1:2" x14ac:dyDescent="0.2">
      <c r="A791" s="102"/>
      <c r="B791" s="116"/>
    </row>
    <row r="792" spans="1:2" x14ac:dyDescent="0.2">
      <c r="A792" s="102"/>
      <c r="B792" s="116"/>
    </row>
    <row r="793" spans="1:2" x14ac:dyDescent="0.2">
      <c r="A793" s="102"/>
      <c r="B793" s="116"/>
    </row>
    <row r="794" spans="1:2" x14ac:dyDescent="0.2">
      <c r="A794" s="102"/>
      <c r="B794" s="116"/>
    </row>
    <row r="795" spans="1:2" x14ac:dyDescent="0.2">
      <c r="A795" s="102"/>
      <c r="B795" s="116"/>
    </row>
    <row r="796" spans="1:2" x14ac:dyDescent="0.2">
      <c r="A796" s="102"/>
      <c r="B796" s="116"/>
    </row>
    <row r="797" spans="1:2" x14ac:dyDescent="0.2">
      <c r="A797" s="102"/>
      <c r="B797" s="116"/>
    </row>
    <row r="798" spans="1:2" x14ac:dyDescent="0.2">
      <c r="A798" s="102"/>
      <c r="B798" s="116"/>
    </row>
    <row r="799" spans="1:2" x14ac:dyDescent="0.2">
      <c r="A799" s="102"/>
      <c r="B799" s="116"/>
    </row>
    <row r="800" spans="1:2" x14ac:dyDescent="0.2">
      <c r="A800" s="102"/>
      <c r="B800" s="116"/>
    </row>
    <row r="801" spans="1:2" x14ac:dyDescent="0.2">
      <c r="A801" s="102"/>
      <c r="B801" s="116"/>
    </row>
    <row r="802" spans="1:2" x14ac:dyDescent="0.2">
      <c r="A802" s="102"/>
      <c r="B802" s="116"/>
    </row>
    <row r="803" spans="1:2" x14ac:dyDescent="0.2">
      <c r="A803" s="102"/>
      <c r="B803" s="116"/>
    </row>
    <row r="804" spans="1:2" x14ac:dyDescent="0.2">
      <c r="A804" s="102"/>
      <c r="B804" s="116"/>
    </row>
    <row r="805" spans="1:2" x14ac:dyDescent="0.2">
      <c r="A805" s="102"/>
      <c r="B805" s="116"/>
    </row>
    <row r="806" spans="1:2" x14ac:dyDescent="0.2">
      <c r="A806" s="102"/>
      <c r="B806" s="116"/>
    </row>
    <row r="807" spans="1:2" x14ac:dyDescent="0.2">
      <c r="A807" s="102"/>
      <c r="B807" s="116"/>
    </row>
    <row r="808" spans="1:2" x14ac:dyDescent="0.2">
      <c r="A808" s="102"/>
      <c r="B808" s="116"/>
    </row>
    <row r="809" spans="1:2" x14ac:dyDescent="0.2">
      <c r="A809" s="102"/>
      <c r="B809" s="116"/>
    </row>
    <row r="810" spans="1:2" x14ac:dyDescent="0.2">
      <c r="A810" s="102"/>
      <c r="B810" s="116"/>
    </row>
    <row r="811" spans="1:2" x14ac:dyDescent="0.2">
      <c r="A811" s="102"/>
      <c r="B811" s="116"/>
    </row>
    <row r="812" spans="1:2" x14ac:dyDescent="0.2">
      <c r="A812" s="102"/>
      <c r="B812" s="116"/>
    </row>
    <row r="813" spans="1:2" x14ac:dyDescent="0.2">
      <c r="A813" s="102"/>
      <c r="B813" s="116"/>
    </row>
    <row r="814" spans="1:2" x14ac:dyDescent="0.2">
      <c r="A814" s="102"/>
      <c r="B814" s="116"/>
    </row>
    <row r="815" spans="1:2" x14ac:dyDescent="0.2">
      <c r="A815" s="102"/>
      <c r="B815" s="116"/>
    </row>
    <row r="816" spans="1:2" x14ac:dyDescent="0.2">
      <c r="A816" s="102"/>
      <c r="B816" s="116"/>
    </row>
    <row r="817" spans="1:2" x14ac:dyDescent="0.2">
      <c r="A817" s="102"/>
      <c r="B817" s="116"/>
    </row>
    <row r="818" spans="1:2" x14ac:dyDescent="0.2">
      <c r="A818" s="102"/>
      <c r="B818" s="116"/>
    </row>
    <row r="819" spans="1:2" x14ac:dyDescent="0.2">
      <c r="A819" s="102"/>
      <c r="B819" s="116"/>
    </row>
    <row r="820" spans="1:2" x14ac:dyDescent="0.2">
      <c r="A820" s="102"/>
      <c r="B820" s="116"/>
    </row>
    <row r="821" spans="1:2" x14ac:dyDescent="0.2">
      <c r="A821" s="102"/>
      <c r="B821" s="116"/>
    </row>
    <row r="822" spans="1:2" x14ac:dyDescent="0.2">
      <c r="A822" s="102"/>
      <c r="B822" s="116"/>
    </row>
    <row r="823" spans="1:2" x14ac:dyDescent="0.2">
      <c r="A823" s="102"/>
      <c r="B823" s="116"/>
    </row>
    <row r="824" spans="1:2" x14ac:dyDescent="0.2">
      <c r="A824" s="102"/>
      <c r="B824" s="116"/>
    </row>
    <row r="825" spans="1:2" x14ac:dyDescent="0.2">
      <c r="A825" s="102"/>
      <c r="B825" s="116"/>
    </row>
    <row r="826" spans="1:2" x14ac:dyDescent="0.2">
      <c r="A826" s="102"/>
      <c r="B826" s="116"/>
    </row>
    <row r="827" spans="1:2" x14ac:dyDescent="0.2">
      <c r="A827" s="102"/>
      <c r="B827" s="116"/>
    </row>
    <row r="828" spans="1:2" x14ac:dyDescent="0.2">
      <c r="A828" s="102"/>
      <c r="B828" s="116"/>
    </row>
    <row r="829" spans="1:2" x14ac:dyDescent="0.2">
      <c r="A829" s="102"/>
      <c r="B829" s="116"/>
    </row>
    <row r="830" spans="1:2" x14ac:dyDescent="0.2">
      <c r="A830" s="102"/>
      <c r="B830" s="116"/>
    </row>
    <row r="831" spans="1:2" x14ac:dyDescent="0.2">
      <c r="A831" s="102"/>
      <c r="B831" s="116"/>
    </row>
    <row r="832" spans="1:2" x14ac:dyDescent="0.2">
      <c r="A832" s="102"/>
      <c r="B832" s="116"/>
    </row>
    <row r="833" spans="1:2" x14ac:dyDescent="0.2">
      <c r="A833" s="102"/>
      <c r="B833" s="116"/>
    </row>
    <row r="834" spans="1:2" x14ac:dyDescent="0.2">
      <c r="A834" s="102"/>
      <c r="B834" s="116"/>
    </row>
    <row r="835" spans="1:2" x14ac:dyDescent="0.2">
      <c r="A835" s="102"/>
      <c r="B835" s="116"/>
    </row>
    <row r="836" spans="1:2" x14ac:dyDescent="0.2">
      <c r="A836" s="102"/>
      <c r="B836" s="116"/>
    </row>
    <row r="837" spans="1:2" x14ac:dyDescent="0.2">
      <c r="A837" s="102"/>
      <c r="B837" s="116"/>
    </row>
    <row r="838" spans="1:2" x14ac:dyDescent="0.2">
      <c r="A838" s="102"/>
      <c r="B838" s="116"/>
    </row>
    <row r="839" spans="1:2" x14ac:dyDescent="0.2">
      <c r="A839" s="102"/>
      <c r="B839" s="116"/>
    </row>
    <row r="840" spans="1:2" x14ac:dyDescent="0.2">
      <c r="A840" s="102"/>
      <c r="B840" s="116"/>
    </row>
    <row r="841" spans="1:2" x14ac:dyDescent="0.2">
      <c r="A841" s="102"/>
      <c r="B841" s="116"/>
    </row>
    <row r="842" spans="1:2" x14ac:dyDescent="0.2">
      <c r="A842" s="102"/>
      <c r="B842" s="116"/>
    </row>
    <row r="843" spans="1:2" x14ac:dyDescent="0.2">
      <c r="A843" s="102"/>
      <c r="B843" s="116"/>
    </row>
    <row r="844" spans="1:2" x14ac:dyDescent="0.2">
      <c r="A844" s="102"/>
      <c r="B844" s="116"/>
    </row>
    <row r="845" spans="1:2" x14ac:dyDescent="0.2">
      <c r="A845" s="102"/>
      <c r="B845" s="116"/>
    </row>
    <row r="846" spans="1:2" x14ac:dyDescent="0.2">
      <c r="A846" s="102"/>
      <c r="B846" s="116"/>
    </row>
    <row r="847" spans="1:2" x14ac:dyDescent="0.2">
      <c r="A847" s="102"/>
      <c r="B847" s="116"/>
    </row>
    <row r="848" spans="1:2" x14ac:dyDescent="0.2">
      <c r="A848" s="102"/>
      <c r="B848" s="116"/>
    </row>
    <row r="849" spans="1:2" x14ac:dyDescent="0.2">
      <c r="A849" s="102"/>
      <c r="B849" s="116"/>
    </row>
    <row r="850" spans="1:2" x14ac:dyDescent="0.2">
      <c r="A850" s="102"/>
      <c r="B850" s="116"/>
    </row>
    <row r="851" spans="1:2" x14ac:dyDescent="0.2">
      <c r="A851" s="102"/>
      <c r="B851" s="116"/>
    </row>
    <row r="852" spans="1:2" x14ac:dyDescent="0.2">
      <c r="A852" s="102"/>
      <c r="B852" s="116"/>
    </row>
    <row r="853" spans="1:2" x14ac:dyDescent="0.2">
      <c r="A853" s="102"/>
      <c r="B853" s="116"/>
    </row>
    <row r="854" spans="1:2" x14ac:dyDescent="0.2">
      <c r="A854" s="102"/>
      <c r="B854" s="116"/>
    </row>
    <row r="855" spans="1:2" x14ac:dyDescent="0.2">
      <c r="A855" s="102"/>
      <c r="B855" s="116"/>
    </row>
    <row r="856" spans="1:2" x14ac:dyDescent="0.2">
      <c r="A856" s="102"/>
      <c r="B856" s="116"/>
    </row>
    <row r="857" spans="1:2" x14ac:dyDescent="0.2">
      <c r="A857" s="102"/>
      <c r="B857" s="116"/>
    </row>
    <row r="858" spans="1:2" x14ac:dyDescent="0.2">
      <c r="A858" s="102"/>
      <c r="B858" s="116"/>
    </row>
    <row r="859" spans="1:2" x14ac:dyDescent="0.2">
      <c r="A859" s="102"/>
      <c r="B859" s="116"/>
    </row>
    <row r="860" spans="1:2" x14ac:dyDescent="0.2">
      <c r="A860" s="102"/>
      <c r="B860" s="116"/>
    </row>
    <row r="861" spans="1:2" x14ac:dyDescent="0.2">
      <c r="A861" s="102"/>
      <c r="B861" s="116"/>
    </row>
    <row r="862" spans="1:2" x14ac:dyDescent="0.2">
      <c r="A862" s="102"/>
      <c r="B862" s="116"/>
    </row>
    <row r="863" spans="1:2" x14ac:dyDescent="0.2">
      <c r="A863" s="102"/>
      <c r="B863" s="116"/>
    </row>
    <row r="864" spans="1:2" x14ac:dyDescent="0.2">
      <c r="A864" s="102"/>
      <c r="B864" s="116"/>
    </row>
    <row r="865" spans="1:2" x14ac:dyDescent="0.2">
      <c r="A865" s="102"/>
      <c r="B865" s="116"/>
    </row>
    <row r="866" spans="1:2" x14ac:dyDescent="0.2">
      <c r="A866" s="102"/>
      <c r="B866" s="116"/>
    </row>
    <row r="867" spans="1:2" x14ac:dyDescent="0.2">
      <c r="A867" s="102"/>
      <c r="B867" s="116"/>
    </row>
    <row r="868" spans="1:2" x14ac:dyDescent="0.2">
      <c r="A868" s="102"/>
      <c r="B868" s="116"/>
    </row>
    <row r="869" spans="1:2" x14ac:dyDescent="0.2">
      <c r="A869" s="102"/>
      <c r="B869" s="116"/>
    </row>
    <row r="870" spans="1:2" x14ac:dyDescent="0.2">
      <c r="A870" s="102"/>
      <c r="B870" s="116"/>
    </row>
    <row r="871" spans="1:2" x14ac:dyDescent="0.2">
      <c r="A871" s="102"/>
      <c r="B871" s="116"/>
    </row>
    <row r="872" spans="1:2" x14ac:dyDescent="0.2">
      <c r="A872" s="102"/>
      <c r="B872" s="116"/>
    </row>
    <row r="873" spans="1:2" x14ac:dyDescent="0.2">
      <c r="A873" s="102"/>
      <c r="B873" s="116"/>
    </row>
    <row r="874" spans="1:2" x14ac:dyDescent="0.2">
      <c r="A874" s="102"/>
      <c r="B874" s="116"/>
    </row>
    <row r="875" spans="1:2" x14ac:dyDescent="0.2">
      <c r="A875" s="102"/>
      <c r="B875" s="116"/>
    </row>
    <row r="876" spans="1:2" x14ac:dyDescent="0.2">
      <c r="A876" s="102"/>
      <c r="B876" s="116"/>
    </row>
    <row r="877" spans="1:2" x14ac:dyDescent="0.2">
      <c r="A877" s="102"/>
      <c r="B877" s="116"/>
    </row>
    <row r="878" spans="1:2" x14ac:dyDescent="0.2">
      <c r="A878" s="102"/>
      <c r="B878" s="116"/>
    </row>
    <row r="879" spans="1:2" x14ac:dyDescent="0.2">
      <c r="A879" s="102"/>
      <c r="B879" s="116"/>
    </row>
    <row r="880" spans="1:2" x14ac:dyDescent="0.2">
      <c r="A880" s="102"/>
      <c r="B880" s="116"/>
    </row>
    <row r="881" spans="1:2" x14ac:dyDescent="0.2">
      <c r="A881" s="102"/>
      <c r="B881" s="116"/>
    </row>
    <row r="882" spans="1:2" x14ac:dyDescent="0.2">
      <c r="A882" s="102"/>
      <c r="B882" s="116"/>
    </row>
    <row r="883" spans="1:2" x14ac:dyDescent="0.2">
      <c r="A883" s="102"/>
      <c r="B883" s="116"/>
    </row>
    <row r="884" spans="1:2" x14ac:dyDescent="0.2">
      <c r="A884" s="102"/>
      <c r="B884" s="116"/>
    </row>
    <row r="885" spans="1:2" x14ac:dyDescent="0.2">
      <c r="A885" s="102"/>
      <c r="B885" s="116"/>
    </row>
    <row r="886" spans="1:2" x14ac:dyDescent="0.2">
      <c r="A886" s="102"/>
      <c r="B886" s="116"/>
    </row>
    <row r="887" spans="1:2" x14ac:dyDescent="0.2">
      <c r="A887" s="102"/>
      <c r="B887" s="116"/>
    </row>
    <row r="888" spans="1:2" x14ac:dyDescent="0.2">
      <c r="A888" s="102"/>
      <c r="B888" s="116"/>
    </row>
    <row r="889" spans="1:2" x14ac:dyDescent="0.2">
      <c r="A889" s="102"/>
      <c r="B889" s="116"/>
    </row>
    <row r="890" spans="1:2" x14ac:dyDescent="0.2">
      <c r="A890" s="102"/>
      <c r="B890" s="116"/>
    </row>
    <row r="891" spans="1:2" x14ac:dyDescent="0.2">
      <c r="A891" s="102"/>
      <c r="B891" s="116"/>
    </row>
    <row r="892" spans="1:2" x14ac:dyDescent="0.2">
      <c r="A892" s="102"/>
      <c r="B892" s="116"/>
    </row>
    <row r="893" spans="1:2" x14ac:dyDescent="0.2">
      <c r="A893" s="102"/>
      <c r="B893" s="116"/>
    </row>
    <row r="894" spans="1:2" x14ac:dyDescent="0.2">
      <c r="A894" s="102"/>
      <c r="B894" s="116"/>
    </row>
    <row r="895" spans="1:2" x14ac:dyDescent="0.2">
      <c r="A895" s="102"/>
      <c r="B895" s="116"/>
    </row>
    <row r="896" spans="1:2" x14ac:dyDescent="0.2">
      <c r="A896" s="102"/>
      <c r="B896" s="116"/>
    </row>
    <row r="897" spans="1:2" x14ac:dyDescent="0.2">
      <c r="A897" s="102"/>
      <c r="B897" s="116"/>
    </row>
    <row r="898" spans="1:2" x14ac:dyDescent="0.2">
      <c r="A898" s="102"/>
      <c r="B898" s="116"/>
    </row>
    <row r="899" spans="1:2" x14ac:dyDescent="0.2">
      <c r="A899" s="102"/>
      <c r="B899" s="116"/>
    </row>
    <row r="900" spans="1:2" x14ac:dyDescent="0.2">
      <c r="A900" s="102"/>
      <c r="B900" s="116"/>
    </row>
    <row r="901" spans="1:2" x14ac:dyDescent="0.2">
      <c r="A901" s="102"/>
      <c r="B901" s="116"/>
    </row>
    <row r="902" spans="1:2" x14ac:dyDescent="0.2">
      <c r="A902" s="102"/>
      <c r="B902" s="116"/>
    </row>
    <row r="903" spans="1:2" x14ac:dyDescent="0.2">
      <c r="A903" s="102"/>
      <c r="B903" s="116"/>
    </row>
    <row r="904" spans="1:2" x14ac:dyDescent="0.2">
      <c r="A904" s="102"/>
      <c r="B904" s="116"/>
    </row>
    <row r="905" spans="1:2" x14ac:dyDescent="0.2">
      <c r="A905" s="102"/>
      <c r="B905" s="116"/>
    </row>
    <row r="906" spans="1:2" x14ac:dyDescent="0.2">
      <c r="A906" s="102"/>
      <c r="B906" s="116"/>
    </row>
    <row r="907" spans="1:2" x14ac:dyDescent="0.2">
      <c r="A907" s="102"/>
      <c r="B907" s="116"/>
    </row>
    <row r="908" spans="1:2" x14ac:dyDescent="0.2">
      <c r="A908" s="102"/>
      <c r="B908" s="116"/>
    </row>
    <row r="909" spans="1:2" x14ac:dyDescent="0.2">
      <c r="A909" s="102"/>
      <c r="B909" s="116"/>
    </row>
    <row r="910" spans="1:2" x14ac:dyDescent="0.2">
      <c r="A910" s="102"/>
      <c r="B910" s="116"/>
    </row>
    <row r="911" spans="1:2" x14ac:dyDescent="0.2">
      <c r="A911" s="102"/>
      <c r="B911" s="116"/>
    </row>
    <row r="912" spans="1:2" x14ac:dyDescent="0.2">
      <c r="A912" s="102"/>
      <c r="B912" s="116"/>
    </row>
    <row r="913" spans="1:2" x14ac:dyDescent="0.2">
      <c r="A913" s="102"/>
      <c r="B913" s="116"/>
    </row>
    <row r="914" spans="1:2" x14ac:dyDescent="0.2">
      <c r="A914" s="102"/>
      <c r="B914" s="116"/>
    </row>
    <row r="915" spans="1:2" x14ac:dyDescent="0.2">
      <c r="A915" s="102"/>
      <c r="B915" s="116"/>
    </row>
    <row r="916" spans="1:2" x14ac:dyDescent="0.2">
      <c r="A916" s="102"/>
      <c r="B916" s="116"/>
    </row>
    <row r="917" spans="1:2" x14ac:dyDescent="0.2">
      <c r="A917" s="102"/>
      <c r="B917" s="116"/>
    </row>
    <row r="918" spans="1:2" x14ac:dyDescent="0.2">
      <c r="A918" s="102"/>
      <c r="B918" s="116"/>
    </row>
    <row r="919" spans="1:2" x14ac:dyDescent="0.2">
      <c r="A919" s="102"/>
      <c r="B919" s="116"/>
    </row>
    <row r="920" spans="1:2" x14ac:dyDescent="0.2">
      <c r="A920" s="102"/>
      <c r="B920" s="116"/>
    </row>
    <row r="921" spans="1:2" x14ac:dyDescent="0.2">
      <c r="A921" s="102"/>
      <c r="B921" s="116"/>
    </row>
    <row r="922" spans="1:2" x14ac:dyDescent="0.2">
      <c r="A922" s="102"/>
      <c r="B922" s="116"/>
    </row>
    <row r="923" spans="1:2" x14ac:dyDescent="0.2">
      <c r="A923" s="102"/>
      <c r="B923" s="116"/>
    </row>
    <row r="924" spans="1:2" x14ac:dyDescent="0.2">
      <c r="A924" s="102"/>
      <c r="B924" s="116"/>
    </row>
    <row r="925" spans="1:2" x14ac:dyDescent="0.2">
      <c r="A925" s="102"/>
      <c r="B925" s="116"/>
    </row>
    <row r="926" spans="1:2" x14ac:dyDescent="0.2">
      <c r="A926" s="102"/>
      <c r="B926" s="116"/>
    </row>
    <row r="927" spans="1:2" x14ac:dyDescent="0.2">
      <c r="A927" s="102"/>
      <c r="B927" s="116"/>
    </row>
    <row r="928" spans="1:2" x14ac:dyDescent="0.2">
      <c r="A928" s="102"/>
      <c r="B928" s="116"/>
    </row>
    <row r="929" spans="1:2" x14ac:dyDescent="0.2">
      <c r="A929" s="102"/>
      <c r="B929" s="116"/>
    </row>
    <row r="930" spans="1:2" x14ac:dyDescent="0.2">
      <c r="A930" s="102"/>
      <c r="B930" s="116"/>
    </row>
    <row r="931" spans="1:2" x14ac:dyDescent="0.2">
      <c r="A931" s="102"/>
      <c r="B931" s="116"/>
    </row>
    <row r="932" spans="1:2" x14ac:dyDescent="0.2">
      <c r="A932" s="102"/>
      <c r="B932" s="116"/>
    </row>
    <row r="933" spans="1:2" x14ac:dyDescent="0.2">
      <c r="A933" s="102"/>
      <c r="B933" s="116"/>
    </row>
    <row r="934" spans="1:2" x14ac:dyDescent="0.2">
      <c r="A934" s="102"/>
      <c r="B934" s="116"/>
    </row>
    <row r="935" spans="1:2" x14ac:dyDescent="0.2">
      <c r="A935" s="102"/>
      <c r="B935" s="116"/>
    </row>
    <row r="936" spans="1:2" x14ac:dyDescent="0.2">
      <c r="A936" s="102"/>
      <c r="B936" s="116"/>
    </row>
    <row r="937" spans="1:2" x14ac:dyDescent="0.2">
      <c r="A937" s="102"/>
      <c r="B937" s="116"/>
    </row>
    <row r="938" spans="1:2" x14ac:dyDescent="0.2">
      <c r="A938" s="102"/>
      <c r="B938" s="116"/>
    </row>
    <row r="939" spans="1:2" x14ac:dyDescent="0.2">
      <c r="A939" s="102"/>
      <c r="B939" s="116"/>
    </row>
    <row r="940" spans="1:2" x14ac:dyDescent="0.2">
      <c r="A940" s="102"/>
      <c r="B940" s="116"/>
    </row>
    <row r="941" spans="1:2" x14ac:dyDescent="0.2">
      <c r="A941" s="102"/>
      <c r="B941" s="116"/>
    </row>
    <row r="942" spans="1:2" x14ac:dyDescent="0.2">
      <c r="A942" s="102"/>
      <c r="B942" s="116"/>
    </row>
    <row r="943" spans="1:2" x14ac:dyDescent="0.2">
      <c r="A943" s="102"/>
      <c r="B943" s="116"/>
    </row>
    <row r="944" spans="1:2" x14ac:dyDescent="0.2">
      <c r="A944" s="102"/>
      <c r="B944" s="116"/>
    </row>
    <row r="945" spans="1:2" x14ac:dyDescent="0.2">
      <c r="A945" s="102"/>
      <c r="B945" s="116"/>
    </row>
    <row r="946" spans="1:2" x14ac:dyDescent="0.2">
      <c r="A946" s="102"/>
      <c r="B946" s="116"/>
    </row>
    <row r="947" spans="1:2" x14ac:dyDescent="0.2">
      <c r="A947" s="102"/>
      <c r="B947" s="116"/>
    </row>
    <row r="948" spans="1:2" x14ac:dyDescent="0.2">
      <c r="A948" s="102"/>
      <c r="B948" s="116"/>
    </row>
    <row r="949" spans="1:2" x14ac:dyDescent="0.2">
      <c r="A949" s="102"/>
      <c r="B949" s="116"/>
    </row>
    <row r="950" spans="1:2" x14ac:dyDescent="0.2">
      <c r="A950" s="102"/>
      <c r="B950" s="116"/>
    </row>
    <row r="951" spans="1:2" x14ac:dyDescent="0.2">
      <c r="A951" s="102"/>
      <c r="B951" s="116"/>
    </row>
    <row r="952" spans="1:2" x14ac:dyDescent="0.2">
      <c r="A952" s="102"/>
      <c r="B952" s="116"/>
    </row>
    <row r="953" spans="1:2" x14ac:dyDescent="0.2">
      <c r="A953" s="102"/>
      <c r="B953" s="116"/>
    </row>
    <row r="954" spans="1:2" x14ac:dyDescent="0.2">
      <c r="A954" s="102"/>
      <c r="B954" s="116"/>
    </row>
    <row r="955" spans="1:2" x14ac:dyDescent="0.2">
      <c r="A955" s="102"/>
      <c r="B955" s="116"/>
    </row>
    <row r="956" spans="1:2" x14ac:dyDescent="0.2">
      <c r="A956" s="102"/>
      <c r="B956" s="116"/>
    </row>
    <row r="957" spans="1:2" x14ac:dyDescent="0.2">
      <c r="A957" s="102"/>
      <c r="B957" s="116"/>
    </row>
    <row r="958" spans="1:2" x14ac:dyDescent="0.2">
      <c r="A958" s="102"/>
      <c r="B958" s="116"/>
    </row>
    <row r="959" spans="1:2" x14ac:dyDescent="0.2">
      <c r="A959" s="102"/>
      <c r="B959" s="116"/>
    </row>
    <row r="960" spans="1:2" x14ac:dyDescent="0.2">
      <c r="A960" s="102"/>
      <c r="B960" s="116"/>
    </row>
    <row r="961" spans="1:2" x14ac:dyDescent="0.2">
      <c r="A961" s="102"/>
      <c r="B961" s="116"/>
    </row>
    <row r="962" spans="1:2" x14ac:dyDescent="0.2">
      <c r="A962" s="102"/>
      <c r="B962" s="116"/>
    </row>
    <row r="963" spans="1:2" x14ac:dyDescent="0.2">
      <c r="A963" s="102"/>
      <c r="B963" s="116"/>
    </row>
    <row r="964" spans="1:2" x14ac:dyDescent="0.2">
      <c r="A964" s="102"/>
      <c r="B964" s="116"/>
    </row>
    <row r="965" spans="1:2" x14ac:dyDescent="0.2">
      <c r="A965" s="102"/>
      <c r="B965" s="116"/>
    </row>
    <row r="966" spans="1:2" x14ac:dyDescent="0.2">
      <c r="A966" s="102"/>
      <c r="B966" s="116"/>
    </row>
    <row r="967" spans="1:2" x14ac:dyDescent="0.2">
      <c r="A967" s="102"/>
      <c r="B967" s="116"/>
    </row>
    <row r="968" spans="1:2" x14ac:dyDescent="0.2">
      <c r="A968" s="102"/>
      <c r="B968" s="116"/>
    </row>
    <row r="969" spans="1:2" x14ac:dyDescent="0.2">
      <c r="A969" s="102"/>
      <c r="B969" s="116"/>
    </row>
    <row r="970" spans="1:2" x14ac:dyDescent="0.2">
      <c r="A970" s="102"/>
      <c r="B970" s="116"/>
    </row>
    <row r="971" spans="1:2" x14ac:dyDescent="0.2">
      <c r="A971" s="102"/>
      <c r="B971" s="116"/>
    </row>
    <row r="972" spans="1:2" x14ac:dyDescent="0.2">
      <c r="A972" s="102"/>
      <c r="B972" s="116"/>
    </row>
    <row r="973" spans="1:2" x14ac:dyDescent="0.2">
      <c r="A973" s="102"/>
      <c r="B973" s="116"/>
    </row>
    <row r="974" spans="1:2" x14ac:dyDescent="0.2">
      <c r="A974" s="102"/>
      <c r="B974" s="116"/>
    </row>
    <row r="975" spans="1:2" x14ac:dyDescent="0.2">
      <c r="A975" s="102"/>
      <c r="B975" s="116"/>
    </row>
    <row r="976" spans="1:2" x14ac:dyDescent="0.2">
      <c r="A976" s="102"/>
      <c r="B976" s="116"/>
    </row>
    <row r="977" spans="1:2" x14ac:dyDescent="0.2">
      <c r="A977" s="102"/>
      <c r="B977" s="116"/>
    </row>
    <row r="978" spans="1:2" x14ac:dyDescent="0.2">
      <c r="A978" s="102"/>
      <c r="B978" s="116"/>
    </row>
    <row r="979" spans="1:2" x14ac:dyDescent="0.2">
      <c r="A979" s="102"/>
      <c r="B979" s="116"/>
    </row>
    <row r="980" spans="1:2" x14ac:dyDescent="0.2">
      <c r="A980" s="102"/>
      <c r="B980" s="116"/>
    </row>
    <row r="981" spans="1:2" x14ac:dyDescent="0.2">
      <c r="A981" s="102"/>
      <c r="B981" s="116"/>
    </row>
    <row r="982" spans="1:2" x14ac:dyDescent="0.2">
      <c r="A982" s="102"/>
      <c r="B982" s="116"/>
    </row>
    <row r="983" spans="1:2" x14ac:dyDescent="0.2">
      <c r="A983" s="102"/>
      <c r="B983" s="116"/>
    </row>
    <row r="984" spans="1:2" x14ac:dyDescent="0.2">
      <c r="A984" s="102"/>
      <c r="B984" s="116"/>
    </row>
    <row r="985" spans="1:2" x14ac:dyDescent="0.2">
      <c r="A985" s="102"/>
      <c r="B985" s="116"/>
    </row>
    <row r="986" spans="1:2" x14ac:dyDescent="0.2">
      <c r="A986" s="102"/>
      <c r="B986" s="116"/>
    </row>
    <row r="987" spans="1:2" x14ac:dyDescent="0.2">
      <c r="A987" s="102"/>
      <c r="B987" s="116"/>
    </row>
    <row r="988" spans="1:2" x14ac:dyDescent="0.2">
      <c r="A988" s="102"/>
      <c r="B988" s="116"/>
    </row>
    <row r="989" spans="1:2" x14ac:dyDescent="0.2">
      <c r="A989" s="102"/>
      <c r="B989" s="116"/>
    </row>
    <row r="990" spans="1:2" x14ac:dyDescent="0.2">
      <c r="A990" s="102"/>
      <c r="B990" s="116"/>
    </row>
    <row r="991" spans="1:2" x14ac:dyDescent="0.2">
      <c r="A991" s="102"/>
      <c r="B991" s="116"/>
    </row>
    <row r="992" spans="1:2" x14ac:dyDescent="0.2">
      <c r="A992" s="102"/>
      <c r="B992" s="116"/>
    </row>
    <row r="993" spans="1:2" x14ac:dyDescent="0.2">
      <c r="A993" s="102"/>
      <c r="B993" s="116"/>
    </row>
    <row r="994" spans="1:2" x14ac:dyDescent="0.2">
      <c r="A994" s="102"/>
      <c r="B994" s="116"/>
    </row>
    <row r="995" spans="1:2" x14ac:dyDescent="0.2">
      <c r="A995" s="102"/>
      <c r="B995" s="116"/>
    </row>
    <row r="996" spans="1:2" x14ac:dyDescent="0.2">
      <c r="A996" s="102"/>
      <c r="B996" s="116"/>
    </row>
    <row r="997" spans="1:2" x14ac:dyDescent="0.2">
      <c r="A997" s="102"/>
      <c r="B997" s="116"/>
    </row>
    <row r="998" spans="1:2" x14ac:dyDescent="0.2">
      <c r="A998" s="102"/>
      <c r="B998" s="116"/>
    </row>
    <row r="999" spans="1:2" x14ac:dyDescent="0.2">
      <c r="A999" s="102"/>
      <c r="B999" s="116"/>
    </row>
    <row r="1000" spans="1:2" x14ac:dyDescent="0.2">
      <c r="A1000" s="102"/>
      <c r="B1000" s="116"/>
    </row>
    <row r="1001" spans="1:2" x14ac:dyDescent="0.2">
      <c r="A1001" s="102"/>
      <c r="B1001" s="116"/>
    </row>
    <row r="1002" spans="1:2" x14ac:dyDescent="0.2">
      <c r="A1002" s="102"/>
      <c r="B1002" s="116"/>
    </row>
    <row r="1003" spans="1:2" x14ac:dyDescent="0.2">
      <c r="A1003" s="102"/>
      <c r="B1003" s="116"/>
    </row>
    <row r="1004" spans="1:2" x14ac:dyDescent="0.2">
      <c r="A1004" s="102"/>
      <c r="B1004" s="116"/>
    </row>
    <row r="1005" spans="1:2" x14ac:dyDescent="0.2">
      <c r="A1005" s="102"/>
      <c r="B1005" s="116"/>
    </row>
    <row r="1006" spans="1:2" x14ac:dyDescent="0.2">
      <c r="A1006" s="102"/>
      <c r="B1006" s="116"/>
    </row>
    <row r="1007" spans="1:2" x14ac:dyDescent="0.2">
      <c r="A1007" s="102"/>
      <c r="B1007" s="116"/>
    </row>
    <row r="1008" spans="1:2" x14ac:dyDescent="0.2">
      <c r="A1008" s="102"/>
      <c r="B1008" s="116"/>
    </row>
    <row r="1009" spans="1:2" x14ac:dyDescent="0.2">
      <c r="A1009" s="102"/>
      <c r="B1009" s="116"/>
    </row>
    <row r="1010" spans="1:2" x14ac:dyDescent="0.2">
      <c r="A1010" s="102"/>
      <c r="B1010" s="116"/>
    </row>
    <row r="1011" spans="1:2" x14ac:dyDescent="0.2">
      <c r="A1011" s="102"/>
      <c r="B1011" s="116"/>
    </row>
    <row r="1012" spans="1:2" x14ac:dyDescent="0.2">
      <c r="A1012" s="102"/>
      <c r="B1012" s="116"/>
    </row>
    <row r="1013" spans="1:2" x14ac:dyDescent="0.2">
      <c r="A1013" s="102"/>
      <c r="B1013" s="116"/>
    </row>
    <row r="1014" spans="1:2" x14ac:dyDescent="0.2">
      <c r="A1014" s="102"/>
      <c r="B1014" s="116"/>
    </row>
    <row r="1015" spans="1:2" x14ac:dyDescent="0.2">
      <c r="A1015" s="102"/>
      <c r="B1015" s="116"/>
    </row>
    <row r="1016" spans="1:2" x14ac:dyDescent="0.2">
      <c r="A1016" s="102"/>
      <c r="B1016" s="116"/>
    </row>
    <row r="1017" spans="1:2" x14ac:dyDescent="0.2">
      <c r="A1017" s="102"/>
      <c r="B1017" s="116"/>
    </row>
    <row r="1018" spans="1:2" x14ac:dyDescent="0.2">
      <c r="A1018" s="102"/>
      <c r="B1018" s="116"/>
    </row>
    <row r="1019" spans="1:2" x14ac:dyDescent="0.2">
      <c r="A1019" s="102"/>
      <c r="B1019" s="116"/>
    </row>
    <row r="1020" spans="1:2" x14ac:dyDescent="0.2">
      <c r="A1020" s="102"/>
      <c r="B1020" s="116"/>
    </row>
    <row r="1021" spans="1:2" x14ac:dyDescent="0.2">
      <c r="A1021" s="102"/>
      <c r="B1021" s="116"/>
    </row>
    <row r="1022" spans="1:2" x14ac:dyDescent="0.2">
      <c r="A1022" s="102"/>
      <c r="B1022" s="116"/>
    </row>
    <row r="1023" spans="1:2" x14ac:dyDescent="0.2">
      <c r="A1023" s="102"/>
      <c r="B1023" s="116"/>
    </row>
    <row r="1024" spans="1:2" x14ac:dyDescent="0.2">
      <c r="A1024" s="102"/>
      <c r="B1024" s="116"/>
    </row>
    <row r="1025" spans="1:2" x14ac:dyDescent="0.2">
      <c r="A1025" s="102"/>
      <c r="B1025" s="116"/>
    </row>
    <row r="1026" spans="1:2" x14ac:dyDescent="0.2">
      <c r="A1026" s="102"/>
      <c r="B1026" s="116"/>
    </row>
    <row r="1027" spans="1:2" x14ac:dyDescent="0.2">
      <c r="A1027" s="102"/>
      <c r="B1027" s="116"/>
    </row>
    <row r="1028" spans="1:2" x14ac:dyDescent="0.2">
      <c r="A1028" s="102"/>
      <c r="B1028" s="116"/>
    </row>
    <row r="1029" spans="1:2" x14ac:dyDescent="0.2">
      <c r="A1029" s="102"/>
      <c r="B1029" s="116"/>
    </row>
    <row r="1030" spans="1:2" x14ac:dyDescent="0.2">
      <c r="A1030" s="102"/>
      <c r="B1030" s="116"/>
    </row>
    <row r="1031" spans="1:2" x14ac:dyDescent="0.2">
      <c r="A1031" s="102"/>
      <c r="B1031" s="116"/>
    </row>
    <row r="1032" spans="1:2" x14ac:dyDescent="0.2">
      <c r="A1032" s="102"/>
      <c r="B1032" s="116"/>
    </row>
    <row r="1033" spans="1:2" x14ac:dyDescent="0.2">
      <c r="A1033" s="102"/>
      <c r="B1033" s="116"/>
    </row>
    <row r="1034" spans="1:2" x14ac:dyDescent="0.2">
      <c r="A1034" s="102"/>
      <c r="B1034" s="116"/>
    </row>
    <row r="1035" spans="1:2" x14ac:dyDescent="0.2">
      <c r="A1035" s="102"/>
      <c r="B1035" s="116"/>
    </row>
    <row r="1036" spans="1:2" x14ac:dyDescent="0.2">
      <c r="A1036" s="102"/>
      <c r="B1036" s="116"/>
    </row>
    <row r="1037" spans="1:2" x14ac:dyDescent="0.2">
      <c r="A1037" s="102"/>
      <c r="B1037" s="116"/>
    </row>
    <row r="1038" spans="1:2" x14ac:dyDescent="0.2">
      <c r="A1038" s="102"/>
      <c r="B1038" s="116"/>
    </row>
    <row r="1039" spans="1:2" x14ac:dyDescent="0.2">
      <c r="A1039" s="102"/>
      <c r="B1039" s="116"/>
    </row>
    <row r="1040" spans="1:2" x14ac:dyDescent="0.2">
      <c r="A1040" s="102"/>
      <c r="B1040" s="116"/>
    </row>
    <row r="1041" spans="1:2" x14ac:dyDescent="0.2">
      <c r="A1041" s="102"/>
      <c r="B1041" s="116"/>
    </row>
    <row r="1042" spans="1:2" x14ac:dyDescent="0.2">
      <c r="A1042" s="102"/>
      <c r="B1042" s="116"/>
    </row>
    <row r="1043" spans="1:2" x14ac:dyDescent="0.2">
      <c r="A1043" s="102"/>
      <c r="B1043" s="116"/>
    </row>
    <row r="1044" spans="1:2" x14ac:dyDescent="0.2">
      <c r="A1044" s="102"/>
      <c r="B1044" s="116"/>
    </row>
    <row r="1045" spans="1:2" x14ac:dyDescent="0.2">
      <c r="A1045" s="102"/>
      <c r="B1045" s="116"/>
    </row>
    <row r="1046" spans="1:2" x14ac:dyDescent="0.2">
      <c r="A1046" s="102"/>
      <c r="B1046" s="116"/>
    </row>
    <row r="1047" spans="1:2" x14ac:dyDescent="0.2">
      <c r="A1047" s="102"/>
      <c r="B1047" s="116"/>
    </row>
    <row r="1048" spans="1:2" x14ac:dyDescent="0.2">
      <c r="A1048" s="102"/>
      <c r="B1048" s="116"/>
    </row>
    <row r="1049" spans="1:2" x14ac:dyDescent="0.2">
      <c r="A1049" s="102"/>
      <c r="B1049" s="116"/>
    </row>
    <row r="1050" spans="1:2" x14ac:dyDescent="0.2">
      <c r="A1050" s="102"/>
      <c r="B1050" s="116"/>
    </row>
    <row r="1051" spans="1:2" x14ac:dyDescent="0.2">
      <c r="A1051" s="102"/>
      <c r="B1051" s="116"/>
    </row>
    <row r="1052" spans="1:2" x14ac:dyDescent="0.2">
      <c r="A1052" s="102"/>
      <c r="B1052" s="116"/>
    </row>
    <row r="1053" spans="1:2" x14ac:dyDescent="0.2">
      <c r="A1053" s="102"/>
      <c r="B1053" s="116"/>
    </row>
    <row r="1054" spans="1:2" x14ac:dyDescent="0.2">
      <c r="A1054" s="102"/>
      <c r="B1054" s="116"/>
    </row>
    <row r="1055" spans="1:2" x14ac:dyDescent="0.2">
      <c r="A1055" s="102"/>
      <c r="B1055" s="116"/>
    </row>
    <row r="1056" spans="1:2" x14ac:dyDescent="0.2">
      <c r="A1056" s="102"/>
      <c r="B1056" s="116"/>
    </row>
    <row r="1057" spans="1:2" x14ac:dyDescent="0.2">
      <c r="A1057" s="102"/>
      <c r="B1057" s="116"/>
    </row>
    <row r="1058" spans="1:2" x14ac:dyDescent="0.2">
      <c r="A1058" s="102"/>
      <c r="B1058" s="116"/>
    </row>
    <row r="1059" spans="1:2" x14ac:dyDescent="0.2">
      <c r="A1059" s="102"/>
      <c r="B1059" s="116"/>
    </row>
    <row r="1060" spans="1:2" x14ac:dyDescent="0.2">
      <c r="A1060" s="102"/>
      <c r="B1060" s="116"/>
    </row>
    <row r="1061" spans="1:2" x14ac:dyDescent="0.2">
      <c r="A1061" s="102"/>
      <c r="B1061" s="116"/>
    </row>
    <row r="1062" spans="1:2" x14ac:dyDescent="0.2">
      <c r="A1062" s="102"/>
      <c r="B1062" s="116"/>
    </row>
    <row r="1063" spans="1:2" x14ac:dyDescent="0.2">
      <c r="A1063" s="102"/>
      <c r="B1063" s="116"/>
    </row>
    <row r="1064" spans="1:2" x14ac:dyDescent="0.2">
      <c r="A1064" s="102"/>
      <c r="B1064" s="116"/>
    </row>
    <row r="1065" spans="1:2" x14ac:dyDescent="0.2">
      <c r="A1065" s="102"/>
      <c r="B1065" s="116"/>
    </row>
    <row r="1066" spans="1:2" x14ac:dyDescent="0.2">
      <c r="A1066" s="102"/>
      <c r="B1066" s="116"/>
    </row>
    <row r="1067" spans="1:2" x14ac:dyDescent="0.2">
      <c r="A1067" s="102"/>
      <c r="B1067" s="116"/>
    </row>
    <row r="1068" spans="1:2" x14ac:dyDescent="0.2">
      <c r="A1068" s="102"/>
      <c r="B1068" s="116"/>
    </row>
    <row r="1069" spans="1:2" x14ac:dyDescent="0.2">
      <c r="A1069" s="102"/>
      <c r="B1069" s="116"/>
    </row>
    <row r="1070" spans="1:2" x14ac:dyDescent="0.2">
      <c r="A1070" s="102"/>
      <c r="B1070" s="116"/>
    </row>
    <row r="1071" spans="1:2" x14ac:dyDescent="0.2">
      <c r="A1071" s="102"/>
      <c r="B1071" s="116"/>
    </row>
    <row r="1072" spans="1:2" x14ac:dyDescent="0.2">
      <c r="A1072" s="102"/>
      <c r="B1072" s="116"/>
    </row>
    <row r="1073" spans="1:2" x14ac:dyDescent="0.2">
      <c r="A1073" s="102"/>
      <c r="B1073" s="116"/>
    </row>
    <row r="1074" spans="1:2" x14ac:dyDescent="0.2">
      <c r="A1074" s="102"/>
      <c r="B1074" s="116"/>
    </row>
    <row r="1075" spans="1:2" x14ac:dyDescent="0.2">
      <c r="A1075" s="102"/>
      <c r="B1075" s="116"/>
    </row>
    <row r="1076" spans="1:2" x14ac:dyDescent="0.2">
      <c r="A1076" s="102"/>
      <c r="B1076" s="116"/>
    </row>
    <row r="1077" spans="1:2" x14ac:dyDescent="0.2">
      <c r="A1077" s="102"/>
      <c r="B1077" s="116"/>
    </row>
    <row r="1078" spans="1:2" x14ac:dyDescent="0.2">
      <c r="A1078" s="102"/>
      <c r="B1078" s="116"/>
    </row>
    <row r="1079" spans="1:2" x14ac:dyDescent="0.2">
      <c r="A1079" s="102"/>
      <c r="B1079" s="116"/>
    </row>
    <row r="1080" spans="1:2" x14ac:dyDescent="0.2">
      <c r="A1080" s="102"/>
      <c r="B1080" s="116"/>
    </row>
    <row r="1081" spans="1:2" x14ac:dyDescent="0.2">
      <c r="A1081" s="102"/>
      <c r="B1081" s="116"/>
    </row>
    <row r="1082" spans="1:2" x14ac:dyDescent="0.2">
      <c r="A1082" s="102"/>
      <c r="B1082" s="116"/>
    </row>
    <row r="1083" spans="1:2" x14ac:dyDescent="0.2">
      <c r="A1083" s="102"/>
      <c r="B1083" s="116"/>
    </row>
    <row r="1084" spans="1:2" x14ac:dyDescent="0.2">
      <c r="A1084" s="102"/>
      <c r="B1084" s="116"/>
    </row>
    <row r="1085" spans="1:2" x14ac:dyDescent="0.2">
      <c r="A1085" s="102"/>
      <c r="B1085" s="116"/>
    </row>
    <row r="1086" spans="1:2" x14ac:dyDescent="0.2">
      <c r="A1086" s="102"/>
      <c r="B1086" s="116"/>
    </row>
    <row r="1087" spans="1:2" x14ac:dyDescent="0.2">
      <c r="A1087" s="102"/>
      <c r="B1087" s="116"/>
    </row>
    <row r="1088" spans="1:2" x14ac:dyDescent="0.2">
      <c r="A1088" s="102"/>
      <c r="B1088" s="116"/>
    </row>
    <row r="1089" spans="1:2" x14ac:dyDescent="0.2">
      <c r="A1089" s="102"/>
      <c r="B1089" s="116"/>
    </row>
    <row r="1090" spans="1:2" x14ac:dyDescent="0.2">
      <c r="A1090" s="102"/>
      <c r="B1090" s="116"/>
    </row>
    <row r="1091" spans="1:2" x14ac:dyDescent="0.2">
      <c r="A1091" s="102"/>
      <c r="B1091" s="116"/>
    </row>
    <row r="1092" spans="1:2" x14ac:dyDescent="0.2">
      <c r="A1092" s="102"/>
      <c r="B1092" s="116"/>
    </row>
    <row r="1093" spans="1:2" x14ac:dyDescent="0.2">
      <c r="A1093" s="102"/>
      <c r="B1093" s="116"/>
    </row>
    <row r="1094" spans="1:2" x14ac:dyDescent="0.2">
      <c r="A1094" s="102"/>
      <c r="B1094" s="116"/>
    </row>
    <row r="1095" spans="1:2" x14ac:dyDescent="0.2">
      <c r="A1095" s="102"/>
      <c r="B1095" s="116"/>
    </row>
    <row r="1096" spans="1:2" x14ac:dyDescent="0.2">
      <c r="A1096" s="102"/>
      <c r="B1096" s="116"/>
    </row>
    <row r="1097" spans="1:2" x14ac:dyDescent="0.2">
      <c r="A1097" s="102"/>
      <c r="B1097" s="116"/>
    </row>
    <row r="1098" spans="1:2" x14ac:dyDescent="0.2">
      <c r="A1098" s="102"/>
      <c r="B1098" s="116"/>
    </row>
    <row r="1099" spans="1:2" x14ac:dyDescent="0.2">
      <c r="A1099" s="102"/>
      <c r="B1099" s="116"/>
    </row>
    <row r="1100" spans="1:2" x14ac:dyDescent="0.2">
      <c r="A1100" s="102"/>
      <c r="B1100" s="116"/>
    </row>
    <row r="1101" spans="1:2" x14ac:dyDescent="0.2">
      <c r="A1101" s="102"/>
      <c r="B1101" s="116"/>
    </row>
    <row r="1102" spans="1:2" x14ac:dyDescent="0.2">
      <c r="A1102" s="102"/>
      <c r="B1102" s="116"/>
    </row>
    <row r="1103" spans="1:2" x14ac:dyDescent="0.2">
      <c r="A1103" s="102"/>
      <c r="B1103" s="116"/>
    </row>
    <row r="1104" spans="1:2" x14ac:dyDescent="0.2">
      <c r="A1104" s="102"/>
      <c r="B1104" s="116"/>
    </row>
    <row r="1105" spans="1:2" x14ac:dyDescent="0.2">
      <c r="A1105" s="102"/>
      <c r="B1105" s="116"/>
    </row>
    <row r="1106" spans="1:2" x14ac:dyDescent="0.2">
      <c r="A1106" s="102"/>
      <c r="B1106" s="116"/>
    </row>
    <row r="1107" spans="1:2" x14ac:dyDescent="0.2">
      <c r="A1107" s="102"/>
      <c r="B1107" s="116"/>
    </row>
    <row r="1108" spans="1:2" x14ac:dyDescent="0.2">
      <c r="A1108" s="102"/>
      <c r="B1108" s="116"/>
    </row>
    <row r="1109" spans="1:2" x14ac:dyDescent="0.2">
      <c r="A1109" s="102"/>
      <c r="B1109" s="116"/>
    </row>
    <row r="1110" spans="1:2" x14ac:dyDescent="0.2">
      <c r="A1110" s="102"/>
      <c r="B1110" s="116"/>
    </row>
    <row r="1111" spans="1:2" x14ac:dyDescent="0.2">
      <c r="A1111" s="102"/>
      <c r="B1111" s="116"/>
    </row>
    <row r="1112" spans="1:2" x14ac:dyDescent="0.2">
      <c r="A1112" s="102"/>
      <c r="B1112" s="116"/>
    </row>
    <row r="1113" spans="1:2" x14ac:dyDescent="0.2">
      <c r="A1113" s="102"/>
      <c r="B1113" s="116"/>
    </row>
    <row r="1114" spans="1:2" x14ac:dyDescent="0.2">
      <c r="A1114" s="102"/>
      <c r="B1114" s="116"/>
    </row>
    <row r="1115" spans="1:2" x14ac:dyDescent="0.2">
      <c r="A1115" s="102"/>
      <c r="B1115" s="116"/>
    </row>
    <row r="1116" spans="1:2" x14ac:dyDescent="0.2">
      <c r="A1116" s="102"/>
      <c r="B1116" s="116"/>
    </row>
    <row r="1117" spans="1:2" x14ac:dyDescent="0.2">
      <c r="A1117" s="102"/>
      <c r="B1117" s="116"/>
    </row>
    <row r="1118" spans="1:2" x14ac:dyDescent="0.2">
      <c r="A1118" s="102"/>
      <c r="B1118" s="116"/>
    </row>
    <row r="1119" spans="1:2" x14ac:dyDescent="0.2">
      <c r="A1119" s="102"/>
      <c r="B1119" s="116"/>
    </row>
    <row r="1120" spans="1:2" x14ac:dyDescent="0.2">
      <c r="A1120" s="102"/>
      <c r="B1120" s="116"/>
    </row>
    <row r="1121" spans="1:2" x14ac:dyDescent="0.2">
      <c r="A1121" s="102"/>
      <c r="B1121" s="116"/>
    </row>
    <row r="1122" spans="1:2" x14ac:dyDescent="0.2">
      <c r="A1122" s="102"/>
      <c r="B1122" s="116"/>
    </row>
    <row r="1123" spans="1:2" x14ac:dyDescent="0.2">
      <c r="A1123" s="102"/>
      <c r="B1123" s="116"/>
    </row>
    <row r="1124" spans="1:2" x14ac:dyDescent="0.2">
      <c r="A1124" s="102"/>
      <c r="B1124" s="116"/>
    </row>
    <row r="1125" spans="1:2" x14ac:dyDescent="0.2">
      <c r="A1125" s="102"/>
      <c r="B1125" s="116"/>
    </row>
    <row r="1126" spans="1:2" x14ac:dyDescent="0.2">
      <c r="A1126" s="102"/>
      <c r="B1126" s="116"/>
    </row>
    <row r="1127" spans="1:2" x14ac:dyDescent="0.2">
      <c r="A1127" s="102"/>
      <c r="B1127" s="116"/>
    </row>
    <row r="1128" spans="1:2" x14ac:dyDescent="0.2">
      <c r="A1128" s="102"/>
      <c r="B1128" s="116"/>
    </row>
    <row r="1129" spans="1:2" x14ac:dyDescent="0.2">
      <c r="A1129" s="102"/>
      <c r="B1129" s="116"/>
    </row>
    <row r="1130" spans="1:2" x14ac:dyDescent="0.2">
      <c r="A1130" s="102"/>
      <c r="B1130" s="116"/>
    </row>
    <row r="1131" spans="1:2" x14ac:dyDescent="0.2">
      <c r="A1131" s="102"/>
      <c r="B1131" s="116"/>
    </row>
    <row r="1132" spans="1:2" x14ac:dyDescent="0.2">
      <c r="A1132" s="102"/>
      <c r="B1132" s="116"/>
    </row>
    <row r="1133" spans="1:2" x14ac:dyDescent="0.2">
      <c r="A1133" s="102"/>
      <c r="B1133" s="116"/>
    </row>
    <row r="1134" spans="1:2" x14ac:dyDescent="0.2">
      <c r="A1134" s="102"/>
      <c r="B1134" s="116"/>
    </row>
    <row r="1135" spans="1:2" x14ac:dyDescent="0.2">
      <c r="A1135" s="102"/>
      <c r="B1135" s="116"/>
    </row>
    <row r="1136" spans="1:2" x14ac:dyDescent="0.2">
      <c r="A1136" s="102"/>
      <c r="B1136" s="116"/>
    </row>
    <row r="1137" spans="1:2" x14ac:dyDescent="0.2">
      <c r="A1137" s="102"/>
      <c r="B1137" s="116"/>
    </row>
    <row r="1138" spans="1:2" x14ac:dyDescent="0.2">
      <c r="A1138" s="102"/>
      <c r="B1138" s="116"/>
    </row>
    <row r="1139" spans="1:2" x14ac:dyDescent="0.2">
      <c r="A1139" s="102"/>
      <c r="B1139" s="116"/>
    </row>
    <row r="1140" spans="1:2" x14ac:dyDescent="0.2">
      <c r="A1140" s="102"/>
      <c r="B1140" s="116"/>
    </row>
    <row r="1141" spans="1:2" x14ac:dyDescent="0.2">
      <c r="A1141" s="102"/>
      <c r="B1141" s="116"/>
    </row>
    <row r="1142" spans="1:2" x14ac:dyDescent="0.2">
      <c r="A1142" s="102"/>
      <c r="B1142" s="116"/>
    </row>
    <row r="1143" spans="1:2" x14ac:dyDescent="0.2">
      <c r="A1143" s="102"/>
      <c r="B1143" s="116"/>
    </row>
    <row r="1144" spans="1:2" x14ac:dyDescent="0.2">
      <c r="A1144" s="102"/>
      <c r="B1144" s="116"/>
    </row>
    <row r="1145" spans="1:2" x14ac:dyDescent="0.2">
      <c r="A1145" s="102"/>
      <c r="B1145" s="116"/>
    </row>
    <row r="1146" spans="1:2" x14ac:dyDescent="0.2">
      <c r="A1146" s="102"/>
      <c r="B1146" s="116"/>
    </row>
    <row r="1147" spans="1:2" x14ac:dyDescent="0.2">
      <c r="A1147" s="102"/>
      <c r="B1147" s="116"/>
    </row>
    <row r="1148" spans="1:2" x14ac:dyDescent="0.2">
      <c r="A1148" s="102"/>
      <c r="B1148" s="116"/>
    </row>
    <row r="1149" spans="1:2" x14ac:dyDescent="0.2">
      <c r="A1149" s="102"/>
      <c r="B1149" s="116"/>
    </row>
    <row r="1150" spans="1:2" x14ac:dyDescent="0.2">
      <c r="A1150" s="102"/>
      <c r="B1150" s="116"/>
    </row>
    <row r="1151" spans="1:2" x14ac:dyDescent="0.2">
      <c r="A1151" s="102"/>
      <c r="B1151" s="116"/>
    </row>
    <row r="1152" spans="1:2" x14ac:dyDescent="0.2">
      <c r="A1152" s="102"/>
      <c r="B1152" s="116"/>
    </row>
    <row r="1153" spans="1:2" x14ac:dyDescent="0.2">
      <c r="A1153" s="102"/>
      <c r="B1153" s="116"/>
    </row>
    <row r="1154" spans="1:2" x14ac:dyDescent="0.2">
      <c r="A1154" s="102"/>
      <c r="B1154" s="116"/>
    </row>
    <row r="1155" spans="1:2" x14ac:dyDescent="0.2">
      <c r="A1155" s="102"/>
      <c r="B1155" s="116"/>
    </row>
    <row r="1156" spans="1:2" x14ac:dyDescent="0.2">
      <c r="A1156" s="102"/>
      <c r="B1156" s="116"/>
    </row>
    <row r="1157" spans="1:2" x14ac:dyDescent="0.2">
      <c r="A1157" s="102"/>
      <c r="B1157" s="116"/>
    </row>
    <row r="1158" spans="1:2" x14ac:dyDescent="0.2">
      <c r="A1158" s="102"/>
      <c r="B1158" s="116"/>
    </row>
    <row r="1159" spans="1:2" x14ac:dyDescent="0.2">
      <c r="A1159" s="102"/>
      <c r="B1159" s="116"/>
    </row>
    <row r="1160" spans="1:2" x14ac:dyDescent="0.2">
      <c r="A1160" s="102"/>
      <c r="B1160" s="116"/>
    </row>
    <row r="1161" spans="1:2" x14ac:dyDescent="0.2">
      <c r="A1161" s="102"/>
      <c r="B1161" s="116"/>
    </row>
    <row r="1162" spans="1:2" x14ac:dyDescent="0.2">
      <c r="A1162" s="102"/>
      <c r="B1162" s="116"/>
    </row>
    <row r="1163" spans="1:2" x14ac:dyDescent="0.2">
      <c r="A1163" s="102"/>
      <c r="B1163" s="116"/>
    </row>
    <row r="1164" spans="1:2" x14ac:dyDescent="0.2">
      <c r="A1164" s="102"/>
      <c r="B1164" s="116"/>
    </row>
    <row r="1165" spans="1:2" x14ac:dyDescent="0.2">
      <c r="A1165" s="102"/>
      <c r="B1165" s="116"/>
    </row>
    <row r="1166" spans="1:2" x14ac:dyDescent="0.2">
      <c r="A1166" s="102"/>
      <c r="B1166" s="116"/>
    </row>
    <row r="1167" spans="1:2" x14ac:dyDescent="0.2">
      <c r="A1167" s="102"/>
      <c r="B1167" s="116"/>
    </row>
    <row r="1168" spans="1:2" x14ac:dyDescent="0.2">
      <c r="A1168" s="102"/>
      <c r="B1168" s="116"/>
    </row>
    <row r="1169" spans="1:2" x14ac:dyDescent="0.2">
      <c r="A1169" s="102"/>
      <c r="B1169" s="116"/>
    </row>
    <row r="1170" spans="1:2" x14ac:dyDescent="0.2">
      <c r="A1170" s="102"/>
      <c r="B1170" s="116"/>
    </row>
    <row r="1171" spans="1:2" x14ac:dyDescent="0.2">
      <c r="A1171" s="102"/>
      <c r="B1171" s="116"/>
    </row>
    <row r="1172" spans="1:2" x14ac:dyDescent="0.2">
      <c r="A1172" s="102"/>
      <c r="B1172" s="116"/>
    </row>
    <row r="1173" spans="1:2" x14ac:dyDescent="0.2">
      <c r="A1173" s="102"/>
      <c r="B1173" s="116"/>
    </row>
    <row r="1174" spans="1:2" x14ac:dyDescent="0.2">
      <c r="A1174" s="102"/>
      <c r="B1174" s="116"/>
    </row>
    <row r="1175" spans="1:2" x14ac:dyDescent="0.2">
      <c r="A1175" s="102"/>
      <c r="B1175" s="116"/>
    </row>
    <row r="1176" spans="1:2" x14ac:dyDescent="0.2">
      <c r="A1176" s="102"/>
      <c r="B1176" s="116"/>
    </row>
    <row r="1177" spans="1:2" x14ac:dyDescent="0.2">
      <c r="A1177" s="102"/>
      <c r="B1177" s="116"/>
    </row>
    <row r="1178" spans="1:2" x14ac:dyDescent="0.2">
      <c r="A1178" s="102"/>
      <c r="B1178" s="116"/>
    </row>
    <row r="1179" spans="1:2" x14ac:dyDescent="0.2">
      <c r="A1179" s="102"/>
      <c r="B1179" s="116"/>
    </row>
    <row r="1180" spans="1:2" x14ac:dyDescent="0.2">
      <c r="A1180" s="102"/>
      <c r="B1180" s="116"/>
    </row>
    <row r="1181" spans="1:2" x14ac:dyDescent="0.2">
      <c r="A1181" s="102"/>
      <c r="B1181" s="116"/>
    </row>
    <row r="1182" spans="1:2" x14ac:dyDescent="0.2">
      <c r="A1182" s="102"/>
      <c r="B1182" s="116"/>
    </row>
    <row r="1183" spans="1:2" x14ac:dyDescent="0.2">
      <c r="A1183" s="102"/>
      <c r="B1183" s="116"/>
    </row>
    <row r="1184" spans="1:2" x14ac:dyDescent="0.2">
      <c r="A1184" s="102"/>
      <c r="B1184" s="116"/>
    </row>
    <row r="1185" spans="1:2" x14ac:dyDescent="0.2">
      <c r="A1185" s="102"/>
      <c r="B1185" s="116"/>
    </row>
    <row r="1186" spans="1:2" x14ac:dyDescent="0.2">
      <c r="A1186" s="102"/>
      <c r="B1186" s="116"/>
    </row>
    <row r="1187" spans="1:2" x14ac:dyDescent="0.2">
      <c r="A1187" s="102"/>
      <c r="B1187" s="116"/>
    </row>
    <row r="1188" spans="1:2" x14ac:dyDescent="0.2">
      <c r="A1188" s="102"/>
      <c r="B1188" s="116"/>
    </row>
    <row r="1189" spans="1:2" x14ac:dyDescent="0.2">
      <c r="A1189" s="102"/>
      <c r="B1189" s="116"/>
    </row>
    <row r="1190" spans="1:2" x14ac:dyDescent="0.2">
      <c r="A1190" s="102"/>
      <c r="B1190" s="116"/>
    </row>
    <row r="1191" spans="1:2" x14ac:dyDescent="0.2">
      <c r="A1191" s="102"/>
      <c r="B1191" s="116"/>
    </row>
    <row r="1192" spans="1:2" x14ac:dyDescent="0.2">
      <c r="A1192" s="102"/>
      <c r="B1192" s="116"/>
    </row>
    <row r="1193" spans="1:2" x14ac:dyDescent="0.2">
      <c r="A1193" s="102"/>
      <c r="B1193" s="116"/>
    </row>
    <row r="1194" spans="1:2" x14ac:dyDescent="0.2">
      <c r="A1194" s="102"/>
      <c r="B1194" s="116"/>
    </row>
    <row r="1195" spans="1:2" x14ac:dyDescent="0.2">
      <c r="A1195" s="102"/>
      <c r="B1195" s="116"/>
    </row>
    <row r="1196" spans="1:2" x14ac:dyDescent="0.2">
      <c r="A1196" s="102"/>
      <c r="B1196" s="116"/>
    </row>
    <row r="1197" spans="1:2" x14ac:dyDescent="0.2">
      <c r="A1197" s="102"/>
      <c r="B1197" s="116"/>
    </row>
    <row r="1198" spans="1:2" x14ac:dyDescent="0.2">
      <c r="A1198" s="102"/>
      <c r="B1198" s="116"/>
    </row>
    <row r="1199" spans="1:2" x14ac:dyDescent="0.2">
      <c r="A1199" s="102"/>
      <c r="B1199" s="116"/>
    </row>
    <row r="1200" spans="1:2" x14ac:dyDescent="0.2">
      <c r="A1200" s="102"/>
      <c r="B1200" s="116"/>
    </row>
    <row r="1201" spans="1:2" x14ac:dyDescent="0.2">
      <c r="A1201" s="102"/>
      <c r="B1201" s="116"/>
    </row>
    <row r="1202" spans="1:2" x14ac:dyDescent="0.2">
      <c r="A1202" s="102"/>
      <c r="B1202" s="116"/>
    </row>
    <row r="1203" spans="1:2" x14ac:dyDescent="0.2">
      <c r="A1203" s="102"/>
      <c r="B1203" s="116"/>
    </row>
    <row r="1204" spans="1:2" x14ac:dyDescent="0.2">
      <c r="A1204" s="102"/>
      <c r="B1204" s="116"/>
    </row>
    <row r="1205" spans="1:2" x14ac:dyDescent="0.2">
      <c r="A1205" s="102"/>
      <c r="B1205" s="116"/>
    </row>
    <row r="1206" spans="1:2" x14ac:dyDescent="0.2">
      <c r="A1206" s="102"/>
      <c r="B1206" s="116"/>
    </row>
    <row r="1207" spans="1:2" x14ac:dyDescent="0.2">
      <c r="A1207" s="102"/>
      <c r="B1207" s="116"/>
    </row>
    <row r="1208" spans="1:2" x14ac:dyDescent="0.2">
      <c r="A1208" s="102"/>
      <c r="B1208" s="116"/>
    </row>
    <row r="1209" spans="1:2" x14ac:dyDescent="0.2">
      <c r="A1209" s="102"/>
      <c r="B1209" s="116"/>
    </row>
    <row r="1210" spans="1:2" x14ac:dyDescent="0.2">
      <c r="A1210" s="102"/>
      <c r="B1210" s="116"/>
    </row>
    <row r="1211" spans="1:2" x14ac:dyDescent="0.2">
      <c r="A1211" s="102"/>
      <c r="B1211" s="116"/>
    </row>
    <row r="1212" spans="1:2" x14ac:dyDescent="0.2">
      <c r="A1212" s="102"/>
      <c r="B1212" s="116"/>
    </row>
    <row r="1213" spans="1:2" x14ac:dyDescent="0.2">
      <c r="A1213" s="102"/>
      <c r="B1213" s="116"/>
    </row>
    <row r="1214" spans="1:2" x14ac:dyDescent="0.2">
      <c r="A1214" s="102"/>
      <c r="B1214" s="116"/>
    </row>
    <row r="1215" spans="1:2" x14ac:dyDescent="0.2">
      <c r="A1215" s="102"/>
      <c r="B1215" s="116"/>
    </row>
    <row r="1216" spans="1:2" x14ac:dyDescent="0.2">
      <c r="A1216" s="102"/>
      <c r="B1216" s="116"/>
    </row>
    <row r="1217" spans="1:2" x14ac:dyDescent="0.2">
      <c r="A1217" s="102"/>
      <c r="B1217" s="116"/>
    </row>
    <row r="1218" spans="1:2" x14ac:dyDescent="0.2">
      <c r="A1218" s="102"/>
      <c r="B1218" s="116"/>
    </row>
    <row r="1219" spans="1:2" x14ac:dyDescent="0.2">
      <c r="A1219" s="102"/>
      <c r="B1219" s="116"/>
    </row>
    <row r="1220" spans="1:2" x14ac:dyDescent="0.2">
      <c r="A1220" s="102"/>
      <c r="B1220" s="116"/>
    </row>
    <row r="1221" spans="1:2" x14ac:dyDescent="0.2">
      <c r="A1221" s="102"/>
      <c r="B1221" s="116"/>
    </row>
    <row r="1222" spans="1:2" x14ac:dyDescent="0.2">
      <c r="A1222" s="102"/>
      <c r="B1222" s="116"/>
    </row>
    <row r="1223" spans="1:2" x14ac:dyDescent="0.2">
      <c r="A1223" s="102"/>
      <c r="B1223" s="116"/>
    </row>
    <row r="1224" spans="1:2" x14ac:dyDescent="0.2">
      <c r="A1224" s="102"/>
      <c r="B1224" s="116"/>
    </row>
    <row r="1225" spans="1:2" x14ac:dyDescent="0.2">
      <c r="A1225" s="102"/>
      <c r="B1225" s="116"/>
    </row>
    <row r="1226" spans="1:2" x14ac:dyDescent="0.2">
      <c r="A1226" s="102"/>
      <c r="B1226" s="116"/>
    </row>
    <row r="1227" spans="1:2" x14ac:dyDescent="0.2">
      <c r="A1227" s="102"/>
      <c r="B1227" s="116"/>
    </row>
    <row r="1228" spans="1:2" x14ac:dyDescent="0.2">
      <c r="A1228" s="102"/>
      <c r="B1228" s="116"/>
    </row>
    <row r="1229" spans="1:2" x14ac:dyDescent="0.2">
      <c r="A1229" s="102"/>
      <c r="B1229" s="116"/>
    </row>
    <row r="1230" spans="1:2" x14ac:dyDescent="0.2">
      <c r="A1230" s="102"/>
      <c r="B1230" s="116"/>
    </row>
    <row r="1231" spans="1:2" x14ac:dyDescent="0.2">
      <c r="A1231" s="102"/>
      <c r="B1231" s="116"/>
    </row>
    <row r="1232" spans="1:2" x14ac:dyDescent="0.2">
      <c r="A1232" s="102"/>
      <c r="B1232" s="116"/>
    </row>
    <row r="1233" spans="1:2" x14ac:dyDescent="0.2">
      <c r="A1233" s="102"/>
      <c r="B1233" s="116"/>
    </row>
    <row r="1234" spans="1:2" x14ac:dyDescent="0.2">
      <c r="A1234" s="102"/>
      <c r="B1234" s="116"/>
    </row>
    <row r="1235" spans="1:2" x14ac:dyDescent="0.2">
      <c r="A1235" s="102"/>
      <c r="B1235" s="116"/>
    </row>
    <row r="1236" spans="1:2" x14ac:dyDescent="0.2">
      <c r="A1236" s="102"/>
      <c r="B1236" s="116"/>
    </row>
    <row r="1237" spans="1:2" x14ac:dyDescent="0.2">
      <c r="A1237" s="102"/>
      <c r="B1237" s="116"/>
    </row>
    <row r="1238" spans="1:2" x14ac:dyDescent="0.2">
      <c r="A1238" s="102"/>
      <c r="B1238" s="116"/>
    </row>
    <row r="1239" spans="1:2" x14ac:dyDescent="0.2">
      <c r="A1239" s="102"/>
      <c r="B1239" s="116"/>
    </row>
    <row r="1240" spans="1:2" x14ac:dyDescent="0.2">
      <c r="A1240" s="102"/>
      <c r="B1240" s="116"/>
    </row>
    <row r="1241" spans="1:2" x14ac:dyDescent="0.2">
      <c r="A1241" s="102"/>
      <c r="B1241" s="116"/>
    </row>
    <row r="1242" spans="1:2" x14ac:dyDescent="0.2">
      <c r="A1242" s="102"/>
      <c r="B1242" s="116"/>
    </row>
    <row r="1243" spans="1:2" x14ac:dyDescent="0.2">
      <c r="A1243" s="102"/>
      <c r="B1243" s="116"/>
    </row>
    <row r="1244" spans="1:2" x14ac:dyDescent="0.2">
      <c r="A1244" s="102"/>
      <c r="B1244" s="116"/>
    </row>
    <row r="1245" spans="1:2" x14ac:dyDescent="0.2">
      <c r="A1245" s="102"/>
      <c r="B1245" s="116"/>
    </row>
    <row r="1246" spans="1:2" x14ac:dyDescent="0.2">
      <c r="A1246" s="102"/>
      <c r="B1246" s="116"/>
    </row>
    <row r="1247" spans="1:2" x14ac:dyDescent="0.2">
      <c r="A1247" s="102"/>
      <c r="B1247" s="116"/>
    </row>
    <row r="1248" spans="1:2" x14ac:dyDescent="0.2">
      <c r="A1248" s="102"/>
      <c r="B1248" s="116"/>
    </row>
    <row r="1249" spans="1:2" x14ac:dyDescent="0.2">
      <c r="A1249" s="102"/>
      <c r="B1249" s="116"/>
    </row>
    <row r="1250" spans="1:2" x14ac:dyDescent="0.2">
      <c r="A1250" s="102"/>
      <c r="B1250" s="116"/>
    </row>
    <row r="1251" spans="1:2" x14ac:dyDescent="0.2">
      <c r="A1251" s="102"/>
      <c r="B1251" s="116"/>
    </row>
    <row r="1252" spans="1:2" x14ac:dyDescent="0.2">
      <c r="A1252" s="102"/>
      <c r="B1252" s="116"/>
    </row>
    <row r="1253" spans="1:2" x14ac:dyDescent="0.2">
      <c r="A1253" s="102"/>
      <c r="B1253" s="116"/>
    </row>
    <row r="1254" spans="1:2" x14ac:dyDescent="0.2">
      <c r="A1254" s="102"/>
      <c r="B1254" s="116"/>
    </row>
    <row r="1255" spans="1:2" x14ac:dyDescent="0.2">
      <c r="A1255" s="102"/>
      <c r="B1255" s="116"/>
    </row>
    <row r="1256" spans="1:2" x14ac:dyDescent="0.2">
      <c r="A1256" s="102"/>
      <c r="B1256" s="116"/>
    </row>
    <row r="1257" spans="1:2" x14ac:dyDescent="0.2">
      <c r="A1257" s="102"/>
      <c r="B1257" s="116"/>
    </row>
    <row r="1258" spans="1:2" x14ac:dyDescent="0.2">
      <c r="A1258" s="102"/>
      <c r="B1258" s="116"/>
    </row>
    <row r="1259" spans="1:2" x14ac:dyDescent="0.2">
      <c r="A1259" s="102"/>
      <c r="B1259" s="116"/>
    </row>
    <row r="1260" spans="1:2" x14ac:dyDescent="0.2">
      <c r="A1260" s="102"/>
      <c r="B1260" s="116"/>
    </row>
    <row r="1261" spans="1:2" x14ac:dyDescent="0.2">
      <c r="A1261" s="102"/>
      <c r="B1261" s="116"/>
    </row>
    <row r="1262" spans="1:2" x14ac:dyDescent="0.2">
      <c r="A1262" s="102"/>
      <c r="B1262" s="116"/>
    </row>
    <row r="1263" spans="1:2" x14ac:dyDescent="0.2">
      <c r="A1263" s="102"/>
      <c r="B1263" s="116"/>
    </row>
    <row r="1264" spans="1:2" x14ac:dyDescent="0.2">
      <c r="A1264" s="102"/>
      <c r="B1264" s="116"/>
    </row>
    <row r="1265" spans="1:2" x14ac:dyDescent="0.2">
      <c r="A1265" s="102"/>
      <c r="B1265" s="116"/>
    </row>
    <row r="1266" spans="1:2" x14ac:dyDescent="0.2">
      <c r="A1266" s="102"/>
      <c r="B1266" s="116"/>
    </row>
    <row r="1267" spans="1:2" x14ac:dyDescent="0.2">
      <c r="A1267" s="102"/>
      <c r="B1267" s="116"/>
    </row>
    <row r="1268" spans="1:2" x14ac:dyDescent="0.2">
      <c r="A1268" s="102"/>
      <c r="B1268" s="116"/>
    </row>
    <row r="1269" spans="1:2" x14ac:dyDescent="0.2">
      <c r="A1269" s="102"/>
      <c r="B1269" s="116"/>
    </row>
    <row r="1270" spans="1:2" x14ac:dyDescent="0.2">
      <c r="A1270" s="102"/>
      <c r="B1270" s="116"/>
    </row>
    <row r="1271" spans="1:2" x14ac:dyDescent="0.2">
      <c r="A1271" s="102"/>
      <c r="B1271" s="116"/>
    </row>
    <row r="1272" spans="1:2" x14ac:dyDescent="0.2">
      <c r="A1272" s="102"/>
      <c r="B1272" s="116"/>
    </row>
    <row r="1273" spans="1:2" x14ac:dyDescent="0.2">
      <c r="A1273" s="102"/>
      <c r="B1273" s="116"/>
    </row>
    <row r="1274" spans="1:2" x14ac:dyDescent="0.2">
      <c r="A1274" s="102"/>
      <c r="B1274" s="116"/>
    </row>
    <row r="1275" spans="1:2" x14ac:dyDescent="0.2">
      <c r="A1275" s="102"/>
      <c r="B1275" s="116"/>
    </row>
    <row r="1276" spans="1:2" x14ac:dyDescent="0.2">
      <c r="A1276" s="102"/>
      <c r="B1276" s="116"/>
    </row>
    <row r="1277" spans="1:2" x14ac:dyDescent="0.2">
      <c r="A1277" s="102"/>
      <c r="B1277" s="116"/>
    </row>
    <row r="1278" spans="1:2" x14ac:dyDescent="0.2">
      <c r="A1278" s="102"/>
      <c r="B1278" s="116"/>
    </row>
    <row r="1279" spans="1:2" x14ac:dyDescent="0.2">
      <c r="A1279" s="102"/>
      <c r="B1279" s="116"/>
    </row>
    <row r="1280" spans="1:2" x14ac:dyDescent="0.2">
      <c r="A1280" s="102"/>
      <c r="B1280" s="116"/>
    </row>
    <row r="1281" spans="1:2" x14ac:dyDescent="0.2">
      <c r="A1281" s="102"/>
      <c r="B1281" s="116"/>
    </row>
    <row r="1282" spans="1:2" x14ac:dyDescent="0.2">
      <c r="A1282" s="102"/>
      <c r="B1282" s="116"/>
    </row>
    <row r="1283" spans="1:2" x14ac:dyDescent="0.2">
      <c r="A1283" s="102"/>
      <c r="B1283" s="116"/>
    </row>
    <row r="1284" spans="1:2" x14ac:dyDescent="0.2">
      <c r="A1284" s="102"/>
      <c r="B1284" s="116"/>
    </row>
    <row r="1285" spans="1:2" x14ac:dyDescent="0.2">
      <c r="A1285" s="102"/>
      <c r="B1285" s="116"/>
    </row>
    <row r="1286" spans="1:2" x14ac:dyDescent="0.2">
      <c r="A1286" s="102"/>
      <c r="B1286" s="116"/>
    </row>
    <row r="1287" spans="1:2" x14ac:dyDescent="0.2">
      <c r="A1287" s="102"/>
      <c r="B1287" s="116"/>
    </row>
    <row r="1288" spans="1:2" x14ac:dyDescent="0.2">
      <c r="A1288" s="102"/>
      <c r="B1288" s="116"/>
    </row>
    <row r="1289" spans="1:2" x14ac:dyDescent="0.2">
      <c r="A1289" s="102"/>
      <c r="B1289" s="116"/>
    </row>
    <row r="1290" spans="1:2" x14ac:dyDescent="0.2">
      <c r="A1290" s="102"/>
      <c r="B1290" s="116"/>
    </row>
    <row r="1291" spans="1:2" x14ac:dyDescent="0.2">
      <c r="A1291" s="102"/>
      <c r="B1291" s="116"/>
    </row>
    <row r="1292" spans="1:2" x14ac:dyDescent="0.2">
      <c r="A1292" s="102"/>
      <c r="B1292" s="116"/>
    </row>
    <row r="1293" spans="1:2" x14ac:dyDescent="0.2">
      <c r="A1293" s="102"/>
      <c r="B1293" s="116"/>
    </row>
    <row r="1294" spans="1:2" x14ac:dyDescent="0.2">
      <c r="A1294" s="102"/>
      <c r="B1294" s="116"/>
    </row>
    <row r="1295" spans="1:2" x14ac:dyDescent="0.2">
      <c r="A1295" s="102"/>
      <c r="B1295" s="116"/>
    </row>
    <row r="1296" spans="1:2" x14ac:dyDescent="0.2">
      <c r="A1296" s="102"/>
      <c r="B1296" s="116"/>
    </row>
    <row r="1297" spans="1:2" x14ac:dyDescent="0.2">
      <c r="A1297" s="102"/>
      <c r="B1297" s="116"/>
    </row>
    <row r="1298" spans="1:2" x14ac:dyDescent="0.2">
      <c r="A1298" s="102"/>
      <c r="B1298" s="116"/>
    </row>
    <row r="1299" spans="1:2" x14ac:dyDescent="0.2">
      <c r="A1299" s="102"/>
      <c r="B1299" s="116"/>
    </row>
    <row r="1300" spans="1:2" x14ac:dyDescent="0.2">
      <c r="A1300" s="102"/>
      <c r="B1300" s="116"/>
    </row>
    <row r="1301" spans="1:2" x14ac:dyDescent="0.2">
      <c r="A1301" s="102"/>
      <c r="B1301" s="116"/>
    </row>
    <row r="1302" spans="1:2" x14ac:dyDescent="0.2">
      <c r="A1302" s="102"/>
      <c r="B1302" s="116"/>
    </row>
    <row r="1303" spans="1:2" x14ac:dyDescent="0.2">
      <c r="A1303" s="102"/>
      <c r="B1303" s="116"/>
    </row>
    <row r="1304" spans="1:2" x14ac:dyDescent="0.2">
      <c r="A1304" s="102"/>
      <c r="B1304" s="116"/>
    </row>
    <row r="1305" spans="1:2" x14ac:dyDescent="0.2">
      <c r="A1305" s="102"/>
      <c r="B1305" s="116"/>
    </row>
    <row r="1306" spans="1:2" x14ac:dyDescent="0.2">
      <c r="A1306" s="102"/>
      <c r="B1306" s="116"/>
    </row>
    <row r="1307" spans="1:2" x14ac:dyDescent="0.2">
      <c r="A1307" s="102"/>
      <c r="B1307" s="116"/>
    </row>
    <row r="1308" spans="1:2" x14ac:dyDescent="0.2">
      <c r="A1308" s="102"/>
      <c r="B1308" s="116"/>
    </row>
    <row r="1309" spans="1:2" x14ac:dyDescent="0.2">
      <c r="A1309" s="102"/>
      <c r="B1309" s="116"/>
    </row>
    <row r="1310" spans="1:2" x14ac:dyDescent="0.2">
      <c r="A1310" s="102"/>
      <c r="B1310" s="116"/>
    </row>
    <row r="1311" spans="1:2" x14ac:dyDescent="0.2">
      <c r="A1311" s="102"/>
      <c r="B1311" s="116"/>
    </row>
    <row r="1312" spans="1:2" x14ac:dyDescent="0.2">
      <c r="A1312" s="102"/>
      <c r="B1312" s="116"/>
    </row>
    <row r="1313" spans="1:2" x14ac:dyDescent="0.2">
      <c r="A1313" s="102"/>
      <c r="B1313" s="116"/>
    </row>
    <row r="1314" spans="1:2" x14ac:dyDescent="0.2">
      <c r="A1314" s="102"/>
      <c r="B1314" s="116"/>
    </row>
    <row r="1315" spans="1:2" x14ac:dyDescent="0.2">
      <c r="A1315" s="102"/>
      <c r="B1315" s="116"/>
    </row>
    <row r="1316" spans="1:2" x14ac:dyDescent="0.2">
      <c r="A1316" s="102"/>
      <c r="B1316" s="116"/>
    </row>
    <row r="1317" spans="1:2" x14ac:dyDescent="0.2">
      <c r="A1317" s="102"/>
      <c r="B1317" s="116"/>
    </row>
    <row r="1318" spans="1:2" x14ac:dyDescent="0.2">
      <c r="A1318" s="102"/>
      <c r="B1318" s="116"/>
    </row>
    <row r="1319" spans="1:2" x14ac:dyDescent="0.2">
      <c r="A1319" s="102"/>
      <c r="B1319" s="116"/>
    </row>
    <row r="1320" spans="1:2" x14ac:dyDescent="0.2">
      <c r="A1320" s="102"/>
      <c r="B1320" s="116"/>
    </row>
    <row r="1321" spans="1:2" x14ac:dyDescent="0.2">
      <c r="A1321" s="102"/>
      <c r="B1321" s="116"/>
    </row>
    <row r="1322" spans="1:2" x14ac:dyDescent="0.2">
      <c r="A1322" s="102"/>
      <c r="B1322" s="116"/>
    </row>
    <row r="1323" spans="1:2" x14ac:dyDescent="0.2">
      <c r="A1323" s="102"/>
      <c r="B1323" s="116"/>
    </row>
    <row r="1324" spans="1:2" x14ac:dyDescent="0.2">
      <c r="A1324" s="102"/>
      <c r="B1324" s="116"/>
    </row>
    <row r="1325" spans="1:2" x14ac:dyDescent="0.2">
      <c r="A1325" s="102"/>
      <c r="B1325" s="116"/>
    </row>
    <row r="1326" spans="1:2" x14ac:dyDescent="0.2">
      <c r="A1326" s="102"/>
      <c r="B1326" s="116"/>
    </row>
    <row r="1327" spans="1:2" x14ac:dyDescent="0.2">
      <c r="A1327" s="102"/>
      <c r="B1327" s="116"/>
    </row>
    <row r="1328" spans="1:2" x14ac:dyDescent="0.2">
      <c r="A1328" s="102"/>
      <c r="B1328" s="116"/>
    </row>
    <row r="1329" spans="1:2" x14ac:dyDescent="0.2">
      <c r="A1329" s="102"/>
      <c r="B1329" s="116"/>
    </row>
    <row r="1330" spans="1:2" x14ac:dyDescent="0.2">
      <c r="A1330" s="102"/>
      <c r="B1330" s="116"/>
    </row>
    <row r="1331" spans="1:2" x14ac:dyDescent="0.2">
      <c r="A1331" s="102"/>
      <c r="B1331" s="116"/>
    </row>
    <row r="1332" spans="1:2" x14ac:dyDescent="0.2">
      <c r="A1332" s="102"/>
      <c r="B1332" s="116"/>
    </row>
    <row r="1333" spans="1:2" x14ac:dyDescent="0.2">
      <c r="A1333" s="102"/>
      <c r="B1333" s="116"/>
    </row>
    <row r="1334" spans="1:2" x14ac:dyDescent="0.2">
      <c r="A1334" s="102"/>
      <c r="B1334" s="116"/>
    </row>
    <row r="1335" spans="1:2" x14ac:dyDescent="0.2">
      <c r="A1335" s="102"/>
      <c r="B1335" s="116"/>
    </row>
    <row r="1336" spans="1:2" x14ac:dyDescent="0.2">
      <c r="A1336" s="102"/>
      <c r="B1336" s="116"/>
    </row>
    <row r="1337" spans="1:2" x14ac:dyDescent="0.2">
      <c r="A1337" s="102"/>
      <c r="B1337" s="116"/>
    </row>
    <row r="1338" spans="1:2" x14ac:dyDescent="0.2">
      <c r="A1338" s="102"/>
      <c r="B1338" s="116"/>
    </row>
    <row r="1339" spans="1:2" x14ac:dyDescent="0.2">
      <c r="A1339" s="102"/>
      <c r="B1339" s="116"/>
    </row>
    <row r="1340" spans="1:2" x14ac:dyDescent="0.2">
      <c r="A1340" s="102"/>
      <c r="B1340" s="116"/>
    </row>
    <row r="1341" spans="1:2" x14ac:dyDescent="0.2">
      <c r="A1341" s="102"/>
      <c r="B1341" s="116"/>
    </row>
    <row r="1342" spans="1:2" x14ac:dyDescent="0.2">
      <c r="A1342" s="102"/>
      <c r="B1342" s="116"/>
    </row>
    <row r="1343" spans="1:2" x14ac:dyDescent="0.2">
      <c r="A1343" s="102"/>
      <c r="B1343" s="116"/>
    </row>
    <row r="1344" spans="1:2" x14ac:dyDescent="0.2">
      <c r="A1344" s="102"/>
      <c r="B1344" s="116"/>
    </row>
    <row r="1345" spans="1:2" x14ac:dyDescent="0.2">
      <c r="A1345" s="102"/>
      <c r="B1345" s="116"/>
    </row>
    <row r="1346" spans="1:2" x14ac:dyDescent="0.2">
      <c r="A1346" s="102"/>
      <c r="B1346" s="116"/>
    </row>
    <row r="1347" spans="1:2" x14ac:dyDescent="0.2">
      <c r="A1347" s="102"/>
      <c r="B1347" s="116"/>
    </row>
    <row r="1348" spans="1:2" x14ac:dyDescent="0.2">
      <c r="A1348" s="102"/>
      <c r="B1348" s="116"/>
    </row>
    <row r="1349" spans="1:2" x14ac:dyDescent="0.2">
      <c r="A1349" s="102"/>
      <c r="B1349" s="116"/>
    </row>
    <row r="1350" spans="1:2" x14ac:dyDescent="0.2">
      <c r="A1350" s="102"/>
      <c r="B1350" s="116"/>
    </row>
    <row r="1351" spans="1:2" x14ac:dyDescent="0.2">
      <c r="A1351" s="102"/>
      <c r="B1351" s="116"/>
    </row>
    <row r="1352" spans="1:2" x14ac:dyDescent="0.2">
      <c r="A1352" s="102"/>
      <c r="B1352" s="116"/>
    </row>
    <row r="1353" spans="1:2" x14ac:dyDescent="0.2">
      <c r="A1353" s="102"/>
      <c r="B1353" s="116"/>
    </row>
    <row r="1354" spans="1:2" x14ac:dyDescent="0.2">
      <c r="A1354" s="102"/>
      <c r="B1354" s="116"/>
    </row>
    <row r="1355" spans="1:2" x14ac:dyDescent="0.2">
      <c r="A1355" s="102"/>
      <c r="B1355" s="116"/>
    </row>
    <row r="1356" spans="1:2" x14ac:dyDescent="0.2">
      <c r="A1356" s="102"/>
      <c r="B1356" s="116"/>
    </row>
    <row r="1357" spans="1:2" x14ac:dyDescent="0.2">
      <c r="A1357" s="102"/>
      <c r="B1357" s="116"/>
    </row>
    <row r="1358" spans="1:2" x14ac:dyDescent="0.2">
      <c r="A1358" s="102"/>
      <c r="B1358" s="116"/>
    </row>
    <row r="1359" spans="1:2" x14ac:dyDescent="0.2">
      <c r="A1359" s="102"/>
      <c r="B1359" s="116"/>
    </row>
    <row r="1360" spans="1:2" x14ac:dyDescent="0.2">
      <c r="A1360" s="102"/>
      <c r="B1360" s="116"/>
    </row>
    <row r="1361" spans="1:2" x14ac:dyDescent="0.2">
      <c r="A1361" s="102"/>
      <c r="B1361" s="116"/>
    </row>
    <row r="1362" spans="1:2" x14ac:dyDescent="0.2">
      <c r="A1362" s="102"/>
      <c r="B1362" s="116"/>
    </row>
    <row r="1363" spans="1:2" x14ac:dyDescent="0.2">
      <c r="A1363" s="102"/>
      <c r="B1363" s="116"/>
    </row>
    <row r="1364" spans="1:2" x14ac:dyDescent="0.2">
      <c r="A1364" s="102"/>
      <c r="B1364" s="116"/>
    </row>
    <row r="1365" spans="1:2" x14ac:dyDescent="0.2">
      <c r="A1365" s="102"/>
      <c r="B1365" s="116"/>
    </row>
    <row r="1366" spans="1:2" x14ac:dyDescent="0.2">
      <c r="A1366" s="102"/>
      <c r="B1366" s="116"/>
    </row>
    <row r="1367" spans="1:2" x14ac:dyDescent="0.2">
      <c r="A1367" s="102"/>
      <c r="B1367" s="116"/>
    </row>
    <row r="1368" spans="1:2" x14ac:dyDescent="0.2">
      <c r="A1368" s="102"/>
      <c r="B1368" s="116"/>
    </row>
    <row r="1369" spans="1:2" x14ac:dyDescent="0.2">
      <c r="A1369" s="102"/>
      <c r="B1369" s="116"/>
    </row>
    <row r="1370" spans="1:2" x14ac:dyDescent="0.2">
      <c r="A1370" s="102"/>
      <c r="B1370" s="116"/>
    </row>
    <row r="1371" spans="1:2" x14ac:dyDescent="0.2">
      <c r="A1371" s="102"/>
      <c r="B1371" s="116"/>
    </row>
    <row r="1372" spans="1:2" x14ac:dyDescent="0.2">
      <c r="A1372" s="102"/>
      <c r="B1372" s="116"/>
    </row>
    <row r="1373" spans="1:2" x14ac:dyDescent="0.2">
      <c r="A1373" s="102"/>
      <c r="B1373" s="116"/>
    </row>
    <row r="1374" spans="1:2" x14ac:dyDescent="0.2">
      <c r="A1374" s="102"/>
      <c r="B1374" s="116"/>
    </row>
    <row r="1375" spans="1:2" x14ac:dyDescent="0.2">
      <c r="A1375" s="102"/>
      <c r="B1375" s="116"/>
    </row>
    <row r="1376" spans="1:2" x14ac:dyDescent="0.2">
      <c r="A1376" s="102"/>
      <c r="B1376" s="116"/>
    </row>
    <row r="1377" spans="1:2" x14ac:dyDescent="0.2">
      <c r="A1377" s="102"/>
      <c r="B1377" s="116"/>
    </row>
    <row r="1378" spans="1:2" x14ac:dyDescent="0.2">
      <c r="A1378" s="102"/>
      <c r="B1378" s="116"/>
    </row>
    <row r="1379" spans="1:2" x14ac:dyDescent="0.2">
      <c r="A1379" s="102"/>
      <c r="B1379" s="116"/>
    </row>
    <row r="1380" spans="1:2" x14ac:dyDescent="0.2">
      <c r="A1380" s="102"/>
      <c r="B1380" s="116"/>
    </row>
    <row r="1381" spans="1:2" x14ac:dyDescent="0.2">
      <c r="A1381" s="102"/>
      <c r="B1381" s="116"/>
    </row>
    <row r="1382" spans="1:2" x14ac:dyDescent="0.2">
      <c r="A1382" s="102"/>
      <c r="B1382" s="116"/>
    </row>
    <row r="1383" spans="1:2" x14ac:dyDescent="0.2">
      <c r="A1383" s="102"/>
      <c r="B1383" s="116"/>
    </row>
    <row r="1384" spans="1:2" x14ac:dyDescent="0.2">
      <c r="A1384" s="102"/>
      <c r="B1384" s="116"/>
    </row>
    <row r="1385" spans="1:2" x14ac:dyDescent="0.2">
      <c r="A1385" s="102"/>
      <c r="B1385" s="116"/>
    </row>
    <row r="1386" spans="1:2" x14ac:dyDescent="0.2">
      <c r="A1386" s="102"/>
      <c r="B1386" s="116"/>
    </row>
    <row r="1387" spans="1:2" x14ac:dyDescent="0.2">
      <c r="A1387" s="102"/>
      <c r="B1387" s="116"/>
    </row>
    <row r="1388" spans="1:2" x14ac:dyDescent="0.2">
      <c r="A1388" s="102"/>
      <c r="B1388" s="116"/>
    </row>
    <row r="1389" spans="1:2" x14ac:dyDescent="0.2">
      <c r="A1389" s="102"/>
      <c r="B1389" s="116"/>
    </row>
    <row r="1390" spans="1:2" x14ac:dyDescent="0.2">
      <c r="A1390" s="102"/>
      <c r="B1390" s="116"/>
    </row>
    <row r="1391" spans="1:2" x14ac:dyDescent="0.2">
      <c r="A1391" s="102"/>
      <c r="B1391" s="116"/>
    </row>
    <row r="1392" spans="1:2" x14ac:dyDescent="0.2">
      <c r="A1392" s="102"/>
      <c r="B1392" s="116"/>
    </row>
    <row r="1393" spans="1:2" x14ac:dyDescent="0.2">
      <c r="A1393" s="102"/>
      <c r="B1393" s="116"/>
    </row>
    <row r="1394" spans="1:2" x14ac:dyDescent="0.2">
      <c r="A1394" s="102"/>
      <c r="B1394" s="116"/>
    </row>
    <row r="1395" spans="1:2" x14ac:dyDescent="0.2">
      <c r="A1395" s="102"/>
      <c r="B1395" s="116"/>
    </row>
    <row r="1396" spans="1:2" x14ac:dyDescent="0.2">
      <c r="A1396" s="102"/>
      <c r="B1396" s="116"/>
    </row>
    <row r="1397" spans="1:2" x14ac:dyDescent="0.2">
      <c r="A1397" s="102"/>
      <c r="B1397" s="116"/>
    </row>
    <row r="1398" spans="1:2" x14ac:dyDescent="0.2">
      <c r="A1398" s="102"/>
      <c r="B1398" s="116"/>
    </row>
    <row r="1399" spans="1:2" x14ac:dyDescent="0.2">
      <c r="A1399" s="102"/>
      <c r="B1399" s="116"/>
    </row>
    <row r="1400" spans="1:2" x14ac:dyDescent="0.2">
      <c r="A1400" s="102"/>
      <c r="B1400" s="116"/>
    </row>
    <row r="1401" spans="1:2" x14ac:dyDescent="0.2">
      <c r="A1401" s="102"/>
      <c r="B1401" s="116"/>
    </row>
    <row r="1402" spans="1:2" x14ac:dyDescent="0.2">
      <c r="A1402" s="102"/>
      <c r="B1402" s="116"/>
    </row>
    <row r="1403" spans="1:2" x14ac:dyDescent="0.2">
      <c r="A1403" s="102"/>
      <c r="B1403" s="116"/>
    </row>
    <row r="1404" spans="1:2" x14ac:dyDescent="0.2">
      <c r="A1404" s="102"/>
      <c r="B1404" s="116"/>
    </row>
    <row r="1405" spans="1:2" x14ac:dyDescent="0.2">
      <c r="A1405" s="102"/>
      <c r="B1405" s="116"/>
    </row>
    <row r="1406" spans="1:2" x14ac:dyDescent="0.2">
      <c r="A1406" s="102"/>
      <c r="B1406" s="116"/>
    </row>
    <row r="1407" spans="1:2" x14ac:dyDescent="0.2">
      <c r="A1407" s="102"/>
      <c r="B1407" s="116"/>
    </row>
    <row r="1408" spans="1:2" x14ac:dyDescent="0.2">
      <c r="A1408" s="102"/>
      <c r="B1408" s="116"/>
    </row>
    <row r="1409" spans="1:2" x14ac:dyDescent="0.2">
      <c r="A1409" s="102"/>
      <c r="B1409" s="116"/>
    </row>
    <row r="1410" spans="1:2" x14ac:dyDescent="0.2">
      <c r="A1410" s="102"/>
      <c r="B1410" s="116"/>
    </row>
    <row r="1411" spans="1:2" x14ac:dyDescent="0.2">
      <c r="A1411" s="102"/>
      <c r="B1411" s="116"/>
    </row>
    <row r="1412" spans="1:2" x14ac:dyDescent="0.2">
      <c r="A1412" s="102"/>
      <c r="B1412" s="116"/>
    </row>
    <row r="1413" spans="1:2" x14ac:dyDescent="0.2">
      <c r="A1413" s="102"/>
      <c r="B1413" s="116"/>
    </row>
    <row r="1414" spans="1:2" x14ac:dyDescent="0.2">
      <c r="A1414" s="102"/>
      <c r="B1414" s="116"/>
    </row>
    <row r="1415" spans="1:2" x14ac:dyDescent="0.2">
      <c r="A1415" s="102"/>
      <c r="B1415" s="116"/>
    </row>
    <row r="1416" spans="1:2" x14ac:dyDescent="0.2">
      <c r="A1416" s="102"/>
      <c r="B1416" s="116"/>
    </row>
    <row r="1417" spans="1:2" x14ac:dyDescent="0.2">
      <c r="A1417" s="102"/>
      <c r="B1417" s="116"/>
    </row>
    <row r="1418" spans="1:2" x14ac:dyDescent="0.2">
      <c r="A1418" s="102"/>
      <c r="B1418" s="116"/>
    </row>
    <row r="1419" spans="1:2" x14ac:dyDescent="0.2">
      <c r="A1419" s="102"/>
      <c r="B1419" s="116"/>
    </row>
    <row r="1420" spans="1:2" x14ac:dyDescent="0.2">
      <c r="A1420" s="102"/>
      <c r="B1420" s="116"/>
    </row>
    <row r="1421" spans="1:2" x14ac:dyDescent="0.2">
      <c r="A1421" s="102"/>
      <c r="B1421" s="116"/>
    </row>
    <row r="1422" spans="1:2" x14ac:dyDescent="0.2">
      <c r="A1422" s="102"/>
      <c r="B1422" s="116"/>
    </row>
    <row r="1423" spans="1:2" x14ac:dyDescent="0.2">
      <c r="A1423" s="102"/>
      <c r="B1423" s="116"/>
    </row>
    <row r="1424" spans="1:2" x14ac:dyDescent="0.2">
      <c r="A1424" s="102"/>
      <c r="B1424" s="116"/>
    </row>
    <row r="1425" spans="1:2" x14ac:dyDescent="0.2">
      <c r="A1425" s="102"/>
      <c r="B1425" s="116"/>
    </row>
    <row r="1426" spans="1:2" x14ac:dyDescent="0.2">
      <c r="A1426" s="102"/>
      <c r="B1426" s="116"/>
    </row>
    <row r="1427" spans="1:2" x14ac:dyDescent="0.2">
      <c r="A1427" s="102"/>
      <c r="B1427" s="116"/>
    </row>
    <row r="1428" spans="1:2" x14ac:dyDescent="0.2">
      <c r="A1428" s="102"/>
      <c r="B1428" s="116"/>
    </row>
    <row r="1429" spans="1:2" x14ac:dyDescent="0.2">
      <c r="A1429" s="102"/>
      <c r="B1429" s="116"/>
    </row>
    <row r="1430" spans="1:2" x14ac:dyDescent="0.2">
      <c r="A1430" s="102"/>
      <c r="B1430" s="116"/>
    </row>
    <row r="1431" spans="1:2" x14ac:dyDescent="0.2">
      <c r="A1431" s="102"/>
      <c r="B1431" s="116"/>
    </row>
    <row r="1432" spans="1:2" x14ac:dyDescent="0.2">
      <c r="A1432" s="102"/>
      <c r="B1432" s="116"/>
    </row>
    <row r="1433" spans="1:2" x14ac:dyDescent="0.2">
      <c r="A1433" s="102"/>
      <c r="B1433" s="116"/>
    </row>
    <row r="1434" spans="1:2" x14ac:dyDescent="0.2">
      <c r="A1434" s="102"/>
      <c r="B1434" s="116"/>
    </row>
    <row r="1435" spans="1:2" x14ac:dyDescent="0.2">
      <c r="A1435" s="102"/>
      <c r="B1435" s="116"/>
    </row>
    <row r="1436" spans="1:2" x14ac:dyDescent="0.2">
      <c r="A1436" s="102"/>
      <c r="B1436" s="116"/>
    </row>
    <row r="1437" spans="1:2" x14ac:dyDescent="0.2">
      <c r="A1437" s="102"/>
      <c r="B1437" s="116"/>
    </row>
    <row r="1438" spans="1:2" x14ac:dyDescent="0.2">
      <c r="A1438" s="102"/>
      <c r="B1438" s="116"/>
    </row>
    <row r="1439" spans="1:2" x14ac:dyDescent="0.2">
      <c r="A1439" s="102"/>
      <c r="B1439" s="116"/>
    </row>
    <row r="1440" spans="1:2" x14ac:dyDescent="0.2">
      <c r="A1440" s="102"/>
      <c r="B1440" s="116"/>
    </row>
    <row r="1441" spans="1:2" x14ac:dyDescent="0.2">
      <c r="A1441" s="102"/>
      <c r="B1441" s="116"/>
    </row>
    <row r="1442" spans="1:2" x14ac:dyDescent="0.2">
      <c r="A1442" s="102"/>
      <c r="B1442" s="116"/>
    </row>
    <row r="1443" spans="1:2" x14ac:dyDescent="0.2">
      <c r="A1443" s="102"/>
      <c r="B1443" s="116"/>
    </row>
    <row r="1444" spans="1:2" x14ac:dyDescent="0.2">
      <c r="A1444" s="102"/>
      <c r="B1444" s="116"/>
    </row>
    <row r="1445" spans="1:2" x14ac:dyDescent="0.2">
      <c r="A1445" s="102"/>
      <c r="B1445" s="116"/>
    </row>
    <row r="1446" spans="1:2" x14ac:dyDescent="0.2">
      <c r="A1446" s="102"/>
      <c r="B1446" s="116"/>
    </row>
    <row r="1447" spans="1:2" x14ac:dyDescent="0.2">
      <c r="A1447" s="102"/>
      <c r="B1447" s="116"/>
    </row>
    <row r="1448" spans="1:2" x14ac:dyDescent="0.2">
      <c r="A1448" s="102"/>
      <c r="B1448" s="116"/>
    </row>
    <row r="1449" spans="1:2" x14ac:dyDescent="0.2">
      <c r="A1449" s="102"/>
      <c r="B1449" s="116"/>
    </row>
    <row r="1450" spans="1:2" x14ac:dyDescent="0.2">
      <c r="A1450" s="102"/>
      <c r="B1450" s="116"/>
    </row>
    <row r="1451" spans="1:2" x14ac:dyDescent="0.2">
      <c r="A1451" s="102"/>
      <c r="B1451" s="116"/>
    </row>
    <row r="1452" spans="1:2" x14ac:dyDescent="0.2">
      <c r="A1452" s="102"/>
      <c r="B1452" s="116"/>
    </row>
    <row r="1453" spans="1:2" x14ac:dyDescent="0.2">
      <c r="A1453" s="102"/>
      <c r="B1453" s="116"/>
    </row>
    <row r="1454" spans="1:2" x14ac:dyDescent="0.2">
      <c r="A1454" s="102"/>
      <c r="B1454" s="116"/>
    </row>
    <row r="1455" spans="1:2" x14ac:dyDescent="0.2">
      <c r="A1455" s="102"/>
      <c r="B1455" s="116"/>
    </row>
    <row r="1456" spans="1:2" x14ac:dyDescent="0.2">
      <c r="A1456" s="102"/>
      <c r="B1456" s="116"/>
    </row>
    <row r="1457" spans="1:2" x14ac:dyDescent="0.2">
      <c r="A1457" s="102"/>
      <c r="B1457" s="116"/>
    </row>
    <row r="1458" spans="1:2" x14ac:dyDescent="0.2">
      <c r="A1458" s="102"/>
      <c r="B1458" s="116"/>
    </row>
    <row r="1459" spans="1:2" x14ac:dyDescent="0.2">
      <c r="A1459" s="102"/>
      <c r="B1459" s="116"/>
    </row>
    <row r="1460" spans="1:2" x14ac:dyDescent="0.2">
      <c r="A1460" s="102"/>
      <c r="B1460" s="116"/>
    </row>
    <row r="1461" spans="1:2" x14ac:dyDescent="0.2">
      <c r="A1461" s="102"/>
      <c r="B1461" s="116"/>
    </row>
    <row r="1462" spans="1:2" x14ac:dyDescent="0.2">
      <c r="A1462" s="102"/>
      <c r="B1462" s="116"/>
    </row>
    <row r="1463" spans="1:2" x14ac:dyDescent="0.2">
      <c r="A1463" s="102"/>
      <c r="B1463" s="116"/>
    </row>
    <row r="1464" spans="1:2" x14ac:dyDescent="0.2">
      <c r="A1464" s="102"/>
      <c r="B1464" s="116"/>
    </row>
    <row r="1465" spans="1:2" x14ac:dyDescent="0.2">
      <c r="A1465" s="102"/>
      <c r="B1465" s="116"/>
    </row>
    <row r="1466" spans="1:2" x14ac:dyDescent="0.2">
      <c r="A1466" s="102"/>
      <c r="B1466" s="116"/>
    </row>
    <row r="1467" spans="1:2" x14ac:dyDescent="0.2">
      <c r="A1467" s="102"/>
      <c r="B1467" s="116"/>
    </row>
    <row r="1468" spans="1:2" x14ac:dyDescent="0.2">
      <c r="A1468" s="102"/>
      <c r="B1468" s="116"/>
    </row>
    <row r="1469" spans="1:2" x14ac:dyDescent="0.2">
      <c r="A1469" s="102"/>
      <c r="B1469" s="116"/>
    </row>
    <row r="1470" spans="1:2" x14ac:dyDescent="0.2">
      <c r="A1470" s="102"/>
      <c r="B1470" s="116"/>
    </row>
    <row r="1471" spans="1:2" x14ac:dyDescent="0.2">
      <c r="A1471" s="102"/>
      <c r="B1471" s="116"/>
    </row>
    <row r="1472" spans="1:2" x14ac:dyDescent="0.2">
      <c r="A1472" s="102"/>
      <c r="B1472" s="116"/>
    </row>
    <row r="1473" spans="1:2" x14ac:dyDescent="0.2">
      <c r="A1473" s="102"/>
      <c r="B1473" s="116"/>
    </row>
    <row r="1474" spans="1:2" x14ac:dyDescent="0.2">
      <c r="A1474" s="102"/>
      <c r="B1474" s="116"/>
    </row>
    <row r="1475" spans="1:2" x14ac:dyDescent="0.2">
      <c r="A1475" s="102"/>
      <c r="B1475" s="116"/>
    </row>
    <row r="1476" spans="1:2" x14ac:dyDescent="0.2">
      <c r="A1476" s="102"/>
      <c r="B1476" s="116"/>
    </row>
    <row r="1477" spans="1:2" x14ac:dyDescent="0.2">
      <c r="A1477" s="102"/>
      <c r="B1477" s="116"/>
    </row>
    <row r="1478" spans="1:2" x14ac:dyDescent="0.2">
      <c r="A1478" s="102"/>
      <c r="B1478" s="116"/>
    </row>
    <row r="1479" spans="1:2" x14ac:dyDescent="0.2">
      <c r="A1479" s="102"/>
      <c r="B1479" s="116"/>
    </row>
    <row r="1480" spans="1:2" x14ac:dyDescent="0.2">
      <c r="A1480" s="102"/>
      <c r="B1480" s="116"/>
    </row>
    <row r="1481" spans="1:2" x14ac:dyDescent="0.2">
      <c r="A1481" s="102"/>
      <c r="B1481" s="116"/>
    </row>
    <row r="1482" spans="1:2" x14ac:dyDescent="0.2">
      <c r="A1482" s="102"/>
      <c r="B1482" s="116"/>
    </row>
    <row r="1483" spans="1:2" x14ac:dyDescent="0.2">
      <c r="A1483" s="102"/>
      <c r="B1483" s="116"/>
    </row>
    <row r="1484" spans="1:2" x14ac:dyDescent="0.2">
      <c r="A1484" s="102"/>
      <c r="B1484" s="116"/>
    </row>
    <row r="1485" spans="1:2" x14ac:dyDescent="0.2">
      <c r="A1485" s="102"/>
      <c r="B1485" s="116"/>
    </row>
    <row r="1486" spans="1:2" x14ac:dyDescent="0.2">
      <c r="A1486" s="102"/>
      <c r="B1486" s="116"/>
    </row>
    <row r="1487" spans="1:2" x14ac:dyDescent="0.2">
      <c r="A1487" s="102"/>
      <c r="B1487" s="116"/>
    </row>
    <row r="1488" spans="1:2" x14ac:dyDescent="0.2">
      <c r="A1488" s="102"/>
      <c r="B1488" s="116"/>
    </row>
    <row r="1489" spans="1:2" x14ac:dyDescent="0.2">
      <c r="A1489" s="102"/>
      <c r="B1489" s="116"/>
    </row>
    <row r="1490" spans="1:2" x14ac:dyDescent="0.2">
      <c r="A1490" s="102"/>
      <c r="B1490" s="116"/>
    </row>
    <row r="1491" spans="1:2" x14ac:dyDescent="0.2">
      <c r="A1491" s="102"/>
      <c r="B1491" s="116"/>
    </row>
    <row r="1492" spans="1:2" x14ac:dyDescent="0.2">
      <c r="A1492" s="102"/>
      <c r="B1492" s="116"/>
    </row>
    <row r="1493" spans="1:2" x14ac:dyDescent="0.2">
      <c r="A1493" s="102"/>
      <c r="B1493" s="116"/>
    </row>
    <row r="1494" spans="1:2" x14ac:dyDescent="0.2">
      <c r="A1494" s="102"/>
      <c r="B1494" s="116"/>
    </row>
    <row r="1495" spans="1:2" x14ac:dyDescent="0.2">
      <c r="A1495" s="102"/>
      <c r="B1495" s="116"/>
    </row>
    <row r="1496" spans="1:2" x14ac:dyDescent="0.2">
      <c r="A1496" s="102"/>
      <c r="B1496" s="116"/>
    </row>
    <row r="1497" spans="1:2" x14ac:dyDescent="0.2">
      <c r="A1497" s="102"/>
      <c r="B1497" s="116"/>
    </row>
    <row r="1498" spans="1:2" x14ac:dyDescent="0.2">
      <c r="A1498" s="102"/>
      <c r="B1498" s="116"/>
    </row>
    <row r="1499" spans="1:2" x14ac:dyDescent="0.2">
      <c r="A1499" s="102"/>
      <c r="B1499" s="116"/>
    </row>
    <row r="1500" spans="1:2" x14ac:dyDescent="0.2">
      <c r="A1500" s="102"/>
      <c r="B1500" s="116"/>
    </row>
    <row r="1501" spans="1:2" x14ac:dyDescent="0.2">
      <c r="A1501" s="102"/>
      <c r="B1501" s="116"/>
    </row>
    <row r="1502" spans="1:2" x14ac:dyDescent="0.2">
      <c r="A1502" s="102"/>
      <c r="B1502" s="116"/>
    </row>
    <row r="1503" spans="1:2" x14ac:dyDescent="0.2">
      <c r="A1503" s="102"/>
      <c r="B1503" s="116"/>
    </row>
    <row r="1504" spans="1:2" x14ac:dyDescent="0.2">
      <c r="A1504" s="102"/>
      <c r="B1504" s="116"/>
    </row>
    <row r="1505" spans="1:2" x14ac:dyDescent="0.2">
      <c r="A1505" s="102"/>
      <c r="B1505" s="116"/>
    </row>
    <row r="1506" spans="1:2" x14ac:dyDescent="0.2">
      <c r="A1506" s="102"/>
      <c r="B1506" s="116"/>
    </row>
    <row r="1507" spans="1:2" x14ac:dyDescent="0.2">
      <c r="A1507" s="102"/>
      <c r="B1507" s="116"/>
    </row>
    <row r="1508" spans="1:2" x14ac:dyDescent="0.2">
      <c r="A1508" s="102"/>
      <c r="B1508" s="116"/>
    </row>
    <row r="1509" spans="1:2" x14ac:dyDescent="0.2">
      <c r="A1509" s="102"/>
      <c r="B1509" s="116"/>
    </row>
    <row r="1510" spans="1:2" x14ac:dyDescent="0.2">
      <c r="A1510" s="102"/>
      <c r="B1510" s="116"/>
    </row>
    <row r="1511" spans="1:2" x14ac:dyDescent="0.2">
      <c r="A1511" s="102"/>
      <c r="B1511" s="116"/>
    </row>
    <row r="1512" spans="1:2" x14ac:dyDescent="0.2">
      <c r="A1512" s="102"/>
      <c r="B1512" s="116"/>
    </row>
    <row r="1513" spans="1:2" x14ac:dyDescent="0.2">
      <c r="A1513" s="102"/>
      <c r="B1513" s="116"/>
    </row>
    <row r="1514" spans="1:2" x14ac:dyDescent="0.2">
      <c r="A1514" s="102"/>
      <c r="B1514" s="116"/>
    </row>
    <row r="1515" spans="1:2" x14ac:dyDescent="0.2">
      <c r="A1515" s="102"/>
      <c r="B1515" s="116"/>
    </row>
    <row r="1516" spans="1:2" x14ac:dyDescent="0.2">
      <c r="A1516" s="102"/>
      <c r="B1516" s="116"/>
    </row>
    <row r="1517" spans="1:2" x14ac:dyDescent="0.2">
      <c r="A1517" s="102"/>
      <c r="B1517" s="116"/>
    </row>
    <row r="1518" spans="1:2" x14ac:dyDescent="0.2">
      <c r="A1518" s="102"/>
      <c r="B1518" s="116"/>
    </row>
    <row r="1519" spans="1:2" x14ac:dyDescent="0.2">
      <c r="A1519" s="102"/>
      <c r="B1519" s="116"/>
    </row>
    <row r="1520" spans="1:2" x14ac:dyDescent="0.2">
      <c r="A1520" s="102"/>
      <c r="B1520" s="116"/>
    </row>
    <row r="1521" spans="1:2" x14ac:dyDescent="0.2">
      <c r="A1521" s="102"/>
      <c r="B1521" s="116"/>
    </row>
    <row r="1522" spans="1:2" x14ac:dyDescent="0.2">
      <c r="A1522" s="102"/>
      <c r="B1522" s="116"/>
    </row>
    <row r="1523" spans="1:2" x14ac:dyDescent="0.2">
      <c r="A1523" s="102"/>
      <c r="B1523" s="116"/>
    </row>
    <row r="1524" spans="1:2" x14ac:dyDescent="0.2">
      <c r="A1524" s="102"/>
      <c r="B1524" s="116"/>
    </row>
    <row r="1525" spans="1:2" x14ac:dyDescent="0.2">
      <c r="A1525" s="102"/>
      <c r="B1525" s="116"/>
    </row>
    <row r="1526" spans="1:2" x14ac:dyDescent="0.2">
      <c r="A1526" s="102"/>
      <c r="B1526" s="116"/>
    </row>
    <row r="1527" spans="1:2" x14ac:dyDescent="0.2">
      <c r="A1527" s="102"/>
      <c r="B1527" s="116"/>
    </row>
    <row r="1528" spans="1:2" x14ac:dyDescent="0.2">
      <c r="A1528" s="102"/>
      <c r="B1528" s="116"/>
    </row>
    <row r="1529" spans="1:2" x14ac:dyDescent="0.2">
      <c r="A1529" s="102"/>
      <c r="B1529" s="116"/>
    </row>
    <row r="1530" spans="1:2" x14ac:dyDescent="0.2">
      <c r="A1530" s="102"/>
      <c r="B1530" s="116"/>
    </row>
    <row r="1531" spans="1:2" x14ac:dyDescent="0.2">
      <c r="A1531" s="102"/>
      <c r="B1531" s="116"/>
    </row>
    <row r="1532" spans="1:2" x14ac:dyDescent="0.2">
      <c r="A1532" s="102"/>
      <c r="B1532" s="116"/>
    </row>
    <row r="1533" spans="1:2" x14ac:dyDescent="0.2">
      <c r="A1533" s="102"/>
      <c r="B1533" s="116"/>
    </row>
    <row r="1534" spans="1:2" x14ac:dyDescent="0.2">
      <c r="A1534" s="102"/>
      <c r="B1534" s="116"/>
    </row>
    <row r="1535" spans="1:2" x14ac:dyDescent="0.2">
      <c r="A1535" s="102"/>
      <c r="B1535" s="116"/>
    </row>
    <row r="1536" spans="1:2" x14ac:dyDescent="0.2">
      <c r="A1536" s="102"/>
      <c r="B1536" s="116"/>
    </row>
    <row r="1537" spans="1:2" x14ac:dyDescent="0.2">
      <c r="A1537" s="102"/>
      <c r="B1537" s="116"/>
    </row>
    <row r="1538" spans="1:2" x14ac:dyDescent="0.2">
      <c r="A1538" s="102"/>
      <c r="B1538" s="116"/>
    </row>
    <row r="1539" spans="1:2" x14ac:dyDescent="0.2">
      <c r="A1539" s="102"/>
      <c r="B1539" s="116"/>
    </row>
    <row r="1540" spans="1:2" x14ac:dyDescent="0.2">
      <c r="A1540" s="102"/>
      <c r="B1540" s="116"/>
    </row>
    <row r="1541" spans="1:2" x14ac:dyDescent="0.2">
      <c r="A1541" s="102"/>
      <c r="B1541" s="116"/>
    </row>
    <row r="1542" spans="1:2" x14ac:dyDescent="0.2">
      <c r="A1542" s="102"/>
      <c r="B1542" s="116"/>
    </row>
    <row r="1543" spans="1:2" x14ac:dyDescent="0.2">
      <c r="A1543" s="102"/>
      <c r="B1543" s="116"/>
    </row>
    <row r="1544" spans="1:2" x14ac:dyDescent="0.2">
      <c r="A1544" s="102"/>
      <c r="B1544" s="116"/>
    </row>
    <row r="1545" spans="1:2" x14ac:dyDescent="0.2">
      <c r="A1545" s="102"/>
      <c r="B1545" s="116"/>
    </row>
    <row r="1546" spans="1:2" x14ac:dyDescent="0.2">
      <c r="A1546" s="102"/>
      <c r="B1546" s="116"/>
    </row>
    <row r="1547" spans="1:2" x14ac:dyDescent="0.2">
      <c r="A1547" s="102"/>
      <c r="B1547" s="116"/>
    </row>
    <row r="1548" spans="1:2" x14ac:dyDescent="0.2">
      <c r="A1548" s="102"/>
      <c r="B1548" s="116"/>
    </row>
    <row r="1549" spans="1:2" x14ac:dyDescent="0.2">
      <c r="A1549" s="102"/>
      <c r="B1549" s="116"/>
    </row>
    <row r="1550" spans="1:2" x14ac:dyDescent="0.2">
      <c r="A1550" s="102"/>
      <c r="B1550" s="116"/>
    </row>
    <row r="1551" spans="1:2" x14ac:dyDescent="0.2">
      <c r="A1551" s="102"/>
      <c r="B1551" s="116"/>
    </row>
    <row r="1552" spans="1:2" x14ac:dyDescent="0.2">
      <c r="A1552" s="102"/>
      <c r="B1552" s="116"/>
    </row>
    <row r="1553" spans="1:2" x14ac:dyDescent="0.2">
      <c r="A1553" s="102"/>
      <c r="B1553" s="116"/>
    </row>
    <row r="1554" spans="1:2" x14ac:dyDescent="0.2">
      <c r="A1554" s="102"/>
      <c r="B1554" s="116"/>
    </row>
    <row r="1555" spans="1:2" x14ac:dyDescent="0.2">
      <c r="A1555" s="102"/>
      <c r="B1555" s="116"/>
    </row>
    <row r="1556" spans="1:2" x14ac:dyDescent="0.2">
      <c r="A1556" s="102"/>
      <c r="B1556" s="116"/>
    </row>
    <row r="1557" spans="1:2" x14ac:dyDescent="0.2">
      <c r="A1557" s="102"/>
      <c r="B1557" s="116"/>
    </row>
    <row r="1558" spans="1:2" x14ac:dyDescent="0.2">
      <c r="A1558" s="102"/>
      <c r="B1558" s="116"/>
    </row>
    <row r="1559" spans="1:2" x14ac:dyDescent="0.2">
      <c r="A1559" s="102"/>
      <c r="B1559" s="116"/>
    </row>
    <row r="1560" spans="1:2" x14ac:dyDescent="0.2">
      <c r="A1560" s="102"/>
      <c r="B1560" s="116"/>
    </row>
    <row r="1561" spans="1:2" x14ac:dyDescent="0.2">
      <c r="A1561" s="102"/>
      <c r="B1561" s="116"/>
    </row>
    <row r="1562" spans="1:2" x14ac:dyDescent="0.2">
      <c r="A1562" s="102"/>
      <c r="B1562" s="116"/>
    </row>
    <row r="1563" spans="1:2" x14ac:dyDescent="0.2">
      <c r="A1563" s="102"/>
      <c r="B1563" s="116"/>
    </row>
    <row r="1564" spans="1:2" x14ac:dyDescent="0.2">
      <c r="A1564" s="102"/>
      <c r="B1564" s="116"/>
    </row>
    <row r="1565" spans="1:2" x14ac:dyDescent="0.2">
      <c r="A1565" s="102"/>
      <c r="B1565" s="116"/>
    </row>
    <row r="1566" spans="1:2" x14ac:dyDescent="0.2">
      <c r="A1566" s="102"/>
      <c r="B1566" s="116"/>
    </row>
    <row r="1567" spans="1:2" x14ac:dyDescent="0.2">
      <c r="A1567" s="102"/>
      <c r="B1567" s="116"/>
    </row>
    <row r="1568" spans="1:2" x14ac:dyDescent="0.2">
      <c r="A1568" s="102"/>
      <c r="B1568" s="116"/>
    </row>
    <row r="1569" spans="1:2" x14ac:dyDescent="0.2">
      <c r="A1569" s="102"/>
      <c r="B1569" s="116"/>
    </row>
    <row r="1570" spans="1:2" x14ac:dyDescent="0.2">
      <c r="A1570" s="102"/>
      <c r="B1570" s="116"/>
    </row>
    <row r="1571" spans="1:2" x14ac:dyDescent="0.2">
      <c r="A1571" s="102"/>
      <c r="B1571" s="116"/>
    </row>
    <row r="1572" spans="1:2" x14ac:dyDescent="0.2">
      <c r="A1572" s="102"/>
      <c r="B1572" s="116"/>
    </row>
    <row r="1573" spans="1:2" x14ac:dyDescent="0.2">
      <c r="A1573" s="102"/>
      <c r="B1573" s="116"/>
    </row>
    <row r="1574" spans="1:2" x14ac:dyDescent="0.2">
      <c r="A1574" s="102"/>
      <c r="B1574" s="116"/>
    </row>
    <row r="1575" spans="1:2" x14ac:dyDescent="0.2">
      <c r="A1575" s="102"/>
      <c r="B1575" s="116"/>
    </row>
    <row r="1576" spans="1:2" x14ac:dyDescent="0.2">
      <c r="A1576" s="102"/>
      <c r="B1576" s="116"/>
    </row>
    <row r="1577" spans="1:2" x14ac:dyDescent="0.2">
      <c r="A1577" s="102"/>
      <c r="B1577" s="116"/>
    </row>
    <row r="1578" spans="1:2" x14ac:dyDescent="0.2">
      <c r="A1578" s="102"/>
      <c r="B1578" s="116"/>
    </row>
    <row r="1579" spans="1:2" x14ac:dyDescent="0.2">
      <c r="A1579" s="102"/>
      <c r="B1579" s="116"/>
    </row>
    <row r="1580" spans="1:2" x14ac:dyDescent="0.2">
      <c r="A1580" s="102"/>
      <c r="B1580" s="116"/>
    </row>
    <row r="1581" spans="1:2" x14ac:dyDescent="0.2">
      <c r="A1581" s="102"/>
      <c r="B1581" s="116"/>
    </row>
    <row r="1582" spans="1:2" x14ac:dyDescent="0.2">
      <c r="A1582" s="102"/>
      <c r="B1582" s="116"/>
    </row>
    <row r="1583" spans="1:2" x14ac:dyDescent="0.2">
      <c r="A1583" s="102"/>
      <c r="B1583" s="116"/>
    </row>
    <row r="1584" spans="1:2" x14ac:dyDescent="0.2">
      <c r="A1584" s="102"/>
      <c r="B1584" s="116"/>
    </row>
    <row r="1585" spans="1:2" x14ac:dyDescent="0.2">
      <c r="A1585" s="102"/>
      <c r="B1585" s="116"/>
    </row>
    <row r="1586" spans="1:2" x14ac:dyDescent="0.2">
      <c r="A1586" s="102"/>
      <c r="B1586" s="116"/>
    </row>
    <row r="1587" spans="1:2" x14ac:dyDescent="0.2">
      <c r="A1587" s="102"/>
      <c r="B1587" s="116"/>
    </row>
    <row r="1588" spans="1:2" x14ac:dyDescent="0.2">
      <c r="A1588" s="102"/>
      <c r="B1588" s="116"/>
    </row>
    <row r="1589" spans="1:2" x14ac:dyDescent="0.2">
      <c r="A1589" s="102"/>
      <c r="B1589" s="116"/>
    </row>
    <row r="1590" spans="1:2" x14ac:dyDescent="0.2">
      <c r="A1590" s="102"/>
      <c r="B1590" s="116"/>
    </row>
    <row r="1591" spans="1:2" x14ac:dyDescent="0.2">
      <c r="A1591" s="102"/>
      <c r="B1591" s="116"/>
    </row>
    <row r="1592" spans="1:2" x14ac:dyDescent="0.2">
      <c r="A1592" s="102"/>
      <c r="B1592" s="116"/>
    </row>
    <row r="1593" spans="1:2" x14ac:dyDescent="0.2">
      <c r="A1593" s="102"/>
      <c r="B1593" s="116"/>
    </row>
    <row r="1594" spans="1:2" x14ac:dyDescent="0.2">
      <c r="A1594" s="102"/>
      <c r="B1594" s="116"/>
    </row>
    <row r="1595" spans="1:2" x14ac:dyDescent="0.2">
      <c r="A1595" s="102"/>
      <c r="B1595" s="116"/>
    </row>
    <row r="1596" spans="1:2" x14ac:dyDescent="0.2">
      <c r="A1596" s="102"/>
      <c r="B1596" s="116"/>
    </row>
    <row r="1597" spans="1:2" x14ac:dyDescent="0.2">
      <c r="A1597" s="102"/>
      <c r="B1597" s="116"/>
    </row>
    <row r="1598" spans="1:2" x14ac:dyDescent="0.2">
      <c r="A1598" s="102"/>
      <c r="B1598" s="116"/>
    </row>
    <row r="1599" spans="1:2" x14ac:dyDescent="0.2">
      <c r="A1599" s="102"/>
      <c r="B1599" s="116"/>
    </row>
    <row r="1600" spans="1:2" x14ac:dyDescent="0.2">
      <c r="A1600" s="102"/>
      <c r="B1600" s="116"/>
    </row>
    <row r="1601" spans="1:2" x14ac:dyDescent="0.2">
      <c r="A1601" s="102"/>
      <c r="B1601" s="116"/>
    </row>
    <row r="1602" spans="1:2" x14ac:dyDescent="0.2">
      <c r="A1602" s="102"/>
      <c r="B1602" s="116"/>
    </row>
    <row r="1603" spans="1:2" x14ac:dyDescent="0.2">
      <c r="A1603" s="102"/>
      <c r="B1603" s="116"/>
    </row>
    <row r="1604" spans="1:2" x14ac:dyDescent="0.2">
      <c r="A1604" s="102"/>
      <c r="B1604" s="116"/>
    </row>
    <row r="1605" spans="1:2" x14ac:dyDescent="0.2">
      <c r="A1605" s="102"/>
      <c r="B1605" s="116"/>
    </row>
    <row r="1606" spans="1:2" x14ac:dyDescent="0.2">
      <c r="A1606" s="102"/>
      <c r="B1606" s="116"/>
    </row>
    <row r="1607" spans="1:2" x14ac:dyDescent="0.2">
      <c r="A1607" s="102"/>
      <c r="B1607" s="116"/>
    </row>
    <row r="1608" spans="1:2" x14ac:dyDescent="0.2">
      <c r="A1608" s="102"/>
      <c r="B1608" s="116"/>
    </row>
    <row r="1609" spans="1:2" x14ac:dyDescent="0.2">
      <c r="A1609" s="102"/>
      <c r="B1609" s="116"/>
    </row>
    <row r="1610" spans="1:2" x14ac:dyDescent="0.2">
      <c r="A1610" s="102"/>
      <c r="B1610" s="116"/>
    </row>
    <row r="1611" spans="1:2" x14ac:dyDescent="0.2">
      <c r="A1611" s="102"/>
      <c r="B1611" s="116"/>
    </row>
    <row r="1612" spans="1:2" x14ac:dyDescent="0.2">
      <c r="A1612" s="102"/>
      <c r="B1612" s="116"/>
    </row>
    <row r="1613" spans="1:2" x14ac:dyDescent="0.2">
      <c r="A1613" s="102"/>
      <c r="B1613" s="116"/>
    </row>
    <row r="1614" spans="1:2" x14ac:dyDescent="0.2">
      <c r="A1614" s="102"/>
      <c r="B1614" s="116"/>
    </row>
    <row r="1615" spans="1:2" x14ac:dyDescent="0.2">
      <c r="A1615" s="102"/>
      <c r="B1615" s="116"/>
    </row>
    <row r="1616" spans="1:2" x14ac:dyDescent="0.2">
      <c r="A1616" s="102"/>
      <c r="B1616" s="116"/>
    </row>
    <row r="1617" spans="1:2" x14ac:dyDescent="0.2">
      <c r="A1617" s="102"/>
      <c r="B1617" s="116"/>
    </row>
    <row r="1618" spans="1:2" x14ac:dyDescent="0.2">
      <c r="A1618" s="102"/>
      <c r="B1618" s="116"/>
    </row>
    <row r="1619" spans="1:2" x14ac:dyDescent="0.2">
      <c r="A1619" s="102"/>
      <c r="B1619" s="116"/>
    </row>
    <row r="1620" spans="1:2" x14ac:dyDescent="0.2">
      <c r="A1620" s="102"/>
      <c r="B1620" s="116"/>
    </row>
    <row r="1621" spans="1:2" x14ac:dyDescent="0.2">
      <c r="A1621" s="102"/>
      <c r="B1621" s="116"/>
    </row>
    <row r="1622" spans="1:2" x14ac:dyDescent="0.2">
      <c r="A1622" s="102"/>
      <c r="B1622" s="116"/>
    </row>
    <row r="1623" spans="1:2" x14ac:dyDescent="0.2">
      <c r="A1623" s="102"/>
      <c r="B1623" s="116"/>
    </row>
    <row r="1624" spans="1:2" x14ac:dyDescent="0.2">
      <c r="A1624" s="102"/>
      <c r="B1624" s="116"/>
    </row>
    <row r="1625" spans="1:2" x14ac:dyDescent="0.2">
      <c r="A1625" s="102"/>
      <c r="B1625" s="116"/>
    </row>
    <row r="1626" spans="1:2" x14ac:dyDescent="0.2">
      <c r="A1626" s="102"/>
      <c r="B1626" s="116"/>
    </row>
    <row r="1627" spans="1:2" x14ac:dyDescent="0.2">
      <c r="A1627" s="102"/>
      <c r="B1627" s="116"/>
    </row>
    <row r="1628" spans="1:2" x14ac:dyDescent="0.2">
      <c r="A1628" s="102"/>
      <c r="B1628" s="116"/>
    </row>
    <row r="1629" spans="1:2" x14ac:dyDescent="0.2">
      <c r="A1629" s="102"/>
      <c r="B1629" s="116"/>
    </row>
    <row r="1630" spans="1:2" x14ac:dyDescent="0.2">
      <c r="A1630" s="102"/>
      <c r="B1630" s="116"/>
    </row>
    <row r="1631" spans="1:2" x14ac:dyDescent="0.2">
      <c r="A1631" s="102"/>
      <c r="B1631" s="116"/>
    </row>
    <row r="1632" spans="1:2" x14ac:dyDescent="0.2">
      <c r="A1632" s="102"/>
      <c r="B1632" s="116"/>
    </row>
    <row r="1633" spans="1:2" x14ac:dyDescent="0.2">
      <c r="A1633" s="102"/>
      <c r="B1633" s="116"/>
    </row>
    <row r="1634" spans="1:2" x14ac:dyDescent="0.2">
      <c r="A1634" s="102"/>
      <c r="B1634" s="116"/>
    </row>
    <row r="1635" spans="1:2" x14ac:dyDescent="0.2">
      <c r="A1635" s="102"/>
      <c r="B1635" s="116"/>
    </row>
    <row r="1636" spans="1:2" x14ac:dyDescent="0.2">
      <c r="A1636" s="102"/>
      <c r="B1636" s="116"/>
    </row>
    <row r="1637" spans="1:2" x14ac:dyDescent="0.2">
      <c r="A1637" s="102"/>
      <c r="B1637" s="116"/>
    </row>
    <row r="1638" spans="1:2" x14ac:dyDescent="0.2">
      <c r="A1638" s="102"/>
      <c r="B1638" s="116"/>
    </row>
    <row r="1639" spans="1:2" x14ac:dyDescent="0.2">
      <c r="A1639" s="102"/>
      <c r="B1639" s="116"/>
    </row>
    <row r="1640" spans="1:2" x14ac:dyDescent="0.2">
      <c r="A1640" s="102"/>
      <c r="B1640" s="116"/>
    </row>
    <row r="1641" spans="1:2" x14ac:dyDescent="0.2">
      <c r="A1641" s="102"/>
      <c r="B1641" s="116"/>
    </row>
    <row r="1642" spans="1:2" x14ac:dyDescent="0.2">
      <c r="A1642" s="102"/>
      <c r="B1642" s="116"/>
    </row>
    <row r="1643" spans="1:2" x14ac:dyDescent="0.2">
      <c r="A1643" s="102"/>
      <c r="B1643" s="116"/>
    </row>
    <row r="1644" spans="1:2" x14ac:dyDescent="0.2">
      <c r="A1644" s="102"/>
      <c r="B1644" s="116"/>
    </row>
    <row r="1645" spans="1:2" x14ac:dyDescent="0.2">
      <c r="A1645" s="102"/>
      <c r="B1645" s="116"/>
    </row>
    <row r="1646" spans="1:2" x14ac:dyDescent="0.2">
      <c r="A1646" s="102"/>
      <c r="B1646" s="116"/>
    </row>
    <row r="1647" spans="1:2" x14ac:dyDescent="0.2">
      <c r="A1647" s="102"/>
      <c r="B1647" s="116"/>
    </row>
    <row r="1648" spans="1:2" x14ac:dyDescent="0.2">
      <c r="A1648" s="102"/>
      <c r="B1648" s="116"/>
    </row>
    <row r="1649" spans="1:2" x14ac:dyDescent="0.2">
      <c r="A1649" s="102"/>
      <c r="B1649" s="116"/>
    </row>
    <row r="1650" spans="1:2" x14ac:dyDescent="0.2">
      <c r="A1650" s="102"/>
      <c r="B1650" s="116"/>
    </row>
    <row r="1651" spans="1:2" x14ac:dyDescent="0.2">
      <c r="A1651" s="102"/>
      <c r="B1651" s="116"/>
    </row>
    <row r="1652" spans="1:2" x14ac:dyDescent="0.2">
      <c r="A1652" s="102"/>
      <c r="B1652" s="116"/>
    </row>
    <row r="1653" spans="1:2" x14ac:dyDescent="0.2">
      <c r="A1653" s="102"/>
      <c r="B1653" s="116"/>
    </row>
    <row r="1654" spans="1:2" x14ac:dyDescent="0.2">
      <c r="A1654" s="102"/>
      <c r="B1654" s="116"/>
    </row>
    <row r="1655" spans="1:2" x14ac:dyDescent="0.2">
      <c r="A1655" s="102"/>
      <c r="B1655" s="116"/>
    </row>
    <row r="1656" spans="1:2" x14ac:dyDescent="0.2">
      <c r="A1656" s="102"/>
      <c r="B1656" s="116"/>
    </row>
    <row r="1657" spans="1:2" x14ac:dyDescent="0.2">
      <c r="A1657" s="102"/>
      <c r="B1657" s="116"/>
    </row>
    <row r="1658" spans="1:2" x14ac:dyDescent="0.2">
      <c r="A1658" s="102"/>
      <c r="B1658" s="116"/>
    </row>
    <row r="1659" spans="1:2" x14ac:dyDescent="0.2">
      <c r="A1659" s="102"/>
      <c r="B1659" s="116"/>
    </row>
    <row r="1660" spans="1:2" x14ac:dyDescent="0.2">
      <c r="A1660" s="102"/>
      <c r="B1660" s="116"/>
    </row>
    <row r="1661" spans="1:2" x14ac:dyDescent="0.2">
      <c r="A1661" s="102"/>
      <c r="B1661" s="116"/>
    </row>
    <row r="1662" spans="1:2" x14ac:dyDescent="0.2">
      <c r="A1662" s="102"/>
      <c r="B1662" s="116"/>
    </row>
    <row r="1663" spans="1:2" x14ac:dyDescent="0.2">
      <c r="A1663" s="102"/>
      <c r="B1663" s="116"/>
    </row>
    <row r="1664" spans="1:2" x14ac:dyDescent="0.2">
      <c r="A1664" s="102"/>
      <c r="B1664" s="116"/>
    </row>
    <row r="1665" spans="1:2" x14ac:dyDescent="0.2">
      <c r="A1665" s="102"/>
      <c r="B1665" s="116"/>
    </row>
    <row r="1666" spans="1:2" x14ac:dyDescent="0.2">
      <c r="A1666" s="102"/>
      <c r="B1666" s="116"/>
    </row>
    <row r="1667" spans="1:2" x14ac:dyDescent="0.2">
      <c r="A1667" s="102"/>
      <c r="B1667" s="116"/>
    </row>
    <row r="1668" spans="1:2" x14ac:dyDescent="0.2">
      <c r="A1668" s="102"/>
      <c r="B1668" s="116"/>
    </row>
    <row r="1669" spans="1:2" x14ac:dyDescent="0.2">
      <c r="A1669" s="102"/>
      <c r="B1669" s="116"/>
    </row>
    <row r="1670" spans="1:2" x14ac:dyDescent="0.2">
      <c r="A1670" s="102"/>
      <c r="B1670" s="116"/>
    </row>
    <row r="1671" spans="1:2" x14ac:dyDescent="0.2">
      <c r="A1671" s="102"/>
      <c r="B1671" s="116"/>
    </row>
    <row r="1672" spans="1:2" x14ac:dyDescent="0.2">
      <c r="A1672" s="102"/>
      <c r="B1672" s="116"/>
    </row>
    <row r="1673" spans="1:2" x14ac:dyDescent="0.2">
      <c r="A1673" s="102"/>
      <c r="B1673" s="116"/>
    </row>
    <row r="1674" spans="1:2" x14ac:dyDescent="0.2">
      <c r="A1674" s="102"/>
      <c r="B1674" s="116"/>
    </row>
    <row r="1675" spans="1:2" x14ac:dyDescent="0.2">
      <c r="A1675" s="102"/>
      <c r="B1675" s="116"/>
    </row>
    <row r="1676" spans="1:2" x14ac:dyDescent="0.2">
      <c r="A1676" s="102"/>
      <c r="B1676" s="116"/>
    </row>
    <row r="1677" spans="1:2" x14ac:dyDescent="0.2">
      <c r="A1677" s="102"/>
      <c r="B1677" s="116"/>
    </row>
    <row r="1678" spans="1:2" x14ac:dyDescent="0.2">
      <c r="A1678" s="102"/>
      <c r="B1678" s="116"/>
    </row>
    <row r="1679" spans="1:2" x14ac:dyDescent="0.2">
      <c r="A1679" s="102"/>
      <c r="B1679" s="116"/>
    </row>
    <row r="1680" spans="1:2" x14ac:dyDescent="0.2">
      <c r="A1680" s="102"/>
      <c r="B1680" s="116"/>
    </row>
    <row r="1681" spans="1:2" x14ac:dyDescent="0.2">
      <c r="A1681" s="102"/>
      <c r="B1681" s="116"/>
    </row>
    <row r="1682" spans="1:2" x14ac:dyDescent="0.2">
      <c r="A1682" s="102"/>
      <c r="B1682" s="116"/>
    </row>
    <row r="1683" spans="1:2" x14ac:dyDescent="0.2">
      <c r="A1683" s="102"/>
      <c r="B1683" s="116"/>
    </row>
    <row r="1684" spans="1:2" x14ac:dyDescent="0.2">
      <c r="A1684" s="102"/>
      <c r="B1684" s="116"/>
    </row>
    <row r="1685" spans="1:2" x14ac:dyDescent="0.2">
      <c r="A1685" s="102"/>
      <c r="B1685" s="116"/>
    </row>
    <row r="1686" spans="1:2" x14ac:dyDescent="0.2">
      <c r="A1686" s="102"/>
      <c r="B1686" s="116"/>
    </row>
    <row r="1687" spans="1:2" x14ac:dyDescent="0.2">
      <c r="A1687" s="102"/>
      <c r="B1687" s="116"/>
    </row>
    <row r="1688" spans="1:2" x14ac:dyDescent="0.2">
      <c r="A1688" s="102"/>
      <c r="B1688" s="116"/>
    </row>
    <row r="1689" spans="1:2" x14ac:dyDescent="0.2">
      <c r="A1689" s="102"/>
      <c r="B1689" s="116"/>
    </row>
    <row r="1690" spans="1:2" x14ac:dyDescent="0.2">
      <c r="A1690" s="102"/>
      <c r="B1690" s="116"/>
    </row>
    <row r="1691" spans="1:2" x14ac:dyDescent="0.2">
      <c r="A1691" s="102"/>
      <c r="B1691" s="116"/>
    </row>
    <row r="1692" spans="1:2" x14ac:dyDescent="0.2">
      <c r="A1692" s="102"/>
      <c r="B1692" s="116"/>
    </row>
    <row r="1693" spans="1:2" x14ac:dyDescent="0.2">
      <c r="A1693" s="102"/>
      <c r="B1693" s="116"/>
    </row>
    <row r="1694" spans="1:2" x14ac:dyDescent="0.2">
      <c r="A1694" s="102"/>
      <c r="B1694" s="116"/>
    </row>
    <row r="1695" spans="1:2" x14ac:dyDescent="0.2">
      <c r="A1695" s="102"/>
      <c r="B1695" s="116"/>
    </row>
    <row r="1696" spans="1:2" x14ac:dyDescent="0.2">
      <c r="A1696" s="102"/>
      <c r="B1696" s="116"/>
    </row>
    <row r="1697" spans="1:2" x14ac:dyDescent="0.2">
      <c r="A1697" s="102"/>
      <c r="B1697" s="116"/>
    </row>
    <row r="1698" spans="1:2" x14ac:dyDescent="0.2">
      <c r="A1698" s="102"/>
      <c r="B1698" s="116"/>
    </row>
    <row r="1699" spans="1:2" x14ac:dyDescent="0.2">
      <c r="A1699" s="102"/>
      <c r="B1699" s="116"/>
    </row>
    <row r="1700" spans="1:2" x14ac:dyDescent="0.2">
      <c r="A1700" s="102"/>
      <c r="B1700" s="116"/>
    </row>
    <row r="1701" spans="1:2" x14ac:dyDescent="0.2">
      <c r="A1701" s="102"/>
      <c r="B1701" s="116"/>
    </row>
    <row r="1702" spans="1:2" x14ac:dyDescent="0.2">
      <c r="A1702" s="102"/>
      <c r="B1702" s="116"/>
    </row>
    <row r="1703" spans="1:2" x14ac:dyDescent="0.2">
      <c r="A1703" s="102"/>
      <c r="B1703" s="116"/>
    </row>
    <row r="1704" spans="1:2" x14ac:dyDescent="0.2">
      <c r="A1704" s="102"/>
      <c r="B1704" s="116"/>
    </row>
    <row r="1705" spans="1:2" x14ac:dyDescent="0.2">
      <c r="A1705" s="102"/>
      <c r="B1705" s="116"/>
    </row>
    <row r="1706" spans="1:2" x14ac:dyDescent="0.2">
      <c r="A1706" s="102"/>
      <c r="B1706" s="116"/>
    </row>
    <row r="1707" spans="1:2" x14ac:dyDescent="0.2">
      <c r="A1707" s="102"/>
      <c r="B1707" s="116"/>
    </row>
    <row r="1708" spans="1:2" x14ac:dyDescent="0.2">
      <c r="A1708" s="102"/>
      <c r="B1708" s="116"/>
    </row>
    <row r="1709" spans="1:2" x14ac:dyDescent="0.2">
      <c r="A1709" s="102"/>
      <c r="B1709" s="116"/>
    </row>
    <row r="1710" spans="1:2" x14ac:dyDescent="0.2">
      <c r="A1710" s="102"/>
      <c r="B1710" s="116"/>
    </row>
    <row r="1711" spans="1:2" x14ac:dyDescent="0.2">
      <c r="A1711" s="102"/>
      <c r="B1711" s="116"/>
    </row>
    <row r="1712" spans="1:2" x14ac:dyDescent="0.2">
      <c r="A1712" s="102"/>
      <c r="B1712" s="116"/>
    </row>
    <row r="1713" spans="1:2" x14ac:dyDescent="0.2">
      <c r="A1713" s="102"/>
      <c r="B1713" s="116"/>
    </row>
    <row r="1714" spans="1:2" x14ac:dyDescent="0.2">
      <c r="A1714" s="102"/>
      <c r="B1714" s="116"/>
    </row>
    <row r="1715" spans="1:2" x14ac:dyDescent="0.2">
      <c r="A1715" s="102"/>
      <c r="B1715" s="116"/>
    </row>
    <row r="1716" spans="1:2" x14ac:dyDescent="0.2">
      <c r="A1716" s="102"/>
      <c r="B1716" s="116"/>
    </row>
    <row r="1717" spans="1:2" x14ac:dyDescent="0.2">
      <c r="A1717" s="102"/>
      <c r="B1717" s="116"/>
    </row>
    <row r="1718" spans="1:2" x14ac:dyDescent="0.2">
      <c r="A1718" s="102"/>
      <c r="B1718" s="116"/>
    </row>
    <row r="1719" spans="1:2" x14ac:dyDescent="0.2">
      <c r="A1719" s="102"/>
      <c r="B1719" s="116"/>
    </row>
    <row r="1720" spans="1:2" x14ac:dyDescent="0.2">
      <c r="A1720" s="102"/>
      <c r="B1720" s="116"/>
    </row>
    <row r="1721" spans="1:2" x14ac:dyDescent="0.2">
      <c r="A1721" s="102"/>
      <c r="B1721" s="116"/>
    </row>
    <row r="1722" spans="1:2" x14ac:dyDescent="0.2">
      <c r="A1722" s="102"/>
      <c r="B1722" s="116"/>
    </row>
    <row r="1723" spans="1:2" x14ac:dyDescent="0.2">
      <c r="A1723" s="102"/>
      <c r="B1723" s="116"/>
    </row>
    <row r="1724" spans="1:2" x14ac:dyDescent="0.2">
      <c r="A1724" s="102"/>
      <c r="B1724" s="116"/>
    </row>
    <row r="1725" spans="1:2" x14ac:dyDescent="0.2">
      <c r="A1725" s="102"/>
      <c r="B1725" s="116"/>
    </row>
    <row r="1726" spans="1:2" x14ac:dyDescent="0.2">
      <c r="A1726" s="102"/>
      <c r="B1726" s="116"/>
    </row>
    <row r="1727" spans="1:2" x14ac:dyDescent="0.2">
      <c r="A1727" s="102"/>
      <c r="B1727" s="116"/>
    </row>
    <row r="1728" spans="1:2" x14ac:dyDescent="0.2">
      <c r="A1728" s="102"/>
      <c r="B1728" s="116"/>
    </row>
    <row r="1729" spans="1:2" x14ac:dyDescent="0.2">
      <c r="A1729" s="102"/>
      <c r="B1729" s="116"/>
    </row>
    <row r="1730" spans="1:2" x14ac:dyDescent="0.2">
      <c r="A1730" s="102"/>
      <c r="B1730" s="116"/>
    </row>
    <row r="1731" spans="1:2" x14ac:dyDescent="0.2">
      <c r="A1731" s="102"/>
      <c r="B1731" s="116"/>
    </row>
    <row r="1732" spans="1:2" x14ac:dyDescent="0.2">
      <c r="A1732" s="102"/>
      <c r="B1732" s="116"/>
    </row>
    <row r="1733" spans="1:2" x14ac:dyDescent="0.2">
      <c r="A1733" s="102"/>
      <c r="B1733" s="116"/>
    </row>
    <row r="1734" spans="1:2" x14ac:dyDescent="0.2">
      <c r="A1734" s="102"/>
      <c r="B1734" s="116"/>
    </row>
    <row r="1735" spans="1:2" x14ac:dyDescent="0.2">
      <c r="A1735" s="102"/>
      <c r="B1735" s="116"/>
    </row>
    <row r="1736" spans="1:2" x14ac:dyDescent="0.2">
      <c r="A1736" s="102"/>
      <c r="B1736" s="116"/>
    </row>
    <row r="1737" spans="1:2" x14ac:dyDescent="0.2">
      <c r="A1737" s="102"/>
      <c r="B1737" s="116"/>
    </row>
    <row r="1738" spans="1:2" x14ac:dyDescent="0.2">
      <c r="A1738" s="102"/>
      <c r="B1738" s="116"/>
    </row>
    <row r="1739" spans="1:2" x14ac:dyDescent="0.2">
      <c r="A1739" s="102"/>
      <c r="B1739" s="116"/>
    </row>
    <row r="1740" spans="1:2" x14ac:dyDescent="0.2">
      <c r="A1740" s="102"/>
      <c r="B1740" s="116"/>
    </row>
    <row r="1741" spans="1:2" x14ac:dyDescent="0.2">
      <c r="A1741" s="102"/>
      <c r="B1741" s="116"/>
    </row>
    <row r="1742" spans="1:2" x14ac:dyDescent="0.2">
      <c r="A1742" s="102"/>
      <c r="B1742" s="116"/>
    </row>
    <row r="1743" spans="1:2" x14ac:dyDescent="0.2">
      <c r="A1743" s="102"/>
      <c r="B1743" s="116"/>
    </row>
    <row r="1744" spans="1:2" x14ac:dyDescent="0.2">
      <c r="A1744" s="102"/>
      <c r="B1744" s="116"/>
    </row>
    <row r="1745" spans="1:2" x14ac:dyDescent="0.2">
      <c r="A1745" s="102"/>
      <c r="B1745" s="116"/>
    </row>
    <row r="1746" spans="1:2" x14ac:dyDescent="0.2">
      <c r="A1746" s="102"/>
      <c r="B1746" s="116"/>
    </row>
    <row r="1747" spans="1:2" x14ac:dyDescent="0.2">
      <c r="A1747" s="102"/>
      <c r="B1747" s="116"/>
    </row>
    <row r="1748" spans="1:2" x14ac:dyDescent="0.2">
      <c r="A1748" s="102"/>
      <c r="B1748" s="116"/>
    </row>
    <row r="1749" spans="1:2" x14ac:dyDescent="0.2">
      <c r="A1749" s="102"/>
      <c r="B1749" s="116"/>
    </row>
    <row r="1750" spans="1:2" x14ac:dyDescent="0.2">
      <c r="A1750" s="102"/>
      <c r="B1750" s="116"/>
    </row>
    <row r="1751" spans="1:2" x14ac:dyDescent="0.2">
      <c r="A1751" s="102"/>
      <c r="B1751" s="116"/>
    </row>
    <row r="1752" spans="1:2" x14ac:dyDescent="0.2">
      <c r="A1752" s="102"/>
      <c r="B1752" s="116"/>
    </row>
    <row r="1753" spans="1:2" x14ac:dyDescent="0.2">
      <c r="A1753" s="102"/>
      <c r="B1753" s="116"/>
    </row>
    <row r="1754" spans="1:2" x14ac:dyDescent="0.2">
      <c r="A1754" s="102"/>
      <c r="B1754" s="116"/>
    </row>
    <row r="1755" spans="1:2" x14ac:dyDescent="0.2">
      <c r="A1755" s="102"/>
      <c r="B1755" s="116"/>
    </row>
    <row r="1756" spans="1:2" x14ac:dyDescent="0.2">
      <c r="A1756" s="102"/>
      <c r="B1756" s="116"/>
    </row>
    <row r="1757" spans="1:2" x14ac:dyDescent="0.2">
      <c r="A1757" s="102"/>
      <c r="B1757" s="116"/>
    </row>
    <row r="1758" spans="1:2" x14ac:dyDescent="0.2">
      <c r="A1758" s="102"/>
      <c r="B1758" s="116"/>
    </row>
    <row r="1759" spans="1:2" x14ac:dyDescent="0.2">
      <c r="A1759" s="102"/>
      <c r="B1759" s="116"/>
    </row>
    <row r="1760" spans="1:2" x14ac:dyDescent="0.2">
      <c r="A1760" s="102"/>
      <c r="B1760" s="116"/>
    </row>
    <row r="1761" spans="1:2" x14ac:dyDescent="0.2">
      <c r="A1761" s="102"/>
      <c r="B1761" s="116"/>
    </row>
    <row r="1762" spans="1:2" x14ac:dyDescent="0.2">
      <c r="A1762" s="102"/>
      <c r="B1762" s="116"/>
    </row>
    <row r="1763" spans="1:2" x14ac:dyDescent="0.2">
      <c r="A1763" s="102"/>
      <c r="B1763" s="116"/>
    </row>
    <row r="1764" spans="1:2" x14ac:dyDescent="0.2">
      <c r="A1764" s="102"/>
      <c r="B1764" s="116"/>
    </row>
    <row r="1765" spans="1:2" x14ac:dyDescent="0.2">
      <c r="A1765" s="102"/>
      <c r="B1765" s="116"/>
    </row>
    <row r="1766" spans="1:2" x14ac:dyDescent="0.2">
      <c r="A1766" s="102"/>
      <c r="B1766" s="116"/>
    </row>
    <row r="1767" spans="1:2" x14ac:dyDescent="0.2">
      <c r="A1767" s="102"/>
      <c r="B1767" s="116"/>
    </row>
    <row r="1768" spans="1:2" x14ac:dyDescent="0.2">
      <c r="A1768" s="102"/>
      <c r="B1768" s="116"/>
    </row>
    <row r="1769" spans="1:2" x14ac:dyDescent="0.2">
      <c r="A1769" s="102"/>
      <c r="B1769" s="116"/>
    </row>
    <row r="1770" spans="1:2" x14ac:dyDescent="0.2">
      <c r="A1770" s="102"/>
      <c r="B1770" s="116"/>
    </row>
    <row r="1771" spans="1:2" x14ac:dyDescent="0.2">
      <c r="A1771" s="102"/>
      <c r="B1771" s="116"/>
    </row>
    <row r="1772" spans="1:2" x14ac:dyDescent="0.2">
      <c r="A1772" s="102"/>
      <c r="B1772" s="116"/>
    </row>
    <row r="1773" spans="1:2" x14ac:dyDescent="0.2">
      <c r="A1773" s="102"/>
      <c r="B1773" s="116"/>
    </row>
    <row r="1774" spans="1:2" x14ac:dyDescent="0.2">
      <c r="A1774" s="102"/>
      <c r="B1774" s="116"/>
    </row>
    <row r="1775" spans="1:2" x14ac:dyDescent="0.2">
      <c r="A1775" s="102"/>
      <c r="B1775" s="116"/>
    </row>
    <row r="1776" spans="1:2" x14ac:dyDescent="0.2">
      <c r="A1776" s="102"/>
      <c r="B1776" s="116"/>
    </row>
    <row r="1777" spans="1:2" x14ac:dyDescent="0.2">
      <c r="A1777" s="102"/>
      <c r="B1777" s="116"/>
    </row>
    <row r="1778" spans="1:2" x14ac:dyDescent="0.2">
      <c r="A1778" s="102"/>
      <c r="B1778" s="116"/>
    </row>
    <row r="1779" spans="1:2" x14ac:dyDescent="0.2">
      <c r="A1779" s="102"/>
      <c r="B1779" s="116"/>
    </row>
    <row r="1780" spans="1:2" x14ac:dyDescent="0.2">
      <c r="A1780" s="102"/>
      <c r="B1780" s="116"/>
    </row>
    <row r="1781" spans="1:2" x14ac:dyDescent="0.2">
      <c r="A1781" s="102"/>
      <c r="B1781" s="116"/>
    </row>
    <row r="1782" spans="1:2" x14ac:dyDescent="0.2">
      <c r="A1782" s="102"/>
      <c r="B1782" s="116"/>
    </row>
    <row r="1783" spans="1:2" x14ac:dyDescent="0.2">
      <c r="A1783" s="102"/>
      <c r="B1783" s="116"/>
    </row>
    <row r="1784" spans="1:2" x14ac:dyDescent="0.2">
      <c r="A1784" s="102"/>
      <c r="B1784" s="116"/>
    </row>
    <row r="1785" spans="1:2" x14ac:dyDescent="0.2">
      <c r="A1785" s="102"/>
      <c r="B1785" s="116"/>
    </row>
    <row r="1786" spans="1:2" x14ac:dyDescent="0.2">
      <c r="A1786" s="102"/>
      <c r="B1786" s="116"/>
    </row>
    <row r="1787" spans="1:2" x14ac:dyDescent="0.2">
      <c r="A1787" s="102"/>
      <c r="B1787" s="116"/>
    </row>
    <row r="1788" spans="1:2" x14ac:dyDescent="0.2">
      <c r="A1788" s="102"/>
      <c r="B1788" s="116"/>
    </row>
    <row r="1789" spans="1:2" x14ac:dyDescent="0.2">
      <c r="A1789" s="102"/>
      <c r="B1789" s="116"/>
    </row>
    <row r="1790" spans="1:2" x14ac:dyDescent="0.2">
      <c r="A1790" s="102"/>
      <c r="B1790" s="116"/>
    </row>
    <row r="1791" spans="1:2" x14ac:dyDescent="0.2">
      <c r="A1791" s="102"/>
      <c r="B1791" s="116"/>
    </row>
    <row r="1792" spans="1:2" x14ac:dyDescent="0.2">
      <c r="A1792" s="102"/>
      <c r="B1792" s="116"/>
    </row>
    <row r="1793" spans="1:2" x14ac:dyDescent="0.2">
      <c r="A1793" s="102"/>
      <c r="B1793" s="116"/>
    </row>
    <row r="1794" spans="1:2" x14ac:dyDescent="0.2">
      <c r="A1794" s="102"/>
      <c r="B1794" s="116"/>
    </row>
    <row r="1795" spans="1:2" x14ac:dyDescent="0.2">
      <c r="A1795" s="102"/>
      <c r="B1795" s="116"/>
    </row>
    <row r="1796" spans="1:2" x14ac:dyDescent="0.2">
      <c r="A1796" s="102"/>
      <c r="B1796" s="116"/>
    </row>
    <row r="1797" spans="1:2" x14ac:dyDescent="0.2">
      <c r="A1797" s="102"/>
      <c r="B1797" s="116"/>
    </row>
    <row r="1798" spans="1:2" x14ac:dyDescent="0.2">
      <c r="A1798" s="102"/>
      <c r="B1798" s="116"/>
    </row>
    <row r="1799" spans="1:2" x14ac:dyDescent="0.2">
      <c r="A1799" s="102"/>
      <c r="B1799" s="116"/>
    </row>
    <row r="1800" spans="1:2" x14ac:dyDescent="0.2">
      <c r="A1800" s="102"/>
      <c r="B1800" s="116"/>
    </row>
    <row r="1801" spans="1:2" x14ac:dyDescent="0.2">
      <c r="A1801" s="102"/>
      <c r="B1801" s="116"/>
    </row>
    <row r="1802" spans="1:2" x14ac:dyDescent="0.2">
      <c r="A1802" s="102"/>
      <c r="B1802" s="116"/>
    </row>
    <row r="1803" spans="1:2" x14ac:dyDescent="0.2">
      <c r="A1803" s="102"/>
      <c r="B1803" s="116"/>
    </row>
    <row r="1804" spans="1:2" x14ac:dyDescent="0.2">
      <c r="A1804" s="102"/>
      <c r="B1804" s="116"/>
    </row>
    <row r="1805" spans="1:2" x14ac:dyDescent="0.2">
      <c r="A1805" s="102"/>
      <c r="B1805" s="116"/>
    </row>
    <row r="1806" spans="1:2" x14ac:dyDescent="0.2">
      <c r="A1806" s="102"/>
      <c r="B1806" s="116"/>
    </row>
    <row r="1807" spans="1:2" x14ac:dyDescent="0.2">
      <c r="A1807" s="102"/>
      <c r="B1807" s="116"/>
    </row>
    <row r="1808" spans="1:2" x14ac:dyDescent="0.2">
      <c r="A1808" s="102"/>
      <c r="B1808" s="116"/>
    </row>
    <row r="1809" spans="1:2" x14ac:dyDescent="0.2">
      <c r="A1809" s="102"/>
      <c r="B1809" s="116"/>
    </row>
    <row r="1810" spans="1:2" x14ac:dyDescent="0.2">
      <c r="A1810" s="102"/>
      <c r="B1810" s="116"/>
    </row>
    <row r="1811" spans="1:2" x14ac:dyDescent="0.2">
      <c r="A1811" s="102"/>
      <c r="B1811" s="116"/>
    </row>
    <row r="1812" spans="1:2" x14ac:dyDescent="0.2">
      <c r="A1812" s="102"/>
      <c r="B1812" s="116"/>
    </row>
    <row r="1813" spans="1:2" x14ac:dyDescent="0.2">
      <c r="A1813" s="102"/>
      <c r="B1813" s="116"/>
    </row>
    <row r="1814" spans="1:2" x14ac:dyDescent="0.2">
      <c r="A1814" s="102"/>
      <c r="B1814" s="116"/>
    </row>
    <row r="1815" spans="1:2" x14ac:dyDescent="0.2">
      <c r="A1815" s="102"/>
      <c r="B1815" s="116"/>
    </row>
    <row r="1816" spans="1:2" x14ac:dyDescent="0.2">
      <c r="A1816" s="102"/>
      <c r="B1816" s="116"/>
    </row>
    <row r="1817" spans="1:2" x14ac:dyDescent="0.2">
      <c r="A1817" s="102"/>
      <c r="B1817" s="116"/>
    </row>
    <row r="1818" spans="1:2" x14ac:dyDescent="0.2">
      <c r="A1818" s="102"/>
      <c r="B1818" s="116"/>
    </row>
    <row r="1819" spans="1:2" x14ac:dyDescent="0.2">
      <c r="A1819" s="102"/>
      <c r="B1819" s="116"/>
    </row>
    <row r="1820" spans="1:2" x14ac:dyDescent="0.2">
      <c r="A1820" s="102"/>
      <c r="B1820" s="116"/>
    </row>
    <row r="1821" spans="1:2" x14ac:dyDescent="0.2">
      <c r="A1821" s="102"/>
      <c r="B1821" s="116"/>
    </row>
    <row r="1822" spans="1:2" x14ac:dyDescent="0.2">
      <c r="A1822" s="102"/>
      <c r="B1822" s="116"/>
    </row>
    <row r="1823" spans="1:2" x14ac:dyDescent="0.2">
      <c r="A1823" s="102"/>
      <c r="B1823" s="116"/>
    </row>
    <row r="1824" spans="1:2" x14ac:dyDescent="0.2">
      <c r="A1824" s="102"/>
      <c r="B1824" s="116"/>
    </row>
    <row r="1825" spans="1:2" x14ac:dyDescent="0.2">
      <c r="A1825" s="102"/>
      <c r="B1825" s="116"/>
    </row>
    <row r="1826" spans="1:2" x14ac:dyDescent="0.2">
      <c r="A1826" s="102"/>
      <c r="B1826" s="116"/>
    </row>
    <row r="1827" spans="1:2" x14ac:dyDescent="0.2">
      <c r="A1827" s="102"/>
      <c r="B1827" s="116"/>
    </row>
    <row r="1828" spans="1:2" x14ac:dyDescent="0.2">
      <c r="A1828" s="102"/>
      <c r="B1828" s="116"/>
    </row>
    <row r="1829" spans="1:2" x14ac:dyDescent="0.2">
      <c r="A1829" s="102"/>
      <c r="B1829" s="116"/>
    </row>
    <row r="1830" spans="1:2" x14ac:dyDescent="0.2">
      <c r="A1830" s="102"/>
      <c r="B1830" s="116"/>
    </row>
    <row r="1831" spans="1:2" x14ac:dyDescent="0.2">
      <c r="A1831" s="102"/>
      <c r="B1831" s="116"/>
    </row>
    <row r="1832" spans="1:2" x14ac:dyDescent="0.2">
      <c r="A1832" s="102"/>
      <c r="B1832" s="116"/>
    </row>
    <row r="1833" spans="1:2" x14ac:dyDescent="0.2">
      <c r="A1833" s="102"/>
      <c r="B1833" s="116"/>
    </row>
    <row r="1834" spans="1:2" x14ac:dyDescent="0.2">
      <c r="A1834" s="102"/>
      <c r="B1834" s="116"/>
    </row>
    <row r="1835" spans="1:2" x14ac:dyDescent="0.2">
      <c r="A1835" s="102"/>
      <c r="B1835" s="116"/>
    </row>
    <row r="1836" spans="1:2" x14ac:dyDescent="0.2">
      <c r="A1836" s="102"/>
      <c r="B1836" s="116"/>
    </row>
    <row r="1837" spans="1:2" x14ac:dyDescent="0.2">
      <c r="A1837" s="102"/>
      <c r="B1837" s="116"/>
    </row>
    <row r="1838" spans="1:2" x14ac:dyDescent="0.2">
      <c r="A1838" s="102"/>
      <c r="B1838" s="116"/>
    </row>
    <row r="1839" spans="1:2" x14ac:dyDescent="0.2">
      <c r="A1839" s="102"/>
      <c r="B1839" s="116"/>
    </row>
    <row r="1840" spans="1:2" x14ac:dyDescent="0.2">
      <c r="A1840" s="102"/>
      <c r="B1840" s="116"/>
    </row>
    <row r="1841" spans="1:2" x14ac:dyDescent="0.2">
      <c r="A1841" s="102"/>
      <c r="B1841" s="116"/>
    </row>
    <row r="1842" spans="1:2" x14ac:dyDescent="0.2">
      <c r="A1842" s="102"/>
      <c r="B1842" s="116"/>
    </row>
    <row r="1843" spans="1:2" x14ac:dyDescent="0.2">
      <c r="A1843" s="102"/>
      <c r="B1843" s="116"/>
    </row>
    <row r="1844" spans="1:2" x14ac:dyDescent="0.2">
      <c r="A1844" s="102"/>
      <c r="B1844" s="116"/>
    </row>
    <row r="1845" spans="1:2" x14ac:dyDescent="0.2">
      <c r="A1845" s="102"/>
      <c r="B1845" s="116"/>
    </row>
    <row r="1846" spans="1:2" x14ac:dyDescent="0.2">
      <c r="A1846" s="102"/>
      <c r="B1846" s="116"/>
    </row>
    <row r="1847" spans="1:2" x14ac:dyDescent="0.2">
      <c r="A1847" s="102"/>
      <c r="B1847" s="116"/>
    </row>
    <row r="1848" spans="1:2" x14ac:dyDescent="0.2">
      <c r="A1848" s="102"/>
      <c r="B1848" s="116"/>
    </row>
    <row r="1849" spans="1:2" x14ac:dyDescent="0.2">
      <c r="A1849" s="102"/>
      <c r="B1849" s="116"/>
    </row>
    <row r="1850" spans="1:2" x14ac:dyDescent="0.2">
      <c r="A1850" s="102"/>
      <c r="B1850" s="116"/>
    </row>
    <row r="1851" spans="1:2" x14ac:dyDescent="0.2">
      <c r="A1851" s="102"/>
      <c r="B1851" s="116"/>
    </row>
    <row r="1852" spans="1:2" x14ac:dyDescent="0.2">
      <c r="A1852" s="102"/>
      <c r="B1852" s="116"/>
    </row>
    <row r="1853" spans="1:2" x14ac:dyDescent="0.2">
      <c r="A1853" s="102"/>
      <c r="B1853" s="116"/>
    </row>
    <row r="1854" spans="1:2" x14ac:dyDescent="0.2">
      <c r="A1854" s="102"/>
      <c r="B1854" s="116"/>
    </row>
    <row r="1855" spans="1:2" x14ac:dyDescent="0.2">
      <c r="A1855" s="102"/>
      <c r="B1855" s="116"/>
    </row>
    <row r="1856" spans="1:2" x14ac:dyDescent="0.2">
      <c r="A1856" s="102"/>
      <c r="B1856" s="116"/>
    </row>
    <row r="1857" spans="1:2" x14ac:dyDescent="0.2">
      <c r="A1857" s="102"/>
      <c r="B1857" s="116"/>
    </row>
    <row r="1858" spans="1:2" x14ac:dyDescent="0.2">
      <c r="A1858" s="102"/>
      <c r="B1858" s="116"/>
    </row>
    <row r="1859" spans="1:2" x14ac:dyDescent="0.2">
      <c r="A1859" s="102"/>
      <c r="B1859" s="116"/>
    </row>
    <row r="1860" spans="1:2" x14ac:dyDescent="0.2">
      <c r="A1860" s="102"/>
      <c r="B1860" s="116"/>
    </row>
    <row r="1861" spans="1:2" x14ac:dyDescent="0.2">
      <c r="A1861" s="102"/>
      <c r="B1861" s="116"/>
    </row>
    <row r="1862" spans="1:2" x14ac:dyDescent="0.2">
      <c r="A1862" s="102"/>
      <c r="B1862" s="116"/>
    </row>
    <row r="1863" spans="1:2" x14ac:dyDescent="0.2">
      <c r="A1863" s="102"/>
      <c r="B1863" s="116"/>
    </row>
    <row r="1864" spans="1:2" x14ac:dyDescent="0.2">
      <c r="A1864" s="102"/>
      <c r="B1864" s="116"/>
    </row>
    <row r="1865" spans="1:2" x14ac:dyDescent="0.2">
      <c r="A1865" s="102"/>
      <c r="B1865" s="116"/>
    </row>
    <row r="1866" spans="1:2" x14ac:dyDescent="0.2">
      <c r="A1866" s="102"/>
      <c r="B1866" s="116"/>
    </row>
    <row r="1867" spans="1:2" x14ac:dyDescent="0.2">
      <c r="A1867" s="102"/>
      <c r="B1867" s="116"/>
    </row>
    <row r="1868" spans="1:2" x14ac:dyDescent="0.2">
      <c r="A1868" s="102"/>
      <c r="B1868" s="116"/>
    </row>
    <row r="1869" spans="1:2" x14ac:dyDescent="0.2">
      <c r="A1869" s="102"/>
      <c r="B1869" s="116"/>
    </row>
    <row r="1870" spans="1:2" x14ac:dyDescent="0.2">
      <c r="A1870" s="102"/>
      <c r="B1870" s="116"/>
    </row>
    <row r="1871" spans="1:2" x14ac:dyDescent="0.2">
      <c r="A1871" s="102"/>
      <c r="B1871" s="116"/>
    </row>
    <row r="1872" spans="1:2" x14ac:dyDescent="0.2">
      <c r="A1872" s="102"/>
      <c r="B1872" s="116"/>
    </row>
    <row r="1873" spans="1:2" x14ac:dyDescent="0.2">
      <c r="A1873" s="102"/>
      <c r="B1873" s="116"/>
    </row>
    <row r="1874" spans="1:2" x14ac:dyDescent="0.2">
      <c r="A1874" s="102"/>
      <c r="B1874" s="116"/>
    </row>
    <row r="1875" spans="1:2" x14ac:dyDescent="0.2">
      <c r="A1875" s="102"/>
      <c r="B1875" s="116"/>
    </row>
    <row r="1876" spans="1:2" x14ac:dyDescent="0.2">
      <c r="A1876" s="102"/>
      <c r="B1876" s="116"/>
    </row>
    <row r="1877" spans="1:2" x14ac:dyDescent="0.2">
      <c r="A1877" s="102"/>
      <c r="B1877" s="116"/>
    </row>
    <row r="1878" spans="1:2" x14ac:dyDescent="0.2">
      <c r="A1878" s="102"/>
      <c r="B1878" s="116"/>
    </row>
    <row r="1879" spans="1:2" x14ac:dyDescent="0.2">
      <c r="A1879" s="102"/>
      <c r="B1879" s="116"/>
    </row>
    <row r="1880" spans="1:2" x14ac:dyDescent="0.2">
      <c r="A1880" s="102"/>
      <c r="B1880" s="116"/>
    </row>
    <row r="1881" spans="1:2" x14ac:dyDescent="0.2">
      <c r="A1881" s="102"/>
      <c r="B1881" s="116"/>
    </row>
    <row r="1882" spans="1:2" x14ac:dyDescent="0.2">
      <c r="A1882" s="102"/>
      <c r="B1882" s="116"/>
    </row>
    <row r="1883" spans="1:2" x14ac:dyDescent="0.2">
      <c r="A1883" s="102"/>
      <c r="B1883" s="116"/>
    </row>
    <row r="1884" spans="1:2" x14ac:dyDescent="0.2">
      <c r="A1884" s="102"/>
      <c r="B1884" s="116"/>
    </row>
    <row r="1885" spans="1:2" x14ac:dyDescent="0.2">
      <c r="A1885" s="102"/>
      <c r="B1885" s="116"/>
    </row>
    <row r="1886" spans="1:2" x14ac:dyDescent="0.2">
      <c r="A1886" s="102"/>
      <c r="B1886" s="116"/>
    </row>
    <row r="1887" spans="1:2" x14ac:dyDescent="0.2">
      <c r="A1887" s="102"/>
      <c r="B1887" s="116"/>
    </row>
    <row r="1888" spans="1:2" x14ac:dyDescent="0.2">
      <c r="A1888" s="102"/>
      <c r="B1888" s="116"/>
    </row>
    <row r="1889" spans="1:2" x14ac:dyDescent="0.2">
      <c r="A1889" s="102"/>
      <c r="B1889" s="116"/>
    </row>
    <row r="1890" spans="1:2" x14ac:dyDescent="0.2">
      <c r="A1890" s="102"/>
      <c r="B1890" s="116"/>
    </row>
    <row r="1891" spans="1:2" x14ac:dyDescent="0.2">
      <c r="A1891" s="102"/>
      <c r="B1891" s="116"/>
    </row>
    <row r="1892" spans="1:2" x14ac:dyDescent="0.2">
      <c r="A1892" s="102"/>
      <c r="B1892" s="116"/>
    </row>
    <row r="1893" spans="1:2" x14ac:dyDescent="0.2">
      <c r="A1893" s="102"/>
      <c r="B1893" s="116"/>
    </row>
    <row r="1894" spans="1:2" x14ac:dyDescent="0.2">
      <c r="A1894" s="102"/>
      <c r="B1894" s="116"/>
    </row>
    <row r="1895" spans="1:2" x14ac:dyDescent="0.2">
      <c r="A1895" s="102"/>
      <c r="B1895" s="116"/>
    </row>
    <row r="1896" spans="1:2" x14ac:dyDescent="0.2">
      <c r="A1896" s="102"/>
      <c r="B1896" s="116"/>
    </row>
    <row r="1897" spans="1:2" x14ac:dyDescent="0.2">
      <c r="A1897" s="102"/>
      <c r="B1897" s="116"/>
    </row>
    <row r="1898" spans="1:2" x14ac:dyDescent="0.2">
      <c r="A1898" s="102"/>
      <c r="B1898" s="116"/>
    </row>
    <row r="1899" spans="1:2" x14ac:dyDescent="0.2">
      <c r="A1899" s="102"/>
      <c r="B1899" s="116"/>
    </row>
    <row r="1900" spans="1:2" x14ac:dyDescent="0.2">
      <c r="A1900" s="102"/>
      <c r="B1900" s="116"/>
    </row>
    <row r="1901" spans="1:2" x14ac:dyDescent="0.2">
      <c r="A1901" s="102"/>
      <c r="B1901" s="116"/>
    </row>
    <row r="1902" spans="1:2" x14ac:dyDescent="0.2">
      <c r="A1902" s="102"/>
      <c r="B1902" s="116"/>
    </row>
    <row r="1903" spans="1:2" x14ac:dyDescent="0.2">
      <c r="A1903" s="102"/>
      <c r="B1903" s="116"/>
    </row>
    <row r="1904" spans="1:2" x14ac:dyDescent="0.2">
      <c r="A1904" s="102"/>
      <c r="B1904" s="116"/>
    </row>
    <row r="1905" spans="1:2" x14ac:dyDescent="0.2">
      <c r="A1905" s="102"/>
      <c r="B1905" s="116"/>
    </row>
    <row r="1906" spans="1:2" x14ac:dyDescent="0.2">
      <c r="A1906" s="102"/>
      <c r="B1906" s="116"/>
    </row>
    <row r="1907" spans="1:2" x14ac:dyDescent="0.2">
      <c r="A1907" s="102"/>
      <c r="B1907" s="116"/>
    </row>
    <row r="1908" spans="1:2" x14ac:dyDescent="0.2">
      <c r="A1908" s="102"/>
      <c r="B1908" s="116"/>
    </row>
    <row r="1909" spans="1:2" x14ac:dyDescent="0.2">
      <c r="A1909" s="102"/>
      <c r="B1909" s="116"/>
    </row>
    <row r="1910" spans="1:2" x14ac:dyDescent="0.2">
      <c r="A1910" s="102"/>
      <c r="B1910" s="116"/>
    </row>
    <row r="1911" spans="1:2" x14ac:dyDescent="0.2">
      <c r="A1911" s="102"/>
      <c r="B1911" s="116"/>
    </row>
    <row r="1912" spans="1:2" x14ac:dyDescent="0.2">
      <c r="A1912" s="102"/>
      <c r="B1912" s="116"/>
    </row>
    <row r="1913" spans="1:2" x14ac:dyDescent="0.2">
      <c r="A1913" s="102"/>
      <c r="B1913" s="116"/>
    </row>
    <row r="1914" spans="1:2" x14ac:dyDescent="0.2">
      <c r="A1914" s="102"/>
      <c r="B1914" s="116"/>
    </row>
    <row r="1915" spans="1:2" x14ac:dyDescent="0.2">
      <c r="A1915" s="102"/>
      <c r="B1915" s="116"/>
    </row>
    <row r="1916" spans="1:2" x14ac:dyDescent="0.2">
      <c r="A1916" s="102"/>
      <c r="B1916" s="116"/>
    </row>
    <row r="1917" spans="1:2" x14ac:dyDescent="0.2">
      <c r="A1917" s="102"/>
      <c r="B1917" s="116"/>
    </row>
    <row r="1918" spans="1:2" x14ac:dyDescent="0.2">
      <c r="A1918" s="102"/>
      <c r="B1918" s="116"/>
    </row>
    <row r="1919" spans="1:2" x14ac:dyDescent="0.2">
      <c r="A1919" s="102"/>
      <c r="B1919" s="116"/>
    </row>
    <row r="1920" spans="1:2" x14ac:dyDescent="0.2">
      <c r="A1920" s="102"/>
      <c r="B1920" s="116"/>
    </row>
    <row r="1921" spans="1:2" x14ac:dyDescent="0.2">
      <c r="A1921" s="102"/>
      <c r="B1921" s="116"/>
    </row>
    <row r="1922" spans="1:2" x14ac:dyDescent="0.2">
      <c r="A1922" s="102"/>
      <c r="B1922" s="116"/>
    </row>
    <row r="1923" spans="1:2" x14ac:dyDescent="0.2">
      <c r="A1923" s="102"/>
      <c r="B1923" s="116"/>
    </row>
    <row r="1924" spans="1:2" x14ac:dyDescent="0.2">
      <c r="A1924" s="102"/>
      <c r="B1924" s="116"/>
    </row>
    <row r="1925" spans="1:2" x14ac:dyDescent="0.2">
      <c r="A1925" s="102"/>
      <c r="B1925" s="116"/>
    </row>
    <row r="1926" spans="1:2" x14ac:dyDescent="0.2">
      <c r="A1926" s="102"/>
      <c r="B1926" s="116"/>
    </row>
    <row r="1927" spans="1:2" x14ac:dyDescent="0.2">
      <c r="A1927" s="102"/>
      <c r="B1927" s="116"/>
    </row>
    <row r="1928" spans="1:2" x14ac:dyDescent="0.2">
      <c r="A1928" s="102"/>
      <c r="B1928" s="116"/>
    </row>
    <row r="1929" spans="1:2" x14ac:dyDescent="0.2">
      <c r="A1929" s="102"/>
      <c r="B1929" s="116"/>
    </row>
    <row r="1930" spans="1:2" x14ac:dyDescent="0.2">
      <c r="A1930" s="102"/>
      <c r="B1930" s="116"/>
    </row>
    <row r="1931" spans="1:2" x14ac:dyDescent="0.2">
      <c r="A1931" s="102"/>
      <c r="B1931" s="116"/>
    </row>
    <row r="1932" spans="1:2" x14ac:dyDescent="0.2">
      <c r="A1932" s="102"/>
      <c r="B1932" s="116"/>
    </row>
    <row r="1933" spans="1:2" x14ac:dyDescent="0.2">
      <c r="A1933" s="102"/>
      <c r="B1933" s="116"/>
    </row>
    <row r="1934" spans="1:2" x14ac:dyDescent="0.2">
      <c r="A1934" s="102"/>
      <c r="B1934" s="116"/>
    </row>
    <row r="1935" spans="1:2" x14ac:dyDescent="0.2">
      <c r="A1935" s="102"/>
      <c r="B1935" s="116"/>
    </row>
    <row r="1936" spans="1:2" x14ac:dyDescent="0.2">
      <c r="A1936" s="102"/>
      <c r="B1936" s="116"/>
    </row>
    <row r="1937" spans="1:2" x14ac:dyDescent="0.2">
      <c r="A1937" s="102"/>
      <c r="B1937" s="116"/>
    </row>
    <row r="1938" spans="1:2" x14ac:dyDescent="0.2">
      <c r="A1938" s="102"/>
      <c r="B1938" s="116"/>
    </row>
    <row r="1939" spans="1:2" x14ac:dyDescent="0.2">
      <c r="A1939" s="102"/>
      <c r="B1939" s="116"/>
    </row>
    <row r="1940" spans="1:2" x14ac:dyDescent="0.2">
      <c r="A1940" s="102"/>
      <c r="B1940" s="116"/>
    </row>
    <row r="1941" spans="1:2" x14ac:dyDescent="0.2">
      <c r="A1941" s="102"/>
      <c r="B1941" s="116"/>
    </row>
    <row r="1942" spans="1:2" x14ac:dyDescent="0.2">
      <c r="A1942" s="102"/>
      <c r="B1942" s="116"/>
    </row>
    <row r="1943" spans="1:2" x14ac:dyDescent="0.2">
      <c r="A1943" s="102"/>
      <c r="B1943" s="116"/>
    </row>
    <row r="1944" spans="1:2" x14ac:dyDescent="0.2">
      <c r="A1944" s="102"/>
      <c r="B1944" s="116"/>
    </row>
    <row r="1945" spans="1:2" x14ac:dyDescent="0.2">
      <c r="A1945" s="102"/>
      <c r="B1945" s="116"/>
    </row>
    <row r="1946" spans="1:2" x14ac:dyDescent="0.2">
      <c r="A1946" s="102"/>
      <c r="B1946" s="116"/>
    </row>
    <row r="1947" spans="1:2" x14ac:dyDescent="0.2">
      <c r="A1947" s="102"/>
      <c r="B1947" s="116"/>
    </row>
    <row r="1948" spans="1:2" x14ac:dyDescent="0.2">
      <c r="A1948" s="102"/>
      <c r="B1948" s="116"/>
    </row>
    <row r="1949" spans="1:2" x14ac:dyDescent="0.2">
      <c r="A1949" s="102"/>
      <c r="B1949" s="116"/>
    </row>
    <row r="1950" spans="1:2" x14ac:dyDescent="0.2">
      <c r="A1950" s="102"/>
      <c r="B1950" s="116"/>
    </row>
    <row r="1951" spans="1:2" x14ac:dyDescent="0.2">
      <c r="A1951" s="102"/>
      <c r="B1951" s="116"/>
    </row>
    <row r="1952" spans="1:2" x14ac:dyDescent="0.2">
      <c r="A1952" s="102"/>
      <c r="B1952" s="116"/>
    </row>
    <row r="1953" spans="1:2" x14ac:dyDescent="0.2">
      <c r="A1953" s="102"/>
      <c r="B1953" s="116"/>
    </row>
    <row r="1954" spans="1:2" x14ac:dyDescent="0.2">
      <c r="A1954" s="102"/>
      <c r="B1954" s="116"/>
    </row>
    <row r="1955" spans="1:2" x14ac:dyDescent="0.2">
      <c r="A1955" s="102"/>
      <c r="B1955" s="116"/>
    </row>
    <row r="1956" spans="1:2" x14ac:dyDescent="0.2">
      <c r="A1956" s="102"/>
      <c r="B1956" s="116"/>
    </row>
    <row r="1957" spans="1:2" x14ac:dyDescent="0.2">
      <c r="A1957" s="102"/>
      <c r="B1957" s="116"/>
    </row>
    <row r="1958" spans="1:2" x14ac:dyDescent="0.2">
      <c r="A1958" s="102"/>
      <c r="B1958" s="116"/>
    </row>
    <row r="1959" spans="1:2" x14ac:dyDescent="0.2">
      <c r="A1959" s="102"/>
      <c r="B1959" s="116"/>
    </row>
    <row r="1960" spans="1:2" x14ac:dyDescent="0.2">
      <c r="A1960" s="102"/>
      <c r="B1960" s="116"/>
    </row>
    <row r="1961" spans="1:2" x14ac:dyDescent="0.2">
      <c r="A1961" s="102"/>
      <c r="B1961" s="116"/>
    </row>
    <row r="1962" spans="1:2" x14ac:dyDescent="0.2">
      <c r="A1962" s="102"/>
      <c r="B1962" s="116"/>
    </row>
    <row r="1963" spans="1:2" x14ac:dyDescent="0.2">
      <c r="A1963" s="102"/>
      <c r="B1963" s="116"/>
    </row>
    <row r="1964" spans="1:2" x14ac:dyDescent="0.2">
      <c r="A1964" s="102"/>
      <c r="B1964" s="116"/>
    </row>
    <row r="1965" spans="1:2" x14ac:dyDescent="0.2">
      <c r="A1965" s="102"/>
      <c r="B1965" s="116"/>
    </row>
    <row r="1966" spans="1:2" x14ac:dyDescent="0.2">
      <c r="A1966" s="102"/>
      <c r="B1966" s="116"/>
    </row>
    <row r="1967" spans="1:2" x14ac:dyDescent="0.2">
      <c r="A1967" s="102"/>
      <c r="B1967" s="116"/>
    </row>
    <row r="1968" spans="1:2" x14ac:dyDescent="0.2">
      <c r="A1968" s="102"/>
      <c r="B1968" s="116"/>
    </row>
    <row r="1969" spans="1:2" x14ac:dyDescent="0.2">
      <c r="A1969" s="102"/>
      <c r="B1969" s="116"/>
    </row>
    <row r="1970" spans="1:2" x14ac:dyDescent="0.2">
      <c r="A1970" s="102"/>
      <c r="B1970" s="116"/>
    </row>
    <row r="1971" spans="1:2" x14ac:dyDescent="0.2">
      <c r="A1971" s="102"/>
      <c r="B1971" s="116"/>
    </row>
    <row r="1972" spans="1:2" x14ac:dyDescent="0.2">
      <c r="A1972" s="102"/>
      <c r="B1972" s="116"/>
    </row>
    <row r="1973" spans="1:2" x14ac:dyDescent="0.2">
      <c r="A1973" s="102"/>
      <c r="B1973" s="116"/>
    </row>
    <row r="1974" spans="1:2" x14ac:dyDescent="0.2">
      <c r="A1974" s="102"/>
      <c r="B1974" s="116"/>
    </row>
    <row r="1975" spans="1:2" x14ac:dyDescent="0.2">
      <c r="A1975" s="102"/>
      <c r="B1975" s="116"/>
    </row>
    <row r="1976" spans="1:2" x14ac:dyDescent="0.2">
      <c r="A1976" s="102"/>
      <c r="B1976" s="116"/>
    </row>
    <row r="1977" spans="1:2" x14ac:dyDescent="0.2">
      <c r="A1977" s="102"/>
      <c r="B1977" s="116"/>
    </row>
    <row r="1978" spans="1:2" x14ac:dyDescent="0.2">
      <c r="A1978" s="102"/>
      <c r="B1978" s="116"/>
    </row>
    <row r="1979" spans="1:2" x14ac:dyDescent="0.2">
      <c r="A1979" s="102"/>
      <c r="B1979" s="116"/>
    </row>
    <row r="1980" spans="1:2" x14ac:dyDescent="0.2">
      <c r="A1980" s="102"/>
      <c r="B1980" s="116"/>
    </row>
    <row r="1981" spans="1:2" x14ac:dyDescent="0.2">
      <c r="A1981" s="102"/>
      <c r="B1981" s="116"/>
    </row>
    <row r="1982" spans="1:2" x14ac:dyDescent="0.2">
      <c r="A1982" s="102"/>
      <c r="B1982" s="116"/>
    </row>
    <row r="1983" spans="1:2" x14ac:dyDescent="0.2">
      <c r="A1983" s="102"/>
      <c r="B1983" s="116"/>
    </row>
    <row r="1984" spans="1:2" x14ac:dyDescent="0.2">
      <c r="A1984" s="102"/>
      <c r="B1984" s="116"/>
    </row>
    <row r="1985" spans="1:2" x14ac:dyDescent="0.2">
      <c r="A1985" s="102"/>
      <c r="B1985" s="116"/>
    </row>
    <row r="1986" spans="1:2" x14ac:dyDescent="0.2">
      <c r="A1986" s="102"/>
      <c r="B1986" s="116"/>
    </row>
    <row r="1987" spans="1:2" x14ac:dyDescent="0.2">
      <c r="A1987" s="102"/>
      <c r="B1987" s="116"/>
    </row>
    <row r="1988" spans="1:2" x14ac:dyDescent="0.2">
      <c r="A1988" s="102"/>
      <c r="B1988" s="116"/>
    </row>
    <row r="1989" spans="1:2" x14ac:dyDescent="0.2">
      <c r="A1989" s="102"/>
      <c r="B1989" s="116"/>
    </row>
    <row r="1990" spans="1:2" x14ac:dyDescent="0.2">
      <c r="A1990" s="102"/>
      <c r="B1990" s="116"/>
    </row>
    <row r="1991" spans="1:2" x14ac:dyDescent="0.2">
      <c r="A1991" s="102"/>
      <c r="B1991" s="116"/>
    </row>
    <row r="1992" spans="1:2" x14ac:dyDescent="0.2">
      <c r="A1992" s="102"/>
      <c r="B1992" s="116"/>
    </row>
    <row r="1993" spans="1:2" x14ac:dyDescent="0.2">
      <c r="A1993" s="102"/>
      <c r="B1993" s="116"/>
    </row>
    <row r="1994" spans="1:2" x14ac:dyDescent="0.2">
      <c r="A1994" s="102"/>
      <c r="B1994" s="116"/>
    </row>
    <row r="1995" spans="1:2" x14ac:dyDescent="0.2">
      <c r="A1995" s="102"/>
      <c r="B1995" s="116"/>
    </row>
    <row r="1996" spans="1:2" x14ac:dyDescent="0.2">
      <c r="A1996" s="102"/>
      <c r="B1996" s="116"/>
    </row>
    <row r="1997" spans="1:2" x14ac:dyDescent="0.2">
      <c r="A1997" s="102"/>
      <c r="B1997" s="116"/>
    </row>
    <row r="1998" spans="1:2" x14ac:dyDescent="0.2">
      <c r="A1998" s="102"/>
      <c r="B1998" s="116"/>
    </row>
    <row r="1999" spans="1:2" x14ac:dyDescent="0.2">
      <c r="A1999" s="102"/>
      <c r="B1999" s="116"/>
    </row>
    <row r="2000" spans="1:2" x14ac:dyDescent="0.2">
      <c r="A2000" s="102"/>
      <c r="B2000" s="116"/>
    </row>
    <row r="2001" spans="1:2" x14ac:dyDescent="0.2">
      <c r="A2001" s="102"/>
      <c r="B2001" s="116"/>
    </row>
    <row r="2002" spans="1:2" x14ac:dyDescent="0.2">
      <c r="A2002" s="102"/>
      <c r="B2002" s="116"/>
    </row>
    <row r="2003" spans="1:2" x14ac:dyDescent="0.2">
      <c r="A2003" s="102"/>
      <c r="B2003" s="116"/>
    </row>
    <row r="2004" spans="1:2" x14ac:dyDescent="0.2">
      <c r="A2004" s="102"/>
      <c r="B2004" s="116"/>
    </row>
    <row r="2005" spans="1:2" x14ac:dyDescent="0.2">
      <c r="A2005" s="102"/>
      <c r="B2005" s="116"/>
    </row>
    <row r="2006" spans="1:2" x14ac:dyDescent="0.2">
      <c r="A2006" s="102"/>
      <c r="B2006" s="116"/>
    </row>
    <row r="2007" spans="1:2" x14ac:dyDescent="0.2">
      <c r="A2007" s="102"/>
      <c r="B2007" s="116"/>
    </row>
    <row r="2008" spans="1:2" x14ac:dyDescent="0.2">
      <c r="A2008" s="102"/>
      <c r="B2008" s="116"/>
    </row>
    <row r="2009" spans="1:2" x14ac:dyDescent="0.2">
      <c r="A2009" s="102"/>
      <c r="B2009" s="116"/>
    </row>
    <row r="2010" spans="1:2" x14ac:dyDescent="0.2">
      <c r="A2010" s="102"/>
      <c r="B2010" s="116"/>
    </row>
    <row r="2011" spans="1:2" x14ac:dyDescent="0.2">
      <c r="A2011" s="102"/>
      <c r="B2011" s="116"/>
    </row>
    <row r="2012" spans="1:2" x14ac:dyDescent="0.2">
      <c r="A2012" s="102"/>
      <c r="B2012" s="116"/>
    </row>
    <row r="2013" spans="1:2" x14ac:dyDescent="0.2">
      <c r="A2013" s="102"/>
      <c r="B2013" s="116"/>
    </row>
    <row r="2014" spans="1:2" x14ac:dyDescent="0.2">
      <c r="A2014" s="102"/>
      <c r="B2014" s="116"/>
    </row>
    <row r="2015" spans="1:2" x14ac:dyDescent="0.2">
      <c r="A2015" s="102"/>
      <c r="B2015" s="116"/>
    </row>
    <row r="2016" spans="1:2" x14ac:dyDescent="0.2">
      <c r="A2016" s="102"/>
      <c r="B2016" s="116"/>
    </row>
    <row r="2017" spans="1:2" x14ac:dyDescent="0.2">
      <c r="A2017" s="102"/>
      <c r="B2017" s="116"/>
    </row>
    <row r="2018" spans="1:2" x14ac:dyDescent="0.2">
      <c r="A2018" s="102"/>
      <c r="B2018" s="116"/>
    </row>
    <row r="2019" spans="1:2" x14ac:dyDescent="0.2">
      <c r="A2019" s="102"/>
      <c r="B2019" s="116"/>
    </row>
    <row r="2020" spans="1:2" x14ac:dyDescent="0.2">
      <c r="A2020" s="102"/>
      <c r="B2020" s="116"/>
    </row>
    <row r="2021" spans="1:2" x14ac:dyDescent="0.2">
      <c r="A2021" s="102"/>
      <c r="B2021" s="116"/>
    </row>
    <row r="2022" spans="1:2" x14ac:dyDescent="0.2">
      <c r="A2022" s="102"/>
      <c r="B2022" s="116"/>
    </row>
    <row r="2023" spans="1:2" x14ac:dyDescent="0.2">
      <c r="A2023" s="102"/>
      <c r="B2023" s="116"/>
    </row>
    <row r="2024" spans="1:2" x14ac:dyDescent="0.2">
      <c r="A2024" s="102"/>
      <c r="B2024" s="116"/>
    </row>
    <row r="2025" spans="1:2" x14ac:dyDescent="0.2">
      <c r="A2025" s="102"/>
      <c r="B2025" s="116"/>
    </row>
    <row r="2026" spans="1:2" x14ac:dyDescent="0.2">
      <c r="A2026" s="102"/>
      <c r="B2026" s="116"/>
    </row>
    <row r="2027" spans="1:2" x14ac:dyDescent="0.2">
      <c r="A2027" s="102"/>
      <c r="B2027" s="116"/>
    </row>
    <row r="2028" spans="1:2" x14ac:dyDescent="0.2">
      <c r="A2028" s="102"/>
      <c r="B2028" s="116"/>
    </row>
    <row r="2029" spans="1:2" x14ac:dyDescent="0.2">
      <c r="A2029" s="102"/>
      <c r="B2029" s="116"/>
    </row>
    <row r="2030" spans="1:2" x14ac:dyDescent="0.2">
      <c r="A2030" s="102"/>
      <c r="B2030" s="116"/>
    </row>
    <row r="2031" spans="1:2" x14ac:dyDescent="0.2">
      <c r="A2031" s="102"/>
      <c r="B2031" s="116"/>
    </row>
    <row r="2032" spans="1:2" x14ac:dyDescent="0.2">
      <c r="A2032" s="102"/>
      <c r="B2032" s="116"/>
    </row>
    <row r="2033" spans="1:2" x14ac:dyDescent="0.2">
      <c r="A2033" s="102"/>
      <c r="B2033" s="116"/>
    </row>
    <row r="2034" spans="1:2" x14ac:dyDescent="0.2">
      <c r="A2034" s="102"/>
      <c r="B2034" s="116"/>
    </row>
    <row r="2035" spans="1:2" x14ac:dyDescent="0.2">
      <c r="A2035" s="102"/>
      <c r="B2035" s="116"/>
    </row>
    <row r="2036" spans="1:2" x14ac:dyDescent="0.2">
      <c r="A2036" s="102"/>
      <c r="B2036" s="116"/>
    </row>
    <row r="2037" spans="1:2" x14ac:dyDescent="0.2">
      <c r="A2037" s="102"/>
      <c r="B2037" s="116"/>
    </row>
    <row r="2038" spans="1:2" x14ac:dyDescent="0.2">
      <c r="A2038" s="102"/>
      <c r="B2038" s="116"/>
    </row>
    <row r="2039" spans="1:2" x14ac:dyDescent="0.2">
      <c r="A2039" s="102"/>
      <c r="B2039" s="116"/>
    </row>
    <row r="2040" spans="1:2" x14ac:dyDescent="0.2">
      <c r="A2040" s="102"/>
      <c r="B2040" s="116"/>
    </row>
    <row r="2041" spans="1:2" x14ac:dyDescent="0.2">
      <c r="A2041" s="102"/>
      <c r="B2041" s="116"/>
    </row>
    <row r="2042" spans="1:2" x14ac:dyDescent="0.2">
      <c r="A2042" s="102"/>
      <c r="B2042" s="116"/>
    </row>
    <row r="2043" spans="1:2" x14ac:dyDescent="0.2">
      <c r="A2043" s="102"/>
      <c r="B2043" s="116"/>
    </row>
    <row r="2044" spans="1:2" x14ac:dyDescent="0.2">
      <c r="A2044" s="102"/>
      <c r="B2044" s="116"/>
    </row>
    <row r="2045" spans="1:2" x14ac:dyDescent="0.2">
      <c r="A2045" s="102"/>
      <c r="B2045" s="116"/>
    </row>
    <row r="2046" spans="1:2" x14ac:dyDescent="0.2">
      <c r="A2046" s="102"/>
      <c r="B2046" s="116"/>
    </row>
    <row r="2047" spans="1:2" x14ac:dyDescent="0.2">
      <c r="A2047" s="102"/>
      <c r="B2047" s="116"/>
    </row>
    <row r="2048" spans="1:2" x14ac:dyDescent="0.2">
      <c r="A2048" s="102"/>
      <c r="B2048" s="116"/>
    </row>
    <row r="2049" spans="1:2" x14ac:dyDescent="0.2">
      <c r="A2049" s="102"/>
      <c r="B2049" s="116"/>
    </row>
    <row r="2050" spans="1:2" x14ac:dyDescent="0.2">
      <c r="A2050" s="102"/>
      <c r="B2050" s="116"/>
    </row>
    <row r="2051" spans="1:2" x14ac:dyDescent="0.2">
      <c r="A2051" s="102"/>
      <c r="B2051" s="116"/>
    </row>
    <row r="2052" spans="1:2" x14ac:dyDescent="0.2">
      <c r="A2052" s="102"/>
      <c r="B2052" s="116"/>
    </row>
    <row r="2053" spans="1:2" x14ac:dyDescent="0.2">
      <c r="A2053" s="102"/>
      <c r="B2053" s="116"/>
    </row>
    <row r="2054" spans="1:2" x14ac:dyDescent="0.2">
      <c r="A2054" s="102"/>
      <c r="B2054" s="116"/>
    </row>
    <row r="2055" spans="1:2" x14ac:dyDescent="0.2">
      <c r="A2055" s="102"/>
      <c r="B2055" s="116"/>
    </row>
    <row r="2056" spans="1:2" x14ac:dyDescent="0.2">
      <c r="A2056" s="102"/>
      <c r="B2056" s="116"/>
    </row>
    <row r="2057" spans="1:2" x14ac:dyDescent="0.2">
      <c r="A2057" s="102"/>
      <c r="B2057" s="116"/>
    </row>
    <row r="2058" spans="1:2" x14ac:dyDescent="0.2">
      <c r="A2058" s="102"/>
      <c r="B2058" s="116"/>
    </row>
    <row r="2059" spans="1:2" x14ac:dyDescent="0.2">
      <c r="A2059" s="102"/>
      <c r="B2059" s="116"/>
    </row>
    <row r="2060" spans="1:2" x14ac:dyDescent="0.2">
      <c r="A2060" s="102"/>
      <c r="B2060" s="116"/>
    </row>
    <row r="2061" spans="1:2" x14ac:dyDescent="0.2">
      <c r="A2061" s="102"/>
      <c r="B2061" s="116"/>
    </row>
    <row r="2062" spans="1:2" x14ac:dyDescent="0.2">
      <c r="A2062" s="102"/>
      <c r="B2062" s="116"/>
    </row>
    <row r="2063" spans="1:2" x14ac:dyDescent="0.2">
      <c r="A2063" s="102"/>
      <c r="B2063" s="116"/>
    </row>
    <row r="2064" spans="1:2" x14ac:dyDescent="0.2">
      <c r="A2064" s="102"/>
      <c r="B2064" s="116"/>
    </row>
    <row r="2065" spans="1:2" x14ac:dyDescent="0.2">
      <c r="A2065" s="102"/>
      <c r="B2065" s="116"/>
    </row>
    <row r="2066" spans="1:2" x14ac:dyDescent="0.2">
      <c r="A2066" s="102"/>
      <c r="B2066" s="116"/>
    </row>
    <row r="2067" spans="1:2" x14ac:dyDescent="0.2">
      <c r="A2067" s="102"/>
      <c r="B2067" s="116"/>
    </row>
    <row r="2068" spans="1:2" x14ac:dyDescent="0.2">
      <c r="A2068" s="102"/>
      <c r="B2068" s="116"/>
    </row>
    <row r="2069" spans="1:2" x14ac:dyDescent="0.2">
      <c r="A2069" s="102"/>
      <c r="B2069" s="116"/>
    </row>
    <row r="2070" spans="1:2" x14ac:dyDescent="0.2">
      <c r="A2070" s="102"/>
      <c r="B2070" s="116"/>
    </row>
    <row r="2071" spans="1:2" x14ac:dyDescent="0.2">
      <c r="A2071" s="102"/>
      <c r="B2071" s="116"/>
    </row>
    <row r="2072" spans="1:2" x14ac:dyDescent="0.2">
      <c r="A2072" s="102"/>
      <c r="B2072" s="116"/>
    </row>
    <row r="2073" spans="1:2" x14ac:dyDescent="0.2">
      <c r="A2073" s="102"/>
      <c r="B2073" s="116"/>
    </row>
    <row r="2074" spans="1:2" x14ac:dyDescent="0.2">
      <c r="A2074" s="102"/>
      <c r="B2074" s="116"/>
    </row>
    <row r="2075" spans="1:2" x14ac:dyDescent="0.2">
      <c r="A2075" s="102"/>
      <c r="B2075" s="116"/>
    </row>
    <row r="2076" spans="1:2" x14ac:dyDescent="0.2">
      <c r="A2076" s="102"/>
      <c r="B2076" s="116"/>
    </row>
    <row r="2077" spans="1:2" x14ac:dyDescent="0.2">
      <c r="A2077" s="102"/>
      <c r="B2077" s="116"/>
    </row>
    <row r="2078" spans="1:2" x14ac:dyDescent="0.2">
      <c r="A2078" s="102"/>
      <c r="B2078" s="116"/>
    </row>
    <row r="2079" spans="1:2" x14ac:dyDescent="0.2">
      <c r="A2079" s="102"/>
      <c r="B2079" s="116"/>
    </row>
    <row r="2080" spans="1:2" x14ac:dyDescent="0.2">
      <c r="A2080" s="102"/>
      <c r="B2080" s="116"/>
    </row>
    <row r="2081" spans="1:2" x14ac:dyDescent="0.2">
      <c r="A2081" s="102"/>
      <c r="B2081" s="116"/>
    </row>
    <row r="2082" spans="1:2" x14ac:dyDescent="0.2">
      <c r="A2082" s="102"/>
      <c r="B2082" s="116"/>
    </row>
    <row r="2083" spans="1:2" x14ac:dyDescent="0.2">
      <c r="A2083" s="102"/>
      <c r="B2083" s="116"/>
    </row>
    <row r="2084" spans="1:2" x14ac:dyDescent="0.2">
      <c r="A2084" s="102"/>
      <c r="B2084" s="116"/>
    </row>
    <row r="2085" spans="1:2" x14ac:dyDescent="0.2">
      <c r="A2085" s="102"/>
      <c r="B2085" s="116"/>
    </row>
    <row r="2086" spans="1:2" x14ac:dyDescent="0.2">
      <c r="A2086" s="102"/>
      <c r="B2086" s="116"/>
    </row>
    <row r="2087" spans="1:2" x14ac:dyDescent="0.2">
      <c r="A2087" s="102"/>
      <c r="B2087" s="116"/>
    </row>
    <row r="2088" spans="1:2" x14ac:dyDescent="0.2">
      <c r="A2088" s="102"/>
      <c r="B2088" s="116"/>
    </row>
    <row r="2089" spans="1:2" x14ac:dyDescent="0.2">
      <c r="A2089" s="102"/>
      <c r="B2089" s="116"/>
    </row>
    <row r="2090" spans="1:2" x14ac:dyDescent="0.2">
      <c r="A2090" s="102"/>
      <c r="B2090" s="116"/>
    </row>
    <row r="2091" spans="1:2" x14ac:dyDescent="0.2">
      <c r="A2091" s="102"/>
      <c r="B2091" s="116"/>
    </row>
    <row r="2092" spans="1:2" x14ac:dyDescent="0.2">
      <c r="A2092" s="102"/>
      <c r="B2092" s="116"/>
    </row>
    <row r="2093" spans="1:2" x14ac:dyDescent="0.2">
      <c r="A2093" s="102"/>
      <c r="B2093" s="116"/>
    </row>
    <row r="2094" spans="1:2" x14ac:dyDescent="0.2">
      <c r="A2094" s="102"/>
      <c r="B2094" s="116"/>
    </row>
    <row r="2095" spans="1:2" x14ac:dyDescent="0.2">
      <c r="A2095" s="102"/>
      <c r="B2095" s="116"/>
    </row>
    <row r="2096" spans="1:2" x14ac:dyDescent="0.2">
      <c r="A2096" s="102"/>
      <c r="B2096" s="116"/>
    </row>
    <row r="2097" spans="1:2" x14ac:dyDescent="0.2">
      <c r="A2097" s="102"/>
      <c r="B2097" s="116"/>
    </row>
    <row r="2098" spans="1:2" x14ac:dyDescent="0.2">
      <c r="A2098" s="102"/>
      <c r="B2098" s="116"/>
    </row>
    <row r="2099" spans="1:2" x14ac:dyDescent="0.2">
      <c r="A2099" s="102"/>
      <c r="B2099" s="116"/>
    </row>
    <row r="2100" spans="1:2" x14ac:dyDescent="0.2">
      <c r="A2100" s="102"/>
      <c r="B2100" s="116"/>
    </row>
    <row r="2101" spans="1:2" x14ac:dyDescent="0.2">
      <c r="A2101" s="102"/>
      <c r="B2101" s="116"/>
    </row>
    <row r="2102" spans="1:2" x14ac:dyDescent="0.2">
      <c r="A2102" s="102"/>
      <c r="B2102" s="116"/>
    </row>
    <row r="2103" spans="1:2" x14ac:dyDescent="0.2">
      <c r="A2103" s="102"/>
      <c r="B2103" s="116"/>
    </row>
    <row r="2104" spans="1:2" x14ac:dyDescent="0.2">
      <c r="A2104" s="102"/>
      <c r="B2104" s="116"/>
    </row>
    <row r="2105" spans="1:2" x14ac:dyDescent="0.2">
      <c r="A2105" s="102"/>
      <c r="B2105" s="116"/>
    </row>
    <row r="2106" spans="1:2" x14ac:dyDescent="0.2">
      <c r="A2106" s="102"/>
      <c r="B2106" s="116"/>
    </row>
    <row r="2107" spans="1:2" x14ac:dyDescent="0.2">
      <c r="A2107" s="102"/>
      <c r="B2107" s="116"/>
    </row>
    <row r="2108" spans="1:2" x14ac:dyDescent="0.2">
      <c r="A2108" s="102"/>
      <c r="B2108" s="116"/>
    </row>
    <row r="2109" spans="1:2" x14ac:dyDescent="0.2">
      <c r="A2109" s="102"/>
      <c r="B2109" s="116"/>
    </row>
    <row r="2110" spans="1:2" x14ac:dyDescent="0.2">
      <c r="A2110" s="102"/>
      <c r="B2110" s="116"/>
    </row>
    <row r="2111" spans="1:2" x14ac:dyDescent="0.2">
      <c r="A2111" s="102"/>
      <c r="B2111" s="116"/>
    </row>
    <row r="2112" spans="1:2" x14ac:dyDescent="0.2">
      <c r="A2112" s="102"/>
      <c r="B2112" s="116"/>
    </row>
    <row r="2113" spans="1:2" x14ac:dyDescent="0.2">
      <c r="A2113" s="102"/>
      <c r="B2113" s="116"/>
    </row>
    <row r="2114" spans="1:2" x14ac:dyDescent="0.2">
      <c r="A2114" s="102"/>
      <c r="B2114" s="116"/>
    </row>
    <row r="2115" spans="1:2" x14ac:dyDescent="0.2">
      <c r="A2115" s="102"/>
      <c r="B2115" s="116"/>
    </row>
    <row r="2116" spans="1:2" x14ac:dyDescent="0.2">
      <c r="A2116" s="102"/>
      <c r="B2116" s="116"/>
    </row>
    <row r="2117" spans="1:2" x14ac:dyDescent="0.2">
      <c r="A2117" s="102"/>
      <c r="B2117" s="116"/>
    </row>
    <row r="2118" spans="1:2" x14ac:dyDescent="0.2">
      <c r="A2118" s="102"/>
      <c r="B2118" s="116"/>
    </row>
    <row r="2119" spans="1:2" x14ac:dyDescent="0.2">
      <c r="A2119" s="102"/>
      <c r="B2119" s="116"/>
    </row>
    <row r="2120" spans="1:2" x14ac:dyDescent="0.2">
      <c r="A2120" s="102"/>
      <c r="B2120" s="116"/>
    </row>
    <row r="2121" spans="1:2" x14ac:dyDescent="0.2">
      <c r="A2121" s="102"/>
      <c r="B2121" s="116"/>
    </row>
    <row r="2122" spans="1:2" x14ac:dyDescent="0.2">
      <c r="A2122" s="102"/>
      <c r="B2122" s="116"/>
    </row>
    <row r="2123" spans="1:2" x14ac:dyDescent="0.2">
      <c r="A2123" s="102"/>
      <c r="B2123" s="116"/>
    </row>
    <row r="2124" spans="1:2" x14ac:dyDescent="0.2">
      <c r="A2124" s="102"/>
      <c r="B2124" s="116"/>
    </row>
    <row r="2125" spans="1:2" x14ac:dyDescent="0.2">
      <c r="A2125" s="102"/>
      <c r="B2125" s="116"/>
    </row>
    <row r="2126" spans="1:2" x14ac:dyDescent="0.2">
      <c r="A2126" s="102"/>
      <c r="B2126" s="116"/>
    </row>
    <row r="2127" spans="1:2" x14ac:dyDescent="0.2">
      <c r="A2127" s="102"/>
      <c r="B2127" s="116"/>
    </row>
    <row r="2128" spans="1:2" x14ac:dyDescent="0.2">
      <c r="A2128" s="102"/>
      <c r="B2128" s="116"/>
    </row>
    <row r="2129" spans="1:2" x14ac:dyDescent="0.2">
      <c r="A2129" s="102"/>
      <c r="B2129" s="116"/>
    </row>
    <row r="2130" spans="1:2" x14ac:dyDescent="0.2">
      <c r="A2130" s="102"/>
      <c r="B2130" s="116"/>
    </row>
    <row r="2131" spans="1:2" x14ac:dyDescent="0.2">
      <c r="A2131" s="102"/>
      <c r="B2131" s="116"/>
    </row>
    <row r="2132" spans="1:2" x14ac:dyDescent="0.2">
      <c r="A2132" s="102"/>
      <c r="B2132" s="116"/>
    </row>
    <row r="2133" spans="1:2" x14ac:dyDescent="0.2">
      <c r="A2133" s="102"/>
      <c r="B2133" s="116"/>
    </row>
    <row r="2134" spans="1:2" x14ac:dyDescent="0.2">
      <c r="A2134" s="102"/>
      <c r="B2134" s="116"/>
    </row>
    <row r="2135" spans="1:2" x14ac:dyDescent="0.2">
      <c r="A2135" s="102"/>
      <c r="B2135" s="116"/>
    </row>
    <row r="2136" spans="1:2" x14ac:dyDescent="0.2">
      <c r="A2136" s="102"/>
      <c r="B2136" s="116"/>
    </row>
    <row r="2137" spans="1:2" x14ac:dyDescent="0.2">
      <c r="A2137" s="102"/>
      <c r="B2137" s="116"/>
    </row>
    <row r="2138" spans="1:2" x14ac:dyDescent="0.2">
      <c r="A2138" s="102"/>
      <c r="B2138" s="116"/>
    </row>
    <row r="2139" spans="1:2" x14ac:dyDescent="0.2">
      <c r="A2139" s="102"/>
      <c r="B2139" s="116"/>
    </row>
    <row r="2140" spans="1:2" x14ac:dyDescent="0.2">
      <c r="A2140" s="102"/>
      <c r="B2140" s="116"/>
    </row>
    <row r="2141" spans="1:2" x14ac:dyDescent="0.2">
      <c r="A2141" s="102"/>
      <c r="B2141" s="116"/>
    </row>
    <row r="2142" spans="1:2" x14ac:dyDescent="0.2">
      <c r="A2142" s="102"/>
      <c r="B2142" s="116"/>
    </row>
    <row r="2143" spans="1:2" x14ac:dyDescent="0.2">
      <c r="A2143" s="102"/>
      <c r="B2143" s="116"/>
    </row>
    <row r="2144" spans="1:2" x14ac:dyDescent="0.2">
      <c r="A2144" s="102"/>
      <c r="B2144" s="116"/>
    </row>
    <row r="2145" spans="1:2" x14ac:dyDescent="0.2">
      <c r="A2145" s="102"/>
      <c r="B2145" s="116"/>
    </row>
    <row r="2146" spans="1:2" x14ac:dyDescent="0.2">
      <c r="A2146" s="102"/>
      <c r="B2146" s="116"/>
    </row>
    <row r="2147" spans="1:2" x14ac:dyDescent="0.2">
      <c r="A2147" s="102"/>
      <c r="B2147" s="116"/>
    </row>
    <row r="2148" spans="1:2" x14ac:dyDescent="0.2">
      <c r="A2148" s="102"/>
      <c r="B2148" s="116"/>
    </row>
    <row r="2149" spans="1:2" x14ac:dyDescent="0.2">
      <c r="A2149" s="102"/>
      <c r="B2149" s="116"/>
    </row>
    <row r="2150" spans="1:2" x14ac:dyDescent="0.2">
      <c r="A2150" s="102"/>
      <c r="B2150" s="116"/>
    </row>
    <row r="2151" spans="1:2" x14ac:dyDescent="0.2">
      <c r="A2151" s="102"/>
      <c r="B2151" s="116"/>
    </row>
    <row r="2152" spans="1:2" x14ac:dyDescent="0.2">
      <c r="A2152" s="102"/>
      <c r="B2152" s="116"/>
    </row>
    <row r="2153" spans="1:2" x14ac:dyDescent="0.2">
      <c r="A2153" s="102"/>
      <c r="B2153" s="116"/>
    </row>
    <row r="2154" spans="1:2" x14ac:dyDescent="0.2">
      <c r="A2154" s="102"/>
      <c r="B2154" s="116"/>
    </row>
    <row r="2155" spans="1:2" x14ac:dyDescent="0.2">
      <c r="A2155" s="102"/>
      <c r="B2155" s="116"/>
    </row>
    <row r="2156" spans="1:2" x14ac:dyDescent="0.2">
      <c r="A2156" s="102"/>
      <c r="B2156" s="116"/>
    </row>
    <row r="2157" spans="1:2" x14ac:dyDescent="0.2">
      <c r="A2157" s="102"/>
      <c r="B2157" s="116"/>
    </row>
    <row r="2158" spans="1:2" x14ac:dyDescent="0.2">
      <c r="A2158" s="102"/>
      <c r="B2158" s="116"/>
    </row>
    <row r="2159" spans="1:2" x14ac:dyDescent="0.2">
      <c r="A2159" s="102"/>
      <c r="B2159" s="116"/>
    </row>
    <row r="2160" spans="1:2" x14ac:dyDescent="0.2">
      <c r="A2160" s="102"/>
      <c r="B2160" s="116"/>
    </row>
    <row r="2161" spans="1:2" x14ac:dyDescent="0.2">
      <c r="A2161" s="102"/>
      <c r="B2161" s="116"/>
    </row>
    <row r="2162" spans="1:2" x14ac:dyDescent="0.2">
      <c r="A2162" s="102"/>
      <c r="B2162" s="116"/>
    </row>
    <row r="2163" spans="1:2" x14ac:dyDescent="0.2">
      <c r="A2163" s="102"/>
      <c r="B2163" s="116"/>
    </row>
    <row r="2164" spans="1:2" x14ac:dyDescent="0.2">
      <c r="A2164" s="102"/>
      <c r="B2164" s="116"/>
    </row>
    <row r="2165" spans="1:2" x14ac:dyDescent="0.2">
      <c r="A2165" s="102"/>
      <c r="B2165" s="116"/>
    </row>
    <row r="2166" spans="1:2" x14ac:dyDescent="0.2">
      <c r="A2166" s="102"/>
      <c r="B2166" s="116"/>
    </row>
    <row r="2167" spans="1:2" x14ac:dyDescent="0.2">
      <c r="A2167" s="102"/>
      <c r="B2167" s="116"/>
    </row>
    <row r="2168" spans="1:2" x14ac:dyDescent="0.2">
      <c r="A2168" s="102"/>
      <c r="B2168" s="116"/>
    </row>
    <row r="2169" spans="1:2" x14ac:dyDescent="0.2">
      <c r="A2169" s="102"/>
      <c r="B2169" s="116"/>
    </row>
    <row r="2170" spans="1:2" x14ac:dyDescent="0.2">
      <c r="A2170" s="102"/>
      <c r="B2170" s="116"/>
    </row>
    <row r="2171" spans="1:2" x14ac:dyDescent="0.2">
      <c r="A2171" s="102"/>
      <c r="B2171" s="116"/>
    </row>
    <row r="2172" spans="1:2" x14ac:dyDescent="0.2">
      <c r="A2172" s="102"/>
      <c r="B2172" s="116"/>
    </row>
    <row r="2173" spans="1:2" x14ac:dyDescent="0.2">
      <c r="A2173" s="102"/>
      <c r="B2173" s="116"/>
    </row>
    <row r="2174" spans="1:2" x14ac:dyDescent="0.2">
      <c r="A2174" s="102"/>
      <c r="B2174" s="116"/>
    </row>
    <row r="2175" spans="1:2" x14ac:dyDescent="0.2">
      <c r="A2175" s="102"/>
      <c r="B2175" s="116"/>
    </row>
    <row r="2176" spans="1:2" x14ac:dyDescent="0.2">
      <c r="A2176" s="102"/>
      <c r="B2176" s="116"/>
    </row>
    <row r="2177" spans="1:2" x14ac:dyDescent="0.2">
      <c r="A2177" s="102"/>
      <c r="B2177" s="116"/>
    </row>
    <row r="2178" spans="1:2" x14ac:dyDescent="0.2">
      <c r="A2178" s="102"/>
      <c r="B2178" s="116"/>
    </row>
    <row r="2179" spans="1:2" x14ac:dyDescent="0.2">
      <c r="A2179" s="102"/>
      <c r="B2179" s="116"/>
    </row>
    <row r="2180" spans="1:2" x14ac:dyDescent="0.2">
      <c r="A2180" s="102"/>
      <c r="B2180" s="116"/>
    </row>
    <row r="2181" spans="1:2" x14ac:dyDescent="0.2">
      <c r="A2181" s="102"/>
      <c r="B2181" s="116"/>
    </row>
    <row r="2182" spans="1:2" x14ac:dyDescent="0.2">
      <c r="A2182" s="102"/>
      <c r="B2182" s="116"/>
    </row>
    <row r="2183" spans="1:2" x14ac:dyDescent="0.2">
      <c r="A2183" s="102"/>
      <c r="B2183" s="116"/>
    </row>
    <row r="2184" spans="1:2" x14ac:dyDescent="0.2">
      <c r="A2184" s="102"/>
      <c r="B2184" s="116"/>
    </row>
    <row r="2185" spans="1:2" x14ac:dyDescent="0.2">
      <c r="A2185" s="102"/>
      <c r="B2185" s="116"/>
    </row>
    <row r="2186" spans="1:2" x14ac:dyDescent="0.2">
      <c r="A2186" s="102"/>
      <c r="B2186" s="116"/>
    </row>
    <row r="2187" spans="1:2" x14ac:dyDescent="0.2">
      <c r="A2187" s="102"/>
      <c r="B2187" s="116"/>
    </row>
    <row r="2188" spans="1:2" x14ac:dyDescent="0.2">
      <c r="A2188" s="102"/>
      <c r="B2188" s="116"/>
    </row>
    <row r="2189" spans="1:2" x14ac:dyDescent="0.2">
      <c r="A2189" s="102"/>
      <c r="B2189" s="116"/>
    </row>
    <row r="2190" spans="1:2" x14ac:dyDescent="0.2">
      <c r="A2190" s="102"/>
      <c r="B2190" s="116"/>
    </row>
    <row r="2191" spans="1:2" x14ac:dyDescent="0.2">
      <c r="A2191" s="102"/>
      <c r="B2191" s="116"/>
    </row>
    <row r="2192" spans="1:2" x14ac:dyDescent="0.2">
      <c r="A2192" s="102"/>
      <c r="B2192" s="116"/>
    </row>
    <row r="2193" spans="1:2" x14ac:dyDescent="0.2">
      <c r="A2193" s="102"/>
      <c r="B2193" s="116"/>
    </row>
    <row r="2194" spans="1:2" x14ac:dyDescent="0.2">
      <c r="A2194" s="102"/>
      <c r="B2194" s="116"/>
    </row>
    <row r="2195" spans="1:2" x14ac:dyDescent="0.2">
      <c r="A2195" s="102"/>
      <c r="B2195" s="116"/>
    </row>
    <row r="2196" spans="1:2" x14ac:dyDescent="0.2">
      <c r="A2196" s="102"/>
      <c r="B2196" s="116"/>
    </row>
    <row r="2197" spans="1:2" x14ac:dyDescent="0.2">
      <c r="A2197" s="102"/>
      <c r="B2197" s="116"/>
    </row>
    <row r="2198" spans="1:2" x14ac:dyDescent="0.2">
      <c r="A2198" s="102"/>
      <c r="B2198" s="116"/>
    </row>
    <row r="2199" spans="1:2" x14ac:dyDescent="0.2">
      <c r="A2199" s="102"/>
      <c r="B2199" s="116"/>
    </row>
    <row r="2200" spans="1:2" x14ac:dyDescent="0.2">
      <c r="A2200" s="102"/>
      <c r="B2200" s="116"/>
    </row>
    <row r="2201" spans="1:2" x14ac:dyDescent="0.2">
      <c r="A2201" s="102"/>
      <c r="B2201" s="116"/>
    </row>
    <row r="2202" spans="1:2" x14ac:dyDescent="0.2">
      <c r="A2202" s="102"/>
      <c r="B2202" s="116"/>
    </row>
    <row r="2203" spans="1:2" x14ac:dyDescent="0.2">
      <c r="A2203" s="102"/>
      <c r="B2203" s="116"/>
    </row>
    <row r="2204" spans="1:2" x14ac:dyDescent="0.2">
      <c r="A2204" s="102"/>
      <c r="B2204" s="116"/>
    </row>
    <row r="2205" spans="1:2" x14ac:dyDescent="0.2">
      <c r="A2205" s="102"/>
      <c r="B2205" s="116"/>
    </row>
    <row r="2206" spans="1:2" x14ac:dyDescent="0.2">
      <c r="A2206" s="102"/>
      <c r="B2206" s="116"/>
    </row>
    <row r="2207" spans="1:2" x14ac:dyDescent="0.2">
      <c r="A2207" s="102"/>
      <c r="B2207" s="116"/>
    </row>
    <row r="2208" spans="1:2" x14ac:dyDescent="0.2">
      <c r="A2208" s="102"/>
      <c r="B2208" s="116"/>
    </row>
    <row r="2209" spans="1:2" x14ac:dyDescent="0.2">
      <c r="A2209" s="102"/>
      <c r="B2209" s="116"/>
    </row>
    <row r="2210" spans="1:2" x14ac:dyDescent="0.2">
      <c r="A2210" s="102"/>
      <c r="B2210" s="116"/>
    </row>
    <row r="2211" spans="1:2" x14ac:dyDescent="0.2">
      <c r="A2211" s="102"/>
      <c r="B2211" s="116"/>
    </row>
    <row r="2212" spans="1:2" x14ac:dyDescent="0.2">
      <c r="A2212" s="102"/>
      <c r="B2212" s="116"/>
    </row>
    <row r="2213" spans="1:2" x14ac:dyDescent="0.2">
      <c r="A2213" s="102"/>
      <c r="B2213" s="116"/>
    </row>
    <row r="2214" spans="1:2" x14ac:dyDescent="0.2">
      <c r="A2214" s="102"/>
      <c r="B2214" s="116"/>
    </row>
    <row r="2215" spans="1:2" x14ac:dyDescent="0.2">
      <c r="A2215" s="102"/>
      <c r="B2215" s="116"/>
    </row>
    <row r="2216" spans="1:2" x14ac:dyDescent="0.2">
      <c r="A2216" s="102"/>
      <c r="B2216" s="116"/>
    </row>
    <row r="2217" spans="1:2" x14ac:dyDescent="0.2">
      <c r="A2217" s="102"/>
      <c r="B2217" s="116"/>
    </row>
    <row r="2218" spans="1:2" x14ac:dyDescent="0.2">
      <c r="A2218" s="102"/>
      <c r="B2218" s="116"/>
    </row>
    <row r="2219" spans="1:2" x14ac:dyDescent="0.2">
      <c r="A2219" s="102"/>
      <c r="B2219" s="116"/>
    </row>
    <row r="2220" spans="1:2" x14ac:dyDescent="0.2">
      <c r="A2220" s="102"/>
      <c r="B2220" s="116"/>
    </row>
    <row r="2221" spans="1:2" x14ac:dyDescent="0.2">
      <c r="A2221" s="102"/>
      <c r="B2221" s="116"/>
    </row>
    <row r="2222" spans="1:2" x14ac:dyDescent="0.2">
      <c r="A2222" s="102"/>
      <c r="B2222" s="116"/>
    </row>
    <row r="2223" spans="1:2" x14ac:dyDescent="0.2">
      <c r="A2223" s="102"/>
      <c r="B2223" s="116"/>
    </row>
    <row r="2224" spans="1:2" x14ac:dyDescent="0.2">
      <c r="A2224" s="102"/>
      <c r="B2224" s="116"/>
    </row>
    <row r="2225" spans="1:2" x14ac:dyDescent="0.2">
      <c r="A2225" s="102"/>
      <c r="B2225" s="116"/>
    </row>
    <row r="2226" spans="1:2" x14ac:dyDescent="0.2">
      <c r="A2226" s="102"/>
      <c r="B2226" s="116"/>
    </row>
    <row r="2227" spans="1:2" x14ac:dyDescent="0.2">
      <c r="A2227" s="102"/>
      <c r="B2227" s="116"/>
    </row>
    <row r="2228" spans="1:2" x14ac:dyDescent="0.2">
      <c r="A2228" s="102"/>
      <c r="B2228" s="116"/>
    </row>
    <row r="2229" spans="1:2" x14ac:dyDescent="0.2">
      <c r="A2229" s="102"/>
      <c r="B2229" s="116"/>
    </row>
    <row r="2230" spans="1:2" x14ac:dyDescent="0.2">
      <c r="A2230" s="102"/>
      <c r="B2230" s="116"/>
    </row>
    <row r="2231" spans="1:2" x14ac:dyDescent="0.2">
      <c r="A2231" s="102"/>
      <c r="B2231" s="116"/>
    </row>
    <row r="2232" spans="1:2" x14ac:dyDescent="0.2">
      <c r="A2232" s="102"/>
      <c r="B2232" s="116"/>
    </row>
    <row r="2233" spans="1:2" x14ac:dyDescent="0.2">
      <c r="A2233" s="102"/>
      <c r="B2233" s="116"/>
    </row>
    <row r="2234" spans="1:2" x14ac:dyDescent="0.2">
      <c r="A2234" s="102"/>
      <c r="B2234" s="116"/>
    </row>
    <row r="2235" spans="1:2" x14ac:dyDescent="0.2">
      <c r="A2235" s="102"/>
      <c r="B2235" s="116"/>
    </row>
    <row r="2236" spans="1:2" x14ac:dyDescent="0.2">
      <c r="A2236" s="102"/>
      <c r="B2236" s="116"/>
    </row>
    <row r="2237" spans="1:2" x14ac:dyDescent="0.2">
      <c r="A2237" s="102"/>
      <c r="B2237" s="116"/>
    </row>
    <row r="2238" spans="1:2" x14ac:dyDescent="0.2">
      <c r="A2238" s="102"/>
      <c r="B2238" s="116"/>
    </row>
    <row r="2239" spans="1:2" x14ac:dyDescent="0.2">
      <c r="A2239" s="102"/>
      <c r="B2239" s="116"/>
    </row>
    <row r="2240" spans="1:2" x14ac:dyDescent="0.2">
      <c r="A2240" s="102"/>
      <c r="B2240" s="116"/>
    </row>
    <row r="2241" spans="1:2" x14ac:dyDescent="0.2">
      <c r="A2241" s="102"/>
      <c r="B2241" s="116"/>
    </row>
    <row r="2242" spans="1:2" x14ac:dyDescent="0.2">
      <c r="A2242" s="102"/>
      <c r="B2242" s="116"/>
    </row>
    <row r="2243" spans="1:2" x14ac:dyDescent="0.2">
      <c r="A2243" s="102"/>
      <c r="B2243" s="116"/>
    </row>
    <row r="2244" spans="1:2" x14ac:dyDescent="0.2">
      <c r="A2244" s="102"/>
      <c r="B2244" s="116"/>
    </row>
    <row r="2245" spans="1:2" x14ac:dyDescent="0.2">
      <c r="A2245" s="102"/>
      <c r="B2245" s="116"/>
    </row>
    <row r="2246" spans="1:2" x14ac:dyDescent="0.2">
      <c r="A2246" s="102"/>
      <c r="B2246" s="116"/>
    </row>
    <row r="2247" spans="1:2" x14ac:dyDescent="0.2">
      <c r="A2247" s="102"/>
      <c r="B2247" s="116"/>
    </row>
    <row r="2248" spans="1:2" x14ac:dyDescent="0.2">
      <c r="A2248" s="102"/>
      <c r="B2248" s="116"/>
    </row>
    <row r="2249" spans="1:2" x14ac:dyDescent="0.2">
      <c r="A2249" s="102"/>
      <c r="B2249" s="116"/>
    </row>
    <row r="2250" spans="1:2" x14ac:dyDescent="0.2">
      <c r="A2250" s="102"/>
      <c r="B2250" s="116"/>
    </row>
    <row r="2251" spans="1:2" x14ac:dyDescent="0.2">
      <c r="A2251" s="102"/>
      <c r="B2251" s="116"/>
    </row>
    <row r="2252" spans="1:2" x14ac:dyDescent="0.2">
      <c r="A2252" s="102"/>
      <c r="B2252" s="116"/>
    </row>
    <row r="2253" spans="1:2" x14ac:dyDescent="0.2">
      <c r="A2253" s="102"/>
      <c r="B2253" s="116"/>
    </row>
    <row r="2254" spans="1:2" x14ac:dyDescent="0.2">
      <c r="A2254" s="102"/>
      <c r="B2254" s="116"/>
    </row>
    <row r="2255" spans="1:2" x14ac:dyDescent="0.2">
      <c r="A2255" s="102"/>
      <c r="B2255" s="116"/>
    </row>
    <row r="2256" spans="1:2" x14ac:dyDescent="0.2">
      <c r="A2256" s="102"/>
      <c r="B2256" s="116"/>
    </row>
    <row r="2257" spans="1:2" x14ac:dyDescent="0.2">
      <c r="A2257" s="102"/>
      <c r="B2257" s="116"/>
    </row>
    <row r="2258" spans="1:2" x14ac:dyDescent="0.2">
      <c r="A2258" s="102"/>
      <c r="B2258" s="116"/>
    </row>
    <row r="2259" spans="1:2" x14ac:dyDescent="0.2">
      <c r="A2259" s="102"/>
      <c r="B2259" s="116"/>
    </row>
    <row r="2260" spans="1:2" x14ac:dyDescent="0.2">
      <c r="A2260" s="102"/>
      <c r="B2260" s="116"/>
    </row>
    <row r="2261" spans="1:2" x14ac:dyDescent="0.2">
      <c r="A2261" s="102"/>
      <c r="B2261" s="116"/>
    </row>
    <row r="2262" spans="1:2" x14ac:dyDescent="0.2">
      <c r="A2262" s="102"/>
      <c r="B2262" s="116"/>
    </row>
    <row r="2263" spans="1:2" x14ac:dyDescent="0.2">
      <c r="A2263" s="102"/>
      <c r="B2263" s="116"/>
    </row>
    <row r="2264" spans="1:2" x14ac:dyDescent="0.2">
      <c r="A2264" s="102"/>
      <c r="B2264" s="116"/>
    </row>
    <row r="2265" spans="1:2" x14ac:dyDescent="0.2">
      <c r="A2265" s="102"/>
      <c r="B2265" s="116"/>
    </row>
    <row r="2266" spans="1:2" x14ac:dyDescent="0.2">
      <c r="A2266" s="102"/>
      <c r="B2266" s="116"/>
    </row>
    <row r="2267" spans="1:2" x14ac:dyDescent="0.2">
      <c r="A2267" s="102"/>
      <c r="B2267" s="116"/>
    </row>
    <row r="2268" spans="1:2" x14ac:dyDescent="0.2">
      <c r="A2268" s="102"/>
      <c r="B2268" s="116"/>
    </row>
    <row r="2269" spans="1:2" x14ac:dyDescent="0.2">
      <c r="A2269" s="102"/>
      <c r="B2269" s="116"/>
    </row>
    <row r="2270" spans="1:2" x14ac:dyDescent="0.2">
      <c r="A2270" s="102"/>
      <c r="B2270" s="116"/>
    </row>
    <row r="2271" spans="1:2" x14ac:dyDescent="0.2">
      <c r="A2271" s="102"/>
      <c r="B2271" s="116"/>
    </row>
    <row r="2272" spans="1:2" x14ac:dyDescent="0.2">
      <c r="A2272" s="102"/>
      <c r="B2272" s="116"/>
    </row>
    <row r="2273" spans="1:2" x14ac:dyDescent="0.2">
      <c r="A2273" s="102"/>
      <c r="B2273" s="116"/>
    </row>
    <row r="2274" spans="1:2" x14ac:dyDescent="0.2">
      <c r="A2274" s="102"/>
      <c r="B2274" s="116"/>
    </row>
    <row r="2275" spans="1:2" x14ac:dyDescent="0.2">
      <c r="A2275" s="102"/>
      <c r="B2275" s="116"/>
    </row>
    <row r="2276" spans="1:2" x14ac:dyDescent="0.2">
      <c r="A2276" s="102"/>
      <c r="B2276" s="116"/>
    </row>
    <row r="2277" spans="1:2" x14ac:dyDescent="0.2">
      <c r="A2277" s="102"/>
      <c r="B2277" s="116"/>
    </row>
    <row r="2278" spans="1:2" x14ac:dyDescent="0.2">
      <c r="A2278" s="102"/>
      <c r="B2278" s="116"/>
    </row>
    <row r="2279" spans="1:2" x14ac:dyDescent="0.2">
      <c r="A2279" s="102"/>
      <c r="B2279" s="116"/>
    </row>
    <row r="2280" spans="1:2" x14ac:dyDescent="0.2">
      <c r="A2280" s="102"/>
      <c r="B2280" s="116"/>
    </row>
    <row r="2281" spans="1:2" x14ac:dyDescent="0.2">
      <c r="A2281" s="102"/>
      <c r="B2281" s="116"/>
    </row>
    <row r="2282" spans="1:2" x14ac:dyDescent="0.2">
      <c r="A2282" s="102"/>
      <c r="B2282" s="116"/>
    </row>
    <row r="2283" spans="1:2" x14ac:dyDescent="0.2">
      <c r="A2283" s="102"/>
      <c r="B2283" s="116"/>
    </row>
    <row r="2284" spans="1:2" x14ac:dyDescent="0.2">
      <c r="A2284" s="102"/>
      <c r="B2284" s="116"/>
    </row>
    <row r="2285" spans="1:2" x14ac:dyDescent="0.2">
      <c r="A2285" s="102"/>
      <c r="B2285" s="116"/>
    </row>
    <row r="2286" spans="1:2" x14ac:dyDescent="0.2">
      <c r="A2286" s="102"/>
      <c r="B2286" s="116"/>
    </row>
    <row r="2287" spans="1:2" x14ac:dyDescent="0.2">
      <c r="A2287" s="102"/>
      <c r="B2287" s="116"/>
    </row>
    <row r="2288" spans="1:2" x14ac:dyDescent="0.2">
      <c r="A2288" s="102"/>
      <c r="B2288" s="116"/>
    </row>
    <row r="2289" spans="1:2" x14ac:dyDescent="0.2">
      <c r="A2289" s="102"/>
      <c r="B2289" s="116"/>
    </row>
    <row r="2290" spans="1:2" x14ac:dyDescent="0.2">
      <c r="A2290" s="102"/>
      <c r="B2290" s="116"/>
    </row>
    <row r="2291" spans="1:2" x14ac:dyDescent="0.2">
      <c r="A2291" s="102"/>
      <c r="B2291" s="116"/>
    </row>
    <row r="2292" spans="1:2" x14ac:dyDescent="0.2">
      <c r="A2292" s="102"/>
      <c r="B2292" s="116"/>
    </row>
    <row r="2293" spans="1:2" x14ac:dyDescent="0.2">
      <c r="A2293" s="102"/>
      <c r="B2293" s="116"/>
    </row>
    <row r="2294" spans="1:2" x14ac:dyDescent="0.2">
      <c r="A2294" s="102"/>
      <c r="B2294" s="116"/>
    </row>
    <row r="2295" spans="1:2" x14ac:dyDescent="0.2">
      <c r="A2295" s="102"/>
      <c r="B2295" s="116"/>
    </row>
    <row r="2296" spans="1:2" x14ac:dyDescent="0.2">
      <c r="A2296" s="102"/>
      <c r="B2296" s="116"/>
    </row>
    <row r="2297" spans="1:2" x14ac:dyDescent="0.2">
      <c r="A2297" s="102"/>
      <c r="B2297" s="116"/>
    </row>
    <row r="2298" spans="1:2" x14ac:dyDescent="0.2">
      <c r="A2298" s="102"/>
      <c r="B2298" s="116"/>
    </row>
    <row r="2299" spans="1:2" x14ac:dyDescent="0.2">
      <c r="A2299" s="102"/>
      <c r="B2299" s="116"/>
    </row>
    <row r="2300" spans="1:2" x14ac:dyDescent="0.2">
      <c r="A2300" s="102"/>
      <c r="B2300" s="116"/>
    </row>
    <row r="2301" spans="1:2" x14ac:dyDescent="0.2">
      <c r="A2301" s="102"/>
      <c r="B2301" s="116"/>
    </row>
    <row r="2302" spans="1:2" x14ac:dyDescent="0.2">
      <c r="A2302" s="102"/>
      <c r="B2302" s="116"/>
    </row>
    <row r="2303" spans="1:2" x14ac:dyDescent="0.2">
      <c r="A2303" s="102"/>
      <c r="B2303" s="116"/>
    </row>
    <row r="2304" spans="1:2" x14ac:dyDescent="0.2">
      <c r="A2304" s="102"/>
      <c r="B2304" s="116"/>
    </row>
    <row r="2305" spans="1:2" x14ac:dyDescent="0.2">
      <c r="A2305" s="102"/>
      <c r="B2305" s="116"/>
    </row>
    <row r="2306" spans="1:2" x14ac:dyDescent="0.2">
      <c r="A2306" s="102"/>
      <c r="B2306" s="116"/>
    </row>
    <row r="2307" spans="1:2" x14ac:dyDescent="0.2">
      <c r="A2307" s="102"/>
      <c r="B2307" s="116"/>
    </row>
    <row r="2308" spans="1:2" x14ac:dyDescent="0.2">
      <c r="A2308" s="102"/>
      <c r="B2308" s="116"/>
    </row>
    <row r="2309" spans="1:2" x14ac:dyDescent="0.2">
      <c r="A2309" s="102"/>
      <c r="B2309" s="116"/>
    </row>
    <row r="2310" spans="1:2" x14ac:dyDescent="0.2">
      <c r="A2310" s="102"/>
      <c r="B2310" s="116"/>
    </row>
    <row r="2311" spans="1:2" x14ac:dyDescent="0.2">
      <c r="A2311" s="102"/>
      <c r="B2311" s="116"/>
    </row>
    <row r="2312" spans="1:2" x14ac:dyDescent="0.2">
      <c r="A2312" s="102"/>
      <c r="B2312" s="116"/>
    </row>
    <row r="2313" spans="1:2" x14ac:dyDescent="0.2">
      <c r="A2313" s="102"/>
      <c r="B2313" s="116"/>
    </row>
    <row r="2314" spans="1:2" x14ac:dyDescent="0.2">
      <c r="A2314" s="102"/>
      <c r="B2314" s="116"/>
    </row>
    <row r="2315" spans="1:2" x14ac:dyDescent="0.2">
      <c r="A2315" s="102"/>
      <c r="B2315" s="116"/>
    </row>
    <row r="2316" spans="1:2" x14ac:dyDescent="0.2">
      <c r="A2316" s="102"/>
      <c r="B2316" s="116"/>
    </row>
    <row r="2317" spans="1:2" x14ac:dyDescent="0.2">
      <c r="A2317" s="102"/>
      <c r="B2317" s="116"/>
    </row>
    <row r="2318" spans="1:2" x14ac:dyDescent="0.2">
      <c r="A2318" s="102"/>
      <c r="B2318" s="116"/>
    </row>
    <row r="2319" spans="1:2" x14ac:dyDescent="0.2">
      <c r="A2319" s="102"/>
      <c r="B2319" s="116"/>
    </row>
    <row r="2320" spans="1:2" x14ac:dyDescent="0.2">
      <c r="A2320" s="102"/>
      <c r="B2320" s="116"/>
    </row>
    <row r="2321" spans="1:2" x14ac:dyDescent="0.2">
      <c r="A2321" s="102"/>
      <c r="B2321" s="116"/>
    </row>
    <row r="2322" spans="1:2" x14ac:dyDescent="0.2">
      <c r="A2322" s="102"/>
      <c r="B2322" s="116"/>
    </row>
    <row r="2323" spans="1:2" x14ac:dyDescent="0.2">
      <c r="A2323" s="102"/>
      <c r="B2323" s="116"/>
    </row>
    <row r="2324" spans="1:2" x14ac:dyDescent="0.2">
      <c r="A2324" s="102"/>
      <c r="B2324" s="116"/>
    </row>
    <row r="2325" spans="1:2" x14ac:dyDescent="0.2">
      <c r="A2325" s="102"/>
      <c r="B2325" s="116"/>
    </row>
    <row r="2326" spans="1:2" x14ac:dyDescent="0.2">
      <c r="A2326" s="102"/>
      <c r="B2326" s="116"/>
    </row>
    <row r="2327" spans="1:2" x14ac:dyDescent="0.2">
      <c r="A2327" s="102"/>
      <c r="B2327" s="116"/>
    </row>
    <row r="2328" spans="1:2" x14ac:dyDescent="0.2">
      <c r="A2328" s="102"/>
      <c r="B2328" s="116"/>
    </row>
    <row r="2329" spans="1:2" x14ac:dyDescent="0.2">
      <c r="A2329" s="102"/>
      <c r="B2329" s="116"/>
    </row>
    <row r="2330" spans="1:2" x14ac:dyDescent="0.2">
      <c r="A2330" s="102"/>
      <c r="B2330" s="116"/>
    </row>
    <row r="2331" spans="1:2" x14ac:dyDescent="0.2">
      <c r="A2331" s="102"/>
      <c r="B2331" s="116"/>
    </row>
    <row r="2332" spans="1:2" x14ac:dyDescent="0.2">
      <c r="A2332" s="102"/>
      <c r="B2332" s="116"/>
    </row>
    <row r="2333" spans="1:2" x14ac:dyDescent="0.2">
      <c r="A2333" s="102"/>
      <c r="B2333" s="116"/>
    </row>
    <row r="2334" spans="1:2" x14ac:dyDescent="0.2">
      <c r="A2334" s="102"/>
      <c r="B2334" s="116"/>
    </row>
    <row r="2335" spans="1:2" x14ac:dyDescent="0.2">
      <c r="A2335" s="102"/>
      <c r="B2335" s="116"/>
    </row>
    <row r="2336" spans="1:2" x14ac:dyDescent="0.2">
      <c r="A2336" s="102"/>
      <c r="B2336" s="116"/>
    </row>
    <row r="2337" spans="1:2" x14ac:dyDescent="0.2">
      <c r="A2337" s="102"/>
      <c r="B2337" s="116"/>
    </row>
    <row r="2338" spans="1:2" x14ac:dyDescent="0.2">
      <c r="A2338" s="102"/>
      <c r="B2338" s="116"/>
    </row>
    <row r="2339" spans="1:2" x14ac:dyDescent="0.2">
      <c r="A2339" s="102"/>
      <c r="B2339" s="116"/>
    </row>
    <row r="2340" spans="1:2" x14ac:dyDescent="0.2">
      <c r="A2340" s="102"/>
      <c r="B2340" s="116"/>
    </row>
    <row r="2341" spans="1:2" x14ac:dyDescent="0.2">
      <c r="A2341" s="102"/>
      <c r="B2341" s="116"/>
    </row>
    <row r="2342" spans="1:2" x14ac:dyDescent="0.2">
      <c r="A2342" s="102"/>
      <c r="B2342" s="116"/>
    </row>
    <row r="2343" spans="1:2" x14ac:dyDescent="0.2">
      <c r="A2343" s="102"/>
      <c r="B2343" s="116"/>
    </row>
    <row r="2344" spans="1:2" x14ac:dyDescent="0.2">
      <c r="A2344" s="102"/>
      <c r="B2344" s="116"/>
    </row>
    <row r="2345" spans="1:2" x14ac:dyDescent="0.2">
      <c r="A2345" s="102"/>
      <c r="B2345" s="116"/>
    </row>
    <row r="2346" spans="1:2" x14ac:dyDescent="0.2">
      <c r="A2346" s="102"/>
      <c r="B2346" s="116"/>
    </row>
    <row r="2347" spans="1:2" x14ac:dyDescent="0.2">
      <c r="A2347" s="102"/>
      <c r="B2347" s="116"/>
    </row>
    <row r="2348" spans="1:2" x14ac:dyDescent="0.2">
      <c r="A2348" s="102"/>
      <c r="B2348" s="116"/>
    </row>
    <row r="2349" spans="1:2" x14ac:dyDescent="0.2">
      <c r="A2349" s="102"/>
      <c r="B2349" s="116"/>
    </row>
    <row r="2350" spans="1:2" x14ac:dyDescent="0.2">
      <c r="A2350" s="102"/>
      <c r="B2350" s="116"/>
    </row>
    <row r="2351" spans="1:2" x14ac:dyDescent="0.2">
      <c r="A2351" s="102"/>
      <c r="B2351" s="116"/>
    </row>
    <row r="2352" spans="1:2" x14ac:dyDescent="0.2">
      <c r="A2352" s="102"/>
      <c r="B2352" s="116"/>
    </row>
    <row r="2353" spans="1:2" x14ac:dyDescent="0.2">
      <c r="A2353" s="102"/>
      <c r="B2353" s="116"/>
    </row>
    <row r="2354" spans="1:2" x14ac:dyDescent="0.2">
      <c r="A2354" s="102"/>
      <c r="B2354" s="116"/>
    </row>
    <row r="2355" spans="1:2" x14ac:dyDescent="0.2">
      <c r="A2355" s="102"/>
      <c r="B2355" s="116"/>
    </row>
    <row r="2356" spans="1:2" x14ac:dyDescent="0.2">
      <c r="A2356" s="102"/>
      <c r="B2356" s="116"/>
    </row>
    <row r="2357" spans="1:2" x14ac:dyDescent="0.2">
      <c r="A2357" s="102"/>
      <c r="B2357" s="116"/>
    </row>
    <row r="2358" spans="1:2" x14ac:dyDescent="0.2">
      <c r="A2358" s="102"/>
      <c r="B2358" s="116"/>
    </row>
    <row r="2359" spans="1:2" x14ac:dyDescent="0.2">
      <c r="A2359" s="102"/>
      <c r="B2359" s="116"/>
    </row>
    <row r="2360" spans="1:2" x14ac:dyDescent="0.2">
      <c r="A2360" s="102"/>
      <c r="B2360" s="116"/>
    </row>
    <row r="2361" spans="1:2" x14ac:dyDescent="0.2">
      <c r="A2361" s="102"/>
      <c r="B2361" s="116"/>
    </row>
    <row r="2362" spans="1:2" x14ac:dyDescent="0.2">
      <c r="A2362" s="102"/>
      <c r="B2362" s="116"/>
    </row>
    <row r="2363" spans="1:2" x14ac:dyDescent="0.2">
      <c r="A2363" s="102"/>
      <c r="B2363" s="116"/>
    </row>
    <row r="2364" spans="1:2" x14ac:dyDescent="0.2">
      <c r="A2364" s="102"/>
      <c r="B2364" s="116"/>
    </row>
    <row r="2365" spans="1:2" x14ac:dyDescent="0.2">
      <c r="A2365" s="102"/>
      <c r="B2365" s="116"/>
    </row>
    <row r="2366" spans="1:2" x14ac:dyDescent="0.2">
      <c r="A2366" s="102"/>
      <c r="B2366" s="116"/>
    </row>
    <row r="2367" spans="1:2" x14ac:dyDescent="0.2">
      <c r="A2367" s="102"/>
      <c r="B2367" s="116"/>
    </row>
    <row r="2368" spans="1:2" x14ac:dyDescent="0.2">
      <c r="A2368" s="102"/>
      <c r="B2368" s="116"/>
    </row>
    <row r="2369" spans="1:2" x14ac:dyDescent="0.2">
      <c r="A2369" s="102"/>
      <c r="B2369" s="116"/>
    </row>
    <row r="2370" spans="1:2" x14ac:dyDescent="0.2">
      <c r="A2370" s="102"/>
      <c r="B2370" s="116"/>
    </row>
    <row r="2371" spans="1:2" x14ac:dyDescent="0.2">
      <c r="A2371" s="102"/>
      <c r="B2371" s="116"/>
    </row>
    <row r="2372" spans="1:2" x14ac:dyDescent="0.2">
      <c r="A2372" s="102"/>
      <c r="B2372" s="116"/>
    </row>
    <row r="2373" spans="1:2" x14ac:dyDescent="0.2">
      <c r="A2373" s="102"/>
      <c r="B2373" s="116"/>
    </row>
    <row r="2374" spans="1:2" x14ac:dyDescent="0.2">
      <c r="A2374" s="102"/>
      <c r="B2374" s="116"/>
    </row>
    <row r="2375" spans="1:2" x14ac:dyDescent="0.2">
      <c r="A2375" s="102"/>
      <c r="B2375" s="116"/>
    </row>
    <row r="2376" spans="1:2" x14ac:dyDescent="0.2">
      <c r="A2376" s="102"/>
      <c r="B2376" s="116"/>
    </row>
    <row r="2377" spans="1:2" x14ac:dyDescent="0.2">
      <c r="A2377" s="102"/>
      <c r="B2377" s="116"/>
    </row>
    <row r="2378" spans="1:2" x14ac:dyDescent="0.2">
      <c r="A2378" s="102"/>
      <c r="B2378" s="116"/>
    </row>
    <row r="2379" spans="1:2" x14ac:dyDescent="0.2">
      <c r="A2379" s="102"/>
      <c r="B2379" s="116"/>
    </row>
    <row r="2380" spans="1:2" x14ac:dyDescent="0.2">
      <c r="A2380" s="102"/>
      <c r="B2380" s="116"/>
    </row>
    <row r="2381" spans="1:2" x14ac:dyDescent="0.2">
      <c r="A2381" s="102"/>
      <c r="B2381" s="116"/>
    </row>
    <row r="2382" spans="1:2" x14ac:dyDescent="0.2">
      <c r="A2382" s="102"/>
      <c r="B2382" s="116"/>
    </row>
    <row r="2383" spans="1:2" x14ac:dyDescent="0.2">
      <c r="A2383" s="102"/>
      <c r="B2383" s="116"/>
    </row>
    <row r="2384" spans="1:2" x14ac:dyDescent="0.2">
      <c r="A2384" s="102"/>
      <c r="B2384" s="116"/>
    </row>
    <row r="2385" spans="1:2" x14ac:dyDescent="0.2">
      <c r="A2385" s="102"/>
      <c r="B2385" s="116"/>
    </row>
    <row r="2386" spans="1:2" x14ac:dyDescent="0.2">
      <c r="A2386" s="102"/>
      <c r="B2386" s="116"/>
    </row>
    <row r="2387" spans="1:2" x14ac:dyDescent="0.2">
      <c r="A2387" s="102"/>
      <c r="B2387" s="116"/>
    </row>
    <row r="2388" spans="1:2" x14ac:dyDescent="0.2">
      <c r="A2388" s="102"/>
      <c r="B2388" s="116"/>
    </row>
    <row r="2389" spans="1:2" x14ac:dyDescent="0.2">
      <c r="A2389" s="102"/>
      <c r="B2389" s="116"/>
    </row>
    <row r="2390" spans="1:2" x14ac:dyDescent="0.2">
      <c r="A2390" s="102"/>
      <c r="B2390" s="116"/>
    </row>
    <row r="2391" spans="1:2" x14ac:dyDescent="0.2">
      <c r="A2391" s="102"/>
      <c r="B2391" s="116"/>
    </row>
    <row r="2392" spans="1:2" x14ac:dyDescent="0.2">
      <c r="A2392" s="102"/>
      <c r="B2392" s="116"/>
    </row>
    <row r="2393" spans="1:2" x14ac:dyDescent="0.2">
      <c r="A2393" s="102"/>
      <c r="B2393" s="116"/>
    </row>
    <row r="2394" spans="1:2" x14ac:dyDescent="0.2">
      <c r="A2394" s="102"/>
      <c r="B2394" s="116"/>
    </row>
    <row r="2395" spans="1:2" x14ac:dyDescent="0.2">
      <c r="A2395" s="102"/>
      <c r="B2395" s="116"/>
    </row>
    <row r="2396" spans="1:2" x14ac:dyDescent="0.2">
      <c r="A2396" s="102"/>
      <c r="B2396" s="116"/>
    </row>
    <row r="2397" spans="1:2" x14ac:dyDescent="0.2">
      <c r="A2397" s="102"/>
      <c r="B2397" s="116"/>
    </row>
    <row r="2398" spans="1:2" x14ac:dyDescent="0.2">
      <c r="A2398" s="102"/>
      <c r="B2398" s="116"/>
    </row>
    <row r="2399" spans="1:2" x14ac:dyDescent="0.2">
      <c r="A2399" s="102"/>
      <c r="B2399" s="116"/>
    </row>
    <row r="2400" spans="1:2" x14ac:dyDescent="0.2">
      <c r="A2400" s="102"/>
      <c r="B2400" s="116"/>
    </row>
    <row r="2401" spans="1:2" x14ac:dyDescent="0.2">
      <c r="A2401" s="102"/>
      <c r="B2401" s="116"/>
    </row>
    <row r="2402" spans="1:2" x14ac:dyDescent="0.2">
      <c r="A2402" s="102"/>
      <c r="B2402" s="116"/>
    </row>
    <row r="2403" spans="1:2" x14ac:dyDescent="0.2">
      <c r="A2403" s="102"/>
      <c r="B2403" s="116"/>
    </row>
    <row r="2404" spans="1:2" x14ac:dyDescent="0.2">
      <c r="A2404" s="102"/>
      <c r="B2404" s="116"/>
    </row>
    <row r="2405" spans="1:2" x14ac:dyDescent="0.2">
      <c r="A2405" s="102"/>
      <c r="B2405" s="116"/>
    </row>
    <row r="2406" spans="1:2" x14ac:dyDescent="0.2">
      <c r="A2406" s="102"/>
      <c r="B2406" s="116"/>
    </row>
    <row r="2407" spans="1:2" x14ac:dyDescent="0.2">
      <c r="A2407" s="102"/>
      <c r="B2407" s="116"/>
    </row>
    <row r="2408" spans="1:2" x14ac:dyDescent="0.2">
      <c r="A2408" s="102"/>
      <c r="B2408" s="116"/>
    </row>
    <row r="2409" spans="1:2" x14ac:dyDescent="0.2">
      <c r="A2409" s="102"/>
      <c r="B2409" s="116"/>
    </row>
    <row r="2410" spans="1:2" x14ac:dyDescent="0.2">
      <c r="A2410" s="102"/>
      <c r="B2410" s="116"/>
    </row>
    <row r="2411" spans="1:2" x14ac:dyDescent="0.2">
      <c r="A2411" s="102"/>
      <c r="B2411" s="116"/>
    </row>
    <row r="2412" spans="1:2" x14ac:dyDescent="0.2">
      <c r="A2412" s="102"/>
      <c r="B2412" s="116"/>
    </row>
    <row r="2413" spans="1:2" x14ac:dyDescent="0.2">
      <c r="A2413" s="102"/>
      <c r="B2413" s="116"/>
    </row>
    <row r="2414" spans="1:2" x14ac:dyDescent="0.2">
      <c r="A2414" s="102"/>
      <c r="B2414" s="116"/>
    </row>
    <row r="2415" spans="1:2" x14ac:dyDescent="0.2">
      <c r="A2415" s="102"/>
      <c r="B2415" s="116"/>
    </row>
    <row r="2416" spans="1:2" x14ac:dyDescent="0.2">
      <c r="A2416" s="102"/>
      <c r="B2416" s="116"/>
    </row>
    <row r="2417" spans="1:2" x14ac:dyDescent="0.2">
      <c r="A2417" s="102"/>
      <c r="B2417" s="116"/>
    </row>
    <row r="2418" spans="1:2" x14ac:dyDescent="0.2">
      <c r="A2418" s="102"/>
      <c r="B2418" s="116"/>
    </row>
    <row r="2419" spans="1:2" x14ac:dyDescent="0.2">
      <c r="A2419" s="102"/>
      <c r="B2419" s="116"/>
    </row>
    <row r="2420" spans="1:2" x14ac:dyDescent="0.2">
      <c r="A2420" s="102"/>
      <c r="B2420" s="116"/>
    </row>
    <row r="2421" spans="1:2" x14ac:dyDescent="0.2">
      <c r="A2421" s="102"/>
      <c r="B2421" s="116"/>
    </row>
    <row r="2422" spans="1:2" x14ac:dyDescent="0.2">
      <c r="A2422" s="102"/>
      <c r="B2422" s="116"/>
    </row>
    <row r="2423" spans="1:2" x14ac:dyDescent="0.2">
      <c r="A2423" s="102"/>
      <c r="B2423" s="116"/>
    </row>
    <row r="2424" spans="1:2" x14ac:dyDescent="0.2">
      <c r="A2424" s="102"/>
      <c r="B2424" s="116"/>
    </row>
    <row r="2425" spans="1:2" x14ac:dyDescent="0.2">
      <c r="A2425" s="102"/>
      <c r="B2425" s="116"/>
    </row>
    <row r="2426" spans="1:2" x14ac:dyDescent="0.2">
      <c r="A2426" s="102"/>
      <c r="B2426" s="116"/>
    </row>
    <row r="2427" spans="1:2" x14ac:dyDescent="0.2">
      <c r="A2427" s="102"/>
      <c r="B2427" s="116"/>
    </row>
    <row r="2428" spans="1:2" x14ac:dyDescent="0.2">
      <c r="A2428" s="102"/>
      <c r="B2428" s="116"/>
    </row>
    <row r="2429" spans="1:2" x14ac:dyDescent="0.2">
      <c r="A2429" s="102"/>
      <c r="B2429" s="116"/>
    </row>
    <row r="2430" spans="1:2" x14ac:dyDescent="0.2">
      <c r="A2430" s="102"/>
      <c r="B2430" s="116"/>
    </row>
    <row r="2431" spans="1:2" x14ac:dyDescent="0.2">
      <c r="A2431" s="102"/>
      <c r="B2431" s="116"/>
    </row>
    <row r="2432" spans="1:2" x14ac:dyDescent="0.2">
      <c r="A2432" s="102"/>
      <c r="B2432" s="116"/>
    </row>
    <row r="2433" spans="1:2" x14ac:dyDescent="0.2">
      <c r="A2433" s="102"/>
      <c r="B2433" s="116"/>
    </row>
    <row r="2434" spans="1:2" x14ac:dyDescent="0.2">
      <c r="A2434" s="102"/>
      <c r="B2434" s="116"/>
    </row>
    <row r="2435" spans="1:2" x14ac:dyDescent="0.2">
      <c r="A2435" s="102"/>
      <c r="B2435" s="116"/>
    </row>
    <row r="2436" spans="1:2" x14ac:dyDescent="0.2">
      <c r="A2436" s="102"/>
      <c r="B2436" s="116"/>
    </row>
    <row r="2437" spans="1:2" x14ac:dyDescent="0.2">
      <c r="A2437" s="102"/>
      <c r="B2437" s="116"/>
    </row>
    <row r="2438" spans="1:2" x14ac:dyDescent="0.2">
      <c r="A2438" s="102"/>
      <c r="B2438" s="116"/>
    </row>
    <row r="2439" spans="1:2" x14ac:dyDescent="0.2">
      <c r="A2439" s="102"/>
      <c r="B2439" s="116"/>
    </row>
    <row r="2440" spans="1:2" x14ac:dyDescent="0.2">
      <c r="A2440" s="102"/>
      <c r="B2440" s="116"/>
    </row>
    <row r="2441" spans="1:2" x14ac:dyDescent="0.2">
      <c r="A2441" s="102"/>
      <c r="B2441" s="116"/>
    </row>
    <row r="2442" spans="1:2" x14ac:dyDescent="0.2">
      <c r="A2442" s="102"/>
      <c r="B2442" s="116"/>
    </row>
    <row r="2443" spans="1:2" x14ac:dyDescent="0.2">
      <c r="A2443" s="102"/>
      <c r="B2443" s="116"/>
    </row>
    <row r="2444" spans="1:2" x14ac:dyDescent="0.2">
      <c r="A2444" s="102"/>
      <c r="B2444" s="116"/>
    </row>
    <row r="2445" spans="1:2" x14ac:dyDescent="0.2">
      <c r="A2445" s="102"/>
      <c r="B2445" s="116"/>
    </row>
    <row r="2446" spans="1:2" x14ac:dyDescent="0.2">
      <c r="A2446" s="102"/>
      <c r="B2446" s="116"/>
    </row>
    <row r="2447" spans="1:2" x14ac:dyDescent="0.2">
      <c r="A2447" s="102"/>
      <c r="B2447" s="116"/>
    </row>
    <row r="2448" spans="1:2" x14ac:dyDescent="0.2">
      <c r="A2448" s="102"/>
      <c r="B2448" s="116"/>
    </row>
    <row r="2449" spans="1:2" x14ac:dyDescent="0.2">
      <c r="A2449" s="102"/>
      <c r="B2449" s="116"/>
    </row>
    <row r="2450" spans="1:2" x14ac:dyDescent="0.2">
      <c r="A2450" s="102"/>
      <c r="B2450" s="116"/>
    </row>
    <row r="2451" spans="1:2" x14ac:dyDescent="0.2">
      <c r="A2451" s="102"/>
      <c r="B2451" s="116"/>
    </row>
    <row r="2452" spans="1:2" x14ac:dyDescent="0.2">
      <c r="A2452" s="102"/>
      <c r="B2452" s="116"/>
    </row>
    <row r="2453" spans="1:2" x14ac:dyDescent="0.2">
      <c r="A2453" s="102"/>
      <c r="B2453" s="116"/>
    </row>
    <row r="2454" spans="1:2" x14ac:dyDescent="0.2">
      <c r="A2454" s="102"/>
      <c r="B2454" s="116"/>
    </row>
    <row r="2455" spans="1:2" x14ac:dyDescent="0.2">
      <c r="A2455" s="102"/>
      <c r="B2455" s="116"/>
    </row>
    <row r="2456" spans="1:2" x14ac:dyDescent="0.2">
      <c r="A2456" s="102"/>
      <c r="B2456" s="116"/>
    </row>
    <row r="2457" spans="1:2" x14ac:dyDescent="0.2">
      <c r="A2457" s="102"/>
      <c r="B2457" s="116"/>
    </row>
    <row r="2458" spans="1:2" x14ac:dyDescent="0.2">
      <c r="A2458" s="102"/>
      <c r="B2458" s="116"/>
    </row>
    <row r="2459" spans="1:2" x14ac:dyDescent="0.2">
      <c r="A2459" s="102"/>
      <c r="B2459" s="116"/>
    </row>
    <row r="2460" spans="1:2" x14ac:dyDescent="0.2">
      <c r="A2460" s="102"/>
      <c r="B2460" s="116"/>
    </row>
    <row r="2461" spans="1:2" x14ac:dyDescent="0.2">
      <c r="A2461" s="102"/>
      <c r="B2461" s="116"/>
    </row>
    <row r="2462" spans="1:2" x14ac:dyDescent="0.2">
      <c r="A2462" s="102"/>
      <c r="B2462" s="116"/>
    </row>
    <row r="2463" spans="1:2" x14ac:dyDescent="0.2">
      <c r="A2463" s="102"/>
      <c r="B2463" s="116"/>
    </row>
    <row r="2464" spans="1:2" x14ac:dyDescent="0.2">
      <c r="A2464" s="102"/>
      <c r="B2464" s="116"/>
    </row>
    <row r="2465" spans="1:2" x14ac:dyDescent="0.2">
      <c r="A2465" s="102"/>
      <c r="B2465" s="116"/>
    </row>
    <row r="2466" spans="1:2" x14ac:dyDescent="0.2">
      <c r="A2466" s="102"/>
      <c r="B2466" s="116"/>
    </row>
    <row r="2467" spans="1:2" x14ac:dyDescent="0.2">
      <c r="A2467" s="102"/>
      <c r="B2467" s="116"/>
    </row>
    <row r="2468" spans="1:2" x14ac:dyDescent="0.2">
      <c r="A2468" s="102"/>
      <c r="B2468" s="116"/>
    </row>
    <row r="2469" spans="1:2" x14ac:dyDescent="0.2">
      <c r="A2469" s="102"/>
      <c r="B2469" s="116"/>
    </row>
    <row r="2470" spans="1:2" x14ac:dyDescent="0.2">
      <c r="A2470" s="102"/>
      <c r="B2470" s="116"/>
    </row>
    <row r="2471" spans="1:2" x14ac:dyDescent="0.2">
      <c r="A2471" s="102"/>
      <c r="B2471" s="116"/>
    </row>
    <row r="2472" spans="1:2" x14ac:dyDescent="0.2">
      <c r="A2472" s="102"/>
      <c r="B2472" s="116"/>
    </row>
    <row r="2473" spans="1:2" x14ac:dyDescent="0.2">
      <c r="A2473" s="102"/>
      <c r="B2473" s="116"/>
    </row>
    <row r="2474" spans="1:2" x14ac:dyDescent="0.2">
      <c r="A2474" s="102"/>
      <c r="B2474" s="116"/>
    </row>
    <row r="2475" spans="1:2" x14ac:dyDescent="0.2">
      <c r="A2475" s="102"/>
      <c r="B2475" s="116"/>
    </row>
    <row r="2476" spans="1:2" x14ac:dyDescent="0.2">
      <c r="A2476" s="102"/>
      <c r="B2476" s="116"/>
    </row>
    <row r="2477" spans="1:2" x14ac:dyDescent="0.2">
      <c r="A2477" s="102"/>
      <c r="B2477" s="116"/>
    </row>
    <row r="2478" spans="1:2" x14ac:dyDescent="0.2">
      <c r="A2478" s="102"/>
      <c r="B2478" s="116"/>
    </row>
    <row r="2479" spans="1:2" x14ac:dyDescent="0.2">
      <c r="A2479" s="102"/>
      <c r="B2479" s="116"/>
    </row>
    <row r="2480" spans="1:2" x14ac:dyDescent="0.2">
      <c r="A2480" s="102"/>
      <c r="B2480" s="116"/>
    </row>
    <row r="2481" spans="1:2" x14ac:dyDescent="0.2">
      <c r="A2481" s="102"/>
      <c r="B2481" s="116"/>
    </row>
    <row r="2482" spans="1:2" x14ac:dyDescent="0.2">
      <c r="A2482" s="102"/>
      <c r="B2482" s="116"/>
    </row>
    <row r="2483" spans="1:2" x14ac:dyDescent="0.2">
      <c r="A2483" s="102"/>
      <c r="B2483" s="116"/>
    </row>
    <row r="2484" spans="1:2" x14ac:dyDescent="0.2">
      <c r="A2484" s="102"/>
      <c r="B2484" s="116"/>
    </row>
    <row r="2485" spans="1:2" x14ac:dyDescent="0.2">
      <c r="A2485" s="102"/>
      <c r="B2485" s="116"/>
    </row>
    <row r="2486" spans="1:2" x14ac:dyDescent="0.2">
      <c r="A2486" s="102"/>
      <c r="B2486" s="116"/>
    </row>
    <row r="2487" spans="1:2" x14ac:dyDescent="0.2">
      <c r="A2487" s="102"/>
      <c r="B2487" s="116"/>
    </row>
    <row r="2488" spans="1:2" x14ac:dyDescent="0.2">
      <c r="A2488" s="102"/>
      <c r="B2488" s="116"/>
    </row>
    <row r="2489" spans="1:2" x14ac:dyDescent="0.2">
      <c r="A2489" s="102"/>
      <c r="B2489" s="116"/>
    </row>
    <row r="2490" spans="1:2" x14ac:dyDescent="0.2">
      <c r="A2490" s="102"/>
      <c r="B2490" s="116"/>
    </row>
    <row r="2491" spans="1:2" x14ac:dyDescent="0.2">
      <c r="A2491" s="102"/>
      <c r="B2491" s="116"/>
    </row>
    <row r="2492" spans="1:2" x14ac:dyDescent="0.2">
      <c r="A2492" s="102"/>
      <c r="B2492" s="116"/>
    </row>
    <row r="2493" spans="1:2" x14ac:dyDescent="0.2">
      <c r="A2493" s="102"/>
      <c r="B2493" s="116"/>
    </row>
    <row r="2494" spans="1:2" x14ac:dyDescent="0.2">
      <c r="A2494" s="102"/>
      <c r="B2494" s="116"/>
    </row>
    <row r="2495" spans="1:2" x14ac:dyDescent="0.2">
      <c r="A2495" s="102"/>
      <c r="B2495" s="116"/>
    </row>
    <row r="2496" spans="1:2" x14ac:dyDescent="0.2">
      <c r="A2496" s="102"/>
      <c r="B2496" s="116"/>
    </row>
    <row r="2497" spans="1:2" x14ac:dyDescent="0.2">
      <c r="A2497" s="102"/>
      <c r="B2497" s="116"/>
    </row>
    <row r="2498" spans="1:2" x14ac:dyDescent="0.2">
      <c r="A2498" s="102"/>
      <c r="B2498" s="116"/>
    </row>
    <row r="2499" spans="1:2" x14ac:dyDescent="0.2">
      <c r="A2499" s="102"/>
      <c r="B2499" s="116"/>
    </row>
    <row r="2500" spans="1:2" x14ac:dyDescent="0.2">
      <c r="A2500" s="102"/>
      <c r="B2500" s="116"/>
    </row>
    <row r="2501" spans="1:2" x14ac:dyDescent="0.2">
      <c r="A2501" s="102"/>
      <c r="B2501" s="116"/>
    </row>
    <row r="2502" spans="1:2" x14ac:dyDescent="0.2">
      <c r="A2502" s="102"/>
      <c r="B2502" s="116"/>
    </row>
    <row r="2503" spans="1:2" x14ac:dyDescent="0.2">
      <c r="A2503" s="102"/>
      <c r="B2503" s="116"/>
    </row>
    <row r="2504" spans="1:2" x14ac:dyDescent="0.2">
      <c r="A2504" s="102"/>
      <c r="B2504" s="116"/>
    </row>
    <row r="2505" spans="1:2" x14ac:dyDescent="0.2">
      <c r="A2505" s="102"/>
      <c r="B2505" s="116"/>
    </row>
    <row r="2506" spans="1:2" x14ac:dyDescent="0.2">
      <c r="A2506" s="102"/>
      <c r="B2506" s="116"/>
    </row>
    <row r="2507" spans="1:2" x14ac:dyDescent="0.2">
      <c r="A2507" s="102"/>
      <c r="B2507" s="116"/>
    </row>
    <row r="2508" spans="1:2" x14ac:dyDescent="0.2">
      <c r="A2508" s="102"/>
      <c r="B2508" s="116"/>
    </row>
    <row r="2509" spans="1:2" x14ac:dyDescent="0.2">
      <c r="A2509" s="102"/>
      <c r="B2509" s="116"/>
    </row>
    <row r="2510" spans="1:2" x14ac:dyDescent="0.2">
      <c r="A2510" s="102"/>
      <c r="B2510" s="116"/>
    </row>
    <row r="2511" spans="1:2" x14ac:dyDescent="0.2">
      <c r="A2511" s="102"/>
      <c r="B2511" s="116"/>
    </row>
    <row r="2512" spans="1:2" x14ac:dyDescent="0.2">
      <c r="A2512" s="102"/>
      <c r="B2512" s="116"/>
    </row>
    <row r="2513" spans="1:2" x14ac:dyDescent="0.2">
      <c r="A2513" s="102"/>
      <c r="B2513" s="116"/>
    </row>
    <row r="2514" spans="1:2" x14ac:dyDescent="0.2">
      <c r="A2514" s="102"/>
      <c r="B2514" s="116"/>
    </row>
    <row r="2515" spans="1:2" x14ac:dyDescent="0.2">
      <c r="A2515" s="102"/>
      <c r="B2515" s="116"/>
    </row>
    <row r="2516" spans="1:2" x14ac:dyDescent="0.2">
      <c r="A2516" s="102"/>
      <c r="B2516" s="116"/>
    </row>
    <row r="2517" spans="1:2" x14ac:dyDescent="0.2">
      <c r="A2517" s="102"/>
      <c r="B2517" s="116"/>
    </row>
    <row r="2518" spans="1:2" x14ac:dyDescent="0.2">
      <c r="A2518" s="102"/>
      <c r="B2518" s="116"/>
    </row>
    <row r="2519" spans="1:2" x14ac:dyDescent="0.2">
      <c r="A2519" s="102"/>
      <c r="B2519" s="116"/>
    </row>
    <row r="2520" spans="1:2" x14ac:dyDescent="0.2">
      <c r="A2520" s="102"/>
      <c r="B2520" s="116"/>
    </row>
    <row r="2521" spans="1:2" x14ac:dyDescent="0.2">
      <c r="A2521" s="102"/>
      <c r="B2521" s="116"/>
    </row>
    <row r="2522" spans="1:2" x14ac:dyDescent="0.2">
      <c r="A2522" s="102"/>
      <c r="B2522" s="116"/>
    </row>
    <row r="2523" spans="1:2" x14ac:dyDescent="0.2">
      <c r="A2523" s="102"/>
      <c r="B2523" s="116"/>
    </row>
    <row r="2524" spans="1:2" x14ac:dyDescent="0.2">
      <c r="A2524" s="102"/>
      <c r="B2524" s="116"/>
    </row>
    <row r="2525" spans="1:2" x14ac:dyDescent="0.2">
      <c r="A2525" s="102"/>
      <c r="B2525" s="116"/>
    </row>
    <row r="2526" spans="1:2" x14ac:dyDescent="0.2">
      <c r="A2526" s="102"/>
      <c r="B2526" s="116"/>
    </row>
    <row r="2527" spans="1:2" x14ac:dyDescent="0.2">
      <c r="A2527" s="102"/>
      <c r="B2527" s="116"/>
    </row>
    <row r="2528" spans="1:2" x14ac:dyDescent="0.2">
      <c r="A2528" s="102"/>
      <c r="B2528" s="116"/>
    </row>
    <row r="2529" spans="1:2" x14ac:dyDescent="0.2">
      <c r="A2529" s="102"/>
      <c r="B2529" s="116"/>
    </row>
    <row r="2530" spans="1:2" x14ac:dyDescent="0.2">
      <c r="A2530" s="102"/>
      <c r="B2530" s="116"/>
    </row>
    <row r="2531" spans="1:2" x14ac:dyDescent="0.2">
      <c r="A2531" s="102"/>
      <c r="B2531" s="116"/>
    </row>
    <row r="2532" spans="1:2" x14ac:dyDescent="0.2">
      <c r="A2532" s="102"/>
      <c r="B2532" s="116"/>
    </row>
    <row r="2533" spans="1:2" x14ac:dyDescent="0.2">
      <c r="A2533" s="102"/>
      <c r="B2533" s="116"/>
    </row>
    <row r="2534" spans="1:2" x14ac:dyDescent="0.2">
      <c r="A2534" s="102"/>
      <c r="B2534" s="116"/>
    </row>
    <row r="2535" spans="1:2" x14ac:dyDescent="0.2">
      <c r="A2535" s="102"/>
      <c r="B2535" s="116"/>
    </row>
    <row r="2536" spans="1:2" x14ac:dyDescent="0.2">
      <c r="A2536" s="102"/>
      <c r="B2536" s="116"/>
    </row>
    <row r="2537" spans="1:2" x14ac:dyDescent="0.2">
      <c r="A2537" s="102"/>
      <c r="B2537" s="116"/>
    </row>
    <row r="2538" spans="1:2" x14ac:dyDescent="0.2">
      <c r="A2538" s="102"/>
      <c r="B2538" s="116"/>
    </row>
    <row r="2539" spans="1:2" x14ac:dyDescent="0.2">
      <c r="A2539" s="102"/>
      <c r="B2539" s="116"/>
    </row>
    <row r="2540" spans="1:2" x14ac:dyDescent="0.2">
      <c r="A2540" s="102"/>
      <c r="B2540" s="116"/>
    </row>
    <row r="2541" spans="1:2" x14ac:dyDescent="0.2">
      <c r="A2541" s="102"/>
      <c r="B2541" s="116"/>
    </row>
    <row r="2542" spans="1:2" x14ac:dyDescent="0.2">
      <c r="A2542" s="102"/>
      <c r="B2542" s="116"/>
    </row>
    <row r="2543" spans="1:2" x14ac:dyDescent="0.2">
      <c r="A2543" s="102"/>
      <c r="B2543" s="116"/>
    </row>
    <row r="2544" spans="1:2" x14ac:dyDescent="0.2">
      <c r="A2544" s="102"/>
      <c r="B2544" s="116"/>
    </row>
    <row r="2545" spans="1:2" x14ac:dyDescent="0.2">
      <c r="A2545" s="102"/>
      <c r="B2545" s="116"/>
    </row>
    <row r="2546" spans="1:2" x14ac:dyDescent="0.2">
      <c r="A2546" s="102"/>
      <c r="B2546" s="116"/>
    </row>
    <row r="2547" spans="1:2" x14ac:dyDescent="0.2">
      <c r="A2547" s="102"/>
      <c r="B2547" s="116"/>
    </row>
    <row r="2548" spans="1:2" x14ac:dyDescent="0.2">
      <c r="A2548" s="102"/>
      <c r="B2548" s="116"/>
    </row>
    <row r="2549" spans="1:2" x14ac:dyDescent="0.2">
      <c r="A2549" s="102"/>
      <c r="B2549" s="116"/>
    </row>
    <row r="2550" spans="1:2" x14ac:dyDescent="0.2">
      <c r="A2550" s="102"/>
      <c r="B2550" s="116"/>
    </row>
    <row r="2551" spans="1:2" x14ac:dyDescent="0.2">
      <c r="A2551" s="102"/>
      <c r="B2551" s="116"/>
    </row>
    <row r="2552" spans="1:2" x14ac:dyDescent="0.2">
      <c r="A2552" s="102"/>
      <c r="B2552" s="116"/>
    </row>
    <row r="2553" spans="1:2" x14ac:dyDescent="0.2">
      <c r="A2553" s="102"/>
      <c r="B2553" s="116"/>
    </row>
    <row r="2554" spans="1:2" x14ac:dyDescent="0.2">
      <c r="A2554" s="102"/>
      <c r="B2554" s="116"/>
    </row>
    <row r="2555" spans="1:2" x14ac:dyDescent="0.2">
      <c r="A2555" s="102"/>
      <c r="B2555" s="116"/>
    </row>
    <row r="2556" spans="1:2" x14ac:dyDescent="0.2">
      <c r="A2556" s="102"/>
      <c r="B2556" s="116"/>
    </row>
    <row r="2557" spans="1:2" x14ac:dyDescent="0.2">
      <c r="A2557" s="102"/>
      <c r="B2557" s="116"/>
    </row>
    <row r="2558" spans="1:2" x14ac:dyDescent="0.2">
      <c r="A2558" s="102"/>
      <c r="B2558" s="116"/>
    </row>
    <row r="2559" spans="1:2" x14ac:dyDescent="0.2">
      <c r="A2559" s="102"/>
      <c r="B2559" s="116"/>
    </row>
    <row r="2560" spans="1:2" x14ac:dyDescent="0.2">
      <c r="A2560" s="102"/>
      <c r="B2560" s="116"/>
    </row>
    <row r="2561" spans="1:2" x14ac:dyDescent="0.2">
      <c r="A2561" s="102"/>
      <c r="B2561" s="116"/>
    </row>
    <row r="2562" spans="1:2" x14ac:dyDescent="0.2">
      <c r="A2562" s="102"/>
      <c r="B2562" s="116"/>
    </row>
    <row r="2563" spans="1:2" x14ac:dyDescent="0.2">
      <c r="A2563" s="102"/>
      <c r="B2563" s="116"/>
    </row>
    <row r="2564" spans="1:2" x14ac:dyDescent="0.2">
      <c r="A2564" s="102"/>
      <c r="B2564" s="116"/>
    </row>
    <row r="2565" spans="1:2" x14ac:dyDescent="0.2">
      <c r="A2565" s="102"/>
      <c r="B2565" s="116"/>
    </row>
    <row r="2566" spans="1:2" x14ac:dyDescent="0.2">
      <c r="A2566" s="102"/>
      <c r="B2566" s="116"/>
    </row>
    <row r="2567" spans="1:2" x14ac:dyDescent="0.2">
      <c r="A2567" s="102"/>
      <c r="B2567" s="116"/>
    </row>
    <row r="2568" spans="1:2" x14ac:dyDescent="0.2">
      <c r="A2568" s="102"/>
      <c r="B2568" s="116"/>
    </row>
    <row r="2569" spans="1:2" x14ac:dyDescent="0.2">
      <c r="A2569" s="102"/>
      <c r="B2569" s="116"/>
    </row>
    <row r="2570" spans="1:2" x14ac:dyDescent="0.2">
      <c r="A2570" s="102"/>
      <c r="B2570" s="116"/>
    </row>
    <row r="2571" spans="1:2" x14ac:dyDescent="0.2">
      <c r="A2571" s="102"/>
      <c r="B2571" s="116"/>
    </row>
    <row r="2572" spans="1:2" x14ac:dyDescent="0.2">
      <c r="A2572" s="102"/>
      <c r="B2572" s="116"/>
    </row>
    <row r="2573" spans="1:2" x14ac:dyDescent="0.2">
      <c r="A2573" s="102"/>
      <c r="B2573" s="116"/>
    </row>
    <row r="2574" spans="1:2" x14ac:dyDescent="0.2">
      <c r="A2574" s="102"/>
      <c r="B2574" s="116"/>
    </row>
    <row r="2575" spans="1:2" x14ac:dyDescent="0.2">
      <c r="A2575" s="102"/>
      <c r="B2575" s="116"/>
    </row>
    <row r="2576" spans="1:2" x14ac:dyDescent="0.2">
      <c r="A2576" s="102"/>
      <c r="B2576" s="116"/>
    </row>
    <row r="2577" spans="1:2" x14ac:dyDescent="0.2">
      <c r="A2577" s="102"/>
      <c r="B2577" s="116"/>
    </row>
    <row r="2578" spans="1:2" x14ac:dyDescent="0.2">
      <c r="A2578" s="102"/>
      <c r="B2578" s="116"/>
    </row>
    <row r="2579" spans="1:2" x14ac:dyDescent="0.2">
      <c r="A2579" s="102"/>
      <c r="B2579" s="116"/>
    </row>
    <row r="2580" spans="1:2" x14ac:dyDescent="0.2">
      <c r="A2580" s="102"/>
      <c r="B2580" s="116"/>
    </row>
    <row r="2581" spans="1:2" x14ac:dyDescent="0.2">
      <c r="A2581" s="102"/>
      <c r="B2581" s="116"/>
    </row>
    <row r="2582" spans="1:2" x14ac:dyDescent="0.2">
      <c r="A2582" s="102"/>
      <c r="B2582" s="116"/>
    </row>
    <row r="2583" spans="1:2" x14ac:dyDescent="0.2">
      <c r="A2583" s="102"/>
      <c r="B2583" s="116"/>
    </row>
    <row r="2584" spans="1:2" x14ac:dyDescent="0.2">
      <c r="A2584" s="102"/>
      <c r="B2584" s="116"/>
    </row>
    <row r="2585" spans="1:2" x14ac:dyDescent="0.2">
      <c r="A2585" s="102"/>
      <c r="B2585" s="116"/>
    </row>
    <row r="2586" spans="1:2" x14ac:dyDescent="0.2">
      <c r="A2586" s="102"/>
      <c r="B2586" s="116"/>
    </row>
    <row r="2587" spans="1:2" x14ac:dyDescent="0.2">
      <c r="A2587" s="102"/>
      <c r="B2587" s="116"/>
    </row>
    <row r="2588" spans="1:2" x14ac:dyDescent="0.2">
      <c r="A2588" s="102"/>
      <c r="B2588" s="116"/>
    </row>
    <row r="2589" spans="1:2" x14ac:dyDescent="0.2">
      <c r="A2589" s="102"/>
      <c r="B2589" s="116"/>
    </row>
    <row r="2590" spans="1:2" x14ac:dyDescent="0.2">
      <c r="A2590" s="102"/>
      <c r="B2590" s="116"/>
    </row>
    <row r="2591" spans="1:2" x14ac:dyDescent="0.2">
      <c r="A2591" s="102"/>
      <c r="B2591" s="116"/>
    </row>
    <row r="2592" spans="1:2" x14ac:dyDescent="0.2">
      <c r="A2592" s="102"/>
      <c r="B2592" s="116"/>
    </row>
    <row r="2593" spans="1:2" x14ac:dyDescent="0.2">
      <c r="A2593" s="102"/>
      <c r="B2593" s="116"/>
    </row>
    <row r="2594" spans="1:2" x14ac:dyDescent="0.2">
      <c r="A2594" s="102"/>
      <c r="B2594" s="116"/>
    </row>
    <row r="2595" spans="1:2" x14ac:dyDescent="0.2">
      <c r="A2595" s="102"/>
      <c r="B2595" s="116"/>
    </row>
    <row r="2596" spans="1:2" x14ac:dyDescent="0.2">
      <c r="A2596" s="102"/>
      <c r="B2596" s="116"/>
    </row>
    <row r="2597" spans="1:2" x14ac:dyDescent="0.2">
      <c r="A2597" s="102"/>
      <c r="B2597" s="116"/>
    </row>
    <row r="2598" spans="1:2" x14ac:dyDescent="0.2">
      <c r="A2598" s="102"/>
      <c r="B2598" s="116"/>
    </row>
    <row r="2599" spans="1:2" x14ac:dyDescent="0.2">
      <c r="A2599" s="102"/>
      <c r="B2599" s="116"/>
    </row>
    <row r="2600" spans="1:2" x14ac:dyDescent="0.2">
      <c r="A2600" s="102"/>
      <c r="B2600" s="116"/>
    </row>
    <row r="2601" spans="1:2" x14ac:dyDescent="0.2">
      <c r="A2601" s="102"/>
      <c r="B2601" s="116"/>
    </row>
    <row r="2602" spans="1:2" x14ac:dyDescent="0.2">
      <c r="A2602" s="102"/>
      <c r="B2602" s="116"/>
    </row>
    <row r="2603" spans="1:2" x14ac:dyDescent="0.2">
      <c r="A2603" s="102"/>
      <c r="B2603" s="116"/>
    </row>
    <row r="2604" spans="1:2" x14ac:dyDescent="0.2">
      <c r="A2604" s="102"/>
      <c r="B2604" s="116"/>
    </row>
    <row r="2605" spans="1:2" x14ac:dyDescent="0.2">
      <c r="A2605" s="102"/>
      <c r="B2605" s="116"/>
    </row>
    <row r="2606" spans="1:2" x14ac:dyDescent="0.2">
      <c r="A2606" s="102"/>
      <c r="B2606" s="116"/>
    </row>
    <row r="2607" spans="1:2" x14ac:dyDescent="0.2">
      <c r="A2607" s="102"/>
      <c r="B2607" s="116"/>
    </row>
    <row r="2608" spans="1:2" x14ac:dyDescent="0.2">
      <c r="A2608" s="102"/>
      <c r="B2608" s="116"/>
    </row>
    <row r="2609" spans="1:2" x14ac:dyDescent="0.2">
      <c r="A2609" s="102"/>
      <c r="B2609" s="116"/>
    </row>
    <row r="2610" spans="1:2" x14ac:dyDescent="0.2">
      <c r="A2610" s="102"/>
      <c r="B2610" s="116"/>
    </row>
    <row r="2611" spans="1:2" x14ac:dyDescent="0.2">
      <c r="A2611" s="102"/>
      <c r="B2611" s="116"/>
    </row>
    <row r="2612" spans="1:2" x14ac:dyDescent="0.2">
      <c r="A2612" s="102"/>
      <c r="B2612" s="116"/>
    </row>
    <row r="2613" spans="1:2" x14ac:dyDescent="0.2">
      <c r="A2613" s="102"/>
      <c r="B2613" s="116"/>
    </row>
    <row r="2614" spans="1:2" x14ac:dyDescent="0.2">
      <c r="A2614" s="102"/>
      <c r="B2614" s="116"/>
    </row>
    <row r="2615" spans="1:2" x14ac:dyDescent="0.2">
      <c r="A2615" s="102"/>
      <c r="B2615" s="116"/>
    </row>
    <row r="2616" spans="1:2" x14ac:dyDescent="0.2">
      <c r="A2616" s="102"/>
      <c r="B2616" s="116"/>
    </row>
    <row r="2617" spans="1:2" x14ac:dyDescent="0.2">
      <c r="A2617" s="102"/>
      <c r="B2617" s="116"/>
    </row>
    <row r="2618" spans="1:2" x14ac:dyDescent="0.2">
      <c r="A2618" s="102"/>
      <c r="B2618" s="116"/>
    </row>
    <row r="2619" spans="1:2" x14ac:dyDescent="0.2">
      <c r="A2619" s="102"/>
      <c r="B2619" s="116"/>
    </row>
    <row r="2620" spans="1:2" x14ac:dyDescent="0.2">
      <c r="A2620" s="102"/>
      <c r="B2620" s="116"/>
    </row>
    <row r="2621" spans="1:2" x14ac:dyDescent="0.2">
      <c r="A2621" s="102"/>
      <c r="B2621" s="116"/>
    </row>
    <row r="2622" spans="1:2" x14ac:dyDescent="0.2">
      <c r="A2622" s="102"/>
      <c r="B2622" s="116"/>
    </row>
    <row r="2623" spans="1:2" x14ac:dyDescent="0.2">
      <c r="A2623" s="102"/>
      <c r="B2623" s="116"/>
    </row>
    <row r="2624" spans="1:2" x14ac:dyDescent="0.2">
      <c r="A2624" s="102"/>
      <c r="B2624" s="116"/>
    </row>
    <row r="2625" spans="1:2" x14ac:dyDescent="0.2">
      <c r="A2625" s="102"/>
      <c r="B2625" s="116"/>
    </row>
    <row r="2626" spans="1:2" x14ac:dyDescent="0.2">
      <c r="A2626" s="102"/>
      <c r="B2626" s="116"/>
    </row>
    <row r="2627" spans="1:2" x14ac:dyDescent="0.2">
      <c r="A2627" s="102"/>
      <c r="B2627" s="116"/>
    </row>
    <row r="2628" spans="1:2" x14ac:dyDescent="0.2">
      <c r="A2628" s="102"/>
      <c r="B2628" s="116"/>
    </row>
    <row r="2629" spans="1:2" x14ac:dyDescent="0.2">
      <c r="A2629" s="102"/>
      <c r="B2629" s="116"/>
    </row>
    <row r="2630" spans="1:2" x14ac:dyDescent="0.2">
      <c r="A2630" s="102"/>
      <c r="B2630" s="116"/>
    </row>
    <row r="2631" spans="1:2" x14ac:dyDescent="0.2">
      <c r="A2631" s="102"/>
      <c r="B2631" s="116"/>
    </row>
    <row r="2632" spans="1:2" x14ac:dyDescent="0.2">
      <c r="A2632" s="102"/>
      <c r="B2632" s="116"/>
    </row>
    <row r="2633" spans="1:2" x14ac:dyDescent="0.2">
      <c r="A2633" s="102"/>
      <c r="B2633" s="116"/>
    </row>
    <row r="2634" spans="1:2" x14ac:dyDescent="0.2">
      <c r="A2634" s="102"/>
      <c r="B2634" s="116"/>
    </row>
    <row r="2635" spans="1:2" x14ac:dyDescent="0.2">
      <c r="A2635" s="102"/>
      <c r="B2635" s="116"/>
    </row>
    <row r="2636" spans="1:2" x14ac:dyDescent="0.2">
      <c r="A2636" s="102"/>
      <c r="B2636" s="116"/>
    </row>
    <row r="2637" spans="1:2" x14ac:dyDescent="0.2">
      <c r="A2637" s="102"/>
      <c r="B2637" s="116"/>
    </row>
    <row r="2638" spans="1:2" x14ac:dyDescent="0.2">
      <c r="A2638" s="102"/>
      <c r="B2638" s="116"/>
    </row>
    <row r="2639" spans="1:2" x14ac:dyDescent="0.2">
      <c r="A2639" s="102"/>
      <c r="B2639" s="116"/>
    </row>
    <row r="2640" spans="1:2" x14ac:dyDescent="0.2">
      <c r="A2640" s="102"/>
      <c r="B2640" s="116"/>
    </row>
    <row r="2641" spans="1:2" x14ac:dyDescent="0.2">
      <c r="A2641" s="102"/>
      <c r="B2641" s="116"/>
    </row>
    <row r="2642" spans="1:2" x14ac:dyDescent="0.2">
      <c r="A2642" s="102"/>
      <c r="B2642" s="116"/>
    </row>
    <row r="2643" spans="1:2" x14ac:dyDescent="0.2">
      <c r="A2643" s="102"/>
      <c r="B2643" s="116"/>
    </row>
    <row r="2644" spans="1:2" x14ac:dyDescent="0.2">
      <c r="A2644" s="102"/>
      <c r="B2644" s="116"/>
    </row>
    <row r="2645" spans="1:2" x14ac:dyDescent="0.2">
      <c r="A2645" s="102"/>
      <c r="B2645" s="116"/>
    </row>
    <row r="2646" spans="1:2" x14ac:dyDescent="0.2">
      <c r="A2646" s="102"/>
      <c r="B2646" s="116"/>
    </row>
    <row r="2647" spans="1:2" x14ac:dyDescent="0.2">
      <c r="A2647" s="102"/>
      <c r="B2647" s="116"/>
    </row>
    <row r="2648" spans="1:2" x14ac:dyDescent="0.2">
      <c r="A2648" s="102"/>
      <c r="B2648" s="116"/>
    </row>
    <row r="2649" spans="1:2" x14ac:dyDescent="0.2">
      <c r="A2649" s="102"/>
      <c r="B2649" s="116"/>
    </row>
    <row r="2650" spans="1:2" x14ac:dyDescent="0.2">
      <c r="A2650" s="102"/>
      <c r="B2650" s="116"/>
    </row>
    <row r="2651" spans="1:2" x14ac:dyDescent="0.2">
      <c r="A2651" s="102"/>
      <c r="B2651" s="116"/>
    </row>
    <row r="2652" spans="1:2" x14ac:dyDescent="0.2">
      <c r="A2652" s="102"/>
      <c r="B2652" s="116"/>
    </row>
    <row r="2653" spans="1:2" x14ac:dyDescent="0.2">
      <c r="A2653" s="102"/>
      <c r="B2653" s="116"/>
    </row>
    <row r="2654" spans="1:2" x14ac:dyDescent="0.2">
      <c r="A2654" s="102"/>
      <c r="B2654" s="116"/>
    </row>
    <row r="2655" spans="1:2" x14ac:dyDescent="0.2">
      <c r="A2655" s="102"/>
      <c r="B2655" s="116"/>
    </row>
    <row r="2656" spans="1:2" x14ac:dyDescent="0.2">
      <c r="A2656" s="102"/>
      <c r="B2656" s="116"/>
    </row>
    <row r="2657" spans="1:2" x14ac:dyDescent="0.2">
      <c r="A2657" s="102"/>
      <c r="B2657" s="116"/>
    </row>
    <row r="2658" spans="1:2" x14ac:dyDescent="0.2">
      <c r="A2658" s="102"/>
      <c r="B2658" s="116"/>
    </row>
    <row r="2659" spans="1:2" x14ac:dyDescent="0.2">
      <c r="A2659" s="102"/>
      <c r="B2659" s="116"/>
    </row>
    <row r="2660" spans="1:2" x14ac:dyDescent="0.2">
      <c r="A2660" s="102"/>
      <c r="B2660" s="116"/>
    </row>
    <row r="2661" spans="1:2" x14ac:dyDescent="0.2">
      <c r="A2661" s="102"/>
      <c r="B2661" s="116"/>
    </row>
    <row r="2662" spans="1:2" x14ac:dyDescent="0.2">
      <c r="A2662" s="102"/>
      <c r="B2662" s="116"/>
    </row>
    <row r="2663" spans="1:2" x14ac:dyDescent="0.2">
      <c r="A2663" s="102"/>
      <c r="B2663" s="116"/>
    </row>
    <row r="2664" spans="1:2" x14ac:dyDescent="0.2">
      <c r="A2664" s="102"/>
      <c r="B2664" s="116"/>
    </row>
    <row r="2665" spans="1:2" x14ac:dyDescent="0.2">
      <c r="A2665" s="102"/>
      <c r="B2665" s="116"/>
    </row>
    <row r="2666" spans="1:2" x14ac:dyDescent="0.2">
      <c r="A2666" s="102"/>
      <c r="B2666" s="116"/>
    </row>
    <row r="2667" spans="1:2" x14ac:dyDescent="0.2">
      <c r="A2667" s="102"/>
      <c r="B2667" s="116"/>
    </row>
    <row r="2668" spans="1:2" x14ac:dyDescent="0.2">
      <c r="A2668" s="102"/>
      <c r="B2668" s="116"/>
    </row>
    <row r="2669" spans="1:2" x14ac:dyDescent="0.2">
      <c r="A2669" s="102"/>
      <c r="B2669" s="116"/>
    </row>
    <row r="2670" spans="1:2" x14ac:dyDescent="0.2">
      <c r="A2670" s="102"/>
      <c r="B2670" s="116"/>
    </row>
    <row r="2671" spans="1:2" x14ac:dyDescent="0.2">
      <c r="A2671" s="102"/>
      <c r="B2671" s="116"/>
    </row>
    <row r="2672" spans="1:2" x14ac:dyDescent="0.2">
      <c r="A2672" s="102"/>
      <c r="B2672" s="116"/>
    </row>
    <row r="2673" spans="1:2" x14ac:dyDescent="0.2">
      <c r="A2673" s="102"/>
      <c r="B2673" s="116"/>
    </row>
    <row r="2674" spans="1:2" x14ac:dyDescent="0.2">
      <c r="A2674" s="102"/>
      <c r="B2674" s="116"/>
    </row>
    <row r="2675" spans="1:2" x14ac:dyDescent="0.2">
      <c r="A2675" s="102"/>
      <c r="B2675" s="116"/>
    </row>
    <row r="2676" spans="1:2" x14ac:dyDescent="0.2">
      <c r="A2676" s="102"/>
      <c r="B2676" s="116"/>
    </row>
    <row r="2677" spans="1:2" x14ac:dyDescent="0.2">
      <c r="A2677" s="102"/>
      <c r="B2677" s="116"/>
    </row>
    <row r="2678" spans="1:2" x14ac:dyDescent="0.2">
      <c r="A2678" s="102"/>
      <c r="B2678" s="116"/>
    </row>
    <row r="2679" spans="1:2" x14ac:dyDescent="0.2">
      <c r="A2679" s="102"/>
      <c r="B2679" s="116"/>
    </row>
    <row r="2680" spans="1:2" x14ac:dyDescent="0.2">
      <c r="A2680" s="102"/>
      <c r="B2680" s="116"/>
    </row>
    <row r="2681" spans="1:2" x14ac:dyDescent="0.2">
      <c r="A2681" s="102"/>
      <c r="B2681" s="116"/>
    </row>
    <row r="2682" spans="1:2" x14ac:dyDescent="0.2">
      <c r="A2682" s="102"/>
      <c r="B2682" s="116"/>
    </row>
    <row r="2683" spans="1:2" x14ac:dyDescent="0.2">
      <c r="A2683" s="102"/>
      <c r="B2683" s="116"/>
    </row>
    <row r="2684" spans="1:2" x14ac:dyDescent="0.2">
      <c r="A2684" s="102"/>
      <c r="B2684" s="116"/>
    </row>
    <row r="2685" spans="1:2" x14ac:dyDescent="0.2">
      <c r="A2685" s="102"/>
      <c r="B2685" s="116"/>
    </row>
    <row r="2686" spans="1:2" x14ac:dyDescent="0.2">
      <c r="A2686" s="102"/>
      <c r="B2686" s="116"/>
    </row>
    <row r="2687" spans="1:2" x14ac:dyDescent="0.2">
      <c r="A2687" s="102"/>
      <c r="B2687" s="116"/>
    </row>
    <row r="2688" spans="1:2" x14ac:dyDescent="0.2">
      <c r="A2688" s="102"/>
      <c r="B2688" s="116"/>
    </row>
    <row r="2689" spans="1:2" x14ac:dyDescent="0.2">
      <c r="A2689" s="102"/>
      <c r="B2689" s="116"/>
    </row>
    <row r="2690" spans="1:2" x14ac:dyDescent="0.2">
      <c r="A2690" s="102"/>
      <c r="B2690" s="116"/>
    </row>
    <row r="2691" spans="1:2" x14ac:dyDescent="0.2">
      <c r="A2691" s="102"/>
      <c r="B2691" s="116"/>
    </row>
    <row r="2692" spans="1:2" x14ac:dyDescent="0.2">
      <c r="A2692" s="102"/>
      <c r="B2692" s="116"/>
    </row>
    <row r="2693" spans="1:2" x14ac:dyDescent="0.2">
      <c r="A2693" s="102"/>
      <c r="B2693" s="116"/>
    </row>
    <row r="2694" spans="1:2" x14ac:dyDescent="0.2">
      <c r="A2694" s="102"/>
      <c r="B2694" s="116"/>
    </row>
    <row r="2695" spans="1:2" x14ac:dyDescent="0.2">
      <c r="A2695" s="102"/>
      <c r="B2695" s="116"/>
    </row>
    <row r="2696" spans="1:2" x14ac:dyDescent="0.2">
      <c r="A2696" s="102"/>
      <c r="B2696" s="116"/>
    </row>
    <row r="2697" spans="1:2" x14ac:dyDescent="0.2">
      <c r="A2697" s="102"/>
      <c r="B2697" s="116"/>
    </row>
    <row r="2698" spans="1:2" x14ac:dyDescent="0.2">
      <c r="A2698" s="102"/>
      <c r="B2698" s="116"/>
    </row>
    <row r="2699" spans="1:2" x14ac:dyDescent="0.2">
      <c r="A2699" s="102"/>
      <c r="B2699" s="116"/>
    </row>
    <row r="2700" spans="1:2" x14ac:dyDescent="0.2">
      <c r="A2700" s="102"/>
      <c r="B2700" s="116"/>
    </row>
    <row r="2701" spans="1:2" x14ac:dyDescent="0.2">
      <c r="A2701" s="102"/>
      <c r="B2701" s="116"/>
    </row>
    <row r="2702" spans="1:2" x14ac:dyDescent="0.2">
      <c r="A2702" s="102"/>
      <c r="B2702" s="116"/>
    </row>
    <row r="2703" spans="1:2" x14ac:dyDescent="0.2">
      <c r="A2703" s="102"/>
      <c r="B2703" s="116"/>
    </row>
    <row r="2704" spans="1:2" x14ac:dyDescent="0.2">
      <c r="A2704" s="102"/>
      <c r="B2704" s="116"/>
    </row>
    <row r="2705" spans="1:2" x14ac:dyDescent="0.2">
      <c r="A2705" s="102"/>
      <c r="B2705" s="116"/>
    </row>
    <row r="2706" spans="1:2" x14ac:dyDescent="0.2">
      <c r="A2706" s="102"/>
      <c r="B2706" s="116"/>
    </row>
    <row r="2707" spans="1:2" x14ac:dyDescent="0.2">
      <c r="A2707" s="102"/>
      <c r="B2707" s="116"/>
    </row>
    <row r="2708" spans="1:2" x14ac:dyDescent="0.2">
      <c r="A2708" s="102"/>
      <c r="B2708" s="116"/>
    </row>
    <row r="2709" spans="1:2" x14ac:dyDescent="0.2">
      <c r="A2709" s="102"/>
      <c r="B2709" s="116"/>
    </row>
    <row r="2710" spans="1:2" x14ac:dyDescent="0.2">
      <c r="A2710" s="102"/>
      <c r="B2710" s="116"/>
    </row>
    <row r="2711" spans="1:2" x14ac:dyDescent="0.2">
      <c r="A2711" s="102"/>
      <c r="B2711" s="116"/>
    </row>
    <row r="2712" spans="1:2" x14ac:dyDescent="0.2">
      <c r="A2712" s="102"/>
      <c r="B2712" s="116"/>
    </row>
    <row r="2713" spans="1:2" x14ac:dyDescent="0.2">
      <c r="A2713" s="102"/>
      <c r="B2713" s="116"/>
    </row>
    <row r="2714" spans="1:2" x14ac:dyDescent="0.2">
      <c r="A2714" s="102"/>
      <c r="B2714" s="116"/>
    </row>
    <row r="2715" spans="1:2" x14ac:dyDescent="0.2">
      <c r="A2715" s="102"/>
      <c r="B2715" s="116"/>
    </row>
    <row r="2716" spans="1:2" x14ac:dyDescent="0.2">
      <c r="A2716" s="102"/>
      <c r="B2716" s="116"/>
    </row>
    <row r="2717" spans="1:2" x14ac:dyDescent="0.2">
      <c r="A2717" s="102"/>
      <c r="B2717" s="116"/>
    </row>
    <row r="2718" spans="1:2" x14ac:dyDescent="0.2">
      <c r="A2718" s="102"/>
      <c r="B2718" s="116"/>
    </row>
    <row r="2719" spans="1:2" x14ac:dyDescent="0.2">
      <c r="A2719" s="102"/>
      <c r="B2719" s="116"/>
    </row>
    <row r="2720" spans="1:2" x14ac:dyDescent="0.2">
      <c r="A2720" s="102"/>
      <c r="B2720" s="116"/>
    </row>
    <row r="2721" spans="1:2" x14ac:dyDescent="0.2">
      <c r="A2721" s="102"/>
      <c r="B2721" s="116"/>
    </row>
    <row r="2722" spans="1:2" x14ac:dyDescent="0.2">
      <c r="A2722" s="102"/>
      <c r="B2722" s="116"/>
    </row>
    <row r="2723" spans="1:2" x14ac:dyDescent="0.2">
      <c r="A2723" s="102"/>
      <c r="B2723" s="116"/>
    </row>
    <row r="2724" spans="1:2" x14ac:dyDescent="0.2">
      <c r="A2724" s="102"/>
      <c r="B2724" s="116"/>
    </row>
    <row r="2725" spans="1:2" x14ac:dyDescent="0.2">
      <c r="A2725" s="102"/>
      <c r="B2725" s="116"/>
    </row>
    <row r="2726" spans="1:2" x14ac:dyDescent="0.2">
      <c r="A2726" s="102"/>
      <c r="B2726" s="116"/>
    </row>
    <row r="2727" spans="1:2" x14ac:dyDescent="0.2">
      <c r="A2727" s="102"/>
      <c r="B2727" s="116"/>
    </row>
    <row r="2728" spans="1:2" x14ac:dyDescent="0.2">
      <c r="A2728" s="102"/>
      <c r="B2728" s="116"/>
    </row>
    <row r="2729" spans="1:2" x14ac:dyDescent="0.2">
      <c r="A2729" s="102"/>
      <c r="B2729" s="116"/>
    </row>
    <row r="2730" spans="1:2" x14ac:dyDescent="0.2">
      <c r="A2730" s="102"/>
      <c r="B2730" s="116"/>
    </row>
    <row r="2731" spans="1:2" x14ac:dyDescent="0.2">
      <c r="A2731" s="102"/>
      <c r="B2731" s="116"/>
    </row>
    <row r="2732" spans="1:2" x14ac:dyDescent="0.2">
      <c r="A2732" s="102"/>
      <c r="B2732" s="116"/>
    </row>
    <row r="2733" spans="1:2" x14ac:dyDescent="0.2">
      <c r="A2733" s="102"/>
      <c r="B2733" s="116"/>
    </row>
    <row r="2734" spans="1:2" x14ac:dyDescent="0.2">
      <c r="A2734" s="102"/>
      <c r="B2734" s="116"/>
    </row>
    <row r="2735" spans="1:2" x14ac:dyDescent="0.2">
      <c r="A2735" s="102"/>
      <c r="B2735" s="116"/>
    </row>
    <row r="2736" spans="1:2" x14ac:dyDescent="0.2">
      <c r="A2736" s="102"/>
      <c r="B2736" s="116"/>
    </row>
    <row r="2737" spans="1:2" x14ac:dyDescent="0.2">
      <c r="A2737" s="102"/>
      <c r="B2737" s="116"/>
    </row>
    <row r="2738" spans="1:2" x14ac:dyDescent="0.2">
      <c r="A2738" s="102"/>
      <c r="B2738" s="116"/>
    </row>
    <row r="2739" spans="1:2" x14ac:dyDescent="0.2">
      <c r="A2739" s="102"/>
      <c r="B2739" s="116"/>
    </row>
    <row r="2740" spans="1:2" x14ac:dyDescent="0.2">
      <c r="A2740" s="102"/>
      <c r="B2740" s="116"/>
    </row>
    <row r="2741" spans="1:2" x14ac:dyDescent="0.2">
      <c r="A2741" s="102"/>
      <c r="B2741" s="116"/>
    </row>
    <row r="2742" spans="1:2" x14ac:dyDescent="0.2">
      <c r="A2742" s="102"/>
      <c r="B2742" s="116"/>
    </row>
    <row r="2743" spans="1:2" x14ac:dyDescent="0.2">
      <c r="A2743" s="102"/>
      <c r="B2743" s="116"/>
    </row>
    <row r="2744" spans="1:2" x14ac:dyDescent="0.2">
      <c r="A2744" s="102"/>
      <c r="B2744" s="116"/>
    </row>
    <row r="2745" spans="1:2" x14ac:dyDescent="0.2">
      <c r="A2745" s="102"/>
      <c r="B2745" s="116"/>
    </row>
    <row r="2746" spans="1:2" x14ac:dyDescent="0.2">
      <c r="A2746" s="102"/>
      <c r="B2746" s="116"/>
    </row>
    <row r="2747" spans="1:2" x14ac:dyDescent="0.2">
      <c r="A2747" s="102"/>
      <c r="B2747" s="116"/>
    </row>
    <row r="2748" spans="1:2" x14ac:dyDescent="0.2">
      <c r="A2748" s="102"/>
      <c r="B2748" s="116"/>
    </row>
    <row r="2749" spans="1:2" x14ac:dyDescent="0.2">
      <c r="A2749" s="102"/>
      <c r="B2749" s="116"/>
    </row>
    <row r="2750" spans="1:2" x14ac:dyDescent="0.2">
      <c r="A2750" s="102"/>
      <c r="B2750" s="116"/>
    </row>
    <row r="2751" spans="1:2" x14ac:dyDescent="0.2">
      <c r="A2751" s="102"/>
      <c r="B2751" s="116"/>
    </row>
    <row r="2752" spans="1:2" x14ac:dyDescent="0.2">
      <c r="A2752" s="102"/>
      <c r="B2752" s="116"/>
    </row>
    <row r="2753" spans="1:2" x14ac:dyDescent="0.2">
      <c r="A2753" s="102"/>
      <c r="B2753" s="116"/>
    </row>
    <row r="2754" spans="1:2" x14ac:dyDescent="0.2">
      <c r="A2754" s="102"/>
      <c r="B2754" s="116"/>
    </row>
    <row r="2755" spans="1:2" x14ac:dyDescent="0.2">
      <c r="A2755" s="102"/>
      <c r="B2755" s="116"/>
    </row>
    <row r="2756" spans="1:2" x14ac:dyDescent="0.2">
      <c r="A2756" s="102"/>
      <c r="B2756" s="116"/>
    </row>
    <row r="2757" spans="1:2" x14ac:dyDescent="0.2">
      <c r="A2757" s="102"/>
      <c r="B2757" s="116"/>
    </row>
    <row r="2758" spans="1:2" x14ac:dyDescent="0.2">
      <c r="A2758" s="102"/>
      <c r="B2758" s="116"/>
    </row>
    <row r="2759" spans="1:2" x14ac:dyDescent="0.2">
      <c r="A2759" s="102"/>
      <c r="B2759" s="116"/>
    </row>
    <row r="2760" spans="1:2" x14ac:dyDescent="0.2">
      <c r="A2760" s="102"/>
      <c r="B2760" s="116"/>
    </row>
    <row r="2761" spans="1:2" x14ac:dyDescent="0.2">
      <c r="A2761" s="102"/>
      <c r="B2761" s="116"/>
    </row>
    <row r="2762" spans="1:2" x14ac:dyDescent="0.2">
      <c r="A2762" s="102"/>
      <c r="B2762" s="116"/>
    </row>
    <row r="2763" spans="1:2" x14ac:dyDescent="0.2">
      <c r="A2763" s="102"/>
      <c r="B2763" s="116"/>
    </row>
    <row r="2764" spans="1:2" x14ac:dyDescent="0.2">
      <c r="A2764" s="102"/>
      <c r="B2764" s="116"/>
    </row>
    <row r="2765" spans="1:2" x14ac:dyDescent="0.2">
      <c r="A2765" s="102"/>
      <c r="B2765" s="116"/>
    </row>
    <row r="2766" spans="1:2" x14ac:dyDescent="0.2">
      <c r="A2766" s="102"/>
      <c r="B2766" s="116"/>
    </row>
    <row r="2767" spans="1:2" x14ac:dyDescent="0.2">
      <c r="A2767" s="102"/>
      <c r="B2767" s="116"/>
    </row>
    <row r="2768" spans="1:2" x14ac:dyDescent="0.2">
      <c r="A2768" s="102"/>
      <c r="B2768" s="116"/>
    </row>
    <row r="2769" spans="1:2" x14ac:dyDescent="0.2">
      <c r="A2769" s="102"/>
      <c r="B2769" s="116"/>
    </row>
    <row r="2770" spans="1:2" x14ac:dyDescent="0.2">
      <c r="A2770" s="102"/>
      <c r="B2770" s="116"/>
    </row>
    <row r="2771" spans="1:2" x14ac:dyDescent="0.2">
      <c r="A2771" s="102"/>
      <c r="B2771" s="116"/>
    </row>
    <row r="2772" spans="1:2" x14ac:dyDescent="0.2">
      <c r="A2772" s="102"/>
      <c r="B2772" s="116"/>
    </row>
    <row r="2773" spans="1:2" x14ac:dyDescent="0.2">
      <c r="A2773" s="102"/>
      <c r="B2773" s="116"/>
    </row>
    <row r="2774" spans="1:2" x14ac:dyDescent="0.2">
      <c r="A2774" s="102"/>
      <c r="B2774" s="116"/>
    </row>
    <row r="2775" spans="1:2" x14ac:dyDescent="0.2">
      <c r="A2775" s="102"/>
      <c r="B2775" s="116"/>
    </row>
    <row r="2776" spans="1:2" x14ac:dyDescent="0.2">
      <c r="A2776" s="102"/>
      <c r="B2776" s="116"/>
    </row>
    <row r="2777" spans="1:2" x14ac:dyDescent="0.2">
      <c r="A2777" s="102"/>
      <c r="B2777" s="116"/>
    </row>
    <row r="2778" spans="1:2" x14ac:dyDescent="0.2">
      <c r="A2778" s="102"/>
      <c r="B2778" s="116"/>
    </row>
    <row r="2779" spans="1:2" x14ac:dyDescent="0.2">
      <c r="A2779" s="102"/>
      <c r="B2779" s="116"/>
    </row>
    <row r="2780" spans="1:2" x14ac:dyDescent="0.2">
      <c r="A2780" s="102"/>
      <c r="B2780" s="116"/>
    </row>
    <row r="2781" spans="1:2" x14ac:dyDescent="0.2">
      <c r="A2781" s="102"/>
      <c r="B2781" s="116"/>
    </row>
    <row r="2782" spans="1:2" x14ac:dyDescent="0.2">
      <c r="A2782" s="102"/>
      <c r="B2782" s="116"/>
    </row>
    <row r="2783" spans="1:2" x14ac:dyDescent="0.2">
      <c r="A2783" s="102"/>
      <c r="B2783" s="116"/>
    </row>
    <row r="2784" spans="1:2" x14ac:dyDescent="0.2">
      <c r="A2784" s="102"/>
      <c r="B2784" s="116"/>
    </row>
    <row r="2785" spans="1:2" x14ac:dyDescent="0.2">
      <c r="A2785" s="102"/>
      <c r="B2785" s="116"/>
    </row>
    <row r="2786" spans="1:2" x14ac:dyDescent="0.2">
      <c r="A2786" s="102"/>
      <c r="B2786" s="116"/>
    </row>
    <row r="2787" spans="1:2" x14ac:dyDescent="0.2">
      <c r="A2787" s="102"/>
      <c r="B2787" s="116"/>
    </row>
    <row r="2788" spans="1:2" x14ac:dyDescent="0.2">
      <c r="A2788" s="102"/>
      <c r="B2788" s="116"/>
    </row>
    <row r="2789" spans="1:2" x14ac:dyDescent="0.2">
      <c r="A2789" s="102"/>
      <c r="B2789" s="116"/>
    </row>
    <row r="2790" spans="1:2" x14ac:dyDescent="0.2">
      <c r="A2790" s="102"/>
      <c r="B2790" s="116"/>
    </row>
    <row r="2791" spans="1:2" x14ac:dyDescent="0.2">
      <c r="A2791" s="102"/>
      <c r="B2791" s="116"/>
    </row>
    <row r="2792" spans="1:2" x14ac:dyDescent="0.2">
      <c r="A2792" s="102"/>
      <c r="B2792" s="116"/>
    </row>
    <row r="2793" spans="1:2" x14ac:dyDescent="0.2">
      <c r="A2793" s="102"/>
      <c r="B2793" s="116"/>
    </row>
    <row r="2794" spans="1:2" x14ac:dyDescent="0.2">
      <c r="A2794" s="102"/>
      <c r="B2794" s="116"/>
    </row>
    <row r="2795" spans="1:2" x14ac:dyDescent="0.2">
      <c r="A2795" s="102"/>
      <c r="B2795" s="116"/>
    </row>
    <row r="2796" spans="1:2" x14ac:dyDescent="0.2">
      <c r="A2796" s="102"/>
      <c r="B2796" s="116"/>
    </row>
    <row r="2797" spans="1:2" x14ac:dyDescent="0.2">
      <c r="A2797" s="102"/>
      <c r="B2797" s="116"/>
    </row>
    <row r="2798" spans="1:2" x14ac:dyDescent="0.2">
      <c r="A2798" s="102"/>
      <c r="B2798" s="116"/>
    </row>
    <row r="2799" spans="1:2" x14ac:dyDescent="0.2">
      <c r="A2799" s="102"/>
      <c r="B2799" s="116"/>
    </row>
    <row r="2800" spans="1:2" x14ac:dyDescent="0.2">
      <c r="A2800" s="102"/>
      <c r="B2800" s="116"/>
    </row>
    <row r="2801" spans="1:2" x14ac:dyDescent="0.2">
      <c r="A2801" s="102"/>
      <c r="B2801" s="116"/>
    </row>
    <row r="2802" spans="1:2" x14ac:dyDescent="0.2">
      <c r="A2802" s="102"/>
      <c r="B2802" s="116"/>
    </row>
    <row r="2803" spans="1:2" x14ac:dyDescent="0.2">
      <c r="A2803" s="102"/>
      <c r="B2803" s="116"/>
    </row>
    <row r="2804" spans="1:2" x14ac:dyDescent="0.2">
      <c r="A2804" s="102"/>
      <c r="B2804" s="116"/>
    </row>
    <row r="2805" spans="1:2" x14ac:dyDescent="0.2">
      <c r="A2805" s="102"/>
      <c r="B2805" s="116"/>
    </row>
    <row r="2806" spans="1:2" x14ac:dyDescent="0.2">
      <c r="A2806" s="102"/>
      <c r="B2806" s="116"/>
    </row>
    <row r="2807" spans="1:2" x14ac:dyDescent="0.2">
      <c r="A2807" s="102"/>
      <c r="B2807" s="116"/>
    </row>
    <row r="2808" spans="1:2" x14ac:dyDescent="0.2">
      <c r="A2808" s="102"/>
      <c r="B2808" s="116"/>
    </row>
    <row r="2809" spans="1:2" x14ac:dyDescent="0.2">
      <c r="A2809" s="102"/>
      <c r="B2809" s="116"/>
    </row>
    <row r="2810" spans="1:2" x14ac:dyDescent="0.2">
      <c r="A2810" s="102"/>
      <c r="B2810" s="116"/>
    </row>
    <row r="2811" spans="1:2" x14ac:dyDescent="0.2">
      <c r="A2811" s="102"/>
      <c r="B2811" s="116"/>
    </row>
    <row r="2812" spans="1:2" x14ac:dyDescent="0.2">
      <c r="A2812" s="102"/>
      <c r="B2812" s="116"/>
    </row>
    <row r="2813" spans="1:2" x14ac:dyDescent="0.2">
      <c r="A2813" s="102"/>
      <c r="B2813" s="116"/>
    </row>
    <row r="2814" spans="1:2" x14ac:dyDescent="0.2">
      <c r="A2814" s="102"/>
      <c r="B2814" s="116"/>
    </row>
    <row r="2815" spans="1:2" x14ac:dyDescent="0.2">
      <c r="A2815" s="102"/>
      <c r="B2815" s="116"/>
    </row>
    <row r="2816" spans="1:2" x14ac:dyDescent="0.2">
      <c r="A2816" s="102"/>
      <c r="B2816" s="116"/>
    </row>
    <row r="2817" spans="1:2" x14ac:dyDescent="0.2">
      <c r="A2817" s="102"/>
      <c r="B2817" s="116"/>
    </row>
    <row r="2818" spans="1:2" x14ac:dyDescent="0.2">
      <c r="A2818" s="102"/>
      <c r="B2818" s="116"/>
    </row>
    <row r="2819" spans="1:2" x14ac:dyDescent="0.2">
      <c r="A2819" s="102"/>
      <c r="B2819" s="116"/>
    </row>
    <row r="2820" spans="1:2" x14ac:dyDescent="0.2">
      <c r="A2820" s="102"/>
      <c r="B2820" s="116"/>
    </row>
    <row r="2821" spans="1:2" x14ac:dyDescent="0.2">
      <c r="A2821" s="102"/>
      <c r="B2821" s="116"/>
    </row>
    <row r="2822" spans="1:2" x14ac:dyDescent="0.2">
      <c r="A2822" s="102"/>
      <c r="B2822" s="116"/>
    </row>
    <row r="2823" spans="1:2" x14ac:dyDescent="0.2">
      <c r="A2823" s="102"/>
      <c r="B2823" s="116"/>
    </row>
    <row r="2824" spans="1:2" x14ac:dyDescent="0.2">
      <c r="A2824" s="102"/>
      <c r="B2824" s="116"/>
    </row>
    <row r="2825" spans="1:2" x14ac:dyDescent="0.2">
      <c r="A2825" s="102"/>
      <c r="B2825" s="116"/>
    </row>
    <row r="2826" spans="1:2" x14ac:dyDescent="0.2">
      <c r="A2826" s="102"/>
      <c r="B2826" s="116"/>
    </row>
    <row r="2827" spans="1:2" x14ac:dyDescent="0.2">
      <c r="A2827" s="102"/>
      <c r="B2827" s="116"/>
    </row>
    <row r="2828" spans="1:2" x14ac:dyDescent="0.2">
      <c r="A2828" s="102"/>
      <c r="B2828" s="116"/>
    </row>
    <row r="2829" spans="1:2" x14ac:dyDescent="0.2">
      <c r="A2829" s="102"/>
      <c r="B2829" s="116"/>
    </row>
    <row r="2830" spans="1:2" x14ac:dyDescent="0.2">
      <c r="A2830" s="102"/>
      <c r="B2830" s="116"/>
    </row>
    <row r="2831" spans="1:2" x14ac:dyDescent="0.2">
      <c r="A2831" s="102"/>
      <c r="B2831" s="116"/>
    </row>
    <row r="2832" spans="1:2" x14ac:dyDescent="0.2">
      <c r="A2832" s="102"/>
      <c r="B2832" s="116"/>
    </row>
    <row r="2833" spans="1:2" x14ac:dyDescent="0.2">
      <c r="A2833" s="102"/>
      <c r="B2833" s="116"/>
    </row>
    <row r="2834" spans="1:2" x14ac:dyDescent="0.2">
      <c r="A2834" s="102"/>
      <c r="B2834" s="116"/>
    </row>
    <row r="2835" spans="1:2" x14ac:dyDescent="0.2">
      <c r="A2835" s="102"/>
      <c r="B2835" s="116"/>
    </row>
    <row r="2836" spans="1:2" x14ac:dyDescent="0.2">
      <c r="A2836" s="102"/>
      <c r="B2836" s="116"/>
    </row>
    <row r="2837" spans="1:2" x14ac:dyDescent="0.2">
      <c r="A2837" s="102"/>
      <c r="B2837" s="116"/>
    </row>
    <row r="2838" spans="1:2" x14ac:dyDescent="0.2">
      <c r="A2838" s="102"/>
      <c r="B2838" s="116"/>
    </row>
    <row r="2839" spans="1:2" x14ac:dyDescent="0.2">
      <c r="A2839" s="102"/>
      <c r="B2839" s="116"/>
    </row>
    <row r="2840" spans="1:2" x14ac:dyDescent="0.2">
      <c r="A2840" s="102"/>
      <c r="B2840" s="116"/>
    </row>
    <row r="2841" spans="1:2" x14ac:dyDescent="0.2">
      <c r="A2841" s="102"/>
      <c r="B2841" s="116"/>
    </row>
    <row r="2842" spans="1:2" x14ac:dyDescent="0.2">
      <c r="A2842" s="102"/>
      <c r="B2842" s="116"/>
    </row>
    <row r="2843" spans="1:2" x14ac:dyDescent="0.2">
      <c r="A2843" s="102"/>
      <c r="B2843" s="116"/>
    </row>
    <row r="2844" spans="1:2" x14ac:dyDescent="0.2">
      <c r="A2844" s="102"/>
      <c r="B2844" s="116"/>
    </row>
    <row r="2845" spans="1:2" x14ac:dyDescent="0.2">
      <c r="A2845" s="102"/>
      <c r="B2845" s="116"/>
    </row>
    <row r="2846" spans="1:2" x14ac:dyDescent="0.2">
      <c r="A2846" s="102"/>
      <c r="B2846" s="116"/>
    </row>
    <row r="2847" spans="1:2" x14ac:dyDescent="0.2">
      <c r="A2847" s="102"/>
      <c r="B2847" s="116"/>
    </row>
    <row r="2848" spans="1:2" x14ac:dyDescent="0.2">
      <c r="A2848" s="102"/>
      <c r="B2848" s="116"/>
    </row>
    <row r="2849" spans="1:2" x14ac:dyDescent="0.2">
      <c r="A2849" s="102"/>
      <c r="B2849" s="116"/>
    </row>
    <row r="2850" spans="1:2" x14ac:dyDescent="0.2">
      <c r="A2850" s="102"/>
      <c r="B2850" s="116"/>
    </row>
    <row r="2851" spans="1:2" x14ac:dyDescent="0.2">
      <c r="A2851" s="102"/>
      <c r="B2851" s="116"/>
    </row>
    <row r="2852" spans="1:2" x14ac:dyDescent="0.2">
      <c r="A2852" s="102"/>
      <c r="B2852" s="116"/>
    </row>
    <row r="2853" spans="1:2" x14ac:dyDescent="0.2">
      <c r="A2853" s="102"/>
      <c r="B2853" s="116"/>
    </row>
    <row r="2854" spans="1:2" x14ac:dyDescent="0.2">
      <c r="A2854" s="102"/>
      <c r="B2854" s="116"/>
    </row>
    <row r="2855" spans="1:2" x14ac:dyDescent="0.2">
      <c r="A2855" s="102"/>
      <c r="B2855" s="116"/>
    </row>
    <row r="2856" spans="1:2" x14ac:dyDescent="0.2">
      <c r="A2856" s="102"/>
      <c r="B2856" s="116"/>
    </row>
    <row r="2857" spans="1:2" x14ac:dyDescent="0.2">
      <c r="A2857" s="102"/>
      <c r="B2857" s="116"/>
    </row>
    <row r="2858" spans="1:2" x14ac:dyDescent="0.2">
      <c r="A2858" s="102"/>
      <c r="B2858" s="116"/>
    </row>
    <row r="2859" spans="1:2" x14ac:dyDescent="0.2">
      <c r="A2859" s="102"/>
      <c r="B2859" s="116"/>
    </row>
    <row r="2860" spans="1:2" x14ac:dyDescent="0.2">
      <c r="A2860" s="102"/>
      <c r="B2860" s="116"/>
    </row>
    <row r="2861" spans="1:2" x14ac:dyDescent="0.2">
      <c r="A2861" s="102"/>
      <c r="B2861" s="116"/>
    </row>
    <row r="2862" spans="1:2" x14ac:dyDescent="0.2">
      <c r="A2862" s="102"/>
      <c r="B2862" s="116"/>
    </row>
    <row r="2863" spans="1:2" x14ac:dyDescent="0.2">
      <c r="A2863" s="102"/>
      <c r="B2863" s="116"/>
    </row>
    <row r="2864" spans="1:2" x14ac:dyDescent="0.2">
      <c r="A2864" s="102"/>
      <c r="B2864" s="116"/>
    </row>
    <row r="2865" spans="1:2" x14ac:dyDescent="0.2">
      <c r="A2865" s="102"/>
      <c r="B2865" s="116"/>
    </row>
    <row r="2866" spans="1:2" x14ac:dyDescent="0.2">
      <c r="A2866" s="102"/>
      <c r="B2866" s="116"/>
    </row>
    <row r="2867" spans="1:2" x14ac:dyDescent="0.2">
      <c r="A2867" s="102"/>
      <c r="B2867" s="116"/>
    </row>
    <row r="2868" spans="1:2" x14ac:dyDescent="0.2">
      <c r="A2868" s="102"/>
      <c r="B2868" s="116"/>
    </row>
    <row r="2869" spans="1:2" x14ac:dyDescent="0.2">
      <c r="A2869" s="102"/>
      <c r="B2869" s="116"/>
    </row>
    <row r="2870" spans="1:2" x14ac:dyDescent="0.2">
      <c r="A2870" s="102"/>
      <c r="B2870" s="116"/>
    </row>
    <row r="2871" spans="1:2" x14ac:dyDescent="0.2">
      <c r="A2871" s="102"/>
      <c r="B2871" s="116"/>
    </row>
    <row r="2872" spans="1:2" x14ac:dyDescent="0.2">
      <c r="A2872" s="102"/>
      <c r="B2872" s="116"/>
    </row>
    <row r="2873" spans="1:2" x14ac:dyDescent="0.2">
      <c r="A2873" s="102"/>
      <c r="B2873" s="116"/>
    </row>
    <row r="2874" spans="1:2" x14ac:dyDescent="0.2">
      <c r="A2874" s="102"/>
      <c r="B2874" s="116"/>
    </row>
    <row r="2875" spans="1:2" x14ac:dyDescent="0.2">
      <c r="A2875" s="102"/>
      <c r="B2875" s="116"/>
    </row>
    <row r="2876" spans="1:2" x14ac:dyDescent="0.2">
      <c r="A2876" s="102"/>
      <c r="B2876" s="116"/>
    </row>
    <row r="2877" spans="1:2" x14ac:dyDescent="0.2">
      <c r="A2877" s="102"/>
      <c r="B2877" s="116"/>
    </row>
    <row r="2878" spans="1:2" x14ac:dyDescent="0.2">
      <c r="A2878" s="102"/>
      <c r="B2878" s="116"/>
    </row>
    <row r="2879" spans="1:2" x14ac:dyDescent="0.2">
      <c r="A2879" s="102"/>
      <c r="B2879" s="116"/>
    </row>
    <row r="2880" spans="1:2" x14ac:dyDescent="0.2">
      <c r="A2880" s="102"/>
      <c r="B2880" s="116"/>
    </row>
    <row r="2881" spans="1:2" x14ac:dyDescent="0.2">
      <c r="A2881" s="102"/>
      <c r="B2881" s="116"/>
    </row>
    <row r="2882" spans="1:2" x14ac:dyDescent="0.2">
      <c r="A2882" s="102"/>
      <c r="B2882" s="116"/>
    </row>
    <row r="2883" spans="1:2" x14ac:dyDescent="0.2">
      <c r="A2883" s="102"/>
      <c r="B2883" s="116"/>
    </row>
    <row r="2884" spans="1:2" x14ac:dyDescent="0.2">
      <c r="A2884" s="102"/>
      <c r="B2884" s="116"/>
    </row>
    <row r="2885" spans="1:2" x14ac:dyDescent="0.2">
      <c r="A2885" s="102"/>
      <c r="B2885" s="116"/>
    </row>
    <row r="2886" spans="1:2" x14ac:dyDescent="0.2">
      <c r="A2886" s="102"/>
      <c r="B2886" s="116"/>
    </row>
    <row r="2887" spans="1:2" x14ac:dyDescent="0.2">
      <c r="A2887" s="102"/>
      <c r="B2887" s="116"/>
    </row>
    <row r="2888" spans="1:2" x14ac:dyDescent="0.2">
      <c r="A2888" s="102"/>
      <c r="B2888" s="116"/>
    </row>
    <row r="2889" spans="1:2" x14ac:dyDescent="0.2">
      <c r="A2889" s="102"/>
      <c r="B2889" s="116"/>
    </row>
    <row r="2890" spans="1:2" x14ac:dyDescent="0.2">
      <c r="A2890" s="102"/>
      <c r="B2890" s="116"/>
    </row>
    <row r="2891" spans="1:2" x14ac:dyDescent="0.2">
      <c r="A2891" s="102"/>
      <c r="B2891" s="116"/>
    </row>
    <row r="2892" spans="1:2" x14ac:dyDescent="0.2">
      <c r="A2892" s="102"/>
      <c r="B2892" s="116"/>
    </row>
    <row r="2893" spans="1:2" x14ac:dyDescent="0.2">
      <c r="A2893" s="102"/>
      <c r="B2893" s="116"/>
    </row>
    <row r="2894" spans="1:2" x14ac:dyDescent="0.2">
      <c r="A2894" s="102"/>
      <c r="B2894" s="116"/>
    </row>
    <row r="2895" spans="1:2" x14ac:dyDescent="0.2">
      <c r="A2895" s="102"/>
      <c r="B2895" s="116"/>
    </row>
    <row r="2896" spans="1:2" x14ac:dyDescent="0.2">
      <c r="A2896" s="102"/>
      <c r="B2896" s="116"/>
    </row>
    <row r="2897" spans="1:2" x14ac:dyDescent="0.2">
      <c r="A2897" s="102"/>
      <c r="B2897" s="116"/>
    </row>
    <row r="2898" spans="1:2" x14ac:dyDescent="0.2">
      <c r="A2898" s="102"/>
      <c r="B2898" s="116"/>
    </row>
    <row r="2899" spans="1:2" x14ac:dyDescent="0.2">
      <c r="A2899" s="102"/>
      <c r="B2899" s="116"/>
    </row>
    <row r="2900" spans="1:2" x14ac:dyDescent="0.2">
      <c r="A2900" s="102"/>
      <c r="B2900" s="116"/>
    </row>
    <row r="2901" spans="1:2" x14ac:dyDescent="0.2">
      <c r="A2901" s="102"/>
      <c r="B2901" s="116"/>
    </row>
    <row r="2902" spans="1:2" x14ac:dyDescent="0.2">
      <c r="A2902" s="102"/>
      <c r="B2902" s="116"/>
    </row>
    <row r="2903" spans="1:2" x14ac:dyDescent="0.2">
      <c r="A2903" s="102"/>
      <c r="B2903" s="116"/>
    </row>
    <row r="2904" spans="1:2" x14ac:dyDescent="0.2">
      <c r="A2904" s="102"/>
      <c r="B2904" s="116"/>
    </row>
    <row r="2905" spans="1:2" x14ac:dyDescent="0.2">
      <c r="A2905" s="102"/>
      <c r="B2905" s="116"/>
    </row>
    <row r="2906" spans="1:2" x14ac:dyDescent="0.2">
      <c r="A2906" s="102"/>
      <c r="B2906" s="116"/>
    </row>
    <row r="2907" spans="1:2" x14ac:dyDescent="0.2">
      <c r="A2907" s="102"/>
      <c r="B2907" s="116"/>
    </row>
    <row r="2908" spans="1:2" x14ac:dyDescent="0.2">
      <c r="A2908" s="102"/>
      <c r="B2908" s="116"/>
    </row>
    <row r="2909" spans="1:2" x14ac:dyDescent="0.2">
      <c r="A2909" s="102"/>
      <c r="B2909" s="116"/>
    </row>
    <row r="2910" spans="1:2" x14ac:dyDescent="0.2">
      <c r="A2910" s="102"/>
      <c r="B2910" s="116"/>
    </row>
    <row r="2911" spans="1:2" x14ac:dyDescent="0.2">
      <c r="A2911" s="102"/>
      <c r="B2911" s="116"/>
    </row>
    <row r="2912" spans="1:2" x14ac:dyDescent="0.2">
      <c r="A2912" s="102"/>
      <c r="B2912" s="116"/>
    </row>
    <row r="2913" spans="1:2" x14ac:dyDescent="0.2">
      <c r="A2913" s="102"/>
      <c r="B2913" s="116"/>
    </row>
    <row r="2914" spans="1:2" x14ac:dyDescent="0.2">
      <c r="A2914" s="102"/>
      <c r="B2914" s="116"/>
    </row>
    <row r="2915" spans="1:2" x14ac:dyDescent="0.2">
      <c r="A2915" s="102"/>
      <c r="B2915" s="116"/>
    </row>
    <row r="2916" spans="1:2" x14ac:dyDescent="0.2">
      <c r="A2916" s="102"/>
      <c r="B2916" s="116"/>
    </row>
    <row r="2917" spans="1:2" x14ac:dyDescent="0.2">
      <c r="A2917" s="102"/>
      <c r="B2917" s="116"/>
    </row>
    <row r="2918" spans="1:2" x14ac:dyDescent="0.2">
      <c r="A2918" s="102"/>
      <c r="B2918" s="116"/>
    </row>
    <row r="2919" spans="1:2" x14ac:dyDescent="0.2">
      <c r="A2919" s="102"/>
      <c r="B2919" s="116"/>
    </row>
    <row r="2920" spans="1:2" x14ac:dyDescent="0.2">
      <c r="A2920" s="102"/>
      <c r="B2920" s="116"/>
    </row>
    <row r="2921" spans="1:2" x14ac:dyDescent="0.2">
      <c r="A2921" s="102"/>
      <c r="B2921" s="116"/>
    </row>
    <row r="2922" spans="1:2" x14ac:dyDescent="0.2">
      <c r="A2922" s="102"/>
      <c r="B2922" s="116"/>
    </row>
    <row r="2923" spans="1:2" x14ac:dyDescent="0.2">
      <c r="A2923" s="102"/>
      <c r="B2923" s="116"/>
    </row>
    <row r="2924" spans="1:2" x14ac:dyDescent="0.2">
      <c r="A2924" s="102"/>
      <c r="B2924" s="116"/>
    </row>
    <row r="2925" spans="1:2" x14ac:dyDescent="0.2">
      <c r="A2925" s="102"/>
      <c r="B2925" s="116"/>
    </row>
    <row r="2926" spans="1:2" x14ac:dyDescent="0.2">
      <c r="A2926" s="102"/>
      <c r="B2926" s="116"/>
    </row>
    <row r="2927" spans="1:2" x14ac:dyDescent="0.2">
      <c r="A2927" s="102"/>
      <c r="B2927" s="116"/>
    </row>
    <row r="2928" spans="1:2" x14ac:dyDescent="0.2">
      <c r="A2928" s="102"/>
      <c r="B2928" s="116"/>
    </row>
    <row r="2929" spans="1:2" x14ac:dyDescent="0.2">
      <c r="A2929" s="102"/>
      <c r="B2929" s="116"/>
    </row>
    <row r="2930" spans="1:2" x14ac:dyDescent="0.2">
      <c r="A2930" s="102"/>
      <c r="B2930" s="116"/>
    </row>
    <row r="2931" spans="1:2" x14ac:dyDescent="0.2">
      <c r="A2931" s="102"/>
      <c r="B2931" s="116"/>
    </row>
    <row r="2932" spans="1:2" x14ac:dyDescent="0.2">
      <c r="A2932" s="102"/>
      <c r="B2932" s="116"/>
    </row>
    <row r="2933" spans="1:2" x14ac:dyDescent="0.2">
      <c r="A2933" s="102"/>
      <c r="B2933" s="116"/>
    </row>
    <row r="2934" spans="1:2" x14ac:dyDescent="0.2">
      <c r="A2934" s="102"/>
      <c r="B2934" s="116"/>
    </row>
    <row r="2935" spans="1:2" x14ac:dyDescent="0.2">
      <c r="A2935" s="102"/>
      <c r="B2935" s="116"/>
    </row>
    <row r="2936" spans="1:2" x14ac:dyDescent="0.2">
      <c r="A2936" s="102"/>
      <c r="B2936" s="116"/>
    </row>
    <row r="2937" spans="1:2" x14ac:dyDescent="0.2">
      <c r="A2937" s="102"/>
      <c r="B2937" s="116"/>
    </row>
    <row r="2938" spans="1:2" x14ac:dyDescent="0.2">
      <c r="A2938" s="102"/>
      <c r="B2938" s="116"/>
    </row>
    <row r="2939" spans="1:2" x14ac:dyDescent="0.2">
      <c r="A2939" s="102"/>
      <c r="B2939" s="116"/>
    </row>
    <row r="2940" spans="1:2" x14ac:dyDescent="0.2">
      <c r="A2940" s="102"/>
      <c r="B2940" s="116"/>
    </row>
    <row r="2941" spans="1:2" x14ac:dyDescent="0.2">
      <c r="A2941" s="102"/>
      <c r="B2941" s="116"/>
    </row>
    <row r="2942" spans="1:2" x14ac:dyDescent="0.2">
      <c r="A2942" s="102"/>
      <c r="B2942" s="116"/>
    </row>
    <row r="2943" spans="1:2" x14ac:dyDescent="0.2">
      <c r="A2943" s="102"/>
      <c r="B2943" s="116"/>
    </row>
    <row r="2944" spans="1:2" x14ac:dyDescent="0.2">
      <c r="A2944" s="102"/>
      <c r="B2944" s="116"/>
    </row>
    <row r="2945" spans="1:2" x14ac:dyDescent="0.2">
      <c r="A2945" s="102"/>
      <c r="B2945" s="116"/>
    </row>
    <row r="2946" spans="1:2" x14ac:dyDescent="0.2">
      <c r="A2946" s="102"/>
      <c r="B2946" s="116"/>
    </row>
    <row r="2947" spans="1:2" x14ac:dyDescent="0.2">
      <c r="A2947" s="102"/>
      <c r="B2947" s="116"/>
    </row>
    <row r="2948" spans="1:2" x14ac:dyDescent="0.2">
      <c r="A2948" s="102"/>
      <c r="B2948" s="116"/>
    </row>
    <row r="2949" spans="1:2" x14ac:dyDescent="0.2">
      <c r="A2949" s="102"/>
      <c r="B2949" s="116"/>
    </row>
    <row r="2950" spans="1:2" x14ac:dyDescent="0.2">
      <c r="A2950" s="102"/>
      <c r="B2950" s="116"/>
    </row>
    <row r="2951" spans="1:2" x14ac:dyDescent="0.2">
      <c r="A2951" s="102"/>
      <c r="B2951" s="116"/>
    </row>
    <row r="2952" spans="1:2" x14ac:dyDescent="0.2">
      <c r="A2952" s="102"/>
      <c r="B2952" s="116"/>
    </row>
    <row r="2953" spans="1:2" x14ac:dyDescent="0.2">
      <c r="A2953" s="102"/>
      <c r="B2953" s="116"/>
    </row>
    <row r="2954" spans="1:2" x14ac:dyDescent="0.2">
      <c r="A2954" s="102"/>
      <c r="B2954" s="116"/>
    </row>
    <row r="2955" spans="1:2" x14ac:dyDescent="0.2">
      <c r="A2955" s="102"/>
      <c r="B2955" s="116"/>
    </row>
    <row r="2956" spans="1:2" x14ac:dyDescent="0.2">
      <c r="A2956" s="102"/>
      <c r="B2956" s="116"/>
    </row>
    <row r="2957" spans="1:2" x14ac:dyDescent="0.2">
      <c r="A2957" s="102"/>
      <c r="B2957" s="116"/>
    </row>
    <row r="2958" spans="1:2" x14ac:dyDescent="0.2">
      <c r="A2958" s="102"/>
      <c r="B2958" s="116"/>
    </row>
    <row r="2959" spans="1:2" x14ac:dyDescent="0.2">
      <c r="A2959" s="102"/>
      <c r="B2959" s="116"/>
    </row>
    <row r="2960" spans="1:2" x14ac:dyDescent="0.2">
      <c r="A2960" s="102"/>
      <c r="B2960" s="116"/>
    </row>
    <row r="2961" spans="1:2" x14ac:dyDescent="0.2">
      <c r="A2961" s="102"/>
      <c r="B2961" s="116"/>
    </row>
    <row r="2962" spans="1:2" x14ac:dyDescent="0.2">
      <c r="A2962" s="102"/>
      <c r="B2962" s="116"/>
    </row>
    <row r="2963" spans="1:2" x14ac:dyDescent="0.2">
      <c r="A2963" s="102"/>
      <c r="B2963" s="116"/>
    </row>
    <row r="2964" spans="1:2" x14ac:dyDescent="0.2">
      <c r="A2964" s="102"/>
      <c r="B2964" s="116"/>
    </row>
    <row r="2965" spans="1:2" x14ac:dyDescent="0.2">
      <c r="A2965" s="102"/>
      <c r="B2965" s="116"/>
    </row>
    <row r="2966" spans="1:2" x14ac:dyDescent="0.2">
      <c r="A2966" s="102"/>
      <c r="B2966" s="116"/>
    </row>
    <row r="2967" spans="1:2" x14ac:dyDescent="0.2">
      <c r="A2967" s="102"/>
      <c r="B2967" s="116"/>
    </row>
    <row r="2968" spans="1:2" x14ac:dyDescent="0.2">
      <c r="A2968" s="102"/>
      <c r="B2968" s="116"/>
    </row>
    <row r="2969" spans="1:2" x14ac:dyDescent="0.2">
      <c r="A2969" s="102"/>
      <c r="B2969" s="116"/>
    </row>
    <row r="2970" spans="1:2" x14ac:dyDescent="0.2">
      <c r="A2970" s="102"/>
      <c r="B2970" s="116"/>
    </row>
    <row r="2971" spans="1:2" x14ac:dyDescent="0.2">
      <c r="A2971" s="102"/>
      <c r="B2971" s="116"/>
    </row>
    <row r="2972" spans="1:2" x14ac:dyDescent="0.2">
      <c r="A2972" s="102"/>
      <c r="B2972" s="116"/>
    </row>
    <row r="2973" spans="1:2" x14ac:dyDescent="0.2">
      <c r="A2973" s="102"/>
      <c r="B2973" s="116"/>
    </row>
    <row r="2974" spans="1:2" x14ac:dyDescent="0.2">
      <c r="A2974" s="102"/>
      <c r="B2974" s="116"/>
    </row>
    <row r="2975" spans="1:2" x14ac:dyDescent="0.2">
      <c r="A2975" s="102"/>
      <c r="B2975" s="116"/>
    </row>
    <row r="2976" spans="1:2" x14ac:dyDescent="0.2">
      <c r="A2976" s="102"/>
      <c r="B2976" s="116"/>
    </row>
    <row r="2977" spans="1:2" x14ac:dyDescent="0.2">
      <c r="A2977" s="102"/>
      <c r="B2977" s="116"/>
    </row>
    <row r="2978" spans="1:2" x14ac:dyDescent="0.2">
      <c r="A2978" s="102"/>
      <c r="B2978" s="116"/>
    </row>
    <row r="2979" spans="1:2" x14ac:dyDescent="0.2">
      <c r="A2979" s="102"/>
      <c r="B2979" s="116"/>
    </row>
    <row r="2980" spans="1:2" x14ac:dyDescent="0.2">
      <c r="A2980" s="102"/>
      <c r="B2980" s="116"/>
    </row>
    <row r="2981" spans="1:2" x14ac:dyDescent="0.2">
      <c r="A2981" s="102"/>
      <c r="B2981" s="116"/>
    </row>
    <row r="2982" spans="1:2" x14ac:dyDescent="0.2">
      <c r="A2982" s="102"/>
      <c r="B2982" s="116"/>
    </row>
    <row r="2983" spans="1:2" x14ac:dyDescent="0.2">
      <c r="A2983" s="102"/>
      <c r="B2983" s="116"/>
    </row>
    <row r="2984" spans="1:2" x14ac:dyDescent="0.2">
      <c r="A2984" s="102"/>
      <c r="B2984" s="116"/>
    </row>
    <row r="2985" spans="1:2" x14ac:dyDescent="0.2">
      <c r="A2985" s="102"/>
      <c r="B2985" s="116"/>
    </row>
    <row r="2986" spans="1:2" x14ac:dyDescent="0.2">
      <c r="A2986" s="102"/>
      <c r="B2986" s="116"/>
    </row>
    <row r="2987" spans="1:2" x14ac:dyDescent="0.2">
      <c r="A2987" s="102"/>
      <c r="B2987" s="116"/>
    </row>
    <row r="2988" spans="1:2" x14ac:dyDescent="0.2">
      <c r="A2988" s="102"/>
      <c r="B2988" s="116"/>
    </row>
    <row r="2989" spans="1:2" x14ac:dyDescent="0.2">
      <c r="A2989" s="102"/>
      <c r="B2989" s="116"/>
    </row>
    <row r="2990" spans="1:2" x14ac:dyDescent="0.2">
      <c r="A2990" s="102"/>
      <c r="B2990" s="116"/>
    </row>
    <row r="2991" spans="1:2" x14ac:dyDescent="0.2">
      <c r="A2991" s="102"/>
      <c r="B2991" s="116"/>
    </row>
    <row r="2992" spans="1:2" x14ac:dyDescent="0.2">
      <c r="A2992" s="102"/>
      <c r="B2992" s="116"/>
    </row>
    <row r="2993" spans="1:2" x14ac:dyDescent="0.2">
      <c r="A2993" s="102"/>
      <c r="B2993" s="116"/>
    </row>
    <row r="2994" spans="1:2" x14ac:dyDescent="0.2">
      <c r="A2994" s="102"/>
      <c r="B2994" s="116"/>
    </row>
    <row r="2995" spans="1:2" x14ac:dyDescent="0.2">
      <c r="A2995" s="102"/>
      <c r="B2995" s="116"/>
    </row>
    <row r="2996" spans="1:2" x14ac:dyDescent="0.2">
      <c r="A2996" s="102"/>
      <c r="B2996" s="116"/>
    </row>
    <row r="2997" spans="1:2" x14ac:dyDescent="0.2">
      <c r="A2997" s="102"/>
      <c r="B2997" s="116"/>
    </row>
    <row r="2998" spans="1:2" x14ac:dyDescent="0.2">
      <c r="A2998" s="102"/>
      <c r="B2998" s="116"/>
    </row>
    <row r="2999" spans="1:2" x14ac:dyDescent="0.2">
      <c r="A2999" s="102"/>
      <c r="B2999" s="116"/>
    </row>
    <row r="3000" spans="1:2" x14ac:dyDescent="0.2">
      <c r="A3000" s="102"/>
      <c r="B3000" s="116"/>
    </row>
    <row r="3001" spans="1:2" x14ac:dyDescent="0.2">
      <c r="A3001" s="102"/>
      <c r="B3001" s="116"/>
    </row>
    <row r="3002" spans="1:2" x14ac:dyDescent="0.2">
      <c r="A3002" s="102"/>
      <c r="B3002" s="116"/>
    </row>
    <row r="3003" spans="1:2" x14ac:dyDescent="0.2">
      <c r="A3003" s="102"/>
      <c r="B3003" s="116"/>
    </row>
    <row r="3004" spans="1:2" x14ac:dyDescent="0.2">
      <c r="A3004" s="102"/>
      <c r="B3004" s="116"/>
    </row>
    <row r="3005" spans="1:2" x14ac:dyDescent="0.2">
      <c r="A3005" s="102"/>
      <c r="B3005" s="116"/>
    </row>
    <row r="3006" spans="1:2" x14ac:dyDescent="0.2">
      <c r="A3006" s="102"/>
      <c r="B3006" s="116"/>
    </row>
    <row r="3007" spans="1:2" x14ac:dyDescent="0.2">
      <c r="A3007" s="102"/>
      <c r="B3007" s="116"/>
    </row>
    <row r="3008" spans="1:2" x14ac:dyDescent="0.2">
      <c r="A3008" s="102"/>
      <c r="B3008" s="116"/>
    </row>
    <row r="3009" spans="1:2" x14ac:dyDescent="0.2">
      <c r="A3009" s="102"/>
      <c r="B3009" s="116"/>
    </row>
    <row r="3010" spans="1:2" x14ac:dyDescent="0.2">
      <c r="A3010" s="102"/>
      <c r="B3010" s="116"/>
    </row>
    <row r="3011" spans="1:2" x14ac:dyDescent="0.2">
      <c r="A3011" s="102"/>
      <c r="B3011" s="116"/>
    </row>
    <row r="3012" spans="1:2" x14ac:dyDescent="0.2">
      <c r="A3012" s="102"/>
      <c r="B3012" s="116"/>
    </row>
    <row r="3013" spans="1:2" x14ac:dyDescent="0.2">
      <c r="A3013" s="102"/>
      <c r="B3013" s="116"/>
    </row>
    <row r="3014" spans="1:2" x14ac:dyDescent="0.2">
      <c r="A3014" s="102"/>
      <c r="B3014" s="116"/>
    </row>
    <row r="3015" spans="1:2" x14ac:dyDescent="0.2">
      <c r="A3015" s="102"/>
      <c r="B3015" s="116"/>
    </row>
    <row r="3016" spans="1:2" x14ac:dyDescent="0.2">
      <c r="A3016" s="102"/>
      <c r="B3016" s="116"/>
    </row>
    <row r="3017" spans="1:2" x14ac:dyDescent="0.2">
      <c r="A3017" s="102"/>
      <c r="B3017" s="116"/>
    </row>
    <row r="3018" spans="1:2" x14ac:dyDescent="0.2">
      <c r="A3018" s="102"/>
      <c r="B3018" s="116"/>
    </row>
    <row r="3019" spans="1:2" x14ac:dyDescent="0.2">
      <c r="A3019" s="102"/>
      <c r="B3019" s="116"/>
    </row>
    <row r="3020" spans="1:2" x14ac:dyDescent="0.2">
      <c r="A3020" s="102"/>
      <c r="B3020" s="116"/>
    </row>
    <row r="3021" spans="1:2" x14ac:dyDescent="0.2">
      <c r="A3021" s="102"/>
      <c r="B3021" s="116"/>
    </row>
    <row r="3022" spans="1:2" x14ac:dyDescent="0.2">
      <c r="A3022" s="102"/>
      <c r="B3022" s="116"/>
    </row>
    <row r="3023" spans="1:2" x14ac:dyDescent="0.2">
      <c r="A3023" s="102"/>
      <c r="B3023" s="116"/>
    </row>
    <row r="3024" spans="1:2" x14ac:dyDescent="0.2">
      <c r="A3024" s="102"/>
      <c r="B3024" s="116"/>
    </row>
    <row r="3025" spans="1:2" x14ac:dyDescent="0.2">
      <c r="A3025" s="102"/>
      <c r="B3025" s="116"/>
    </row>
    <row r="3026" spans="1:2" x14ac:dyDescent="0.2">
      <c r="A3026" s="102"/>
      <c r="B3026" s="116"/>
    </row>
    <row r="3027" spans="1:2" x14ac:dyDescent="0.2">
      <c r="A3027" s="102"/>
      <c r="B3027" s="116"/>
    </row>
    <row r="3028" spans="1:2" x14ac:dyDescent="0.2">
      <c r="A3028" s="102"/>
      <c r="B3028" s="116"/>
    </row>
    <row r="3029" spans="1:2" x14ac:dyDescent="0.2">
      <c r="A3029" s="102"/>
      <c r="B3029" s="116"/>
    </row>
    <row r="3030" spans="1:2" x14ac:dyDescent="0.2">
      <c r="A3030" s="102"/>
      <c r="B3030" s="116"/>
    </row>
    <row r="3031" spans="1:2" x14ac:dyDescent="0.2">
      <c r="A3031" s="102"/>
      <c r="B3031" s="116"/>
    </row>
    <row r="3032" spans="1:2" x14ac:dyDescent="0.2">
      <c r="A3032" s="102"/>
      <c r="B3032" s="116"/>
    </row>
    <row r="3033" spans="1:2" x14ac:dyDescent="0.2">
      <c r="A3033" s="102"/>
      <c r="B3033" s="116"/>
    </row>
    <row r="3034" spans="1:2" x14ac:dyDescent="0.2">
      <c r="A3034" s="102"/>
      <c r="B3034" s="116"/>
    </row>
    <row r="3035" spans="1:2" x14ac:dyDescent="0.2">
      <c r="A3035" s="102"/>
      <c r="B3035" s="116"/>
    </row>
    <row r="3036" spans="1:2" x14ac:dyDescent="0.2">
      <c r="A3036" s="102"/>
      <c r="B3036" s="116"/>
    </row>
    <row r="3037" spans="1:2" x14ac:dyDescent="0.2">
      <c r="A3037" s="102"/>
      <c r="B3037" s="116"/>
    </row>
    <row r="3038" spans="1:2" x14ac:dyDescent="0.2">
      <c r="A3038" s="102"/>
      <c r="B3038" s="116"/>
    </row>
    <row r="3039" spans="1:2" x14ac:dyDescent="0.2">
      <c r="A3039" s="102"/>
      <c r="B3039" s="116"/>
    </row>
    <row r="3040" spans="1:2" x14ac:dyDescent="0.2">
      <c r="A3040" s="102"/>
      <c r="B3040" s="116"/>
    </row>
    <row r="3041" spans="1:2" x14ac:dyDescent="0.2">
      <c r="A3041" s="102"/>
      <c r="B3041" s="116"/>
    </row>
    <row r="3042" spans="1:2" x14ac:dyDescent="0.2">
      <c r="A3042" s="102"/>
      <c r="B3042" s="116"/>
    </row>
    <row r="3043" spans="1:2" x14ac:dyDescent="0.2">
      <c r="A3043" s="102"/>
      <c r="B3043" s="116"/>
    </row>
    <row r="3044" spans="1:2" x14ac:dyDescent="0.2">
      <c r="A3044" s="102"/>
      <c r="B3044" s="116"/>
    </row>
    <row r="3045" spans="1:2" x14ac:dyDescent="0.2">
      <c r="A3045" s="102"/>
      <c r="B3045" s="116"/>
    </row>
    <row r="3046" spans="1:2" x14ac:dyDescent="0.2">
      <c r="A3046" s="102"/>
      <c r="B3046" s="116"/>
    </row>
    <row r="3047" spans="1:2" x14ac:dyDescent="0.2">
      <c r="A3047" s="102"/>
      <c r="B3047" s="116"/>
    </row>
    <row r="3048" spans="1:2" x14ac:dyDescent="0.2">
      <c r="A3048" s="102"/>
      <c r="B3048" s="116"/>
    </row>
    <row r="3049" spans="1:2" x14ac:dyDescent="0.2">
      <c r="A3049" s="102"/>
      <c r="B3049" s="116"/>
    </row>
    <row r="3050" spans="1:2" x14ac:dyDescent="0.2">
      <c r="A3050" s="102"/>
      <c r="B3050" s="116"/>
    </row>
    <row r="3051" spans="1:2" x14ac:dyDescent="0.2">
      <c r="A3051" s="102"/>
      <c r="B3051" s="116"/>
    </row>
    <row r="3052" spans="1:2" x14ac:dyDescent="0.2">
      <c r="A3052" s="102"/>
      <c r="B3052" s="116"/>
    </row>
    <row r="3053" spans="1:2" x14ac:dyDescent="0.2">
      <c r="A3053" s="102"/>
      <c r="B3053" s="116"/>
    </row>
    <row r="3054" spans="1:2" x14ac:dyDescent="0.2">
      <c r="A3054" s="102"/>
      <c r="B3054" s="116"/>
    </row>
    <row r="3055" spans="1:2" x14ac:dyDescent="0.2">
      <c r="A3055" s="102"/>
      <c r="B3055" s="116"/>
    </row>
    <row r="3056" spans="1:2" x14ac:dyDescent="0.2">
      <c r="A3056" s="102"/>
      <c r="B3056" s="116"/>
    </row>
    <row r="3057" spans="1:2" x14ac:dyDescent="0.2">
      <c r="A3057" s="102"/>
      <c r="B3057" s="116"/>
    </row>
    <row r="3058" spans="1:2" x14ac:dyDescent="0.2">
      <c r="A3058" s="102"/>
      <c r="B3058" s="116"/>
    </row>
    <row r="3059" spans="1:2" x14ac:dyDescent="0.2">
      <c r="A3059" s="102"/>
      <c r="B3059" s="116"/>
    </row>
    <row r="3060" spans="1:2" x14ac:dyDescent="0.2">
      <c r="A3060" s="102"/>
      <c r="B3060" s="116"/>
    </row>
    <row r="3061" spans="1:2" x14ac:dyDescent="0.2">
      <c r="A3061" s="102"/>
      <c r="B3061" s="116"/>
    </row>
    <row r="3062" spans="1:2" x14ac:dyDescent="0.2">
      <c r="A3062" s="102"/>
      <c r="B3062" s="116"/>
    </row>
    <row r="3063" spans="1:2" x14ac:dyDescent="0.2">
      <c r="A3063" s="102"/>
      <c r="B3063" s="116"/>
    </row>
    <row r="3064" spans="1:2" x14ac:dyDescent="0.2">
      <c r="A3064" s="102"/>
      <c r="B3064" s="116"/>
    </row>
    <row r="3065" spans="1:2" x14ac:dyDescent="0.2">
      <c r="A3065" s="102"/>
      <c r="B3065" s="116"/>
    </row>
    <row r="3066" spans="1:2" x14ac:dyDescent="0.2">
      <c r="A3066" s="102"/>
      <c r="B3066" s="116"/>
    </row>
    <row r="3067" spans="1:2" x14ac:dyDescent="0.2">
      <c r="A3067" s="102"/>
      <c r="B3067" s="116"/>
    </row>
    <row r="3068" spans="1:2" x14ac:dyDescent="0.2">
      <c r="A3068" s="102"/>
      <c r="B3068" s="116"/>
    </row>
    <row r="3069" spans="1:2" x14ac:dyDescent="0.2">
      <c r="A3069" s="102"/>
      <c r="B3069" s="116"/>
    </row>
    <row r="3070" spans="1:2" x14ac:dyDescent="0.2">
      <c r="A3070" s="102"/>
      <c r="B3070" s="116"/>
    </row>
    <row r="3071" spans="1:2" x14ac:dyDescent="0.2">
      <c r="A3071" s="102"/>
      <c r="B3071" s="116"/>
    </row>
    <row r="3072" spans="1:2" x14ac:dyDescent="0.2">
      <c r="A3072" s="102"/>
      <c r="B3072" s="116"/>
    </row>
    <row r="3073" spans="1:2" x14ac:dyDescent="0.2">
      <c r="A3073" s="102"/>
      <c r="B3073" s="116"/>
    </row>
    <row r="3074" spans="1:2" x14ac:dyDescent="0.2">
      <c r="A3074" s="102"/>
      <c r="B3074" s="116"/>
    </row>
    <row r="3075" spans="1:2" x14ac:dyDescent="0.2">
      <c r="A3075" s="102"/>
      <c r="B3075" s="116"/>
    </row>
    <row r="3076" spans="1:2" x14ac:dyDescent="0.2">
      <c r="A3076" s="102"/>
      <c r="B3076" s="116"/>
    </row>
    <row r="3077" spans="1:2" x14ac:dyDescent="0.2">
      <c r="A3077" s="102"/>
      <c r="B3077" s="116"/>
    </row>
    <row r="3078" spans="1:2" x14ac:dyDescent="0.2">
      <c r="A3078" s="102"/>
      <c r="B3078" s="116"/>
    </row>
    <row r="3079" spans="1:2" x14ac:dyDescent="0.2">
      <c r="A3079" s="102"/>
      <c r="B3079" s="116"/>
    </row>
    <row r="3080" spans="1:2" x14ac:dyDescent="0.2">
      <c r="A3080" s="102"/>
      <c r="B3080" s="116"/>
    </row>
    <row r="3081" spans="1:2" x14ac:dyDescent="0.2">
      <c r="A3081" s="102"/>
      <c r="B3081" s="116"/>
    </row>
    <row r="3082" spans="1:2" x14ac:dyDescent="0.2">
      <c r="A3082" s="102"/>
      <c r="B3082" s="116"/>
    </row>
    <row r="3083" spans="1:2" x14ac:dyDescent="0.2">
      <c r="A3083" s="102"/>
      <c r="B3083" s="116"/>
    </row>
    <row r="3084" spans="1:2" x14ac:dyDescent="0.2">
      <c r="A3084" s="102"/>
      <c r="B3084" s="116"/>
    </row>
    <row r="3085" spans="1:2" x14ac:dyDescent="0.2">
      <c r="A3085" s="102"/>
      <c r="B3085" s="116"/>
    </row>
    <row r="3086" spans="1:2" x14ac:dyDescent="0.2">
      <c r="A3086" s="102"/>
      <c r="B3086" s="116"/>
    </row>
    <row r="3087" spans="1:2" x14ac:dyDescent="0.2">
      <c r="A3087" s="102"/>
      <c r="B3087" s="116"/>
    </row>
    <row r="3088" spans="1:2" x14ac:dyDescent="0.2">
      <c r="A3088" s="102"/>
      <c r="B3088" s="116"/>
    </row>
    <row r="3089" spans="1:2" x14ac:dyDescent="0.2">
      <c r="A3089" s="102"/>
      <c r="B3089" s="116"/>
    </row>
    <row r="3090" spans="1:2" x14ac:dyDescent="0.2">
      <c r="A3090" s="102"/>
      <c r="B3090" s="116"/>
    </row>
    <row r="3091" spans="1:2" x14ac:dyDescent="0.2">
      <c r="A3091" s="102"/>
      <c r="B3091" s="116"/>
    </row>
    <row r="3092" spans="1:2" x14ac:dyDescent="0.2">
      <c r="A3092" s="102"/>
      <c r="B3092" s="116"/>
    </row>
    <row r="3093" spans="1:2" x14ac:dyDescent="0.2">
      <c r="A3093" s="102"/>
      <c r="B3093" s="116"/>
    </row>
    <row r="3094" spans="1:2" x14ac:dyDescent="0.2">
      <c r="A3094" s="102"/>
      <c r="B3094" s="116"/>
    </row>
    <row r="3095" spans="1:2" x14ac:dyDescent="0.2">
      <c r="A3095" s="102"/>
      <c r="B3095" s="116"/>
    </row>
    <row r="3096" spans="1:2" x14ac:dyDescent="0.2">
      <c r="A3096" s="102"/>
      <c r="B3096" s="116"/>
    </row>
    <row r="3097" spans="1:2" x14ac:dyDescent="0.2">
      <c r="A3097" s="102"/>
      <c r="B3097" s="116"/>
    </row>
    <row r="3098" spans="1:2" x14ac:dyDescent="0.2">
      <c r="A3098" s="102"/>
      <c r="B3098" s="116"/>
    </row>
    <row r="3099" spans="1:2" x14ac:dyDescent="0.2">
      <c r="A3099" s="102"/>
      <c r="B3099" s="116"/>
    </row>
    <row r="3100" spans="1:2" x14ac:dyDescent="0.2">
      <c r="A3100" s="102"/>
      <c r="B3100" s="116"/>
    </row>
    <row r="3101" spans="1:2" x14ac:dyDescent="0.2">
      <c r="A3101" s="102"/>
      <c r="B3101" s="116"/>
    </row>
    <row r="3102" spans="1:2" x14ac:dyDescent="0.2">
      <c r="A3102" s="102"/>
      <c r="B3102" s="116"/>
    </row>
    <row r="3103" spans="1:2" x14ac:dyDescent="0.2">
      <c r="A3103" s="102"/>
      <c r="B3103" s="116"/>
    </row>
    <row r="3104" spans="1:2" x14ac:dyDescent="0.2">
      <c r="A3104" s="102"/>
      <c r="B3104" s="116"/>
    </row>
    <row r="3105" spans="1:2" x14ac:dyDescent="0.2">
      <c r="A3105" s="102"/>
      <c r="B3105" s="116"/>
    </row>
    <row r="3106" spans="1:2" x14ac:dyDescent="0.2">
      <c r="A3106" s="102"/>
      <c r="B3106" s="116"/>
    </row>
    <row r="3107" spans="1:2" x14ac:dyDescent="0.2">
      <c r="A3107" s="102"/>
      <c r="B3107" s="116"/>
    </row>
    <row r="3108" spans="1:2" x14ac:dyDescent="0.2">
      <c r="A3108" s="102"/>
      <c r="B3108" s="116"/>
    </row>
    <row r="3109" spans="1:2" x14ac:dyDescent="0.2">
      <c r="A3109" s="102"/>
      <c r="B3109" s="116"/>
    </row>
    <row r="3110" spans="1:2" x14ac:dyDescent="0.2">
      <c r="A3110" s="102"/>
      <c r="B3110" s="116"/>
    </row>
    <row r="3111" spans="1:2" x14ac:dyDescent="0.2">
      <c r="A3111" s="102"/>
      <c r="B3111" s="116"/>
    </row>
    <row r="3112" spans="1:2" x14ac:dyDescent="0.2">
      <c r="A3112" s="102"/>
      <c r="B3112" s="116"/>
    </row>
    <row r="3113" spans="1:2" x14ac:dyDescent="0.2">
      <c r="A3113" s="102"/>
      <c r="B3113" s="116"/>
    </row>
    <row r="3114" spans="1:2" x14ac:dyDescent="0.2">
      <c r="A3114" s="102"/>
      <c r="B3114" s="116"/>
    </row>
    <row r="3115" spans="1:2" x14ac:dyDescent="0.2">
      <c r="A3115" s="102"/>
      <c r="B3115" s="116"/>
    </row>
    <row r="3116" spans="1:2" x14ac:dyDescent="0.2">
      <c r="A3116" s="102"/>
      <c r="B3116" s="116"/>
    </row>
    <row r="3117" spans="1:2" x14ac:dyDescent="0.2">
      <c r="A3117" s="102"/>
      <c r="B3117" s="116"/>
    </row>
    <row r="3118" spans="1:2" x14ac:dyDescent="0.2">
      <c r="A3118" s="102"/>
      <c r="B3118" s="116"/>
    </row>
    <row r="3119" spans="1:2" x14ac:dyDescent="0.2">
      <c r="A3119" s="102"/>
      <c r="B3119" s="116"/>
    </row>
    <row r="3120" spans="1:2" x14ac:dyDescent="0.2">
      <c r="A3120" s="102"/>
      <c r="B3120" s="116"/>
    </row>
    <row r="3121" spans="1:2" x14ac:dyDescent="0.2">
      <c r="A3121" s="102"/>
      <c r="B3121" s="116"/>
    </row>
    <row r="3122" spans="1:2" x14ac:dyDescent="0.2">
      <c r="A3122" s="102"/>
      <c r="B3122" s="116"/>
    </row>
    <row r="3123" spans="1:2" x14ac:dyDescent="0.2">
      <c r="A3123" s="102"/>
      <c r="B3123" s="116"/>
    </row>
    <row r="3124" spans="1:2" x14ac:dyDescent="0.2">
      <c r="A3124" s="102"/>
      <c r="B3124" s="116"/>
    </row>
    <row r="3125" spans="1:2" x14ac:dyDescent="0.2">
      <c r="A3125" s="102"/>
      <c r="B3125" s="116"/>
    </row>
    <row r="3126" spans="1:2" x14ac:dyDescent="0.2">
      <c r="A3126" s="102"/>
      <c r="B3126" s="116"/>
    </row>
    <row r="3127" spans="1:2" x14ac:dyDescent="0.2">
      <c r="A3127" s="102"/>
      <c r="B3127" s="116"/>
    </row>
    <row r="3128" spans="1:2" x14ac:dyDescent="0.2">
      <c r="A3128" s="102"/>
      <c r="B3128" s="116"/>
    </row>
    <row r="3129" spans="1:2" x14ac:dyDescent="0.2">
      <c r="A3129" s="102"/>
      <c r="B3129" s="116"/>
    </row>
    <row r="3130" spans="1:2" x14ac:dyDescent="0.2">
      <c r="A3130" s="102"/>
      <c r="B3130" s="116"/>
    </row>
    <row r="3131" spans="1:2" x14ac:dyDescent="0.2">
      <c r="A3131" s="102"/>
      <c r="B3131" s="116"/>
    </row>
    <row r="3132" spans="1:2" x14ac:dyDescent="0.2">
      <c r="A3132" s="102"/>
      <c r="B3132" s="116"/>
    </row>
    <row r="3133" spans="1:2" x14ac:dyDescent="0.2">
      <c r="A3133" s="102"/>
      <c r="B3133" s="116"/>
    </row>
    <row r="3134" spans="1:2" x14ac:dyDescent="0.2">
      <c r="A3134" s="102"/>
      <c r="B3134" s="116"/>
    </row>
    <row r="3135" spans="1:2" x14ac:dyDescent="0.2">
      <c r="A3135" s="102"/>
      <c r="B3135" s="116"/>
    </row>
    <row r="3136" spans="1:2" x14ac:dyDescent="0.2">
      <c r="A3136" s="102"/>
      <c r="B3136" s="116"/>
    </row>
    <row r="3137" spans="1:2" x14ac:dyDescent="0.2">
      <c r="A3137" s="102"/>
      <c r="B3137" s="116"/>
    </row>
    <row r="3138" spans="1:2" x14ac:dyDescent="0.2">
      <c r="A3138" s="102"/>
      <c r="B3138" s="116"/>
    </row>
    <row r="3139" spans="1:2" x14ac:dyDescent="0.2">
      <c r="A3139" s="102"/>
      <c r="B3139" s="116"/>
    </row>
    <row r="3140" spans="1:2" x14ac:dyDescent="0.2">
      <c r="A3140" s="102"/>
      <c r="B3140" s="116"/>
    </row>
    <row r="3141" spans="1:2" x14ac:dyDescent="0.2">
      <c r="A3141" s="102"/>
      <c r="B3141" s="116"/>
    </row>
    <row r="3142" spans="1:2" x14ac:dyDescent="0.2">
      <c r="A3142" s="102"/>
      <c r="B3142" s="116"/>
    </row>
    <row r="3143" spans="1:2" x14ac:dyDescent="0.2">
      <c r="A3143" s="102"/>
      <c r="B3143" s="116"/>
    </row>
    <row r="3144" spans="1:2" x14ac:dyDescent="0.2">
      <c r="A3144" s="102"/>
      <c r="B3144" s="116"/>
    </row>
    <row r="3145" spans="1:2" x14ac:dyDescent="0.2">
      <c r="A3145" s="102"/>
      <c r="B3145" s="116"/>
    </row>
    <row r="3146" spans="1:2" x14ac:dyDescent="0.2">
      <c r="A3146" s="102"/>
      <c r="B3146" s="116"/>
    </row>
    <row r="3147" spans="1:2" x14ac:dyDescent="0.2">
      <c r="A3147" s="102"/>
      <c r="B3147" s="116"/>
    </row>
    <row r="3148" spans="1:2" x14ac:dyDescent="0.2">
      <c r="A3148" s="102"/>
      <c r="B3148" s="116"/>
    </row>
    <row r="3149" spans="1:2" x14ac:dyDescent="0.2">
      <c r="A3149" s="102"/>
      <c r="B3149" s="116"/>
    </row>
    <row r="3150" spans="1:2" x14ac:dyDescent="0.2">
      <c r="A3150" s="102"/>
      <c r="B3150" s="116"/>
    </row>
    <row r="3151" spans="1:2" x14ac:dyDescent="0.2">
      <c r="A3151" s="102"/>
      <c r="B3151" s="116"/>
    </row>
    <row r="3152" spans="1:2" x14ac:dyDescent="0.2">
      <c r="A3152" s="102"/>
      <c r="B3152" s="116"/>
    </row>
    <row r="3153" spans="1:2" x14ac:dyDescent="0.2">
      <c r="A3153" s="102"/>
      <c r="B3153" s="116"/>
    </row>
    <row r="3154" spans="1:2" x14ac:dyDescent="0.2">
      <c r="A3154" s="102"/>
      <c r="B3154" s="116"/>
    </row>
    <row r="3155" spans="1:2" x14ac:dyDescent="0.2">
      <c r="A3155" s="102"/>
      <c r="B3155" s="116"/>
    </row>
    <row r="3156" spans="1:2" x14ac:dyDescent="0.2">
      <c r="A3156" s="102"/>
      <c r="B3156" s="116"/>
    </row>
    <row r="3157" spans="1:2" x14ac:dyDescent="0.2">
      <c r="A3157" s="102"/>
      <c r="B3157" s="116"/>
    </row>
    <row r="3158" spans="1:2" x14ac:dyDescent="0.2">
      <c r="A3158" s="102"/>
      <c r="B3158" s="116"/>
    </row>
    <row r="3159" spans="1:2" x14ac:dyDescent="0.2">
      <c r="A3159" s="102"/>
      <c r="B3159" s="116"/>
    </row>
    <row r="3160" spans="1:2" x14ac:dyDescent="0.2">
      <c r="A3160" s="102"/>
      <c r="B3160" s="116"/>
    </row>
    <row r="3161" spans="1:2" x14ac:dyDescent="0.2">
      <c r="A3161" s="102"/>
      <c r="B3161" s="116"/>
    </row>
    <row r="3162" spans="1:2" x14ac:dyDescent="0.2">
      <c r="A3162" s="102"/>
      <c r="B3162" s="116"/>
    </row>
    <row r="3163" spans="1:2" x14ac:dyDescent="0.2">
      <c r="A3163" s="102"/>
      <c r="B3163" s="116"/>
    </row>
    <row r="3164" spans="1:2" x14ac:dyDescent="0.2">
      <c r="A3164" s="102"/>
      <c r="B3164" s="116"/>
    </row>
    <row r="3165" spans="1:2" x14ac:dyDescent="0.2">
      <c r="A3165" s="102"/>
      <c r="B3165" s="116"/>
    </row>
    <row r="3166" spans="1:2" x14ac:dyDescent="0.2">
      <c r="A3166" s="102"/>
      <c r="B3166" s="116"/>
    </row>
    <row r="3167" spans="1:2" x14ac:dyDescent="0.2">
      <c r="A3167" s="102"/>
      <c r="B3167" s="116"/>
    </row>
    <row r="3168" spans="1:2" x14ac:dyDescent="0.2">
      <c r="A3168" s="102"/>
      <c r="B3168" s="116"/>
    </row>
    <row r="3169" spans="1:2" x14ac:dyDescent="0.2">
      <c r="A3169" s="102"/>
      <c r="B3169" s="116"/>
    </row>
    <row r="3170" spans="1:2" x14ac:dyDescent="0.2">
      <c r="A3170" s="102"/>
      <c r="B3170" s="116"/>
    </row>
    <row r="3171" spans="1:2" x14ac:dyDescent="0.2">
      <c r="A3171" s="102"/>
      <c r="B3171" s="116"/>
    </row>
    <row r="3172" spans="1:2" x14ac:dyDescent="0.2">
      <c r="A3172" s="102"/>
      <c r="B3172" s="116"/>
    </row>
    <row r="3173" spans="1:2" x14ac:dyDescent="0.2">
      <c r="A3173" s="102"/>
      <c r="B3173" s="116"/>
    </row>
    <row r="3174" spans="1:2" x14ac:dyDescent="0.2">
      <c r="A3174" s="102"/>
      <c r="B3174" s="116"/>
    </row>
    <row r="3175" spans="1:2" x14ac:dyDescent="0.2">
      <c r="A3175" s="102"/>
      <c r="B3175" s="116"/>
    </row>
    <row r="3176" spans="1:2" x14ac:dyDescent="0.2">
      <c r="A3176" s="102"/>
      <c r="B3176" s="116"/>
    </row>
    <row r="3177" spans="1:2" x14ac:dyDescent="0.2">
      <c r="A3177" s="102"/>
      <c r="B3177" s="116"/>
    </row>
    <row r="3178" spans="1:2" x14ac:dyDescent="0.2">
      <c r="A3178" s="102"/>
      <c r="B3178" s="116"/>
    </row>
    <row r="3179" spans="1:2" x14ac:dyDescent="0.2">
      <c r="A3179" s="102"/>
      <c r="B3179" s="116"/>
    </row>
    <row r="3180" spans="1:2" x14ac:dyDescent="0.2">
      <c r="A3180" s="102"/>
      <c r="B3180" s="116"/>
    </row>
    <row r="3181" spans="1:2" x14ac:dyDescent="0.2">
      <c r="A3181" s="102"/>
      <c r="B3181" s="116"/>
    </row>
    <row r="3182" spans="1:2" x14ac:dyDescent="0.2">
      <c r="A3182" s="102"/>
      <c r="B3182" s="116"/>
    </row>
    <row r="3183" spans="1:2" x14ac:dyDescent="0.2">
      <c r="A3183" s="102"/>
      <c r="B3183" s="116"/>
    </row>
    <row r="3184" spans="1:2" x14ac:dyDescent="0.2">
      <c r="A3184" s="102"/>
      <c r="B3184" s="116"/>
    </row>
    <row r="3185" spans="1:2" x14ac:dyDescent="0.2">
      <c r="A3185" s="102"/>
      <c r="B3185" s="116"/>
    </row>
    <row r="3186" spans="1:2" x14ac:dyDescent="0.2">
      <c r="A3186" s="102"/>
      <c r="B3186" s="116"/>
    </row>
    <row r="3187" spans="1:2" x14ac:dyDescent="0.2">
      <c r="A3187" s="102"/>
      <c r="B3187" s="116"/>
    </row>
    <row r="3188" spans="1:2" x14ac:dyDescent="0.2">
      <c r="A3188" s="102"/>
      <c r="B3188" s="116"/>
    </row>
    <row r="3189" spans="1:2" x14ac:dyDescent="0.2">
      <c r="A3189" s="102"/>
      <c r="B3189" s="116"/>
    </row>
    <row r="3190" spans="1:2" x14ac:dyDescent="0.2">
      <c r="A3190" s="102"/>
      <c r="B3190" s="116"/>
    </row>
    <row r="3191" spans="1:2" x14ac:dyDescent="0.2">
      <c r="A3191" s="102"/>
      <c r="B3191" s="116"/>
    </row>
    <row r="3192" spans="1:2" x14ac:dyDescent="0.2">
      <c r="A3192" s="102"/>
      <c r="B3192" s="116"/>
    </row>
    <row r="3193" spans="1:2" x14ac:dyDescent="0.2">
      <c r="A3193" s="102"/>
      <c r="B3193" s="116"/>
    </row>
    <row r="3194" spans="1:2" x14ac:dyDescent="0.2">
      <c r="A3194" s="102"/>
      <c r="B3194" s="116"/>
    </row>
    <row r="3195" spans="1:2" x14ac:dyDescent="0.2">
      <c r="A3195" s="102"/>
      <c r="B3195" s="116"/>
    </row>
    <row r="3196" spans="1:2" x14ac:dyDescent="0.2">
      <c r="A3196" s="102"/>
      <c r="B3196" s="116"/>
    </row>
    <row r="3197" spans="1:2" x14ac:dyDescent="0.2">
      <c r="A3197" s="102"/>
      <c r="B3197" s="116"/>
    </row>
    <row r="3198" spans="1:2" x14ac:dyDescent="0.2">
      <c r="A3198" s="102"/>
      <c r="B3198" s="116"/>
    </row>
    <row r="3199" spans="1:2" x14ac:dyDescent="0.2">
      <c r="A3199" s="102"/>
      <c r="B3199" s="116"/>
    </row>
    <row r="3200" spans="1:2" x14ac:dyDescent="0.2">
      <c r="A3200" s="102"/>
      <c r="B3200" s="116"/>
    </row>
    <row r="3201" spans="1:2" x14ac:dyDescent="0.2">
      <c r="A3201" s="102"/>
      <c r="B3201" s="116"/>
    </row>
    <row r="3202" spans="1:2" x14ac:dyDescent="0.2">
      <c r="A3202" s="102"/>
      <c r="B3202" s="116"/>
    </row>
    <row r="3203" spans="1:2" x14ac:dyDescent="0.2">
      <c r="A3203" s="102"/>
      <c r="B3203" s="116"/>
    </row>
    <row r="3204" spans="1:2" x14ac:dyDescent="0.2">
      <c r="A3204" s="102"/>
      <c r="B3204" s="116"/>
    </row>
    <row r="3205" spans="1:2" x14ac:dyDescent="0.2">
      <c r="A3205" s="102"/>
      <c r="B3205" s="116"/>
    </row>
    <row r="3206" spans="1:2" x14ac:dyDescent="0.2">
      <c r="A3206" s="102"/>
      <c r="B3206" s="116"/>
    </row>
    <row r="3207" spans="1:2" x14ac:dyDescent="0.2">
      <c r="A3207" s="102"/>
      <c r="B3207" s="116"/>
    </row>
    <row r="3208" spans="1:2" x14ac:dyDescent="0.2">
      <c r="A3208" s="102"/>
      <c r="B3208" s="116"/>
    </row>
    <row r="3209" spans="1:2" x14ac:dyDescent="0.2">
      <c r="A3209" s="102"/>
      <c r="B3209" s="116"/>
    </row>
    <row r="3210" spans="1:2" x14ac:dyDescent="0.2">
      <c r="A3210" s="102"/>
      <c r="B3210" s="116"/>
    </row>
    <row r="3211" spans="1:2" x14ac:dyDescent="0.2">
      <c r="A3211" s="102"/>
      <c r="B3211" s="116"/>
    </row>
    <row r="3212" spans="1:2" x14ac:dyDescent="0.2">
      <c r="A3212" s="102"/>
      <c r="B3212" s="116"/>
    </row>
    <row r="3213" spans="1:2" x14ac:dyDescent="0.2">
      <c r="A3213" s="102"/>
      <c r="B3213" s="116"/>
    </row>
    <row r="3214" spans="1:2" x14ac:dyDescent="0.2">
      <c r="A3214" s="102"/>
      <c r="B3214" s="116"/>
    </row>
    <row r="3215" spans="1:2" x14ac:dyDescent="0.2">
      <c r="A3215" s="102"/>
      <c r="B3215" s="116"/>
    </row>
    <row r="3216" spans="1:2" x14ac:dyDescent="0.2">
      <c r="A3216" s="102"/>
      <c r="B3216" s="116"/>
    </row>
    <row r="3217" spans="1:2" x14ac:dyDescent="0.2">
      <c r="A3217" s="102"/>
      <c r="B3217" s="116"/>
    </row>
    <row r="3218" spans="1:2" x14ac:dyDescent="0.2">
      <c r="A3218" s="102"/>
      <c r="B3218" s="116"/>
    </row>
    <row r="3219" spans="1:2" x14ac:dyDescent="0.2">
      <c r="A3219" s="102"/>
      <c r="B3219" s="116"/>
    </row>
    <row r="3220" spans="1:2" x14ac:dyDescent="0.2">
      <c r="A3220" s="102"/>
      <c r="B3220" s="116"/>
    </row>
    <row r="3221" spans="1:2" x14ac:dyDescent="0.2">
      <c r="A3221" s="102"/>
      <c r="B3221" s="116"/>
    </row>
    <row r="3222" spans="1:2" x14ac:dyDescent="0.2">
      <c r="A3222" s="102"/>
      <c r="B3222" s="116"/>
    </row>
    <row r="3223" spans="1:2" x14ac:dyDescent="0.2">
      <c r="A3223" s="102"/>
      <c r="B3223" s="116"/>
    </row>
    <row r="3224" spans="1:2" x14ac:dyDescent="0.2">
      <c r="A3224" s="102"/>
      <c r="B3224" s="116"/>
    </row>
    <row r="3225" spans="1:2" x14ac:dyDescent="0.2">
      <c r="A3225" s="102"/>
      <c r="B3225" s="116"/>
    </row>
    <row r="3226" spans="1:2" x14ac:dyDescent="0.2">
      <c r="A3226" s="102"/>
      <c r="B3226" s="116"/>
    </row>
    <row r="3227" spans="1:2" x14ac:dyDescent="0.2">
      <c r="A3227" s="102"/>
      <c r="B3227" s="116"/>
    </row>
    <row r="3228" spans="1:2" x14ac:dyDescent="0.2">
      <c r="A3228" s="102"/>
      <c r="B3228" s="116"/>
    </row>
    <row r="3229" spans="1:2" x14ac:dyDescent="0.2">
      <c r="A3229" s="102"/>
      <c r="B3229" s="116"/>
    </row>
    <row r="3230" spans="1:2" x14ac:dyDescent="0.2">
      <c r="A3230" s="102"/>
      <c r="B3230" s="116"/>
    </row>
    <row r="3231" spans="1:2" x14ac:dyDescent="0.2">
      <c r="A3231" s="102"/>
      <c r="B3231" s="116"/>
    </row>
    <row r="3232" spans="1:2" x14ac:dyDescent="0.2">
      <c r="A3232" s="102"/>
      <c r="B3232" s="116"/>
    </row>
    <row r="3233" spans="1:2" x14ac:dyDescent="0.2">
      <c r="A3233" s="102"/>
      <c r="B3233" s="116"/>
    </row>
    <row r="3234" spans="1:2" x14ac:dyDescent="0.2">
      <c r="A3234" s="102"/>
      <c r="B3234" s="116"/>
    </row>
    <row r="3235" spans="1:2" x14ac:dyDescent="0.2">
      <c r="A3235" s="102"/>
      <c r="B3235" s="116"/>
    </row>
    <row r="3236" spans="1:2" x14ac:dyDescent="0.2">
      <c r="A3236" s="102"/>
      <c r="B3236" s="116"/>
    </row>
    <row r="3237" spans="1:2" x14ac:dyDescent="0.2">
      <c r="A3237" s="102"/>
      <c r="B3237" s="116"/>
    </row>
    <row r="3238" spans="1:2" x14ac:dyDescent="0.2">
      <c r="A3238" s="102"/>
      <c r="B3238" s="116"/>
    </row>
    <row r="3239" spans="1:2" x14ac:dyDescent="0.2">
      <c r="A3239" s="102"/>
      <c r="B3239" s="116"/>
    </row>
    <row r="3240" spans="1:2" x14ac:dyDescent="0.2">
      <c r="A3240" s="102"/>
      <c r="B3240" s="116"/>
    </row>
    <row r="3241" spans="1:2" x14ac:dyDescent="0.2">
      <c r="A3241" s="102"/>
      <c r="B3241" s="116"/>
    </row>
    <row r="3242" spans="1:2" x14ac:dyDescent="0.2">
      <c r="A3242" s="102"/>
      <c r="B3242" s="116"/>
    </row>
    <row r="3243" spans="1:2" x14ac:dyDescent="0.2">
      <c r="A3243" s="102"/>
      <c r="B3243" s="116"/>
    </row>
    <row r="3244" spans="1:2" x14ac:dyDescent="0.2">
      <c r="A3244" s="102"/>
      <c r="B3244" s="116"/>
    </row>
    <row r="3245" spans="1:2" x14ac:dyDescent="0.2">
      <c r="A3245" s="102"/>
      <c r="B3245" s="116"/>
    </row>
    <row r="3246" spans="1:2" x14ac:dyDescent="0.2">
      <c r="A3246" s="102"/>
      <c r="B3246" s="116"/>
    </row>
    <row r="3247" spans="1:2" x14ac:dyDescent="0.2">
      <c r="A3247" s="102"/>
      <c r="B3247" s="116"/>
    </row>
    <row r="3248" spans="1:2" x14ac:dyDescent="0.2">
      <c r="A3248" s="102"/>
      <c r="B3248" s="116"/>
    </row>
    <row r="3249" spans="1:2" x14ac:dyDescent="0.2">
      <c r="A3249" s="102"/>
      <c r="B3249" s="116"/>
    </row>
    <row r="3250" spans="1:2" x14ac:dyDescent="0.2">
      <c r="A3250" s="102"/>
      <c r="B3250" s="116"/>
    </row>
    <row r="3251" spans="1:2" x14ac:dyDescent="0.2">
      <c r="A3251" s="102"/>
      <c r="B3251" s="116"/>
    </row>
    <row r="3252" spans="1:2" x14ac:dyDescent="0.2">
      <c r="A3252" s="102"/>
      <c r="B3252" s="116"/>
    </row>
    <row r="3253" spans="1:2" x14ac:dyDescent="0.2">
      <c r="A3253" s="102"/>
      <c r="B3253" s="116"/>
    </row>
    <row r="3254" spans="1:2" x14ac:dyDescent="0.2">
      <c r="A3254" s="102"/>
      <c r="B3254" s="116"/>
    </row>
    <row r="3255" spans="1:2" x14ac:dyDescent="0.2">
      <c r="A3255" s="102"/>
      <c r="B3255" s="116"/>
    </row>
    <row r="3256" spans="1:2" x14ac:dyDescent="0.2">
      <c r="A3256" s="102"/>
      <c r="B3256" s="116"/>
    </row>
    <row r="3257" spans="1:2" x14ac:dyDescent="0.2">
      <c r="A3257" s="102"/>
      <c r="B3257" s="116"/>
    </row>
    <row r="3258" spans="1:2" x14ac:dyDescent="0.2">
      <c r="A3258" s="102"/>
      <c r="B3258" s="116"/>
    </row>
    <row r="3259" spans="1:2" x14ac:dyDescent="0.2">
      <c r="A3259" s="102"/>
      <c r="B3259" s="116"/>
    </row>
    <row r="3260" spans="1:2" x14ac:dyDescent="0.2">
      <c r="A3260" s="102"/>
      <c r="B3260" s="116"/>
    </row>
    <row r="3261" spans="1:2" x14ac:dyDescent="0.2">
      <c r="A3261" s="102"/>
      <c r="B3261" s="116"/>
    </row>
    <row r="3262" spans="1:2" x14ac:dyDescent="0.2">
      <c r="A3262" s="102"/>
      <c r="B3262" s="116"/>
    </row>
    <row r="3263" spans="1:2" x14ac:dyDescent="0.2">
      <c r="A3263" s="102"/>
      <c r="B3263" s="116"/>
    </row>
    <row r="3264" spans="1:2" x14ac:dyDescent="0.2">
      <c r="A3264" s="102"/>
      <c r="B3264" s="116"/>
    </row>
    <row r="3265" spans="1:2" x14ac:dyDescent="0.2">
      <c r="A3265" s="102"/>
      <c r="B3265" s="116"/>
    </row>
    <row r="3266" spans="1:2" x14ac:dyDescent="0.2">
      <c r="A3266" s="102"/>
      <c r="B3266" s="116"/>
    </row>
    <row r="3267" spans="1:2" x14ac:dyDescent="0.2">
      <c r="A3267" s="102"/>
      <c r="B3267" s="116"/>
    </row>
    <row r="3268" spans="1:2" x14ac:dyDescent="0.2">
      <c r="A3268" s="102"/>
      <c r="B3268" s="116"/>
    </row>
    <row r="3269" spans="1:2" x14ac:dyDescent="0.2">
      <c r="A3269" s="102"/>
      <c r="B3269" s="116"/>
    </row>
    <row r="3270" spans="1:2" x14ac:dyDescent="0.2">
      <c r="A3270" s="102"/>
      <c r="B3270" s="116"/>
    </row>
    <row r="3271" spans="1:2" x14ac:dyDescent="0.2">
      <c r="A3271" s="102"/>
      <c r="B3271" s="116"/>
    </row>
    <row r="3272" spans="1:2" x14ac:dyDescent="0.2">
      <c r="A3272" s="102"/>
      <c r="B3272" s="116"/>
    </row>
    <row r="3273" spans="1:2" x14ac:dyDescent="0.2">
      <c r="A3273" s="102"/>
      <c r="B3273" s="116"/>
    </row>
    <row r="3274" spans="1:2" x14ac:dyDescent="0.2">
      <c r="A3274" s="102"/>
      <c r="B3274" s="116"/>
    </row>
    <row r="3275" spans="1:2" x14ac:dyDescent="0.2">
      <c r="A3275" s="102"/>
      <c r="B3275" s="116"/>
    </row>
    <row r="3276" spans="1:2" x14ac:dyDescent="0.2">
      <c r="A3276" s="102"/>
      <c r="B3276" s="116"/>
    </row>
    <row r="3277" spans="1:2" x14ac:dyDescent="0.2">
      <c r="A3277" s="102"/>
      <c r="B3277" s="116"/>
    </row>
    <row r="3278" spans="1:2" x14ac:dyDescent="0.2">
      <c r="A3278" s="102"/>
      <c r="B3278" s="116"/>
    </row>
    <row r="3279" spans="1:2" x14ac:dyDescent="0.2">
      <c r="A3279" s="102"/>
      <c r="B3279" s="116"/>
    </row>
    <row r="3280" spans="1:2" x14ac:dyDescent="0.2">
      <c r="A3280" s="102"/>
      <c r="B3280" s="116"/>
    </row>
    <row r="3281" spans="1:2" x14ac:dyDescent="0.2">
      <c r="A3281" s="102"/>
      <c r="B3281" s="116"/>
    </row>
    <row r="3282" spans="1:2" x14ac:dyDescent="0.2">
      <c r="A3282" s="102"/>
      <c r="B3282" s="116"/>
    </row>
    <row r="3283" spans="1:2" x14ac:dyDescent="0.2">
      <c r="A3283" s="102"/>
      <c r="B3283" s="116"/>
    </row>
    <row r="3284" spans="1:2" x14ac:dyDescent="0.2">
      <c r="A3284" s="102"/>
      <c r="B3284" s="116"/>
    </row>
    <row r="3285" spans="1:2" x14ac:dyDescent="0.2">
      <c r="A3285" s="102"/>
      <c r="B3285" s="116"/>
    </row>
    <row r="3286" spans="1:2" x14ac:dyDescent="0.2">
      <c r="A3286" s="102"/>
      <c r="B3286" s="116"/>
    </row>
    <row r="3287" spans="1:2" x14ac:dyDescent="0.2">
      <c r="A3287" s="102"/>
      <c r="B3287" s="116"/>
    </row>
    <row r="3288" spans="1:2" x14ac:dyDescent="0.2">
      <c r="A3288" s="102"/>
      <c r="B3288" s="116"/>
    </row>
    <row r="3289" spans="1:2" x14ac:dyDescent="0.2">
      <c r="A3289" s="102"/>
      <c r="B3289" s="116"/>
    </row>
    <row r="3290" spans="1:2" x14ac:dyDescent="0.2">
      <c r="A3290" s="102"/>
      <c r="B3290" s="116"/>
    </row>
    <row r="3291" spans="1:2" x14ac:dyDescent="0.2">
      <c r="A3291" s="102"/>
      <c r="B3291" s="116"/>
    </row>
    <row r="3292" spans="1:2" x14ac:dyDescent="0.2">
      <c r="A3292" s="102"/>
      <c r="B3292" s="116"/>
    </row>
    <row r="3293" spans="1:2" x14ac:dyDescent="0.2">
      <c r="A3293" s="102"/>
      <c r="B3293" s="116"/>
    </row>
    <row r="3294" spans="1:2" x14ac:dyDescent="0.2">
      <c r="A3294" s="102"/>
      <c r="B3294" s="116"/>
    </row>
    <row r="3295" spans="1:2" x14ac:dyDescent="0.2">
      <c r="A3295" s="102"/>
      <c r="B3295" s="116"/>
    </row>
    <row r="3296" spans="1:2" x14ac:dyDescent="0.2">
      <c r="A3296" s="102"/>
      <c r="B3296" s="116"/>
    </row>
    <row r="3297" spans="1:2" x14ac:dyDescent="0.2">
      <c r="A3297" s="102"/>
      <c r="B3297" s="116"/>
    </row>
    <row r="3298" spans="1:2" x14ac:dyDescent="0.2">
      <c r="A3298" s="102"/>
      <c r="B3298" s="116"/>
    </row>
    <row r="3299" spans="1:2" x14ac:dyDescent="0.2">
      <c r="A3299" s="102"/>
      <c r="B3299" s="116"/>
    </row>
    <row r="3300" spans="1:2" x14ac:dyDescent="0.2">
      <c r="A3300" s="102"/>
      <c r="B3300" s="116"/>
    </row>
    <row r="3301" spans="1:2" x14ac:dyDescent="0.2">
      <c r="A3301" s="102"/>
      <c r="B3301" s="116"/>
    </row>
    <row r="3302" spans="1:2" x14ac:dyDescent="0.2">
      <c r="A3302" s="102"/>
      <c r="B3302" s="116"/>
    </row>
    <row r="3303" spans="1:2" x14ac:dyDescent="0.2">
      <c r="A3303" s="102"/>
      <c r="B3303" s="116"/>
    </row>
    <row r="3304" spans="1:2" x14ac:dyDescent="0.2">
      <c r="A3304" s="102"/>
      <c r="B3304" s="116"/>
    </row>
    <row r="3305" spans="1:2" x14ac:dyDescent="0.2">
      <c r="A3305" s="102"/>
      <c r="B3305" s="116"/>
    </row>
    <row r="3306" spans="1:2" x14ac:dyDescent="0.2">
      <c r="A3306" s="102"/>
      <c r="B3306" s="116"/>
    </row>
    <row r="3307" spans="1:2" x14ac:dyDescent="0.2">
      <c r="A3307" s="102"/>
      <c r="B3307" s="116"/>
    </row>
    <row r="3308" spans="1:2" x14ac:dyDescent="0.2">
      <c r="A3308" s="102"/>
      <c r="B3308" s="116"/>
    </row>
    <row r="3309" spans="1:2" x14ac:dyDescent="0.2">
      <c r="A3309" s="102"/>
      <c r="B3309" s="116"/>
    </row>
    <row r="3310" spans="1:2" x14ac:dyDescent="0.2">
      <c r="A3310" s="102"/>
      <c r="B3310" s="116"/>
    </row>
    <row r="3311" spans="1:2" x14ac:dyDescent="0.2">
      <c r="A3311" s="102"/>
      <c r="B3311" s="116"/>
    </row>
    <row r="3312" spans="1:2" x14ac:dyDescent="0.2">
      <c r="A3312" s="102"/>
      <c r="B3312" s="116"/>
    </row>
    <row r="3313" spans="1:2" x14ac:dyDescent="0.2">
      <c r="A3313" s="102"/>
      <c r="B3313" s="116"/>
    </row>
    <row r="3314" spans="1:2" x14ac:dyDescent="0.2">
      <c r="A3314" s="102"/>
      <c r="B3314" s="116"/>
    </row>
    <row r="3315" spans="1:2" x14ac:dyDescent="0.2">
      <c r="A3315" s="102"/>
      <c r="B3315" s="116"/>
    </row>
    <row r="3316" spans="1:2" x14ac:dyDescent="0.2">
      <c r="A3316" s="102"/>
      <c r="B3316" s="116"/>
    </row>
    <row r="3317" spans="1:2" x14ac:dyDescent="0.2">
      <c r="A3317" s="102"/>
      <c r="B3317" s="116"/>
    </row>
    <row r="3318" spans="1:2" x14ac:dyDescent="0.2">
      <c r="A3318" s="102"/>
      <c r="B3318" s="116"/>
    </row>
    <row r="3319" spans="1:2" x14ac:dyDescent="0.2">
      <c r="A3319" s="102"/>
      <c r="B3319" s="116"/>
    </row>
    <row r="3320" spans="1:2" x14ac:dyDescent="0.2">
      <c r="A3320" s="102"/>
      <c r="B3320" s="116"/>
    </row>
    <row r="3321" spans="1:2" x14ac:dyDescent="0.2">
      <c r="A3321" s="102"/>
      <c r="B3321" s="116"/>
    </row>
    <row r="3322" spans="1:2" x14ac:dyDescent="0.2">
      <c r="A3322" s="102"/>
      <c r="B3322" s="116"/>
    </row>
    <row r="3323" spans="1:2" x14ac:dyDescent="0.2">
      <c r="A3323" s="102"/>
      <c r="B3323" s="116"/>
    </row>
    <row r="3324" spans="1:2" x14ac:dyDescent="0.2">
      <c r="A3324" s="102"/>
      <c r="B3324" s="116"/>
    </row>
    <row r="3325" spans="1:2" x14ac:dyDescent="0.2">
      <c r="A3325" s="102"/>
      <c r="B3325" s="116"/>
    </row>
    <row r="3326" spans="1:2" x14ac:dyDescent="0.2">
      <c r="A3326" s="102"/>
      <c r="B3326" s="116"/>
    </row>
    <row r="3327" spans="1:2" x14ac:dyDescent="0.2">
      <c r="A3327" s="102"/>
      <c r="B3327" s="116"/>
    </row>
    <row r="3328" spans="1:2" x14ac:dyDescent="0.2">
      <c r="A3328" s="102"/>
      <c r="B3328" s="116"/>
    </row>
    <row r="3329" spans="1:2" x14ac:dyDescent="0.2">
      <c r="A3329" s="102"/>
      <c r="B3329" s="116"/>
    </row>
    <row r="3330" spans="1:2" x14ac:dyDescent="0.2">
      <c r="A3330" s="102"/>
      <c r="B3330" s="116"/>
    </row>
    <row r="3331" spans="1:2" x14ac:dyDescent="0.2">
      <c r="A3331" s="102"/>
      <c r="B3331" s="116"/>
    </row>
    <row r="3332" spans="1:2" x14ac:dyDescent="0.2">
      <c r="A3332" s="102"/>
      <c r="B3332" s="116"/>
    </row>
    <row r="3333" spans="1:2" x14ac:dyDescent="0.2">
      <c r="A3333" s="102"/>
      <c r="B3333" s="116"/>
    </row>
    <row r="3334" spans="1:2" x14ac:dyDescent="0.2">
      <c r="A3334" s="102"/>
      <c r="B3334" s="116"/>
    </row>
    <row r="3335" spans="1:2" x14ac:dyDescent="0.2">
      <c r="A3335" s="102"/>
      <c r="B3335" s="116"/>
    </row>
    <row r="3336" spans="1:2" x14ac:dyDescent="0.2">
      <c r="A3336" s="102"/>
      <c r="B3336" s="116"/>
    </row>
    <row r="3337" spans="1:2" x14ac:dyDescent="0.2">
      <c r="A3337" s="102"/>
      <c r="B3337" s="116"/>
    </row>
    <row r="3338" spans="1:2" x14ac:dyDescent="0.2">
      <c r="A3338" s="102"/>
      <c r="B3338" s="116"/>
    </row>
    <row r="3339" spans="1:2" x14ac:dyDescent="0.2">
      <c r="A3339" s="102"/>
      <c r="B3339" s="116"/>
    </row>
    <row r="3340" spans="1:2" x14ac:dyDescent="0.2">
      <c r="A3340" s="102"/>
      <c r="B3340" s="116"/>
    </row>
    <row r="3341" spans="1:2" x14ac:dyDescent="0.2">
      <c r="A3341" s="102"/>
      <c r="B3341" s="116"/>
    </row>
    <row r="3342" spans="1:2" x14ac:dyDescent="0.2">
      <c r="A3342" s="102"/>
      <c r="B3342" s="116"/>
    </row>
    <row r="3343" spans="1:2" x14ac:dyDescent="0.2">
      <c r="A3343" s="102"/>
      <c r="B3343" s="116"/>
    </row>
    <row r="3344" spans="1:2" x14ac:dyDescent="0.2">
      <c r="A3344" s="102"/>
      <c r="B3344" s="116"/>
    </row>
    <row r="3345" spans="1:2" x14ac:dyDescent="0.2">
      <c r="A3345" s="102"/>
      <c r="B3345" s="116"/>
    </row>
    <row r="3346" spans="1:2" x14ac:dyDescent="0.2">
      <c r="A3346" s="102"/>
      <c r="B3346" s="116"/>
    </row>
    <row r="3347" spans="1:2" x14ac:dyDescent="0.2">
      <c r="A3347" s="102"/>
      <c r="B3347" s="116"/>
    </row>
    <row r="3348" spans="1:2" x14ac:dyDescent="0.2">
      <c r="A3348" s="102"/>
      <c r="B3348" s="116"/>
    </row>
    <row r="3349" spans="1:2" x14ac:dyDescent="0.2">
      <c r="A3349" s="102"/>
      <c r="B3349" s="116"/>
    </row>
    <row r="3350" spans="1:2" x14ac:dyDescent="0.2">
      <c r="A3350" s="102"/>
      <c r="B3350" s="116"/>
    </row>
    <row r="3351" spans="1:2" x14ac:dyDescent="0.2">
      <c r="A3351" s="102"/>
      <c r="B3351" s="116"/>
    </row>
    <row r="3352" spans="1:2" x14ac:dyDescent="0.2">
      <c r="A3352" s="102"/>
      <c r="B3352" s="116"/>
    </row>
    <row r="3353" spans="1:2" x14ac:dyDescent="0.2">
      <c r="A3353" s="102"/>
      <c r="B3353" s="116"/>
    </row>
    <row r="3354" spans="1:2" x14ac:dyDescent="0.2">
      <c r="A3354" s="102"/>
      <c r="B3354" s="116"/>
    </row>
    <row r="3355" spans="1:2" x14ac:dyDescent="0.2">
      <c r="A3355" s="102"/>
      <c r="B3355" s="116"/>
    </row>
    <row r="3356" spans="1:2" x14ac:dyDescent="0.2">
      <c r="A3356" s="102"/>
      <c r="B3356" s="116"/>
    </row>
    <row r="3357" spans="1:2" x14ac:dyDescent="0.2">
      <c r="A3357" s="102"/>
      <c r="B3357" s="116"/>
    </row>
    <row r="3358" spans="1:2" x14ac:dyDescent="0.2">
      <c r="A3358" s="102"/>
      <c r="B3358" s="116"/>
    </row>
    <row r="3359" spans="1:2" x14ac:dyDescent="0.2">
      <c r="A3359" s="102"/>
      <c r="B3359" s="116"/>
    </row>
    <row r="3360" spans="1:2" x14ac:dyDescent="0.2">
      <c r="A3360" s="102"/>
      <c r="B3360" s="116"/>
    </row>
    <row r="3361" spans="1:2" x14ac:dyDescent="0.2">
      <c r="A3361" s="102"/>
      <c r="B3361" s="116"/>
    </row>
    <row r="3362" spans="1:2" x14ac:dyDescent="0.2">
      <c r="A3362" s="102"/>
      <c r="B3362" s="116"/>
    </row>
    <row r="3363" spans="1:2" x14ac:dyDescent="0.2">
      <c r="A3363" s="102"/>
      <c r="B3363" s="116"/>
    </row>
    <row r="3364" spans="1:2" x14ac:dyDescent="0.2">
      <c r="A3364" s="102"/>
      <c r="B3364" s="116"/>
    </row>
    <row r="3365" spans="1:2" x14ac:dyDescent="0.2">
      <c r="A3365" s="102"/>
      <c r="B3365" s="116"/>
    </row>
    <row r="3366" spans="1:2" x14ac:dyDescent="0.2">
      <c r="A3366" s="102"/>
      <c r="B3366" s="116"/>
    </row>
    <row r="3367" spans="1:2" x14ac:dyDescent="0.2">
      <c r="A3367" s="102"/>
      <c r="B3367" s="116"/>
    </row>
    <row r="3368" spans="1:2" x14ac:dyDescent="0.2">
      <c r="A3368" s="102"/>
      <c r="B3368" s="116"/>
    </row>
    <row r="3369" spans="1:2" x14ac:dyDescent="0.2">
      <c r="A3369" s="102"/>
      <c r="B3369" s="116"/>
    </row>
    <row r="3370" spans="1:2" x14ac:dyDescent="0.2">
      <c r="A3370" s="102"/>
      <c r="B3370" s="116"/>
    </row>
    <row r="3371" spans="1:2" x14ac:dyDescent="0.2">
      <c r="A3371" s="102"/>
      <c r="B3371" s="116"/>
    </row>
    <row r="3372" spans="1:2" x14ac:dyDescent="0.2">
      <c r="A3372" s="102"/>
      <c r="B3372" s="116"/>
    </row>
    <row r="3373" spans="1:2" x14ac:dyDescent="0.2">
      <c r="A3373" s="102"/>
      <c r="B3373" s="116"/>
    </row>
    <row r="3374" spans="1:2" x14ac:dyDescent="0.2">
      <c r="A3374" s="102"/>
      <c r="B3374" s="116"/>
    </row>
    <row r="3375" spans="1:2" x14ac:dyDescent="0.2">
      <c r="A3375" s="102"/>
      <c r="B3375" s="116"/>
    </row>
    <row r="3376" spans="1:2" x14ac:dyDescent="0.2">
      <c r="A3376" s="102"/>
      <c r="B3376" s="116"/>
    </row>
    <row r="3377" spans="1:2" x14ac:dyDescent="0.2">
      <c r="A3377" s="102"/>
      <c r="B3377" s="116"/>
    </row>
    <row r="3378" spans="1:2" x14ac:dyDescent="0.2">
      <c r="A3378" s="102"/>
      <c r="B3378" s="116"/>
    </row>
    <row r="3379" spans="1:2" x14ac:dyDescent="0.2">
      <c r="A3379" s="102"/>
      <c r="B3379" s="116"/>
    </row>
    <row r="3380" spans="1:2" x14ac:dyDescent="0.2">
      <c r="A3380" s="102"/>
      <c r="B3380" s="116"/>
    </row>
    <row r="3381" spans="1:2" x14ac:dyDescent="0.2">
      <c r="A3381" s="102"/>
      <c r="B3381" s="116"/>
    </row>
    <row r="3382" spans="1:2" x14ac:dyDescent="0.2">
      <c r="A3382" s="102"/>
      <c r="B3382" s="116"/>
    </row>
    <row r="3383" spans="1:2" x14ac:dyDescent="0.2">
      <c r="A3383" s="102"/>
      <c r="B3383" s="116"/>
    </row>
    <row r="3384" spans="1:2" x14ac:dyDescent="0.2">
      <c r="A3384" s="102"/>
      <c r="B3384" s="116"/>
    </row>
    <row r="3385" spans="1:2" x14ac:dyDescent="0.2">
      <c r="A3385" s="102"/>
      <c r="B3385" s="116"/>
    </row>
    <row r="3386" spans="1:2" x14ac:dyDescent="0.2">
      <c r="A3386" s="102"/>
      <c r="B3386" s="116"/>
    </row>
    <row r="3387" spans="1:2" x14ac:dyDescent="0.2">
      <c r="A3387" s="102"/>
      <c r="B3387" s="116"/>
    </row>
    <row r="3388" spans="1:2" x14ac:dyDescent="0.2">
      <c r="A3388" s="102"/>
      <c r="B3388" s="116"/>
    </row>
    <row r="3389" spans="1:2" x14ac:dyDescent="0.2">
      <c r="A3389" s="102"/>
      <c r="B3389" s="116"/>
    </row>
    <row r="3390" spans="1:2" x14ac:dyDescent="0.2">
      <c r="A3390" s="102"/>
      <c r="B3390" s="116"/>
    </row>
    <row r="3391" spans="1:2" x14ac:dyDescent="0.2">
      <c r="A3391" s="102"/>
      <c r="B3391" s="116"/>
    </row>
    <row r="3392" spans="1:2" x14ac:dyDescent="0.2">
      <c r="A3392" s="102"/>
      <c r="B3392" s="116"/>
    </row>
    <row r="3393" spans="1:2" x14ac:dyDescent="0.2">
      <c r="A3393" s="102"/>
      <c r="B3393" s="116"/>
    </row>
    <row r="3394" spans="1:2" x14ac:dyDescent="0.2">
      <c r="A3394" s="102"/>
      <c r="B3394" s="116"/>
    </row>
    <row r="3395" spans="1:2" x14ac:dyDescent="0.2">
      <c r="A3395" s="102"/>
      <c r="B3395" s="116"/>
    </row>
    <row r="3396" spans="1:2" x14ac:dyDescent="0.2">
      <c r="A3396" s="102"/>
      <c r="B3396" s="116"/>
    </row>
    <row r="3397" spans="1:2" x14ac:dyDescent="0.2">
      <c r="A3397" s="102"/>
      <c r="B3397" s="116"/>
    </row>
    <row r="3398" spans="1:2" x14ac:dyDescent="0.2">
      <c r="A3398" s="102"/>
      <c r="B3398" s="116"/>
    </row>
    <row r="3399" spans="1:2" x14ac:dyDescent="0.2">
      <c r="A3399" s="102"/>
      <c r="B3399" s="116"/>
    </row>
    <row r="3400" spans="1:2" x14ac:dyDescent="0.2">
      <c r="A3400" s="102"/>
      <c r="B3400" s="116"/>
    </row>
    <row r="3401" spans="1:2" x14ac:dyDescent="0.2">
      <c r="A3401" s="102"/>
      <c r="B3401" s="116"/>
    </row>
    <row r="3402" spans="1:2" x14ac:dyDescent="0.2">
      <c r="A3402" s="102"/>
      <c r="B3402" s="116"/>
    </row>
    <row r="3403" spans="1:2" x14ac:dyDescent="0.2">
      <c r="A3403" s="102"/>
      <c r="B3403" s="116"/>
    </row>
    <row r="3404" spans="1:2" x14ac:dyDescent="0.2">
      <c r="A3404" s="102"/>
      <c r="B3404" s="116"/>
    </row>
    <row r="3405" spans="1:2" x14ac:dyDescent="0.2">
      <c r="A3405" s="102"/>
      <c r="B3405" s="116"/>
    </row>
    <row r="3406" spans="1:2" x14ac:dyDescent="0.2">
      <c r="A3406" s="102"/>
      <c r="B3406" s="116"/>
    </row>
    <row r="3407" spans="1:2" x14ac:dyDescent="0.2">
      <c r="A3407" s="102"/>
      <c r="B3407" s="116"/>
    </row>
    <row r="3408" spans="1:2" x14ac:dyDescent="0.2">
      <c r="A3408" s="102"/>
      <c r="B3408" s="116"/>
    </row>
    <row r="3409" spans="1:2" x14ac:dyDescent="0.2">
      <c r="A3409" s="102"/>
      <c r="B3409" s="116"/>
    </row>
    <row r="3410" spans="1:2" x14ac:dyDescent="0.2">
      <c r="A3410" s="102"/>
      <c r="B3410" s="116"/>
    </row>
    <row r="3411" spans="1:2" x14ac:dyDescent="0.2">
      <c r="A3411" s="102"/>
      <c r="B3411" s="116"/>
    </row>
    <row r="3412" spans="1:2" x14ac:dyDescent="0.2">
      <c r="A3412" s="102"/>
      <c r="B3412" s="116"/>
    </row>
    <row r="3413" spans="1:2" x14ac:dyDescent="0.2">
      <c r="A3413" s="102"/>
      <c r="B3413" s="116"/>
    </row>
    <row r="3414" spans="1:2" x14ac:dyDescent="0.2">
      <c r="A3414" s="102"/>
      <c r="B3414" s="116"/>
    </row>
    <row r="3415" spans="1:2" x14ac:dyDescent="0.2">
      <c r="A3415" s="102"/>
      <c r="B3415" s="116"/>
    </row>
    <row r="3416" spans="1:2" x14ac:dyDescent="0.2">
      <c r="A3416" s="102"/>
      <c r="B3416" s="116"/>
    </row>
    <row r="3417" spans="1:2" x14ac:dyDescent="0.2">
      <c r="A3417" s="102"/>
      <c r="B3417" s="116"/>
    </row>
    <row r="3418" spans="1:2" x14ac:dyDescent="0.2">
      <c r="A3418" s="102"/>
      <c r="B3418" s="116"/>
    </row>
    <row r="3419" spans="1:2" x14ac:dyDescent="0.2">
      <c r="A3419" s="102"/>
      <c r="B3419" s="116"/>
    </row>
    <row r="3420" spans="1:2" x14ac:dyDescent="0.2">
      <c r="A3420" s="102"/>
      <c r="B3420" s="116"/>
    </row>
    <row r="3421" spans="1:2" x14ac:dyDescent="0.2">
      <c r="A3421" s="102"/>
      <c r="B3421" s="116"/>
    </row>
    <row r="3422" spans="1:2" x14ac:dyDescent="0.2">
      <c r="A3422" s="102"/>
      <c r="B3422" s="116"/>
    </row>
    <row r="3423" spans="1:2" x14ac:dyDescent="0.2">
      <c r="A3423" s="102"/>
      <c r="B3423" s="116"/>
    </row>
    <row r="3424" spans="1:2" x14ac:dyDescent="0.2">
      <c r="A3424" s="102"/>
      <c r="B3424" s="116"/>
    </row>
    <row r="3425" spans="1:2" x14ac:dyDescent="0.2">
      <c r="A3425" s="102"/>
      <c r="B3425" s="116"/>
    </row>
    <row r="3426" spans="1:2" x14ac:dyDescent="0.2">
      <c r="A3426" s="102"/>
      <c r="B3426" s="116"/>
    </row>
    <row r="3427" spans="1:2" x14ac:dyDescent="0.2">
      <c r="A3427" s="102"/>
      <c r="B3427" s="116"/>
    </row>
    <row r="3428" spans="1:2" x14ac:dyDescent="0.2">
      <c r="A3428" s="102"/>
      <c r="B3428" s="116"/>
    </row>
    <row r="3429" spans="1:2" x14ac:dyDescent="0.2">
      <c r="A3429" s="102"/>
      <c r="B3429" s="116"/>
    </row>
    <row r="3430" spans="1:2" x14ac:dyDescent="0.2">
      <c r="A3430" s="102"/>
      <c r="B3430" s="116"/>
    </row>
    <row r="3431" spans="1:2" x14ac:dyDescent="0.2">
      <c r="A3431" s="102"/>
      <c r="B3431" s="116"/>
    </row>
    <row r="3432" spans="1:2" x14ac:dyDescent="0.2">
      <c r="A3432" s="102"/>
      <c r="B3432" s="116"/>
    </row>
    <row r="3433" spans="1:2" x14ac:dyDescent="0.2">
      <c r="A3433" s="102"/>
      <c r="B3433" s="116"/>
    </row>
    <row r="3434" spans="1:2" x14ac:dyDescent="0.2">
      <c r="A3434" s="102"/>
      <c r="B3434" s="116"/>
    </row>
    <row r="3435" spans="1:2" x14ac:dyDescent="0.2">
      <c r="A3435" s="102"/>
      <c r="B3435" s="116"/>
    </row>
    <row r="3436" spans="1:2" x14ac:dyDescent="0.2">
      <c r="A3436" s="102"/>
      <c r="B3436" s="116"/>
    </row>
    <row r="3437" spans="1:2" x14ac:dyDescent="0.2">
      <c r="A3437" s="102"/>
      <c r="B3437" s="116"/>
    </row>
    <row r="3438" spans="1:2" x14ac:dyDescent="0.2">
      <c r="A3438" s="102"/>
      <c r="B3438" s="116"/>
    </row>
    <row r="3439" spans="1:2" x14ac:dyDescent="0.2">
      <c r="A3439" s="102"/>
      <c r="B3439" s="116"/>
    </row>
    <row r="3440" spans="1:2" x14ac:dyDescent="0.2">
      <c r="A3440" s="102"/>
      <c r="B3440" s="116"/>
    </row>
    <row r="3441" spans="1:2" x14ac:dyDescent="0.2">
      <c r="A3441" s="102"/>
      <c r="B3441" s="116"/>
    </row>
    <row r="3442" spans="1:2" x14ac:dyDescent="0.2">
      <c r="A3442" s="102"/>
      <c r="B3442" s="116"/>
    </row>
    <row r="3443" spans="1:2" x14ac:dyDescent="0.2">
      <c r="A3443" s="102"/>
      <c r="B3443" s="116"/>
    </row>
    <row r="3444" spans="1:2" x14ac:dyDescent="0.2">
      <c r="A3444" s="102"/>
      <c r="B3444" s="116"/>
    </row>
    <row r="3445" spans="1:2" x14ac:dyDescent="0.2">
      <c r="A3445" s="102"/>
      <c r="B3445" s="116"/>
    </row>
    <row r="3446" spans="1:2" x14ac:dyDescent="0.2">
      <c r="A3446" s="102"/>
      <c r="B3446" s="116"/>
    </row>
    <row r="3447" spans="1:2" x14ac:dyDescent="0.2">
      <c r="A3447" s="102"/>
      <c r="B3447" s="116"/>
    </row>
    <row r="3448" spans="1:2" x14ac:dyDescent="0.2">
      <c r="A3448" s="102"/>
      <c r="B3448" s="116"/>
    </row>
    <row r="3449" spans="1:2" x14ac:dyDescent="0.2">
      <c r="A3449" s="102"/>
      <c r="B3449" s="116"/>
    </row>
    <row r="3450" spans="1:2" x14ac:dyDescent="0.2">
      <c r="A3450" s="102"/>
      <c r="B3450" s="116"/>
    </row>
    <row r="3451" spans="1:2" x14ac:dyDescent="0.2">
      <c r="A3451" s="102"/>
      <c r="B3451" s="116"/>
    </row>
    <row r="3452" spans="1:2" x14ac:dyDescent="0.2">
      <c r="A3452" s="102"/>
      <c r="B3452" s="116"/>
    </row>
    <row r="3453" spans="1:2" x14ac:dyDescent="0.2">
      <c r="A3453" s="102"/>
      <c r="B3453" s="116"/>
    </row>
    <row r="3454" spans="1:2" x14ac:dyDescent="0.2">
      <c r="A3454" s="102"/>
      <c r="B3454" s="116"/>
    </row>
    <row r="3455" spans="1:2" x14ac:dyDescent="0.2">
      <c r="A3455" s="102"/>
      <c r="B3455" s="116"/>
    </row>
    <row r="3456" spans="1:2" x14ac:dyDescent="0.2">
      <c r="A3456" s="102"/>
      <c r="B3456" s="116"/>
    </row>
    <row r="3457" spans="1:2" x14ac:dyDescent="0.2">
      <c r="A3457" s="102"/>
      <c r="B3457" s="116"/>
    </row>
    <row r="3458" spans="1:2" x14ac:dyDescent="0.2">
      <c r="A3458" s="102"/>
      <c r="B3458" s="116"/>
    </row>
    <row r="3459" spans="1:2" x14ac:dyDescent="0.2">
      <c r="A3459" s="102"/>
      <c r="B3459" s="116"/>
    </row>
    <row r="3460" spans="1:2" x14ac:dyDescent="0.2">
      <c r="A3460" s="102"/>
      <c r="B3460" s="116"/>
    </row>
    <row r="3461" spans="1:2" x14ac:dyDescent="0.2">
      <c r="A3461" s="102"/>
      <c r="B3461" s="116"/>
    </row>
    <row r="3462" spans="1:2" x14ac:dyDescent="0.2">
      <c r="A3462" s="102"/>
      <c r="B3462" s="116"/>
    </row>
    <row r="3463" spans="1:2" x14ac:dyDescent="0.2">
      <c r="A3463" s="102"/>
      <c r="B3463" s="116"/>
    </row>
    <row r="3464" spans="1:2" x14ac:dyDescent="0.2">
      <c r="A3464" s="102"/>
      <c r="B3464" s="116"/>
    </row>
    <row r="3465" spans="1:2" x14ac:dyDescent="0.2">
      <c r="A3465" s="102"/>
      <c r="B3465" s="116"/>
    </row>
    <row r="3466" spans="1:2" x14ac:dyDescent="0.2">
      <c r="A3466" s="102"/>
      <c r="B3466" s="116"/>
    </row>
    <row r="3467" spans="1:2" x14ac:dyDescent="0.2">
      <c r="A3467" s="102"/>
      <c r="B3467" s="116"/>
    </row>
    <row r="3468" spans="1:2" x14ac:dyDescent="0.2">
      <c r="A3468" s="102"/>
      <c r="B3468" s="116"/>
    </row>
    <row r="3469" spans="1:2" x14ac:dyDescent="0.2">
      <c r="A3469" s="102"/>
      <c r="B3469" s="116"/>
    </row>
    <row r="3470" spans="1:2" x14ac:dyDescent="0.2">
      <c r="A3470" s="102"/>
      <c r="B3470" s="116"/>
    </row>
    <row r="3471" spans="1:2" x14ac:dyDescent="0.2">
      <c r="A3471" s="102"/>
      <c r="B3471" s="116"/>
    </row>
    <row r="3472" spans="1:2" x14ac:dyDescent="0.2">
      <c r="A3472" s="102"/>
      <c r="B3472" s="116"/>
    </row>
    <row r="3473" spans="1:2" x14ac:dyDescent="0.2">
      <c r="A3473" s="102"/>
      <c r="B3473" s="116"/>
    </row>
    <row r="3474" spans="1:2" x14ac:dyDescent="0.2">
      <c r="A3474" s="102"/>
      <c r="B3474" s="116"/>
    </row>
    <row r="3475" spans="1:2" x14ac:dyDescent="0.2">
      <c r="A3475" s="102"/>
      <c r="B3475" s="116"/>
    </row>
    <row r="3476" spans="1:2" x14ac:dyDescent="0.2">
      <c r="A3476" s="102"/>
      <c r="B3476" s="116"/>
    </row>
    <row r="3477" spans="1:2" x14ac:dyDescent="0.2">
      <c r="A3477" s="102"/>
      <c r="B3477" s="116"/>
    </row>
    <row r="3478" spans="1:2" x14ac:dyDescent="0.2">
      <c r="A3478" s="102"/>
      <c r="B3478" s="116"/>
    </row>
    <row r="3479" spans="1:2" x14ac:dyDescent="0.2">
      <c r="A3479" s="102"/>
      <c r="B3479" s="116"/>
    </row>
    <row r="3480" spans="1:2" x14ac:dyDescent="0.2">
      <c r="A3480" s="102"/>
      <c r="B3480" s="116"/>
    </row>
    <row r="3481" spans="1:2" x14ac:dyDescent="0.2">
      <c r="A3481" s="102"/>
      <c r="B3481" s="116"/>
    </row>
    <row r="3482" spans="1:2" x14ac:dyDescent="0.2">
      <c r="A3482" s="102"/>
      <c r="B3482" s="116"/>
    </row>
    <row r="3483" spans="1:2" x14ac:dyDescent="0.2">
      <c r="A3483" s="102"/>
      <c r="B3483" s="116"/>
    </row>
    <row r="3484" spans="1:2" x14ac:dyDescent="0.2">
      <c r="A3484" s="102"/>
      <c r="B3484" s="116"/>
    </row>
    <row r="3485" spans="1:2" x14ac:dyDescent="0.2">
      <c r="A3485" s="102"/>
      <c r="B3485" s="116"/>
    </row>
    <row r="3486" spans="1:2" x14ac:dyDescent="0.2">
      <c r="A3486" s="102"/>
      <c r="B3486" s="116"/>
    </row>
    <row r="3487" spans="1:2" x14ac:dyDescent="0.2">
      <c r="A3487" s="102"/>
      <c r="B3487" s="116"/>
    </row>
    <row r="3488" spans="1:2" x14ac:dyDescent="0.2">
      <c r="A3488" s="102"/>
      <c r="B3488" s="116"/>
    </row>
    <row r="3489" spans="1:2" x14ac:dyDescent="0.2">
      <c r="A3489" s="102"/>
      <c r="B3489" s="116"/>
    </row>
    <row r="3490" spans="1:2" x14ac:dyDescent="0.2">
      <c r="A3490" s="102"/>
      <c r="B3490" s="116"/>
    </row>
    <row r="3491" spans="1:2" x14ac:dyDescent="0.2">
      <c r="A3491" s="102"/>
      <c r="B3491" s="116"/>
    </row>
    <row r="3492" spans="1:2" x14ac:dyDescent="0.2">
      <c r="A3492" s="102"/>
      <c r="B3492" s="116"/>
    </row>
    <row r="3493" spans="1:2" x14ac:dyDescent="0.2">
      <c r="A3493" s="102"/>
      <c r="B3493" s="116"/>
    </row>
    <row r="3494" spans="1:2" x14ac:dyDescent="0.2">
      <c r="A3494" s="102"/>
      <c r="B3494" s="116"/>
    </row>
    <row r="3495" spans="1:2" x14ac:dyDescent="0.2">
      <c r="A3495" s="102"/>
      <c r="B3495" s="116"/>
    </row>
    <row r="3496" spans="1:2" x14ac:dyDescent="0.2">
      <c r="A3496" s="102"/>
      <c r="B3496" s="116"/>
    </row>
    <row r="3497" spans="1:2" x14ac:dyDescent="0.2">
      <c r="A3497" s="102"/>
      <c r="B3497" s="116"/>
    </row>
    <row r="3498" spans="1:2" x14ac:dyDescent="0.2">
      <c r="A3498" s="102"/>
      <c r="B3498" s="116"/>
    </row>
    <row r="3499" spans="1:2" x14ac:dyDescent="0.2">
      <c r="A3499" s="102"/>
      <c r="B3499" s="116"/>
    </row>
    <row r="3500" spans="1:2" x14ac:dyDescent="0.2">
      <c r="A3500" s="102"/>
      <c r="B3500" s="116"/>
    </row>
    <row r="3501" spans="1:2" x14ac:dyDescent="0.2">
      <c r="A3501" s="102"/>
      <c r="B3501" s="116"/>
    </row>
    <row r="3502" spans="1:2" x14ac:dyDescent="0.2">
      <c r="A3502" s="102"/>
      <c r="B3502" s="116"/>
    </row>
    <row r="3503" spans="1:2" x14ac:dyDescent="0.2">
      <c r="A3503" s="102"/>
      <c r="B3503" s="116"/>
    </row>
    <row r="3504" spans="1:2" x14ac:dyDescent="0.2">
      <c r="A3504" s="102"/>
      <c r="B3504" s="116"/>
    </row>
    <row r="3505" spans="1:2" x14ac:dyDescent="0.2">
      <c r="A3505" s="102"/>
      <c r="B3505" s="116"/>
    </row>
    <row r="3506" spans="1:2" x14ac:dyDescent="0.2">
      <c r="A3506" s="102"/>
      <c r="B3506" s="116"/>
    </row>
    <row r="3507" spans="1:2" x14ac:dyDescent="0.2">
      <c r="A3507" s="102"/>
      <c r="B3507" s="116"/>
    </row>
    <row r="3508" spans="1:2" x14ac:dyDescent="0.2">
      <c r="A3508" s="102"/>
      <c r="B3508" s="116"/>
    </row>
    <row r="3509" spans="1:2" x14ac:dyDescent="0.2">
      <c r="A3509" s="102"/>
      <c r="B3509" s="116"/>
    </row>
    <row r="3510" spans="1:2" x14ac:dyDescent="0.2">
      <c r="A3510" s="102"/>
      <c r="B3510" s="116"/>
    </row>
    <row r="3511" spans="1:2" x14ac:dyDescent="0.2">
      <c r="A3511" s="102"/>
      <c r="B3511" s="116"/>
    </row>
    <row r="3512" spans="1:2" x14ac:dyDescent="0.2">
      <c r="A3512" s="102"/>
      <c r="B3512" s="116"/>
    </row>
    <row r="3513" spans="1:2" x14ac:dyDescent="0.2">
      <c r="A3513" s="102"/>
      <c r="B3513" s="116"/>
    </row>
    <row r="3514" spans="1:2" x14ac:dyDescent="0.2">
      <c r="A3514" s="102"/>
      <c r="B3514" s="116"/>
    </row>
    <row r="3515" spans="1:2" x14ac:dyDescent="0.2">
      <c r="A3515" s="102"/>
      <c r="B3515" s="116"/>
    </row>
    <row r="3516" spans="1:2" x14ac:dyDescent="0.2">
      <c r="A3516" s="102"/>
      <c r="B3516" s="116"/>
    </row>
    <row r="3517" spans="1:2" x14ac:dyDescent="0.2">
      <c r="A3517" s="102"/>
      <c r="B3517" s="116"/>
    </row>
    <row r="3518" spans="1:2" x14ac:dyDescent="0.2">
      <c r="A3518" s="102"/>
      <c r="B3518" s="116"/>
    </row>
    <row r="3519" spans="1:2" x14ac:dyDescent="0.2">
      <c r="A3519" s="102"/>
      <c r="B3519" s="116"/>
    </row>
    <row r="3520" spans="1:2" x14ac:dyDescent="0.2">
      <c r="A3520" s="102"/>
      <c r="B3520" s="116"/>
    </row>
    <row r="3521" spans="1:2" x14ac:dyDescent="0.2">
      <c r="A3521" s="102"/>
      <c r="B3521" s="116"/>
    </row>
    <row r="3522" spans="1:2" x14ac:dyDescent="0.2">
      <c r="A3522" s="102"/>
      <c r="B3522" s="116"/>
    </row>
    <row r="3523" spans="1:2" x14ac:dyDescent="0.2">
      <c r="A3523" s="102"/>
      <c r="B3523" s="116"/>
    </row>
    <row r="3524" spans="1:2" x14ac:dyDescent="0.2">
      <c r="A3524" s="102"/>
      <c r="B3524" s="116"/>
    </row>
    <row r="3525" spans="1:2" x14ac:dyDescent="0.2">
      <c r="A3525" s="102"/>
      <c r="B3525" s="116"/>
    </row>
    <row r="3526" spans="1:2" x14ac:dyDescent="0.2">
      <c r="A3526" s="102"/>
      <c r="B3526" s="116"/>
    </row>
    <row r="3527" spans="1:2" x14ac:dyDescent="0.2">
      <c r="A3527" s="102"/>
      <c r="B3527" s="116"/>
    </row>
    <row r="3528" spans="1:2" x14ac:dyDescent="0.2">
      <c r="A3528" s="102"/>
      <c r="B3528" s="116"/>
    </row>
    <row r="3529" spans="1:2" x14ac:dyDescent="0.2">
      <c r="A3529" s="102"/>
      <c r="B3529" s="116"/>
    </row>
    <row r="3530" spans="1:2" x14ac:dyDescent="0.2">
      <c r="A3530" s="102"/>
      <c r="B3530" s="116"/>
    </row>
    <row r="3531" spans="1:2" x14ac:dyDescent="0.2">
      <c r="A3531" s="102"/>
      <c r="B3531" s="116"/>
    </row>
    <row r="3532" spans="1:2" x14ac:dyDescent="0.2">
      <c r="A3532" s="102"/>
      <c r="B3532" s="116"/>
    </row>
    <row r="3533" spans="1:2" x14ac:dyDescent="0.2">
      <c r="A3533" s="102"/>
      <c r="B3533" s="116"/>
    </row>
    <row r="3534" spans="1:2" x14ac:dyDescent="0.2">
      <c r="A3534" s="102"/>
      <c r="B3534" s="116"/>
    </row>
    <row r="3535" spans="1:2" x14ac:dyDescent="0.2">
      <c r="A3535" s="102"/>
      <c r="B3535" s="116"/>
    </row>
    <row r="3536" spans="1:2" x14ac:dyDescent="0.2">
      <c r="A3536" s="102"/>
      <c r="B3536" s="116"/>
    </row>
    <row r="3537" spans="1:2" x14ac:dyDescent="0.2">
      <c r="A3537" s="102"/>
      <c r="B3537" s="116"/>
    </row>
    <row r="3538" spans="1:2" x14ac:dyDescent="0.2">
      <c r="A3538" s="102"/>
      <c r="B3538" s="116"/>
    </row>
    <row r="3539" spans="1:2" x14ac:dyDescent="0.2">
      <c r="A3539" s="102"/>
      <c r="B3539" s="116"/>
    </row>
    <row r="3540" spans="1:2" x14ac:dyDescent="0.2">
      <c r="A3540" s="102"/>
      <c r="B3540" s="116"/>
    </row>
    <row r="3541" spans="1:2" x14ac:dyDescent="0.2">
      <c r="A3541" s="102"/>
      <c r="B3541" s="116"/>
    </row>
    <row r="3542" spans="1:2" x14ac:dyDescent="0.2">
      <c r="A3542" s="102"/>
      <c r="B3542" s="116"/>
    </row>
    <row r="3543" spans="1:2" x14ac:dyDescent="0.2">
      <c r="A3543" s="102"/>
      <c r="B3543" s="116"/>
    </row>
    <row r="3544" spans="1:2" x14ac:dyDescent="0.2">
      <c r="A3544" s="102"/>
      <c r="B3544" s="116"/>
    </row>
    <row r="3545" spans="1:2" x14ac:dyDescent="0.2">
      <c r="A3545" s="102"/>
      <c r="B3545" s="116"/>
    </row>
    <row r="3546" spans="1:2" x14ac:dyDescent="0.2">
      <c r="A3546" s="102"/>
      <c r="B3546" s="116"/>
    </row>
    <row r="3547" spans="1:2" x14ac:dyDescent="0.2">
      <c r="A3547" s="102"/>
      <c r="B3547" s="116"/>
    </row>
    <row r="3548" spans="1:2" x14ac:dyDescent="0.2">
      <c r="A3548" s="102"/>
      <c r="B3548" s="116"/>
    </row>
    <row r="3549" spans="1:2" x14ac:dyDescent="0.2">
      <c r="A3549" s="102"/>
      <c r="B3549" s="116"/>
    </row>
    <row r="3550" spans="1:2" x14ac:dyDescent="0.2">
      <c r="A3550" s="102"/>
      <c r="B3550" s="116"/>
    </row>
    <row r="3551" spans="1:2" x14ac:dyDescent="0.2">
      <c r="A3551" s="102"/>
      <c r="B3551" s="116"/>
    </row>
    <row r="3552" spans="1:2" x14ac:dyDescent="0.2">
      <c r="A3552" s="102"/>
      <c r="B3552" s="116"/>
    </row>
    <row r="3553" spans="1:2" x14ac:dyDescent="0.2">
      <c r="A3553" s="102"/>
      <c r="B3553" s="116"/>
    </row>
    <row r="3554" spans="1:2" x14ac:dyDescent="0.2">
      <c r="A3554" s="102"/>
      <c r="B3554" s="116"/>
    </row>
    <row r="3555" spans="1:2" x14ac:dyDescent="0.2">
      <c r="A3555" s="102"/>
      <c r="B3555" s="116"/>
    </row>
    <row r="3556" spans="1:2" x14ac:dyDescent="0.2">
      <c r="A3556" s="102"/>
      <c r="B3556" s="116"/>
    </row>
    <row r="3557" spans="1:2" x14ac:dyDescent="0.2">
      <c r="A3557" s="102"/>
      <c r="B3557" s="116"/>
    </row>
    <row r="3558" spans="1:2" x14ac:dyDescent="0.2">
      <c r="A3558" s="102"/>
      <c r="B3558" s="116"/>
    </row>
    <row r="3559" spans="1:2" x14ac:dyDescent="0.2">
      <c r="A3559" s="102"/>
      <c r="B3559" s="116"/>
    </row>
    <row r="3560" spans="1:2" x14ac:dyDescent="0.2">
      <c r="A3560" s="102"/>
      <c r="B3560" s="116"/>
    </row>
    <row r="3561" spans="1:2" x14ac:dyDescent="0.2">
      <c r="A3561" s="102"/>
      <c r="B3561" s="116"/>
    </row>
    <row r="3562" spans="1:2" x14ac:dyDescent="0.2">
      <c r="A3562" s="102"/>
      <c r="B3562" s="116"/>
    </row>
    <row r="3563" spans="1:2" x14ac:dyDescent="0.2">
      <c r="A3563" s="102"/>
      <c r="B3563" s="116"/>
    </row>
    <row r="3564" spans="1:2" x14ac:dyDescent="0.2">
      <c r="A3564" s="102"/>
      <c r="B3564" s="116"/>
    </row>
    <row r="3565" spans="1:2" x14ac:dyDescent="0.2">
      <c r="A3565" s="102"/>
      <c r="B3565" s="116"/>
    </row>
    <row r="3566" spans="1:2" x14ac:dyDescent="0.2">
      <c r="A3566" s="102"/>
      <c r="B3566" s="116"/>
    </row>
    <row r="3567" spans="1:2" x14ac:dyDescent="0.2">
      <c r="A3567" s="102"/>
      <c r="B3567" s="116"/>
    </row>
    <row r="3568" spans="1:2" x14ac:dyDescent="0.2">
      <c r="A3568" s="102"/>
      <c r="B3568" s="116"/>
    </row>
    <row r="3569" spans="1:2" x14ac:dyDescent="0.2">
      <c r="A3569" s="102"/>
      <c r="B3569" s="116"/>
    </row>
    <row r="3570" spans="1:2" x14ac:dyDescent="0.2">
      <c r="A3570" s="102"/>
      <c r="B3570" s="116"/>
    </row>
    <row r="3571" spans="1:2" x14ac:dyDescent="0.2">
      <c r="A3571" s="102"/>
      <c r="B3571" s="116"/>
    </row>
    <row r="3572" spans="1:2" x14ac:dyDescent="0.2">
      <c r="A3572" s="102"/>
      <c r="B3572" s="116"/>
    </row>
    <row r="3573" spans="1:2" x14ac:dyDescent="0.2">
      <c r="A3573" s="102"/>
      <c r="B3573" s="116"/>
    </row>
    <row r="3574" spans="1:2" x14ac:dyDescent="0.2">
      <c r="A3574" s="102"/>
      <c r="B3574" s="116"/>
    </row>
    <row r="3575" spans="1:2" x14ac:dyDescent="0.2">
      <c r="A3575" s="102"/>
      <c r="B3575" s="116"/>
    </row>
    <row r="3576" spans="1:2" x14ac:dyDescent="0.2">
      <c r="A3576" s="102"/>
      <c r="B3576" s="116"/>
    </row>
    <row r="3577" spans="1:2" x14ac:dyDescent="0.2">
      <c r="A3577" s="102"/>
      <c r="B3577" s="116"/>
    </row>
    <row r="3578" spans="1:2" x14ac:dyDescent="0.2">
      <c r="A3578" s="102"/>
      <c r="B3578" s="116"/>
    </row>
    <row r="3579" spans="1:2" x14ac:dyDescent="0.2">
      <c r="A3579" s="102"/>
      <c r="B3579" s="116"/>
    </row>
    <row r="3580" spans="1:2" x14ac:dyDescent="0.2">
      <c r="A3580" s="102"/>
      <c r="B3580" s="116"/>
    </row>
    <row r="3581" spans="1:2" x14ac:dyDescent="0.2">
      <c r="A3581" s="102"/>
      <c r="B3581" s="116"/>
    </row>
    <row r="3582" spans="1:2" x14ac:dyDescent="0.2">
      <c r="A3582" s="102"/>
      <c r="B3582" s="116"/>
    </row>
    <row r="3583" spans="1:2" x14ac:dyDescent="0.2">
      <c r="A3583" s="102"/>
      <c r="B3583" s="116"/>
    </row>
    <row r="3584" spans="1:2" x14ac:dyDescent="0.2">
      <c r="A3584" s="102"/>
      <c r="B3584" s="116"/>
    </row>
    <row r="3585" spans="1:2" x14ac:dyDescent="0.2">
      <c r="A3585" s="102"/>
      <c r="B3585" s="116"/>
    </row>
    <row r="3586" spans="1:2" x14ac:dyDescent="0.2">
      <c r="A3586" s="102"/>
      <c r="B3586" s="116"/>
    </row>
    <row r="3587" spans="1:2" x14ac:dyDescent="0.2">
      <c r="A3587" s="102"/>
      <c r="B3587" s="116"/>
    </row>
    <row r="3588" spans="1:2" x14ac:dyDescent="0.2">
      <c r="A3588" s="102"/>
      <c r="B3588" s="116"/>
    </row>
    <row r="3589" spans="1:2" x14ac:dyDescent="0.2">
      <c r="A3589" s="102"/>
      <c r="B3589" s="116"/>
    </row>
    <row r="3590" spans="1:2" x14ac:dyDescent="0.2">
      <c r="A3590" s="102"/>
      <c r="B3590" s="116"/>
    </row>
    <row r="3591" spans="1:2" x14ac:dyDescent="0.2">
      <c r="A3591" s="102"/>
      <c r="B3591" s="116"/>
    </row>
    <row r="3592" spans="1:2" x14ac:dyDescent="0.2">
      <c r="A3592" s="102"/>
      <c r="B3592" s="116"/>
    </row>
    <row r="3593" spans="1:2" x14ac:dyDescent="0.2">
      <c r="A3593" s="102"/>
      <c r="B3593" s="116"/>
    </row>
    <row r="3594" spans="1:2" x14ac:dyDescent="0.2">
      <c r="A3594" s="102"/>
      <c r="B3594" s="116"/>
    </row>
    <row r="3595" spans="1:2" x14ac:dyDescent="0.2">
      <c r="A3595" s="102"/>
      <c r="B3595" s="116"/>
    </row>
    <row r="3596" spans="1:2" x14ac:dyDescent="0.2">
      <c r="A3596" s="102"/>
      <c r="B3596" s="116"/>
    </row>
    <row r="3597" spans="1:2" x14ac:dyDescent="0.2">
      <c r="A3597" s="102"/>
      <c r="B3597" s="116"/>
    </row>
    <row r="3598" spans="1:2" x14ac:dyDescent="0.2">
      <c r="A3598" s="102"/>
      <c r="B3598" s="116"/>
    </row>
    <row r="3599" spans="1:2" x14ac:dyDescent="0.2">
      <c r="A3599" s="102"/>
      <c r="B3599" s="116"/>
    </row>
    <row r="3600" spans="1:2" x14ac:dyDescent="0.2">
      <c r="A3600" s="102"/>
      <c r="B3600" s="116"/>
    </row>
    <row r="3601" spans="1:2" x14ac:dyDescent="0.2">
      <c r="A3601" s="102"/>
      <c r="B3601" s="116"/>
    </row>
    <row r="3602" spans="1:2" x14ac:dyDescent="0.2">
      <c r="A3602" s="102"/>
      <c r="B3602" s="116"/>
    </row>
    <row r="3603" spans="1:2" x14ac:dyDescent="0.2">
      <c r="A3603" s="102"/>
      <c r="B3603" s="116"/>
    </row>
    <row r="3604" spans="1:2" x14ac:dyDescent="0.2">
      <c r="A3604" s="102"/>
      <c r="B3604" s="116"/>
    </row>
    <row r="3605" spans="1:2" x14ac:dyDescent="0.2">
      <c r="A3605" s="102"/>
      <c r="B3605" s="116"/>
    </row>
    <row r="3606" spans="1:2" x14ac:dyDescent="0.2">
      <c r="A3606" s="102"/>
      <c r="B3606" s="116"/>
    </row>
    <row r="3607" spans="1:2" x14ac:dyDescent="0.2">
      <c r="A3607" s="102"/>
      <c r="B3607" s="116"/>
    </row>
    <row r="3608" spans="1:2" x14ac:dyDescent="0.2">
      <c r="A3608" s="102"/>
      <c r="B3608" s="116"/>
    </row>
    <row r="3609" spans="1:2" x14ac:dyDescent="0.2">
      <c r="A3609" s="102"/>
      <c r="B3609" s="116"/>
    </row>
    <row r="3610" spans="1:2" x14ac:dyDescent="0.2">
      <c r="A3610" s="102"/>
      <c r="B3610" s="116"/>
    </row>
    <row r="3611" spans="1:2" x14ac:dyDescent="0.2">
      <c r="A3611" s="102"/>
      <c r="B3611" s="116"/>
    </row>
    <row r="3612" spans="1:2" x14ac:dyDescent="0.2">
      <c r="A3612" s="102"/>
      <c r="B3612" s="116"/>
    </row>
    <row r="3613" spans="1:2" x14ac:dyDescent="0.2">
      <c r="A3613" s="102"/>
      <c r="B3613" s="116"/>
    </row>
    <row r="3614" spans="1:2" x14ac:dyDescent="0.2">
      <c r="A3614" s="102"/>
      <c r="B3614" s="116"/>
    </row>
    <row r="3615" spans="1:2" x14ac:dyDescent="0.2">
      <c r="A3615" s="102"/>
      <c r="B3615" s="116"/>
    </row>
    <row r="3616" spans="1:2" x14ac:dyDescent="0.2">
      <c r="A3616" s="102"/>
      <c r="B3616" s="116"/>
    </row>
    <row r="3617" spans="1:2" x14ac:dyDescent="0.2">
      <c r="A3617" s="102"/>
      <c r="B3617" s="116"/>
    </row>
    <row r="3618" spans="1:2" x14ac:dyDescent="0.2">
      <c r="A3618" s="102"/>
      <c r="B3618" s="116"/>
    </row>
    <row r="3619" spans="1:2" x14ac:dyDescent="0.2">
      <c r="A3619" s="102"/>
      <c r="B3619" s="116"/>
    </row>
    <row r="3620" spans="1:2" x14ac:dyDescent="0.2">
      <c r="A3620" s="102"/>
      <c r="B3620" s="116"/>
    </row>
    <row r="3621" spans="1:2" x14ac:dyDescent="0.2">
      <c r="A3621" s="102"/>
      <c r="B3621" s="116"/>
    </row>
    <row r="3622" spans="1:2" x14ac:dyDescent="0.2">
      <c r="A3622" s="102"/>
      <c r="B3622" s="116"/>
    </row>
    <row r="3623" spans="1:2" x14ac:dyDescent="0.2">
      <c r="A3623" s="102"/>
      <c r="B3623" s="116"/>
    </row>
    <row r="3624" spans="1:2" x14ac:dyDescent="0.2">
      <c r="A3624" s="102"/>
      <c r="B3624" s="116"/>
    </row>
    <row r="3625" spans="1:2" x14ac:dyDescent="0.2">
      <c r="A3625" s="102"/>
      <c r="B3625" s="116"/>
    </row>
    <row r="3626" spans="1:2" x14ac:dyDescent="0.2">
      <c r="A3626" s="102"/>
      <c r="B3626" s="116"/>
    </row>
    <row r="3627" spans="1:2" x14ac:dyDescent="0.2">
      <c r="A3627" s="102"/>
      <c r="B3627" s="116"/>
    </row>
    <row r="3628" spans="1:2" x14ac:dyDescent="0.2">
      <c r="A3628" s="102"/>
      <c r="B3628" s="116"/>
    </row>
    <row r="3629" spans="1:2" x14ac:dyDescent="0.2">
      <c r="A3629" s="102"/>
      <c r="B3629" s="116"/>
    </row>
    <row r="3630" spans="1:2" x14ac:dyDescent="0.2">
      <c r="A3630" s="102"/>
      <c r="B3630" s="116"/>
    </row>
    <row r="3631" spans="1:2" x14ac:dyDescent="0.2">
      <c r="A3631" s="102"/>
      <c r="B3631" s="116"/>
    </row>
    <row r="3632" spans="1:2" x14ac:dyDescent="0.2">
      <c r="A3632" s="102"/>
      <c r="B3632" s="116"/>
    </row>
    <row r="3633" spans="1:2" x14ac:dyDescent="0.2">
      <c r="A3633" s="102"/>
      <c r="B3633" s="116"/>
    </row>
    <row r="3634" spans="1:2" x14ac:dyDescent="0.2">
      <c r="A3634" s="102"/>
      <c r="B3634" s="116"/>
    </row>
    <row r="3635" spans="1:2" x14ac:dyDescent="0.2">
      <c r="A3635" s="102"/>
      <c r="B3635" s="116"/>
    </row>
    <row r="3636" spans="1:2" x14ac:dyDescent="0.2">
      <c r="A3636" s="102"/>
      <c r="B3636" s="116"/>
    </row>
    <row r="3637" spans="1:2" x14ac:dyDescent="0.2">
      <c r="A3637" s="102"/>
      <c r="B3637" s="116"/>
    </row>
    <row r="3638" spans="1:2" x14ac:dyDescent="0.2">
      <c r="A3638" s="102"/>
      <c r="B3638" s="116"/>
    </row>
    <row r="3639" spans="1:2" x14ac:dyDescent="0.2">
      <c r="A3639" s="102"/>
      <c r="B3639" s="116"/>
    </row>
    <row r="3640" spans="1:2" x14ac:dyDescent="0.2">
      <c r="A3640" s="102"/>
      <c r="B3640" s="116"/>
    </row>
    <row r="3641" spans="1:2" x14ac:dyDescent="0.2">
      <c r="A3641" s="102"/>
      <c r="B3641" s="116"/>
    </row>
    <row r="3642" spans="1:2" x14ac:dyDescent="0.2">
      <c r="A3642" s="102"/>
      <c r="B3642" s="116"/>
    </row>
    <row r="3643" spans="1:2" x14ac:dyDescent="0.2">
      <c r="A3643" s="102"/>
      <c r="B3643" s="116"/>
    </row>
    <row r="3644" spans="1:2" x14ac:dyDescent="0.2">
      <c r="A3644" s="102"/>
      <c r="B3644" s="116"/>
    </row>
    <row r="3645" spans="1:2" x14ac:dyDescent="0.2">
      <c r="A3645" s="102"/>
      <c r="B3645" s="116"/>
    </row>
    <row r="3646" spans="1:2" x14ac:dyDescent="0.2">
      <c r="A3646" s="102"/>
      <c r="B3646" s="116"/>
    </row>
    <row r="3647" spans="1:2" x14ac:dyDescent="0.2">
      <c r="A3647" s="102"/>
      <c r="B3647" s="116"/>
    </row>
    <row r="3648" spans="1:2" x14ac:dyDescent="0.2">
      <c r="A3648" s="102"/>
      <c r="B3648" s="116"/>
    </row>
    <row r="3649" spans="1:2" x14ac:dyDescent="0.2">
      <c r="A3649" s="102"/>
      <c r="B3649" s="116"/>
    </row>
    <row r="3650" spans="1:2" x14ac:dyDescent="0.2">
      <c r="A3650" s="102"/>
      <c r="B3650" s="116"/>
    </row>
    <row r="3651" spans="1:2" x14ac:dyDescent="0.2">
      <c r="A3651" s="102"/>
      <c r="B3651" s="116"/>
    </row>
    <row r="3652" spans="1:2" x14ac:dyDescent="0.2">
      <c r="A3652" s="102"/>
      <c r="B3652" s="116"/>
    </row>
    <row r="3653" spans="1:2" x14ac:dyDescent="0.2">
      <c r="A3653" s="102"/>
      <c r="B3653" s="116"/>
    </row>
    <row r="3654" spans="1:2" x14ac:dyDescent="0.2">
      <c r="A3654" s="102"/>
      <c r="B3654" s="116"/>
    </row>
    <row r="3655" spans="1:2" x14ac:dyDescent="0.2">
      <c r="A3655" s="102"/>
      <c r="B3655" s="116"/>
    </row>
    <row r="3656" spans="1:2" x14ac:dyDescent="0.2">
      <c r="A3656" s="102"/>
      <c r="B3656" s="116"/>
    </row>
    <row r="3657" spans="1:2" x14ac:dyDescent="0.2">
      <c r="A3657" s="102"/>
      <c r="B3657" s="116"/>
    </row>
    <row r="3658" spans="1:2" x14ac:dyDescent="0.2">
      <c r="A3658" s="102"/>
      <c r="B3658" s="116"/>
    </row>
    <row r="3659" spans="1:2" x14ac:dyDescent="0.2">
      <c r="A3659" s="102"/>
      <c r="B3659" s="116"/>
    </row>
    <row r="3660" spans="1:2" x14ac:dyDescent="0.2">
      <c r="A3660" s="102"/>
      <c r="B3660" s="116"/>
    </row>
    <row r="3661" spans="1:2" x14ac:dyDescent="0.2">
      <c r="A3661" s="102"/>
      <c r="B3661" s="116"/>
    </row>
    <row r="3662" spans="1:2" x14ac:dyDescent="0.2">
      <c r="A3662" s="102"/>
      <c r="B3662" s="116"/>
    </row>
    <row r="3663" spans="1:2" x14ac:dyDescent="0.2">
      <c r="A3663" s="102"/>
      <c r="B3663" s="116"/>
    </row>
    <row r="3664" spans="1:2" x14ac:dyDescent="0.2">
      <c r="A3664" s="102"/>
      <c r="B3664" s="116"/>
    </row>
    <row r="3665" spans="1:2" x14ac:dyDescent="0.2">
      <c r="A3665" s="102"/>
      <c r="B3665" s="116"/>
    </row>
    <row r="3666" spans="1:2" x14ac:dyDescent="0.2">
      <c r="A3666" s="102"/>
      <c r="B3666" s="116"/>
    </row>
    <row r="3667" spans="1:2" x14ac:dyDescent="0.2">
      <c r="A3667" s="102"/>
      <c r="B3667" s="116"/>
    </row>
    <row r="3668" spans="1:2" x14ac:dyDescent="0.2">
      <c r="A3668" s="102"/>
      <c r="B3668" s="116"/>
    </row>
    <row r="3669" spans="1:2" x14ac:dyDescent="0.2">
      <c r="A3669" s="102"/>
      <c r="B3669" s="116"/>
    </row>
    <row r="3670" spans="1:2" x14ac:dyDescent="0.2">
      <c r="A3670" s="102"/>
      <c r="B3670" s="116"/>
    </row>
    <row r="3671" spans="1:2" x14ac:dyDescent="0.2">
      <c r="A3671" s="102"/>
      <c r="B3671" s="116"/>
    </row>
    <row r="3672" spans="1:2" x14ac:dyDescent="0.2">
      <c r="A3672" s="102"/>
      <c r="B3672" s="116"/>
    </row>
    <row r="3673" spans="1:2" x14ac:dyDescent="0.2">
      <c r="A3673" s="102"/>
      <c r="B3673" s="116"/>
    </row>
    <row r="3674" spans="1:2" x14ac:dyDescent="0.2">
      <c r="A3674" s="102"/>
      <c r="B3674" s="116"/>
    </row>
    <row r="3675" spans="1:2" x14ac:dyDescent="0.2">
      <c r="A3675" s="102"/>
      <c r="B3675" s="116"/>
    </row>
    <row r="3676" spans="1:2" x14ac:dyDescent="0.2">
      <c r="A3676" s="102"/>
      <c r="B3676" s="116"/>
    </row>
    <row r="3677" spans="1:2" x14ac:dyDescent="0.2">
      <c r="A3677" s="102"/>
      <c r="B3677" s="116"/>
    </row>
    <row r="3678" spans="1:2" x14ac:dyDescent="0.2">
      <c r="A3678" s="102"/>
      <c r="B3678" s="116"/>
    </row>
    <row r="3679" spans="1:2" x14ac:dyDescent="0.2">
      <c r="A3679" s="102"/>
      <c r="B3679" s="116"/>
    </row>
    <row r="3680" spans="1:2" x14ac:dyDescent="0.2">
      <c r="A3680" s="102"/>
      <c r="B3680" s="116"/>
    </row>
    <row r="3681" spans="1:2" x14ac:dyDescent="0.2">
      <c r="A3681" s="102"/>
      <c r="B3681" s="116"/>
    </row>
    <row r="3682" spans="1:2" x14ac:dyDescent="0.2">
      <c r="A3682" s="102"/>
      <c r="B3682" s="116"/>
    </row>
    <row r="3683" spans="1:2" x14ac:dyDescent="0.2">
      <c r="A3683" s="102"/>
      <c r="B3683" s="116"/>
    </row>
    <row r="3684" spans="1:2" x14ac:dyDescent="0.2">
      <c r="A3684" s="102"/>
      <c r="B3684" s="116"/>
    </row>
    <row r="3685" spans="1:2" x14ac:dyDescent="0.2">
      <c r="A3685" s="102"/>
      <c r="B3685" s="116"/>
    </row>
    <row r="3686" spans="1:2" x14ac:dyDescent="0.2">
      <c r="A3686" s="102"/>
      <c r="B3686" s="116"/>
    </row>
    <row r="3687" spans="1:2" x14ac:dyDescent="0.2">
      <c r="A3687" s="102"/>
      <c r="B3687" s="116"/>
    </row>
    <row r="3688" spans="1:2" x14ac:dyDescent="0.2">
      <c r="A3688" s="102"/>
      <c r="B3688" s="116"/>
    </row>
    <row r="3689" spans="1:2" x14ac:dyDescent="0.2">
      <c r="A3689" s="102"/>
      <c r="B3689" s="116"/>
    </row>
    <row r="3690" spans="1:2" x14ac:dyDescent="0.2">
      <c r="A3690" s="102"/>
      <c r="B3690" s="116"/>
    </row>
    <row r="3691" spans="1:2" x14ac:dyDescent="0.2">
      <c r="A3691" s="102"/>
      <c r="B3691" s="116"/>
    </row>
    <row r="3692" spans="1:2" x14ac:dyDescent="0.2">
      <c r="A3692" s="102"/>
      <c r="B3692" s="116"/>
    </row>
    <row r="3693" spans="1:2" x14ac:dyDescent="0.2">
      <c r="A3693" s="102"/>
      <c r="B3693" s="116"/>
    </row>
    <row r="3694" spans="1:2" x14ac:dyDescent="0.2">
      <c r="A3694" s="102"/>
      <c r="B3694" s="116"/>
    </row>
    <row r="3695" spans="1:2" x14ac:dyDescent="0.2">
      <c r="A3695" s="102"/>
      <c r="B3695" s="116"/>
    </row>
    <row r="3696" spans="1:2" x14ac:dyDescent="0.2">
      <c r="A3696" s="102"/>
      <c r="B3696" s="116"/>
    </row>
    <row r="3697" spans="1:2" x14ac:dyDescent="0.2">
      <c r="A3697" s="102"/>
      <c r="B3697" s="116"/>
    </row>
    <row r="3698" spans="1:2" x14ac:dyDescent="0.2">
      <c r="A3698" s="102"/>
      <c r="B3698" s="116"/>
    </row>
    <row r="3699" spans="1:2" x14ac:dyDescent="0.2">
      <c r="A3699" s="102"/>
      <c r="B3699" s="116"/>
    </row>
    <row r="3700" spans="1:2" x14ac:dyDescent="0.2">
      <c r="A3700" s="102"/>
      <c r="B3700" s="116"/>
    </row>
    <row r="3701" spans="1:2" x14ac:dyDescent="0.2">
      <c r="A3701" s="102"/>
      <c r="B3701" s="116"/>
    </row>
    <row r="3702" spans="1:2" x14ac:dyDescent="0.2">
      <c r="A3702" s="102"/>
      <c r="B3702" s="116"/>
    </row>
    <row r="3703" spans="1:2" x14ac:dyDescent="0.2">
      <c r="A3703" s="102"/>
      <c r="B3703" s="116"/>
    </row>
    <row r="3704" spans="1:2" x14ac:dyDescent="0.2">
      <c r="A3704" s="102"/>
      <c r="B3704" s="116"/>
    </row>
    <row r="3705" spans="1:2" x14ac:dyDescent="0.2">
      <c r="A3705" s="102"/>
      <c r="B3705" s="116"/>
    </row>
    <row r="3706" spans="1:2" x14ac:dyDescent="0.2">
      <c r="A3706" s="102"/>
      <c r="B3706" s="116"/>
    </row>
    <row r="3707" spans="1:2" x14ac:dyDescent="0.2">
      <c r="A3707" s="102"/>
      <c r="B3707" s="116"/>
    </row>
    <row r="3708" spans="1:2" x14ac:dyDescent="0.2">
      <c r="A3708" s="102"/>
      <c r="B3708" s="116"/>
    </row>
    <row r="3709" spans="1:2" x14ac:dyDescent="0.2">
      <c r="A3709" s="102"/>
      <c r="B3709" s="116"/>
    </row>
    <row r="3710" spans="1:2" x14ac:dyDescent="0.2">
      <c r="A3710" s="102"/>
      <c r="B3710" s="116"/>
    </row>
    <row r="3711" spans="1:2" x14ac:dyDescent="0.2">
      <c r="A3711" s="102"/>
      <c r="B3711" s="116"/>
    </row>
    <row r="3712" spans="1:2" x14ac:dyDescent="0.2">
      <c r="A3712" s="102"/>
      <c r="B3712" s="116"/>
    </row>
    <row r="3713" spans="1:2" x14ac:dyDescent="0.2">
      <c r="A3713" s="102"/>
      <c r="B3713" s="116"/>
    </row>
    <row r="3714" spans="1:2" x14ac:dyDescent="0.2">
      <c r="A3714" s="102"/>
      <c r="B3714" s="116"/>
    </row>
    <row r="3715" spans="1:2" x14ac:dyDescent="0.2">
      <c r="A3715" s="102"/>
      <c r="B3715" s="116"/>
    </row>
    <row r="3716" spans="1:2" x14ac:dyDescent="0.2">
      <c r="A3716" s="102"/>
      <c r="B3716" s="116"/>
    </row>
    <row r="3717" spans="1:2" x14ac:dyDescent="0.2">
      <c r="A3717" s="102"/>
      <c r="B3717" s="116"/>
    </row>
    <row r="3718" spans="1:2" x14ac:dyDescent="0.2">
      <c r="A3718" s="102"/>
      <c r="B3718" s="116"/>
    </row>
    <row r="3719" spans="1:2" x14ac:dyDescent="0.2">
      <c r="A3719" s="102"/>
      <c r="B3719" s="116"/>
    </row>
    <row r="3720" spans="1:2" x14ac:dyDescent="0.2">
      <c r="A3720" s="102"/>
      <c r="B3720" s="116"/>
    </row>
    <row r="3721" spans="1:2" x14ac:dyDescent="0.2">
      <c r="A3721" s="102"/>
      <c r="B3721" s="116"/>
    </row>
    <row r="3722" spans="1:2" x14ac:dyDescent="0.2">
      <c r="A3722" s="102"/>
      <c r="B3722" s="116"/>
    </row>
    <row r="3723" spans="1:2" x14ac:dyDescent="0.2">
      <c r="A3723" s="102"/>
      <c r="B3723" s="116"/>
    </row>
    <row r="3724" spans="1:2" x14ac:dyDescent="0.2">
      <c r="A3724" s="102"/>
      <c r="B3724" s="116"/>
    </row>
    <row r="3725" spans="1:2" x14ac:dyDescent="0.2">
      <c r="A3725" s="102"/>
      <c r="B3725" s="116"/>
    </row>
    <row r="3726" spans="1:2" x14ac:dyDescent="0.2">
      <c r="A3726" s="102"/>
      <c r="B3726" s="116"/>
    </row>
    <row r="3727" spans="1:2" x14ac:dyDescent="0.2">
      <c r="A3727" s="102"/>
      <c r="B3727" s="116"/>
    </row>
    <row r="3728" spans="1:2" x14ac:dyDescent="0.2">
      <c r="A3728" s="102"/>
      <c r="B3728" s="116"/>
    </row>
    <row r="3729" spans="1:2" x14ac:dyDescent="0.2">
      <c r="A3729" s="102"/>
      <c r="B3729" s="116"/>
    </row>
    <row r="3730" spans="1:2" x14ac:dyDescent="0.2">
      <c r="A3730" s="102"/>
      <c r="B3730" s="116"/>
    </row>
    <row r="3731" spans="1:2" x14ac:dyDescent="0.2">
      <c r="A3731" s="102"/>
      <c r="B3731" s="116"/>
    </row>
    <row r="3732" spans="1:2" x14ac:dyDescent="0.2">
      <c r="A3732" s="102"/>
      <c r="B3732" s="116"/>
    </row>
    <row r="3733" spans="1:2" x14ac:dyDescent="0.2">
      <c r="A3733" s="102"/>
      <c r="B3733" s="116"/>
    </row>
    <row r="3734" spans="1:2" x14ac:dyDescent="0.2">
      <c r="A3734" s="102"/>
      <c r="B3734" s="116"/>
    </row>
    <row r="3735" spans="1:2" x14ac:dyDescent="0.2">
      <c r="A3735" s="102"/>
      <c r="B3735" s="116"/>
    </row>
    <row r="3736" spans="1:2" x14ac:dyDescent="0.2">
      <c r="A3736" s="102"/>
      <c r="B3736" s="116"/>
    </row>
    <row r="3737" spans="1:2" x14ac:dyDescent="0.2">
      <c r="A3737" s="102"/>
      <c r="B3737" s="116"/>
    </row>
    <row r="3738" spans="1:2" x14ac:dyDescent="0.2">
      <c r="A3738" s="102"/>
      <c r="B3738" s="116"/>
    </row>
    <row r="3739" spans="1:2" x14ac:dyDescent="0.2">
      <c r="A3739" s="102"/>
      <c r="B3739" s="116"/>
    </row>
    <row r="3740" spans="1:2" x14ac:dyDescent="0.2">
      <c r="A3740" s="102"/>
      <c r="B3740" s="116"/>
    </row>
    <row r="3741" spans="1:2" x14ac:dyDescent="0.2">
      <c r="A3741" s="102"/>
      <c r="B3741" s="116"/>
    </row>
    <row r="3742" spans="1:2" x14ac:dyDescent="0.2">
      <c r="A3742" s="102"/>
      <c r="B3742" s="116"/>
    </row>
    <row r="3743" spans="1:2" x14ac:dyDescent="0.2">
      <c r="A3743" s="102"/>
      <c r="B3743" s="116"/>
    </row>
    <row r="3744" spans="1:2" x14ac:dyDescent="0.2">
      <c r="A3744" s="102"/>
      <c r="B3744" s="116"/>
    </row>
    <row r="3745" spans="1:2" x14ac:dyDescent="0.2">
      <c r="A3745" s="102"/>
      <c r="B3745" s="116"/>
    </row>
    <row r="3746" spans="1:2" x14ac:dyDescent="0.2">
      <c r="A3746" s="102"/>
      <c r="B3746" s="116"/>
    </row>
    <row r="3747" spans="1:2" x14ac:dyDescent="0.2">
      <c r="A3747" s="102"/>
      <c r="B3747" s="116"/>
    </row>
    <row r="3748" spans="1:2" x14ac:dyDescent="0.2">
      <c r="A3748" s="102"/>
      <c r="B3748" s="116"/>
    </row>
    <row r="3749" spans="1:2" x14ac:dyDescent="0.2">
      <c r="A3749" s="102"/>
      <c r="B3749" s="116"/>
    </row>
    <row r="3750" spans="1:2" x14ac:dyDescent="0.2">
      <c r="A3750" s="102"/>
      <c r="B3750" s="116"/>
    </row>
    <row r="3751" spans="1:2" x14ac:dyDescent="0.2">
      <c r="A3751" s="102"/>
      <c r="B3751" s="116"/>
    </row>
    <row r="3752" spans="1:2" x14ac:dyDescent="0.2">
      <c r="A3752" s="102"/>
      <c r="B3752" s="116"/>
    </row>
    <row r="3753" spans="1:2" x14ac:dyDescent="0.2">
      <c r="A3753" s="102"/>
      <c r="B3753" s="116"/>
    </row>
    <row r="3754" spans="1:2" x14ac:dyDescent="0.2">
      <c r="A3754" s="102"/>
      <c r="B3754" s="116"/>
    </row>
    <row r="3755" spans="1:2" x14ac:dyDescent="0.2">
      <c r="A3755" s="102"/>
      <c r="B3755" s="116"/>
    </row>
    <row r="3756" spans="1:2" x14ac:dyDescent="0.2">
      <c r="A3756" s="102"/>
      <c r="B3756" s="116"/>
    </row>
    <row r="3757" spans="1:2" x14ac:dyDescent="0.2">
      <c r="A3757" s="102"/>
      <c r="B3757" s="116"/>
    </row>
    <row r="3758" spans="1:2" x14ac:dyDescent="0.2">
      <c r="A3758" s="102"/>
      <c r="B3758" s="116"/>
    </row>
    <row r="3759" spans="1:2" x14ac:dyDescent="0.2">
      <c r="A3759" s="102"/>
      <c r="B3759" s="116"/>
    </row>
    <row r="3760" spans="1:2" x14ac:dyDescent="0.2">
      <c r="A3760" s="102"/>
      <c r="B3760" s="116"/>
    </row>
    <row r="3761" spans="1:2" x14ac:dyDescent="0.2">
      <c r="A3761" s="102"/>
      <c r="B3761" s="116"/>
    </row>
    <row r="3762" spans="1:2" x14ac:dyDescent="0.2">
      <c r="A3762" s="102"/>
      <c r="B3762" s="116"/>
    </row>
    <row r="3763" spans="1:2" x14ac:dyDescent="0.2">
      <c r="A3763" s="102"/>
      <c r="B3763" s="116"/>
    </row>
    <row r="3764" spans="1:2" x14ac:dyDescent="0.2">
      <c r="A3764" s="102"/>
      <c r="B3764" s="116"/>
    </row>
    <row r="3765" spans="1:2" x14ac:dyDescent="0.2">
      <c r="A3765" s="102"/>
      <c r="B3765" s="116"/>
    </row>
    <row r="3766" spans="1:2" x14ac:dyDescent="0.2">
      <c r="A3766" s="102"/>
      <c r="B3766" s="116"/>
    </row>
    <row r="3767" spans="1:2" x14ac:dyDescent="0.2">
      <c r="A3767" s="102"/>
      <c r="B3767" s="116"/>
    </row>
    <row r="3768" spans="1:2" x14ac:dyDescent="0.2">
      <c r="A3768" s="102"/>
      <c r="B3768" s="116"/>
    </row>
    <row r="3769" spans="1:2" x14ac:dyDescent="0.2">
      <c r="A3769" s="102"/>
      <c r="B3769" s="116"/>
    </row>
    <row r="3770" spans="1:2" x14ac:dyDescent="0.2">
      <c r="A3770" s="102"/>
      <c r="B3770" s="116"/>
    </row>
    <row r="3771" spans="1:2" x14ac:dyDescent="0.2">
      <c r="A3771" s="102"/>
      <c r="B3771" s="116"/>
    </row>
    <row r="3772" spans="1:2" x14ac:dyDescent="0.2">
      <c r="A3772" s="102"/>
      <c r="B3772" s="116"/>
    </row>
    <row r="3773" spans="1:2" x14ac:dyDescent="0.2">
      <c r="A3773" s="102"/>
      <c r="B3773" s="116"/>
    </row>
    <row r="3774" spans="1:2" x14ac:dyDescent="0.2">
      <c r="A3774" s="102"/>
      <c r="B3774" s="116"/>
    </row>
    <row r="3775" spans="1:2" x14ac:dyDescent="0.2">
      <c r="A3775" s="102"/>
      <c r="B3775" s="116"/>
    </row>
    <row r="3776" spans="1:2" x14ac:dyDescent="0.2">
      <c r="A3776" s="102"/>
      <c r="B3776" s="116"/>
    </row>
    <row r="3777" spans="1:2" x14ac:dyDescent="0.2">
      <c r="A3777" s="102"/>
      <c r="B3777" s="116"/>
    </row>
    <row r="3778" spans="1:2" x14ac:dyDescent="0.2">
      <c r="A3778" s="102"/>
      <c r="B3778" s="116"/>
    </row>
    <row r="3779" spans="1:2" x14ac:dyDescent="0.2">
      <c r="A3779" s="102"/>
      <c r="B3779" s="116"/>
    </row>
    <row r="3780" spans="1:2" x14ac:dyDescent="0.2">
      <c r="A3780" s="102"/>
      <c r="B3780" s="116"/>
    </row>
    <row r="3781" spans="1:2" x14ac:dyDescent="0.2">
      <c r="A3781" s="102"/>
      <c r="B3781" s="116"/>
    </row>
    <row r="3782" spans="1:2" x14ac:dyDescent="0.2">
      <c r="A3782" s="102"/>
      <c r="B3782" s="116"/>
    </row>
    <row r="3783" spans="1:2" x14ac:dyDescent="0.2">
      <c r="A3783" s="102"/>
      <c r="B3783" s="116"/>
    </row>
    <row r="3784" spans="1:2" x14ac:dyDescent="0.2">
      <c r="A3784" s="102"/>
      <c r="B3784" s="116"/>
    </row>
    <row r="3785" spans="1:2" x14ac:dyDescent="0.2">
      <c r="A3785" s="102"/>
      <c r="B3785" s="116"/>
    </row>
    <row r="3786" spans="1:2" x14ac:dyDescent="0.2">
      <c r="A3786" s="102"/>
      <c r="B3786" s="116"/>
    </row>
    <row r="3787" spans="1:2" x14ac:dyDescent="0.2">
      <c r="A3787" s="102"/>
      <c r="B3787" s="116"/>
    </row>
    <row r="3788" spans="1:2" x14ac:dyDescent="0.2">
      <c r="A3788" s="102"/>
      <c r="B3788" s="116"/>
    </row>
    <row r="3789" spans="1:2" x14ac:dyDescent="0.2">
      <c r="A3789" s="102"/>
      <c r="B3789" s="116"/>
    </row>
    <row r="3790" spans="1:2" x14ac:dyDescent="0.2">
      <c r="A3790" s="102"/>
      <c r="B3790" s="116"/>
    </row>
    <row r="3791" spans="1:2" x14ac:dyDescent="0.2">
      <c r="A3791" s="102"/>
      <c r="B3791" s="116"/>
    </row>
    <row r="3792" spans="1:2" x14ac:dyDescent="0.2">
      <c r="A3792" s="102"/>
      <c r="B3792" s="116"/>
    </row>
    <row r="3793" spans="1:2" x14ac:dyDescent="0.2">
      <c r="A3793" s="102"/>
      <c r="B3793" s="116"/>
    </row>
    <row r="3794" spans="1:2" x14ac:dyDescent="0.2">
      <c r="A3794" s="102"/>
      <c r="B3794" s="116"/>
    </row>
    <row r="3795" spans="1:2" x14ac:dyDescent="0.2">
      <c r="A3795" s="102"/>
      <c r="B3795" s="116"/>
    </row>
    <row r="3796" spans="1:2" x14ac:dyDescent="0.2">
      <c r="A3796" s="102"/>
      <c r="B3796" s="116"/>
    </row>
    <row r="3797" spans="1:2" x14ac:dyDescent="0.2">
      <c r="A3797" s="102"/>
      <c r="B3797" s="116"/>
    </row>
    <row r="3798" spans="1:2" x14ac:dyDescent="0.2">
      <c r="A3798" s="102"/>
      <c r="B3798" s="116"/>
    </row>
    <row r="3799" spans="1:2" x14ac:dyDescent="0.2">
      <c r="A3799" s="102"/>
      <c r="B3799" s="116"/>
    </row>
    <row r="3800" spans="1:2" x14ac:dyDescent="0.2">
      <c r="A3800" s="102"/>
      <c r="B3800" s="116"/>
    </row>
    <row r="3801" spans="1:2" x14ac:dyDescent="0.2">
      <c r="A3801" s="102"/>
      <c r="B3801" s="116"/>
    </row>
    <row r="3802" spans="1:2" x14ac:dyDescent="0.2">
      <c r="A3802" s="102"/>
      <c r="B3802" s="116"/>
    </row>
    <row r="3803" spans="1:2" x14ac:dyDescent="0.2">
      <c r="A3803" s="102"/>
      <c r="B3803" s="116"/>
    </row>
    <row r="3804" spans="1:2" x14ac:dyDescent="0.2">
      <c r="A3804" s="102"/>
      <c r="B3804" s="116"/>
    </row>
    <row r="3805" spans="1:2" x14ac:dyDescent="0.2">
      <c r="A3805" s="102"/>
      <c r="B3805" s="116"/>
    </row>
    <row r="3806" spans="1:2" x14ac:dyDescent="0.2">
      <c r="A3806" s="102"/>
      <c r="B3806" s="116"/>
    </row>
    <row r="3807" spans="1:2" x14ac:dyDescent="0.2">
      <c r="A3807" s="102"/>
      <c r="B3807" s="116"/>
    </row>
    <row r="3808" spans="1:2" x14ac:dyDescent="0.2">
      <c r="A3808" s="102"/>
      <c r="B3808" s="116"/>
    </row>
    <row r="3809" spans="1:2" x14ac:dyDescent="0.2">
      <c r="A3809" s="102"/>
      <c r="B3809" s="116"/>
    </row>
    <row r="3810" spans="1:2" x14ac:dyDescent="0.2">
      <c r="A3810" s="102"/>
      <c r="B3810" s="116"/>
    </row>
    <row r="3811" spans="1:2" x14ac:dyDescent="0.2">
      <c r="A3811" s="102"/>
      <c r="B3811" s="116"/>
    </row>
    <row r="3812" spans="1:2" x14ac:dyDescent="0.2">
      <c r="A3812" s="102"/>
      <c r="B3812" s="116"/>
    </row>
    <row r="3813" spans="1:2" x14ac:dyDescent="0.2">
      <c r="A3813" s="102"/>
      <c r="B3813" s="116"/>
    </row>
    <row r="3814" spans="1:2" x14ac:dyDescent="0.2">
      <c r="A3814" s="102"/>
      <c r="B3814" s="116"/>
    </row>
    <row r="3815" spans="1:2" x14ac:dyDescent="0.2">
      <c r="A3815" s="102"/>
      <c r="B3815" s="116"/>
    </row>
    <row r="3816" spans="1:2" x14ac:dyDescent="0.2">
      <c r="A3816" s="102"/>
      <c r="B3816" s="116"/>
    </row>
    <row r="3817" spans="1:2" x14ac:dyDescent="0.2">
      <c r="A3817" s="102"/>
      <c r="B3817" s="116"/>
    </row>
    <row r="3818" spans="1:2" x14ac:dyDescent="0.2">
      <c r="A3818" s="102"/>
      <c r="B3818" s="116"/>
    </row>
    <row r="3819" spans="1:2" x14ac:dyDescent="0.2">
      <c r="A3819" s="102"/>
      <c r="B3819" s="116"/>
    </row>
    <row r="3820" spans="1:2" x14ac:dyDescent="0.2">
      <c r="A3820" s="102"/>
      <c r="B3820" s="116"/>
    </row>
    <row r="3821" spans="1:2" x14ac:dyDescent="0.2">
      <c r="A3821" s="102"/>
      <c r="B3821" s="116"/>
    </row>
    <row r="3822" spans="1:2" x14ac:dyDescent="0.2">
      <c r="A3822" s="102"/>
      <c r="B3822" s="116"/>
    </row>
    <row r="3823" spans="1:2" x14ac:dyDescent="0.2">
      <c r="A3823" s="102"/>
      <c r="B3823" s="116"/>
    </row>
    <row r="3824" spans="1:2" x14ac:dyDescent="0.2">
      <c r="A3824" s="102"/>
      <c r="B3824" s="116"/>
    </row>
    <row r="3825" spans="1:2" x14ac:dyDescent="0.2">
      <c r="A3825" s="102"/>
      <c r="B3825" s="116"/>
    </row>
    <row r="3826" spans="1:2" x14ac:dyDescent="0.2">
      <c r="A3826" s="102"/>
      <c r="B3826" s="116"/>
    </row>
    <row r="3827" spans="1:2" x14ac:dyDescent="0.2">
      <c r="A3827" s="102"/>
      <c r="B3827" s="116"/>
    </row>
    <row r="3828" spans="1:2" x14ac:dyDescent="0.2">
      <c r="A3828" s="102"/>
      <c r="B3828" s="116"/>
    </row>
    <row r="3829" spans="1:2" x14ac:dyDescent="0.2">
      <c r="A3829" s="102"/>
      <c r="B3829" s="116"/>
    </row>
    <row r="3830" spans="1:2" x14ac:dyDescent="0.2">
      <c r="A3830" s="102"/>
      <c r="B3830" s="116"/>
    </row>
    <row r="3831" spans="1:2" x14ac:dyDescent="0.2">
      <c r="A3831" s="102"/>
      <c r="B3831" s="116"/>
    </row>
    <row r="3832" spans="1:2" x14ac:dyDescent="0.2">
      <c r="A3832" s="102"/>
      <c r="B3832" s="116"/>
    </row>
    <row r="3833" spans="1:2" x14ac:dyDescent="0.2">
      <c r="A3833" s="102"/>
      <c r="B3833" s="116"/>
    </row>
    <row r="3834" spans="1:2" x14ac:dyDescent="0.2">
      <c r="A3834" s="102"/>
      <c r="B3834" s="116"/>
    </row>
    <row r="3835" spans="1:2" x14ac:dyDescent="0.2">
      <c r="A3835" s="102"/>
      <c r="B3835" s="116"/>
    </row>
    <row r="3836" spans="1:2" x14ac:dyDescent="0.2">
      <c r="A3836" s="102"/>
      <c r="B3836" s="116"/>
    </row>
    <row r="3837" spans="1:2" x14ac:dyDescent="0.2">
      <c r="A3837" s="102"/>
      <c r="B3837" s="116"/>
    </row>
    <row r="3838" spans="1:2" x14ac:dyDescent="0.2">
      <c r="A3838" s="102"/>
      <c r="B3838" s="116"/>
    </row>
    <row r="3839" spans="1:2" x14ac:dyDescent="0.2">
      <c r="A3839" s="102"/>
      <c r="B3839" s="116"/>
    </row>
    <row r="3840" spans="1:2" x14ac:dyDescent="0.2">
      <c r="A3840" s="102"/>
      <c r="B3840" s="116"/>
    </row>
    <row r="3841" spans="1:2" x14ac:dyDescent="0.2">
      <c r="A3841" s="102"/>
      <c r="B3841" s="116"/>
    </row>
    <row r="3842" spans="1:2" x14ac:dyDescent="0.2">
      <c r="A3842" s="102"/>
      <c r="B3842" s="116"/>
    </row>
    <row r="3843" spans="1:2" x14ac:dyDescent="0.2">
      <c r="A3843" s="102"/>
      <c r="B3843" s="116"/>
    </row>
    <row r="3844" spans="1:2" x14ac:dyDescent="0.2">
      <c r="A3844" s="102"/>
      <c r="B3844" s="116"/>
    </row>
    <row r="3845" spans="1:2" x14ac:dyDescent="0.2">
      <c r="A3845" s="102"/>
      <c r="B3845" s="116"/>
    </row>
    <row r="3846" spans="1:2" x14ac:dyDescent="0.2">
      <c r="A3846" s="102"/>
      <c r="B3846" s="116"/>
    </row>
    <row r="3847" spans="1:2" x14ac:dyDescent="0.2">
      <c r="A3847" s="102"/>
      <c r="B3847" s="116"/>
    </row>
    <row r="3848" spans="1:2" x14ac:dyDescent="0.2">
      <c r="A3848" s="102"/>
      <c r="B3848" s="116"/>
    </row>
    <row r="3849" spans="1:2" x14ac:dyDescent="0.2">
      <c r="A3849" s="102"/>
      <c r="B3849" s="116"/>
    </row>
    <row r="3850" spans="1:2" x14ac:dyDescent="0.2">
      <c r="A3850" s="102"/>
      <c r="B3850" s="116"/>
    </row>
    <row r="3851" spans="1:2" x14ac:dyDescent="0.2">
      <c r="A3851" s="102"/>
      <c r="B3851" s="116"/>
    </row>
    <row r="3852" spans="1:2" x14ac:dyDescent="0.2">
      <c r="A3852" s="102"/>
      <c r="B3852" s="116"/>
    </row>
    <row r="3853" spans="1:2" x14ac:dyDescent="0.2">
      <c r="A3853" s="102"/>
      <c r="B3853" s="116"/>
    </row>
    <row r="3854" spans="1:2" x14ac:dyDescent="0.2">
      <c r="A3854" s="102"/>
      <c r="B3854" s="116"/>
    </row>
    <row r="3855" spans="1:2" x14ac:dyDescent="0.2">
      <c r="A3855" s="102"/>
      <c r="B3855" s="116"/>
    </row>
    <row r="3856" spans="1:2" x14ac:dyDescent="0.2">
      <c r="A3856" s="102"/>
      <c r="B3856" s="116"/>
    </row>
    <row r="3857" spans="1:2" x14ac:dyDescent="0.2">
      <c r="A3857" s="102"/>
      <c r="B3857" s="116"/>
    </row>
    <row r="3858" spans="1:2" x14ac:dyDescent="0.2">
      <c r="A3858" s="102"/>
      <c r="B3858" s="116"/>
    </row>
    <row r="3859" spans="1:2" x14ac:dyDescent="0.2">
      <c r="A3859" s="102"/>
      <c r="B3859" s="116"/>
    </row>
    <row r="3860" spans="1:2" x14ac:dyDescent="0.2">
      <c r="A3860" s="102"/>
      <c r="B3860" s="116"/>
    </row>
    <row r="3861" spans="1:2" x14ac:dyDescent="0.2">
      <c r="A3861" s="102"/>
      <c r="B3861" s="116"/>
    </row>
    <row r="3862" spans="1:2" x14ac:dyDescent="0.2">
      <c r="A3862" s="102"/>
      <c r="B3862" s="116"/>
    </row>
    <row r="3863" spans="1:2" x14ac:dyDescent="0.2">
      <c r="A3863" s="102"/>
      <c r="B3863" s="116"/>
    </row>
    <row r="3864" spans="1:2" x14ac:dyDescent="0.2">
      <c r="A3864" s="102"/>
      <c r="B3864" s="116"/>
    </row>
    <row r="3865" spans="1:2" x14ac:dyDescent="0.2">
      <c r="A3865" s="102"/>
      <c r="B3865" s="116"/>
    </row>
    <row r="3866" spans="1:2" x14ac:dyDescent="0.2">
      <c r="A3866" s="102"/>
      <c r="B3866" s="116"/>
    </row>
    <row r="3867" spans="1:2" x14ac:dyDescent="0.2">
      <c r="A3867" s="102"/>
      <c r="B3867" s="116"/>
    </row>
    <row r="3868" spans="1:2" x14ac:dyDescent="0.2">
      <c r="A3868" s="102"/>
      <c r="B3868" s="116"/>
    </row>
    <row r="3869" spans="1:2" x14ac:dyDescent="0.2">
      <c r="A3869" s="102"/>
      <c r="B3869" s="116"/>
    </row>
    <row r="3870" spans="1:2" x14ac:dyDescent="0.2">
      <c r="A3870" s="102"/>
      <c r="B3870" s="116"/>
    </row>
    <row r="3871" spans="1:2" x14ac:dyDescent="0.2">
      <c r="A3871" s="102"/>
      <c r="B3871" s="116"/>
    </row>
    <row r="3872" spans="1:2" x14ac:dyDescent="0.2">
      <c r="A3872" s="102"/>
      <c r="B3872" s="116"/>
    </row>
    <row r="3873" spans="1:2" x14ac:dyDescent="0.2">
      <c r="A3873" s="102"/>
      <c r="B3873" s="116"/>
    </row>
    <row r="3874" spans="1:2" x14ac:dyDescent="0.2">
      <c r="A3874" s="102"/>
      <c r="B3874" s="116"/>
    </row>
    <row r="3875" spans="1:2" x14ac:dyDescent="0.2">
      <c r="A3875" s="102"/>
      <c r="B3875" s="116"/>
    </row>
    <row r="3876" spans="1:2" x14ac:dyDescent="0.2">
      <c r="A3876" s="102"/>
      <c r="B3876" s="116"/>
    </row>
    <row r="3877" spans="1:2" x14ac:dyDescent="0.2">
      <c r="A3877" s="102"/>
      <c r="B3877" s="116"/>
    </row>
    <row r="3878" spans="1:2" x14ac:dyDescent="0.2">
      <c r="A3878" s="102"/>
      <c r="B3878" s="116"/>
    </row>
    <row r="3879" spans="1:2" x14ac:dyDescent="0.2">
      <c r="A3879" s="102"/>
      <c r="B3879" s="116"/>
    </row>
    <row r="3880" spans="1:2" x14ac:dyDescent="0.2">
      <c r="A3880" s="102"/>
      <c r="B3880" s="116"/>
    </row>
    <row r="3881" spans="1:2" x14ac:dyDescent="0.2">
      <c r="A3881" s="102"/>
      <c r="B3881" s="116"/>
    </row>
    <row r="3882" spans="1:2" x14ac:dyDescent="0.2">
      <c r="A3882" s="102"/>
      <c r="B3882" s="116"/>
    </row>
    <row r="3883" spans="1:2" x14ac:dyDescent="0.2">
      <c r="A3883" s="102"/>
      <c r="B3883" s="116"/>
    </row>
    <row r="3884" spans="1:2" x14ac:dyDescent="0.2">
      <c r="A3884" s="102"/>
      <c r="B3884" s="116"/>
    </row>
    <row r="3885" spans="1:2" x14ac:dyDescent="0.2">
      <c r="A3885" s="102"/>
      <c r="B3885" s="116"/>
    </row>
    <row r="3886" spans="1:2" x14ac:dyDescent="0.2">
      <c r="A3886" s="102"/>
      <c r="B3886" s="116"/>
    </row>
    <row r="3887" spans="1:2" x14ac:dyDescent="0.2">
      <c r="A3887" s="102"/>
      <c r="B3887" s="116"/>
    </row>
    <row r="3888" spans="1:2" x14ac:dyDescent="0.2">
      <c r="A3888" s="102"/>
      <c r="B3888" s="116"/>
    </row>
    <row r="3889" spans="1:2" x14ac:dyDescent="0.2">
      <c r="A3889" s="102"/>
      <c r="B3889" s="116"/>
    </row>
    <row r="3890" spans="1:2" x14ac:dyDescent="0.2">
      <c r="A3890" s="102"/>
      <c r="B3890" s="116"/>
    </row>
    <row r="3891" spans="1:2" x14ac:dyDescent="0.2">
      <c r="A3891" s="102"/>
      <c r="B3891" s="116"/>
    </row>
    <row r="3892" spans="1:2" x14ac:dyDescent="0.2">
      <c r="A3892" s="102"/>
      <c r="B3892" s="116"/>
    </row>
    <row r="3893" spans="1:2" x14ac:dyDescent="0.2">
      <c r="A3893" s="102"/>
      <c r="B3893" s="116"/>
    </row>
    <row r="3894" spans="1:2" x14ac:dyDescent="0.2">
      <c r="A3894" s="102"/>
      <c r="B3894" s="116"/>
    </row>
    <row r="3895" spans="1:2" x14ac:dyDescent="0.2">
      <c r="A3895" s="102"/>
      <c r="B3895" s="116"/>
    </row>
    <row r="3896" spans="1:2" x14ac:dyDescent="0.2">
      <c r="A3896" s="102"/>
      <c r="B3896" s="116"/>
    </row>
    <row r="3897" spans="1:2" x14ac:dyDescent="0.2">
      <c r="A3897" s="102"/>
      <c r="B3897" s="116"/>
    </row>
    <row r="3898" spans="1:2" x14ac:dyDescent="0.2">
      <c r="A3898" s="102"/>
      <c r="B3898" s="116"/>
    </row>
    <row r="3899" spans="1:2" x14ac:dyDescent="0.2">
      <c r="A3899" s="102"/>
      <c r="B3899" s="116"/>
    </row>
    <row r="3900" spans="1:2" x14ac:dyDescent="0.2">
      <c r="A3900" s="102"/>
      <c r="B3900" s="116"/>
    </row>
    <row r="3901" spans="1:2" x14ac:dyDescent="0.2">
      <c r="A3901" s="102"/>
      <c r="B3901" s="116"/>
    </row>
    <row r="3902" spans="1:2" x14ac:dyDescent="0.2">
      <c r="A3902" s="102"/>
      <c r="B3902" s="116"/>
    </row>
    <row r="3903" spans="1:2" x14ac:dyDescent="0.2">
      <c r="A3903" s="102"/>
      <c r="B3903" s="116"/>
    </row>
    <row r="3904" spans="1:2" x14ac:dyDescent="0.2">
      <c r="A3904" s="102"/>
      <c r="B3904" s="116"/>
    </row>
    <row r="3905" spans="1:2" x14ac:dyDescent="0.2">
      <c r="A3905" s="102"/>
      <c r="B3905" s="116"/>
    </row>
    <row r="3906" spans="1:2" x14ac:dyDescent="0.2">
      <c r="A3906" s="102"/>
      <c r="B3906" s="116"/>
    </row>
    <row r="3907" spans="1:2" x14ac:dyDescent="0.2">
      <c r="A3907" s="102"/>
      <c r="B3907" s="116"/>
    </row>
    <row r="3908" spans="1:2" x14ac:dyDescent="0.2">
      <c r="A3908" s="102"/>
      <c r="B3908" s="116"/>
    </row>
    <row r="3909" spans="1:2" x14ac:dyDescent="0.2">
      <c r="A3909" s="102"/>
      <c r="B3909" s="116"/>
    </row>
    <row r="3910" spans="1:2" x14ac:dyDescent="0.2">
      <c r="A3910" s="102"/>
      <c r="B3910" s="116"/>
    </row>
    <row r="3911" spans="1:2" x14ac:dyDescent="0.2">
      <c r="A3911" s="102"/>
      <c r="B3911" s="116"/>
    </row>
    <row r="3912" spans="1:2" x14ac:dyDescent="0.2">
      <c r="A3912" s="102"/>
      <c r="B3912" s="116"/>
    </row>
    <row r="3913" spans="1:2" x14ac:dyDescent="0.2">
      <c r="A3913" s="102"/>
      <c r="B3913" s="116"/>
    </row>
    <row r="3914" spans="1:2" x14ac:dyDescent="0.2">
      <c r="A3914" s="102"/>
      <c r="B3914" s="116"/>
    </row>
    <row r="3915" spans="1:2" x14ac:dyDescent="0.2">
      <c r="A3915" s="102"/>
      <c r="B3915" s="116"/>
    </row>
    <row r="3916" spans="1:2" x14ac:dyDescent="0.2">
      <c r="A3916" s="102"/>
      <c r="B3916" s="116"/>
    </row>
    <row r="3917" spans="1:2" x14ac:dyDescent="0.2">
      <c r="A3917" s="102"/>
      <c r="B3917" s="116"/>
    </row>
    <row r="3918" spans="1:2" x14ac:dyDescent="0.2">
      <c r="A3918" s="102"/>
      <c r="B3918" s="116"/>
    </row>
    <row r="3919" spans="1:2" x14ac:dyDescent="0.2">
      <c r="A3919" s="102"/>
      <c r="B3919" s="116"/>
    </row>
    <row r="3920" spans="1:2" x14ac:dyDescent="0.2">
      <c r="A3920" s="102"/>
      <c r="B3920" s="116"/>
    </row>
    <row r="3921" spans="1:2" x14ac:dyDescent="0.2">
      <c r="A3921" s="102"/>
      <c r="B3921" s="116"/>
    </row>
    <row r="3922" spans="1:2" x14ac:dyDescent="0.2">
      <c r="A3922" s="102"/>
      <c r="B3922" s="116"/>
    </row>
    <row r="3923" spans="1:2" x14ac:dyDescent="0.2">
      <c r="A3923" s="102"/>
      <c r="B3923" s="116"/>
    </row>
    <row r="3924" spans="1:2" x14ac:dyDescent="0.2">
      <c r="A3924" s="102"/>
      <c r="B3924" s="116"/>
    </row>
    <row r="3925" spans="1:2" x14ac:dyDescent="0.2">
      <c r="A3925" s="102"/>
      <c r="B3925" s="116"/>
    </row>
    <row r="3926" spans="1:2" x14ac:dyDescent="0.2">
      <c r="A3926" s="102"/>
      <c r="B3926" s="116"/>
    </row>
    <row r="3927" spans="1:2" x14ac:dyDescent="0.2">
      <c r="A3927" s="102"/>
      <c r="B3927" s="116"/>
    </row>
    <row r="3928" spans="1:2" x14ac:dyDescent="0.2">
      <c r="A3928" s="102"/>
      <c r="B3928" s="116"/>
    </row>
    <row r="3929" spans="1:2" x14ac:dyDescent="0.2">
      <c r="A3929" s="102"/>
      <c r="B3929" s="116"/>
    </row>
    <row r="3930" spans="1:2" x14ac:dyDescent="0.2">
      <c r="A3930" s="102"/>
      <c r="B3930" s="116"/>
    </row>
    <row r="3931" spans="1:2" x14ac:dyDescent="0.2">
      <c r="A3931" s="102"/>
      <c r="B3931" s="116"/>
    </row>
    <row r="3932" spans="1:2" x14ac:dyDescent="0.2">
      <c r="A3932" s="102"/>
      <c r="B3932" s="116"/>
    </row>
    <row r="3933" spans="1:2" x14ac:dyDescent="0.2">
      <c r="A3933" s="102"/>
      <c r="B3933" s="116"/>
    </row>
    <row r="3934" spans="1:2" x14ac:dyDescent="0.2">
      <c r="A3934" s="102"/>
      <c r="B3934" s="116"/>
    </row>
    <row r="3935" spans="1:2" x14ac:dyDescent="0.2">
      <c r="A3935" s="102"/>
      <c r="B3935" s="116"/>
    </row>
    <row r="3936" spans="1:2" x14ac:dyDescent="0.2">
      <c r="A3936" s="102"/>
      <c r="B3936" s="116"/>
    </row>
    <row r="3937" spans="1:2" x14ac:dyDescent="0.2">
      <c r="A3937" s="102"/>
      <c r="B3937" s="116"/>
    </row>
    <row r="3938" spans="1:2" x14ac:dyDescent="0.2">
      <c r="A3938" s="102"/>
      <c r="B3938" s="116"/>
    </row>
    <row r="3939" spans="1:2" x14ac:dyDescent="0.2">
      <c r="A3939" s="102"/>
      <c r="B3939" s="116"/>
    </row>
    <row r="3940" spans="1:2" x14ac:dyDescent="0.2">
      <c r="A3940" s="102"/>
      <c r="B3940" s="116"/>
    </row>
    <row r="3941" spans="1:2" x14ac:dyDescent="0.2">
      <c r="A3941" s="102"/>
      <c r="B3941" s="116"/>
    </row>
    <row r="3942" spans="1:2" x14ac:dyDescent="0.2">
      <c r="A3942" s="102"/>
      <c r="B3942" s="116"/>
    </row>
    <row r="3943" spans="1:2" x14ac:dyDescent="0.2">
      <c r="A3943" s="102"/>
      <c r="B3943" s="116"/>
    </row>
    <row r="3944" spans="1:2" x14ac:dyDescent="0.2">
      <c r="A3944" s="102"/>
      <c r="B3944" s="116"/>
    </row>
    <row r="3945" spans="1:2" x14ac:dyDescent="0.2">
      <c r="A3945" s="102"/>
      <c r="B3945" s="116"/>
    </row>
    <row r="3946" spans="1:2" x14ac:dyDescent="0.2">
      <c r="A3946" s="102"/>
      <c r="B3946" s="116"/>
    </row>
    <row r="3947" spans="1:2" x14ac:dyDescent="0.2">
      <c r="A3947" s="102"/>
      <c r="B3947" s="116"/>
    </row>
    <row r="3948" spans="1:2" x14ac:dyDescent="0.2">
      <c r="A3948" s="102"/>
      <c r="B3948" s="116"/>
    </row>
    <row r="3949" spans="1:2" x14ac:dyDescent="0.2">
      <c r="A3949" s="102"/>
      <c r="B3949" s="116"/>
    </row>
    <row r="3950" spans="1:2" x14ac:dyDescent="0.2">
      <c r="A3950" s="102"/>
      <c r="B3950" s="116"/>
    </row>
    <row r="3951" spans="1:2" x14ac:dyDescent="0.2">
      <c r="A3951" s="102"/>
      <c r="B3951" s="116"/>
    </row>
    <row r="3952" spans="1:2" x14ac:dyDescent="0.2">
      <c r="A3952" s="102"/>
      <c r="B3952" s="116"/>
    </row>
    <row r="3953" spans="1:2" x14ac:dyDescent="0.2">
      <c r="A3953" s="102"/>
      <c r="B3953" s="116"/>
    </row>
    <row r="3954" spans="1:2" x14ac:dyDescent="0.2">
      <c r="A3954" s="102"/>
      <c r="B3954" s="116"/>
    </row>
    <row r="3955" spans="1:2" x14ac:dyDescent="0.2">
      <c r="A3955" s="102"/>
      <c r="B3955" s="116"/>
    </row>
    <row r="3956" spans="1:2" x14ac:dyDescent="0.2">
      <c r="A3956" s="102"/>
      <c r="B3956" s="116"/>
    </row>
    <row r="3957" spans="1:2" x14ac:dyDescent="0.2">
      <c r="A3957" s="102"/>
      <c r="B3957" s="116"/>
    </row>
    <row r="3958" spans="1:2" x14ac:dyDescent="0.2">
      <c r="A3958" s="102"/>
      <c r="B3958" s="116"/>
    </row>
    <row r="3959" spans="1:2" x14ac:dyDescent="0.2">
      <c r="A3959" s="102"/>
      <c r="B3959" s="116"/>
    </row>
    <row r="3960" spans="1:2" x14ac:dyDescent="0.2">
      <c r="A3960" s="102"/>
      <c r="B3960" s="116"/>
    </row>
    <row r="3961" spans="1:2" x14ac:dyDescent="0.2">
      <c r="A3961" s="102"/>
      <c r="B3961" s="116"/>
    </row>
    <row r="3962" spans="1:2" x14ac:dyDescent="0.2">
      <c r="A3962" s="102"/>
      <c r="B3962" s="116"/>
    </row>
    <row r="3963" spans="1:2" x14ac:dyDescent="0.2">
      <c r="A3963" s="102"/>
      <c r="B3963" s="116"/>
    </row>
    <row r="3964" spans="1:2" x14ac:dyDescent="0.2">
      <c r="A3964" s="102"/>
      <c r="B3964" s="116"/>
    </row>
    <row r="3965" spans="1:2" x14ac:dyDescent="0.2">
      <c r="A3965" s="102"/>
      <c r="B3965" s="116"/>
    </row>
    <row r="3966" spans="1:2" x14ac:dyDescent="0.2">
      <c r="A3966" s="102"/>
      <c r="B3966" s="116"/>
    </row>
    <row r="3967" spans="1:2" x14ac:dyDescent="0.2">
      <c r="A3967" s="102"/>
      <c r="B3967" s="116"/>
    </row>
    <row r="3968" spans="1:2" x14ac:dyDescent="0.2">
      <c r="A3968" s="102"/>
      <c r="B3968" s="116"/>
    </row>
    <row r="3969" spans="1:2" x14ac:dyDescent="0.2">
      <c r="A3969" s="102"/>
      <c r="B3969" s="116"/>
    </row>
    <row r="3970" spans="1:2" x14ac:dyDescent="0.2">
      <c r="A3970" s="102"/>
      <c r="B3970" s="116"/>
    </row>
    <row r="3971" spans="1:2" x14ac:dyDescent="0.2">
      <c r="A3971" s="102"/>
      <c r="B3971" s="116"/>
    </row>
    <row r="3972" spans="1:2" x14ac:dyDescent="0.2">
      <c r="A3972" s="102"/>
      <c r="B3972" s="116"/>
    </row>
    <row r="3973" spans="1:2" x14ac:dyDescent="0.2">
      <c r="A3973" s="102"/>
      <c r="B3973" s="116"/>
    </row>
    <row r="3974" spans="1:2" x14ac:dyDescent="0.2">
      <c r="A3974" s="102"/>
      <c r="B3974" s="116"/>
    </row>
    <row r="3975" spans="1:2" x14ac:dyDescent="0.2">
      <c r="A3975" s="102"/>
      <c r="B3975" s="116"/>
    </row>
    <row r="3976" spans="1:2" x14ac:dyDescent="0.2">
      <c r="A3976" s="102"/>
      <c r="B3976" s="116"/>
    </row>
    <row r="3977" spans="1:2" x14ac:dyDescent="0.2">
      <c r="A3977" s="102"/>
      <c r="B3977" s="116"/>
    </row>
    <row r="3978" spans="1:2" x14ac:dyDescent="0.2">
      <c r="A3978" s="102"/>
      <c r="B3978" s="116"/>
    </row>
    <row r="3979" spans="1:2" x14ac:dyDescent="0.2">
      <c r="A3979" s="102"/>
      <c r="B3979" s="116"/>
    </row>
    <row r="3980" spans="1:2" x14ac:dyDescent="0.2">
      <c r="A3980" s="102"/>
      <c r="B3980" s="116"/>
    </row>
    <row r="3981" spans="1:2" x14ac:dyDescent="0.2">
      <c r="A3981" s="102"/>
      <c r="B3981" s="116"/>
    </row>
    <row r="3982" spans="1:2" x14ac:dyDescent="0.2">
      <c r="A3982" s="102"/>
      <c r="B3982" s="116"/>
    </row>
    <row r="3983" spans="1:2" x14ac:dyDescent="0.2">
      <c r="A3983" s="102"/>
      <c r="B3983" s="116"/>
    </row>
    <row r="3984" spans="1:2" x14ac:dyDescent="0.2">
      <c r="A3984" s="102"/>
      <c r="B3984" s="116"/>
    </row>
    <row r="3985" spans="1:2" x14ac:dyDescent="0.2">
      <c r="A3985" s="102"/>
      <c r="B3985" s="116"/>
    </row>
    <row r="3986" spans="1:2" x14ac:dyDescent="0.2">
      <c r="A3986" s="102"/>
      <c r="B3986" s="116"/>
    </row>
    <row r="3987" spans="1:2" x14ac:dyDescent="0.2">
      <c r="A3987" s="102"/>
      <c r="B3987" s="116"/>
    </row>
    <row r="3988" spans="1:2" x14ac:dyDescent="0.2">
      <c r="A3988" s="102"/>
      <c r="B3988" s="116"/>
    </row>
    <row r="3989" spans="1:2" x14ac:dyDescent="0.2">
      <c r="A3989" s="102"/>
      <c r="B3989" s="116"/>
    </row>
    <row r="3990" spans="1:2" x14ac:dyDescent="0.2">
      <c r="A3990" s="102"/>
      <c r="B3990" s="116"/>
    </row>
    <row r="3991" spans="1:2" x14ac:dyDescent="0.2">
      <c r="A3991" s="102"/>
      <c r="B3991" s="116"/>
    </row>
    <row r="3992" spans="1:2" x14ac:dyDescent="0.2">
      <c r="A3992" s="102"/>
      <c r="B3992" s="116"/>
    </row>
    <row r="3993" spans="1:2" x14ac:dyDescent="0.2">
      <c r="A3993" s="102"/>
      <c r="B3993" s="116"/>
    </row>
    <row r="3994" spans="1:2" x14ac:dyDescent="0.2">
      <c r="A3994" s="102"/>
      <c r="B3994" s="116"/>
    </row>
    <row r="3995" spans="1:2" x14ac:dyDescent="0.2">
      <c r="A3995" s="102"/>
      <c r="B3995" s="116"/>
    </row>
    <row r="3996" spans="1:2" x14ac:dyDescent="0.2">
      <c r="A3996" s="102"/>
      <c r="B3996" s="116"/>
    </row>
    <row r="3997" spans="1:2" x14ac:dyDescent="0.2">
      <c r="A3997" s="102"/>
      <c r="B3997" s="116"/>
    </row>
    <row r="3998" spans="1:2" x14ac:dyDescent="0.2">
      <c r="A3998" s="102"/>
      <c r="B3998" s="116"/>
    </row>
    <row r="3999" spans="1:2" x14ac:dyDescent="0.2">
      <c r="A3999" s="102"/>
      <c r="B3999" s="116"/>
    </row>
    <row r="4000" spans="1:2" x14ac:dyDescent="0.2">
      <c r="A4000" s="102"/>
      <c r="B4000" s="116"/>
    </row>
    <row r="4001" spans="1:2" x14ac:dyDescent="0.2">
      <c r="A4001" s="102"/>
      <c r="B4001" s="116"/>
    </row>
    <row r="4002" spans="1:2" x14ac:dyDescent="0.2">
      <c r="A4002" s="102"/>
      <c r="B4002" s="116"/>
    </row>
    <row r="4003" spans="1:2" x14ac:dyDescent="0.2">
      <c r="A4003" s="102"/>
      <c r="B4003" s="116"/>
    </row>
    <row r="4004" spans="1:2" x14ac:dyDescent="0.2">
      <c r="A4004" s="102"/>
      <c r="B4004" s="116"/>
    </row>
    <row r="4005" spans="1:2" x14ac:dyDescent="0.2">
      <c r="A4005" s="102"/>
      <c r="B4005" s="116"/>
    </row>
    <row r="4006" spans="1:2" x14ac:dyDescent="0.2">
      <c r="A4006" s="102"/>
      <c r="B4006" s="116"/>
    </row>
    <row r="4007" spans="1:2" x14ac:dyDescent="0.2">
      <c r="A4007" s="102"/>
      <c r="B4007" s="116"/>
    </row>
    <row r="4008" spans="1:2" x14ac:dyDescent="0.2">
      <c r="A4008" s="102"/>
      <c r="B4008" s="116"/>
    </row>
    <row r="4009" spans="1:2" x14ac:dyDescent="0.2">
      <c r="A4009" s="102"/>
      <c r="B4009" s="116"/>
    </row>
    <row r="4010" spans="1:2" x14ac:dyDescent="0.2">
      <c r="A4010" s="102"/>
      <c r="B4010" s="116"/>
    </row>
    <row r="4011" spans="1:2" x14ac:dyDescent="0.2">
      <c r="A4011" s="102"/>
      <c r="B4011" s="116"/>
    </row>
    <row r="4012" spans="1:2" x14ac:dyDescent="0.2">
      <c r="A4012" s="102"/>
      <c r="B4012" s="116"/>
    </row>
    <row r="4013" spans="1:2" x14ac:dyDescent="0.2">
      <c r="A4013" s="102"/>
      <c r="B4013" s="116"/>
    </row>
    <row r="4014" spans="1:2" x14ac:dyDescent="0.2">
      <c r="A4014" s="102"/>
      <c r="B4014" s="116"/>
    </row>
    <row r="4015" spans="1:2" x14ac:dyDescent="0.2">
      <c r="A4015" s="102"/>
      <c r="B4015" s="116"/>
    </row>
    <row r="4016" spans="1:2" x14ac:dyDescent="0.2">
      <c r="A4016" s="102"/>
      <c r="B4016" s="116"/>
    </row>
    <row r="4017" spans="1:2" x14ac:dyDescent="0.2">
      <c r="A4017" s="102"/>
      <c r="B4017" s="116"/>
    </row>
    <row r="4018" spans="1:2" x14ac:dyDescent="0.2">
      <c r="A4018" s="102"/>
      <c r="B4018" s="116"/>
    </row>
    <row r="4019" spans="1:2" x14ac:dyDescent="0.2">
      <c r="A4019" s="102"/>
      <c r="B4019" s="116"/>
    </row>
    <row r="4020" spans="1:2" x14ac:dyDescent="0.2">
      <c r="A4020" s="102"/>
      <c r="B4020" s="116"/>
    </row>
    <row r="4021" spans="1:2" x14ac:dyDescent="0.2">
      <c r="A4021" s="102"/>
      <c r="B4021" s="116"/>
    </row>
    <row r="4022" spans="1:2" x14ac:dyDescent="0.2">
      <c r="A4022" s="102"/>
      <c r="B4022" s="116"/>
    </row>
    <row r="4023" spans="1:2" x14ac:dyDescent="0.2">
      <c r="A4023" s="102"/>
      <c r="B4023" s="116"/>
    </row>
    <row r="4024" spans="1:2" x14ac:dyDescent="0.2">
      <c r="A4024" s="102"/>
      <c r="B4024" s="116"/>
    </row>
    <row r="4025" spans="1:2" x14ac:dyDescent="0.2">
      <c r="A4025" s="102"/>
      <c r="B4025" s="116"/>
    </row>
    <row r="4026" spans="1:2" x14ac:dyDescent="0.2">
      <c r="A4026" s="102"/>
      <c r="B4026" s="116"/>
    </row>
    <row r="4027" spans="1:2" x14ac:dyDescent="0.2">
      <c r="A4027" s="102"/>
      <c r="B4027" s="116"/>
    </row>
    <row r="4028" spans="1:2" x14ac:dyDescent="0.2">
      <c r="A4028" s="102"/>
      <c r="B4028" s="116"/>
    </row>
    <row r="4029" spans="1:2" x14ac:dyDescent="0.2">
      <c r="A4029" s="102"/>
      <c r="B4029" s="116"/>
    </row>
    <row r="4030" spans="1:2" x14ac:dyDescent="0.2">
      <c r="A4030" s="102"/>
      <c r="B4030" s="116"/>
    </row>
    <row r="4031" spans="1:2" x14ac:dyDescent="0.2">
      <c r="A4031" s="102"/>
      <c r="B4031" s="116"/>
    </row>
    <row r="4032" spans="1:2" x14ac:dyDescent="0.2">
      <c r="A4032" s="102"/>
      <c r="B4032" s="116"/>
    </row>
    <row r="4033" spans="1:2" x14ac:dyDescent="0.2">
      <c r="A4033" s="102"/>
      <c r="B4033" s="116"/>
    </row>
    <row r="4034" spans="1:2" x14ac:dyDescent="0.2">
      <c r="A4034" s="102"/>
      <c r="B4034" s="116"/>
    </row>
    <row r="4035" spans="1:2" x14ac:dyDescent="0.2">
      <c r="A4035" s="102"/>
      <c r="B4035" s="116"/>
    </row>
    <row r="4036" spans="1:2" x14ac:dyDescent="0.2">
      <c r="A4036" s="102"/>
      <c r="B4036" s="116"/>
    </row>
    <row r="4037" spans="1:2" x14ac:dyDescent="0.2">
      <c r="A4037" s="102"/>
      <c r="B4037" s="116"/>
    </row>
    <row r="4038" spans="1:2" x14ac:dyDescent="0.2">
      <c r="A4038" s="102"/>
      <c r="B4038" s="116"/>
    </row>
    <row r="4039" spans="1:2" x14ac:dyDescent="0.2">
      <c r="A4039" s="102"/>
      <c r="B4039" s="116"/>
    </row>
    <row r="4040" spans="1:2" x14ac:dyDescent="0.2">
      <c r="A4040" s="102"/>
      <c r="B4040" s="116"/>
    </row>
    <row r="4041" spans="1:2" x14ac:dyDescent="0.2">
      <c r="A4041" s="102"/>
      <c r="B4041" s="116"/>
    </row>
    <row r="4042" spans="1:2" x14ac:dyDescent="0.2">
      <c r="A4042" s="102"/>
      <c r="B4042" s="116"/>
    </row>
    <row r="4043" spans="1:2" x14ac:dyDescent="0.2">
      <c r="A4043" s="102"/>
      <c r="B4043" s="116"/>
    </row>
    <row r="4044" spans="1:2" x14ac:dyDescent="0.2">
      <c r="A4044" s="102"/>
      <c r="B4044" s="116"/>
    </row>
    <row r="4045" spans="1:2" x14ac:dyDescent="0.2">
      <c r="A4045" s="102"/>
      <c r="B4045" s="116"/>
    </row>
    <row r="4046" spans="1:2" x14ac:dyDescent="0.2">
      <c r="A4046" s="102"/>
      <c r="B4046" s="116"/>
    </row>
    <row r="4047" spans="1:2" x14ac:dyDescent="0.2">
      <c r="A4047" s="102"/>
      <c r="B4047" s="116"/>
    </row>
    <row r="4048" spans="1:2" x14ac:dyDescent="0.2">
      <c r="A4048" s="102"/>
      <c r="B4048" s="116"/>
    </row>
    <row r="4049" spans="1:2" x14ac:dyDescent="0.2">
      <c r="A4049" s="102"/>
      <c r="B4049" s="116"/>
    </row>
    <row r="4050" spans="1:2" x14ac:dyDescent="0.2">
      <c r="A4050" s="102"/>
      <c r="B4050" s="116"/>
    </row>
    <row r="4051" spans="1:2" x14ac:dyDescent="0.2">
      <c r="A4051" s="102"/>
      <c r="B4051" s="116"/>
    </row>
    <row r="4052" spans="1:2" x14ac:dyDescent="0.2">
      <c r="A4052" s="102"/>
      <c r="B4052" s="116"/>
    </row>
    <row r="4053" spans="1:2" x14ac:dyDescent="0.2">
      <c r="A4053" s="102"/>
      <c r="B4053" s="116"/>
    </row>
    <row r="4054" spans="1:2" x14ac:dyDescent="0.2">
      <c r="A4054" s="102"/>
      <c r="B4054" s="116"/>
    </row>
    <row r="4055" spans="1:2" x14ac:dyDescent="0.2">
      <c r="A4055" s="102"/>
      <c r="B4055" s="116"/>
    </row>
    <row r="4056" spans="1:2" x14ac:dyDescent="0.2">
      <c r="A4056" s="102"/>
      <c r="B4056" s="116"/>
    </row>
    <row r="4057" spans="1:2" x14ac:dyDescent="0.2">
      <c r="A4057" s="102"/>
      <c r="B4057" s="116"/>
    </row>
    <row r="4058" spans="1:2" x14ac:dyDescent="0.2">
      <c r="A4058" s="102"/>
      <c r="B4058" s="116"/>
    </row>
    <row r="4059" spans="1:2" x14ac:dyDescent="0.2">
      <c r="A4059" s="102"/>
      <c r="B4059" s="116"/>
    </row>
    <row r="4060" spans="1:2" x14ac:dyDescent="0.2">
      <c r="A4060" s="102"/>
      <c r="B4060" s="116"/>
    </row>
    <row r="4061" spans="1:2" x14ac:dyDescent="0.2">
      <c r="A4061" s="102"/>
      <c r="B4061" s="116"/>
    </row>
    <row r="4062" spans="1:2" x14ac:dyDescent="0.2">
      <c r="A4062" s="102"/>
      <c r="B4062" s="116"/>
    </row>
    <row r="4063" spans="1:2" x14ac:dyDescent="0.2">
      <c r="A4063" s="102"/>
      <c r="B4063" s="116"/>
    </row>
    <row r="4064" spans="1:2" x14ac:dyDescent="0.2">
      <c r="A4064" s="102"/>
      <c r="B4064" s="116"/>
    </row>
    <row r="4065" spans="1:2" x14ac:dyDescent="0.2">
      <c r="A4065" s="102"/>
      <c r="B4065" s="116"/>
    </row>
    <row r="4066" spans="1:2" x14ac:dyDescent="0.2">
      <c r="A4066" s="102"/>
      <c r="B4066" s="116"/>
    </row>
    <row r="4067" spans="1:2" x14ac:dyDescent="0.2">
      <c r="A4067" s="102"/>
      <c r="B4067" s="116"/>
    </row>
    <row r="4068" spans="1:2" x14ac:dyDescent="0.2">
      <c r="A4068" s="102"/>
      <c r="B4068" s="116"/>
    </row>
    <row r="4069" spans="1:2" x14ac:dyDescent="0.2">
      <c r="A4069" s="102"/>
      <c r="B4069" s="116"/>
    </row>
    <row r="4070" spans="1:2" x14ac:dyDescent="0.2">
      <c r="A4070" s="102"/>
      <c r="B4070" s="116"/>
    </row>
    <row r="4071" spans="1:2" x14ac:dyDescent="0.2">
      <c r="A4071" s="102"/>
      <c r="B4071" s="116"/>
    </row>
    <row r="4072" spans="1:2" x14ac:dyDescent="0.2">
      <c r="A4072" s="102"/>
      <c r="B4072" s="116"/>
    </row>
    <row r="4073" spans="1:2" x14ac:dyDescent="0.2">
      <c r="A4073" s="102"/>
      <c r="B4073" s="116"/>
    </row>
    <row r="4074" spans="1:2" x14ac:dyDescent="0.2">
      <c r="A4074" s="102"/>
      <c r="B4074" s="116"/>
    </row>
    <row r="4075" spans="1:2" x14ac:dyDescent="0.2">
      <c r="A4075" s="102"/>
      <c r="B4075" s="116"/>
    </row>
    <row r="4076" spans="1:2" x14ac:dyDescent="0.2">
      <c r="A4076" s="102"/>
      <c r="B4076" s="116"/>
    </row>
    <row r="4077" spans="1:2" x14ac:dyDescent="0.2">
      <c r="A4077" s="102"/>
      <c r="B4077" s="116"/>
    </row>
    <row r="4078" spans="1:2" x14ac:dyDescent="0.2">
      <c r="A4078" s="102"/>
      <c r="B4078" s="116"/>
    </row>
    <row r="4079" spans="1:2" x14ac:dyDescent="0.2">
      <c r="A4079" s="102"/>
      <c r="B4079" s="116"/>
    </row>
    <row r="4080" spans="1:2" x14ac:dyDescent="0.2">
      <c r="A4080" s="102"/>
      <c r="B4080" s="116"/>
    </row>
    <row r="4081" spans="1:2" x14ac:dyDescent="0.2">
      <c r="A4081" s="102"/>
      <c r="B4081" s="116"/>
    </row>
    <row r="4082" spans="1:2" x14ac:dyDescent="0.2">
      <c r="A4082" s="102"/>
      <c r="B4082" s="116"/>
    </row>
    <row r="4083" spans="1:2" x14ac:dyDescent="0.2">
      <c r="A4083" s="102"/>
      <c r="B4083" s="116"/>
    </row>
    <row r="4084" spans="1:2" x14ac:dyDescent="0.2">
      <c r="A4084" s="102"/>
      <c r="B4084" s="116"/>
    </row>
    <row r="4085" spans="1:2" x14ac:dyDescent="0.2">
      <c r="A4085" s="102"/>
      <c r="B4085" s="116"/>
    </row>
    <row r="4086" spans="1:2" x14ac:dyDescent="0.2">
      <c r="A4086" s="102"/>
      <c r="B4086" s="116"/>
    </row>
    <row r="4087" spans="1:2" x14ac:dyDescent="0.2">
      <c r="A4087" s="102"/>
      <c r="B4087" s="116"/>
    </row>
    <row r="4088" spans="1:2" x14ac:dyDescent="0.2">
      <c r="A4088" s="102"/>
      <c r="B4088" s="116"/>
    </row>
    <row r="4089" spans="1:2" x14ac:dyDescent="0.2">
      <c r="A4089" s="102"/>
      <c r="B4089" s="116"/>
    </row>
    <row r="4090" spans="1:2" x14ac:dyDescent="0.2">
      <c r="A4090" s="102"/>
      <c r="B4090" s="116"/>
    </row>
    <row r="4091" spans="1:2" x14ac:dyDescent="0.2">
      <c r="A4091" s="102"/>
      <c r="B4091" s="116"/>
    </row>
    <row r="4092" spans="1:2" x14ac:dyDescent="0.2">
      <c r="A4092" s="102"/>
      <c r="B4092" s="116"/>
    </row>
    <row r="4093" spans="1:2" x14ac:dyDescent="0.2">
      <c r="A4093" s="102"/>
      <c r="B4093" s="116"/>
    </row>
    <row r="4094" spans="1:2" x14ac:dyDescent="0.2">
      <c r="A4094" s="102"/>
      <c r="B4094" s="116"/>
    </row>
    <row r="4095" spans="1:2" x14ac:dyDescent="0.2">
      <c r="A4095" s="102"/>
      <c r="B4095" s="116"/>
    </row>
    <row r="4096" spans="1:2" x14ac:dyDescent="0.2">
      <c r="A4096" s="102"/>
      <c r="B4096" s="116"/>
    </row>
    <row r="4097" spans="1:2" x14ac:dyDescent="0.2">
      <c r="A4097" s="102"/>
      <c r="B4097" s="116"/>
    </row>
    <row r="4098" spans="1:2" x14ac:dyDescent="0.2">
      <c r="A4098" s="102"/>
      <c r="B4098" s="116"/>
    </row>
    <row r="4099" spans="1:2" x14ac:dyDescent="0.2">
      <c r="A4099" s="102"/>
      <c r="B4099" s="116"/>
    </row>
    <row r="4100" spans="1:2" x14ac:dyDescent="0.2">
      <c r="A4100" s="102"/>
      <c r="B4100" s="116"/>
    </row>
    <row r="4101" spans="1:2" x14ac:dyDescent="0.2">
      <c r="A4101" s="102"/>
      <c r="B4101" s="116"/>
    </row>
    <row r="4102" spans="1:2" x14ac:dyDescent="0.2">
      <c r="A4102" s="102"/>
      <c r="B4102" s="116"/>
    </row>
    <row r="4103" spans="1:2" x14ac:dyDescent="0.2">
      <c r="A4103" s="102"/>
      <c r="B4103" s="116"/>
    </row>
    <row r="4104" spans="1:2" x14ac:dyDescent="0.2">
      <c r="A4104" s="102"/>
      <c r="B4104" s="116"/>
    </row>
    <row r="4105" spans="1:2" x14ac:dyDescent="0.2">
      <c r="A4105" s="102"/>
      <c r="B4105" s="116"/>
    </row>
    <row r="4106" spans="1:2" x14ac:dyDescent="0.2">
      <c r="A4106" s="102"/>
      <c r="B4106" s="116"/>
    </row>
    <row r="4107" spans="1:2" x14ac:dyDescent="0.2">
      <c r="A4107" s="102"/>
      <c r="B4107" s="116"/>
    </row>
    <row r="4108" spans="1:2" x14ac:dyDescent="0.2">
      <c r="A4108" s="102"/>
      <c r="B4108" s="116"/>
    </row>
    <row r="4109" spans="1:2" x14ac:dyDescent="0.2">
      <c r="A4109" s="102"/>
      <c r="B4109" s="116"/>
    </row>
    <row r="4110" spans="1:2" x14ac:dyDescent="0.2">
      <c r="A4110" s="102"/>
      <c r="B4110" s="116"/>
    </row>
    <row r="4111" spans="1:2" x14ac:dyDescent="0.2">
      <c r="A4111" s="102"/>
      <c r="B4111" s="116"/>
    </row>
    <row r="4112" spans="1:2" x14ac:dyDescent="0.2">
      <c r="A4112" s="102"/>
      <c r="B4112" s="116"/>
    </row>
    <row r="4113" spans="1:2" x14ac:dyDescent="0.2">
      <c r="A4113" s="102"/>
      <c r="B4113" s="116"/>
    </row>
    <row r="4114" spans="1:2" x14ac:dyDescent="0.2">
      <c r="A4114" s="102"/>
      <c r="B4114" s="116"/>
    </row>
    <row r="4115" spans="1:2" x14ac:dyDescent="0.2">
      <c r="A4115" s="102"/>
      <c r="B4115" s="116"/>
    </row>
    <row r="4116" spans="1:2" x14ac:dyDescent="0.2">
      <c r="A4116" s="102"/>
      <c r="B4116" s="116"/>
    </row>
    <row r="4117" spans="1:2" x14ac:dyDescent="0.2">
      <c r="A4117" s="102"/>
      <c r="B4117" s="116"/>
    </row>
    <row r="4118" spans="1:2" x14ac:dyDescent="0.2">
      <c r="A4118" s="102"/>
      <c r="B4118" s="116"/>
    </row>
    <row r="4119" spans="1:2" x14ac:dyDescent="0.2">
      <c r="A4119" s="102"/>
      <c r="B4119" s="116"/>
    </row>
    <row r="4120" spans="1:2" x14ac:dyDescent="0.2">
      <c r="A4120" s="102"/>
      <c r="B4120" s="116"/>
    </row>
    <row r="4121" spans="1:2" x14ac:dyDescent="0.2">
      <c r="A4121" s="102"/>
      <c r="B4121" s="116"/>
    </row>
    <row r="4122" spans="1:2" x14ac:dyDescent="0.2">
      <c r="A4122" s="102"/>
      <c r="B4122" s="116"/>
    </row>
    <row r="4123" spans="1:2" x14ac:dyDescent="0.2">
      <c r="A4123" s="102"/>
      <c r="B4123" s="116"/>
    </row>
    <row r="4124" spans="1:2" x14ac:dyDescent="0.2">
      <c r="A4124" s="102"/>
      <c r="B4124" s="116"/>
    </row>
    <row r="4125" spans="1:2" x14ac:dyDescent="0.2">
      <c r="A4125" s="102"/>
      <c r="B4125" s="116"/>
    </row>
    <row r="4126" spans="1:2" x14ac:dyDescent="0.2">
      <c r="A4126" s="102"/>
      <c r="B4126" s="116"/>
    </row>
    <row r="4127" spans="1:2" x14ac:dyDescent="0.2">
      <c r="A4127" s="102"/>
      <c r="B4127" s="116"/>
    </row>
    <row r="4128" spans="1:2" x14ac:dyDescent="0.2">
      <c r="A4128" s="102"/>
      <c r="B4128" s="116"/>
    </row>
    <row r="4129" spans="1:2" x14ac:dyDescent="0.2">
      <c r="A4129" s="102"/>
      <c r="B4129" s="116"/>
    </row>
    <row r="4130" spans="1:2" x14ac:dyDescent="0.2">
      <c r="A4130" s="102"/>
      <c r="B4130" s="116"/>
    </row>
    <row r="4131" spans="1:2" x14ac:dyDescent="0.2">
      <c r="A4131" s="102"/>
      <c r="B4131" s="116"/>
    </row>
    <row r="4132" spans="1:2" x14ac:dyDescent="0.2">
      <c r="A4132" s="102"/>
      <c r="B4132" s="116"/>
    </row>
    <row r="4133" spans="1:2" x14ac:dyDescent="0.2">
      <c r="A4133" s="102"/>
      <c r="B4133" s="116"/>
    </row>
    <row r="4134" spans="1:2" x14ac:dyDescent="0.2">
      <c r="A4134" s="102"/>
      <c r="B4134" s="116"/>
    </row>
    <row r="4135" spans="1:2" x14ac:dyDescent="0.2">
      <c r="A4135" s="102"/>
      <c r="B4135" s="116"/>
    </row>
    <row r="4136" spans="1:2" x14ac:dyDescent="0.2">
      <c r="A4136" s="102"/>
      <c r="B4136" s="116"/>
    </row>
    <row r="4137" spans="1:2" x14ac:dyDescent="0.2">
      <c r="A4137" s="102"/>
      <c r="B4137" s="116"/>
    </row>
    <row r="4138" spans="1:2" x14ac:dyDescent="0.2">
      <c r="A4138" s="102"/>
      <c r="B4138" s="116"/>
    </row>
    <row r="4139" spans="1:2" x14ac:dyDescent="0.2">
      <c r="A4139" s="102"/>
      <c r="B4139" s="116"/>
    </row>
    <row r="4140" spans="1:2" x14ac:dyDescent="0.2">
      <c r="A4140" s="102"/>
      <c r="B4140" s="116"/>
    </row>
    <row r="4141" spans="1:2" x14ac:dyDescent="0.2">
      <c r="A4141" s="102"/>
      <c r="B4141" s="116"/>
    </row>
    <row r="4142" spans="1:2" x14ac:dyDescent="0.2">
      <c r="A4142" s="102"/>
      <c r="B4142" s="116"/>
    </row>
    <row r="4143" spans="1:2" x14ac:dyDescent="0.2">
      <c r="A4143" s="102"/>
      <c r="B4143" s="116"/>
    </row>
    <row r="4144" spans="1:2" x14ac:dyDescent="0.2">
      <c r="A4144" s="102"/>
      <c r="B4144" s="116"/>
    </row>
    <row r="4145" spans="1:2" x14ac:dyDescent="0.2">
      <c r="A4145" s="102"/>
      <c r="B4145" s="116"/>
    </row>
    <row r="4146" spans="1:2" x14ac:dyDescent="0.2">
      <c r="A4146" s="102"/>
      <c r="B4146" s="116"/>
    </row>
    <row r="4147" spans="1:2" x14ac:dyDescent="0.2">
      <c r="A4147" s="102"/>
      <c r="B4147" s="116"/>
    </row>
    <row r="4148" spans="1:2" x14ac:dyDescent="0.2">
      <c r="A4148" s="102"/>
      <c r="B4148" s="116"/>
    </row>
    <row r="4149" spans="1:2" x14ac:dyDescent="0.2">
      <c r="A4149" s="102"/>
      <c r="B4149" s="116"/>
    </row>
    <row r="4150" spans="1:2" x14ac:dyDescent="0.2">
      <c r="A4150" s="102"/>
      <c r="B4150" s="116"/>
    </row>
    <row r="4151" spans="1:2" x14ac:dyDescent="0.2">
      <c r="A4151" s="102"/>
      <c r="B4151" s="116"/>
    </row>
    <row r="4152" spans="1:2" x14ac:dyDescent="0.2">
      <c r="A4152" s="102"/>
      <c r="B4152" s="116"/>
    </row>
    <row r="4153" spans="1:2" x14ac:dyDescent="0.2">
      <c r="A4153" s="102"/>
      <c r="B4153" s="116"/>
    </row>
    <row r="4154" spans="1:2" x14ac:dyDescent="0.2">
      <c r="A4154" s="102"/>
      <c r="B4154" s="116"/>
    </row>
    <row r="4155" spans="1:2" x14ac:dyDescent="0.2">
      <c r="A4155" s="102"/>
      <c r="B4155" s="116"/>
    </row>
    <row r="4156" spans="1:2" x14ac:dyDescent="0.2">
      <c r="A4156" s="102"/>
      <c r="B4156" s="116"/>
    </row>
    <row r="4157" spans="1:2" x14ac:dyDescent="0.2">
      <c r="A4157" s="102"/>
      <c r="B4157" s="116"/>
    </row>
    <row r="4158" spans="1:2" x14ac:dyDescent="0.2">
      <c r="A4158" s="102"/>
      <c r="B4158" s="116"/>
    </row>
    <row r="4159" spans="1:2" x14ac:dyDescent="0.2">
      <c r="A4159" s="102"/>
      <c r="B4159" s="116"/>
    </row>
    <row r="4160" spans="1:2" x14ac:dyDescent="0.2">
      <c r="A4160" s="102"/>
      <c r="B4160" s="116"/>
    </row>
    <row r="4161" spans="1:2" x14ac:dyDescent="0.2">
      <c r="A4161" s="102"/>
      <c r="B4161" s="116"/>
    </row>
    <row r="4162" spans="1:2" x14ac:dyDescent="0.2">
      <c r="A4162" s="102"/>
      <c r="B4162" s="116"/>
    </row>
    <row r="4163" spans="1:2" x14ac:dyDescent="0.2">
      <c r="A4163" s="102"/>
      <c r="B4163" s="116"/>
    </row>
    <row r="4164" spans="1:2" x14ac:dyDescent="0.2">
      <c r="A4164" s="102"/>
      <c r="B4164" s="116"/>
    </row>
    <row r="4165" spans="1:2" x14ac:dyDescent="0.2">
      <c r="A4165" s="102"/>
      <c r="B4165" s="116"/>
    </row>
    <row r="4166" spans="1:2" x14ac:dyDescent="0.2">
      <c r="A4166" s="102"/>
      <c r="B4166" s="116"/>
    </row>
    <row r="4167" spans="1:2" x14ac:dyDescent="0.2">
      <c r="A4167" s="102"/>
      <c r="B4167" s="116"/>
    </row>
    <row r="4168" spans="1:2" x14ac:dyDescent="0.2">
      <c r="A4168" s="102"/>
      <c r="B4168" s="116"/>
    </row>
    <row r="4169" spans="1:2" x14ac:dyDescent="0.2">
      <c r="A4169" s="102"/>
      <c r="B4169" s="116"/>
    </row>
    <row r="4170" spans="1:2" x14ac:dyDescent="0.2">
      <c r="A4170" s="102"/>
      <c r="B4170" s="116"/>
    </row>
    <row r="4171" spans="1:2" x14ac:dyDescent="0.2">
      <c r="A4171" s="102"/>
      <c r="B4171" s="116"/>
    </row>
    <row r="4172" spans="1:2" x14ac:dyDescent="0.2">
      <c r="A4172" s="102"/>
      <c r="B4172" s="116"/>
    </row>
    <row r="4173" spans="1:2" x14ac:dyDescent="0.2">
      <c r="A4173" s="102"/>
      <c r="B4173" s="116"/>
    </row>
    <row r="4174" spans="1:2" x14ac:dyDescent="0.2">
      <c r="A4174" s="102"/>
      <c r="B4174" s="116"/>
    </row>
    <row r="4175" spans="1:2" x14ac:dyDescent="0.2">
      <c r="A4175" s="102"/>
      <c r="B4175" s="116"/>
    </row>
    <row r="4176" spans="1:2" x14ac:dyDescent="0.2">
      <c r="A4176" s="102"/>
      <c r="B4176" s="116"/>
    </row>
    <row r="4177" spans="1:2" x14ac:dyDescent="0.2">
      <c r="A4177" s="102"/>
      <c r="B4177" s="116"/>
    </row>
    <row r="4178" spans="1:2" x14ac:dyDescent="0.2">
      <c r="A4178" s="102"/>
      <c r="B4178" s="116"/>
    </row>
    <row r="4179" spans="1:2" x14ac:dyDescent="0.2">
      <c r="A4179" s="102"/>
      <c r="B4179" s="116"/>
    </row>
    <row r="4180" spans="1:2" x14ac:dyDescent="0.2">
      <c r="A4180" s="102"/>
      <c r="B4180" s="116"/>
    </row>
    <row r="4181" spans="1:2" x14ac:dyDescent="0.2">
      <c r="A4181" s="102"/>
      <c r="B4181" s="116"/>
    </row>
    <row r="4182" spans="1:2" x14ac:dyDescent="0.2">
      <c r="A4182" s="102"/>
      <c r="B4182" s="116"/>
    </row>
    <row r="4183" spans="1:2" x14ac:dyDescent="0.2">
      <c r="A4183" s="102"/>
      <c r="B4183" s="116"/>
    </row>
    <row r="4184" spans="1:2" x14ac:dyDescent="0.2">
      <c r="A4184" s="102"/>
      <c r="B4184" s="116"/>
    </row>
    <row r="4185" spans="1:2" x14ac:dyDescent="0.2">
      <c r="A4185" s="102"/>
      <c r="B4185" s="116"/>
    </row>
    <row r="4186" spans="1:2" x14ac:dyDescent="0.2">
      <c r="A4186" s="102"/>
      <c r="B4186" s="116"/>
    </row>
    <row r="4187" spans="1:2" x14ac:dyDescent="0.2">
      <c r="A4187" s="102"/>
      <c r="B4187" s="116"/>
    </row>
    <row r="4188" spans="1:2" x14ac:dyDescent="0.2">
      <c r="A4188" s="102"/>
      <c r="B4188" s="116"/>
    </row>
    <row r="4189" spans="1:2" x14ac:dyDescent="0.2">
      <c r="A4189" s="102"/>
      <c r="B4189" s="116"/>
    </row>
    <row r="4190" spans="1:2" x14ac:dyDescent="0.2">
      <c r="A4190" s="102"/>
      <c r="B4190" s="116"/>
    </row>
    <row r="4191" spans="1:2" x14ac:dyDescent="0.2">
      <c r="A4191" s="102"/>
      <c r="B4191" s="116"/>
    </row>
    <row r="4192" spans="1:2" x14ac:dyDescent="0.2">
      <c r="A4192" s="102"/>
      <c r="B4192" s="116"/>
    </row>
    <row r="4193" spans="1:2" x14ac:dyDescent="0.2">
      <c r="A4193" s="102"/>
      <c r="B4193" s="116"/>
    </row>
    <row r="4194" spans="1:2" x14ac:dyDescent="0.2">
      <c r="A4194" s="102"/>
      <c r="B4194" s="116"/>
    </row>
    <row r="4195" spans="1:2" x14ac:dyDescent="0.2">
      <c r="A4195" s="102"/>
      <c r="B4195" s="116"/>
    </row>
    <row r="4196" spans="1:2" x14ac:dyDescent="0.2">
      <c r="A4196" s="102"/>
      <c r="B4196" s="116"/>
    </row>
    <row r="4197" spans="1:2" x14ac:dyDescent="0.2">
      <c r="A4197" s="102"/>
      <c r="B4197" s="116"/>
    </row>
    <row r="4198" spans="1:2" x14ac:dyDescent="0.2">
      <c r="A4198" s="102"/>
      <c r="B4198" s="116"/>
    </row>
    <row r="4199" spans="1:2" x14ac:dyDescent="0.2">
      <c r="A4199" s="102"/>
      <c r="B4199" s="116"/>
    </row>
    <row r="4200" spans="1:2" x14ac:dyDescent="0.2">
      <c r="A4200" s="102"/>
      <c r="B4200" s="116"/>
    </row>
    <row r="4201" spans="1:2" x14ac:dyDescent="0.2">
      <c r="A4201" s="102"/>
      <c r="B4201" s="116"/>
    </row>
    <row r="4202" spans="1:2" x14ac:dyDescent="0.2">
      <c r="A4202" s="102"/>
      <c r="B4202" s="116"/>
    </row>
    <row r="4203" spans="1:2" x14ac:dyDescent="0.2">
      <c r="A4203" s="102"/>
      <c r="B4203" s="116"/>
    </row>
    <row r="4204" spans="1:2" x14ac:dyDescent="0.2">
      <c r="A4204" s="102"/>
      <c r="B4204" s="116"/>
    </row>
    <row r="4205" spans="1:2" x14ac:dyDescent="0.2">
      <c r="A4205" s="102"/>
      <c r="B4205" s="116"/>
    </row>
    <row r="4206" spans="1:2" x14ac:dyDescent="0.2">
      <c r="A4206" s="102"/>
      <c r="B4206" s="116"/>
    </row>
    <row r="4207" spans="1:2" x14ac:dyDescent="0.2">
      <c r="A4207" s="102"/>
      <c r="B4207" s="116"/>
    </row>
    <row r="4208" spans="1:2" x14ac:dyDescent="0.2">
      <c r="A4208" s="102"/>
      <c r="B4208" s="116"/>
    </row>
    <row r="4209" spans="1:2" x14ac:dyDescent="0.2">
      <c r="A4209" s="102"/>
      <c r="B4209" s="116"/>
    </row>
    <row r="4210" spans="1:2" x14ac:dyDescent="0.2">
      <c r="A4210" s="102"/>
      <c r="B4210" s="116"/>
    </row>
    <row r="4211" spans="1:2" x14ac:dyDescent="0.2">
      <c r="A4211" s="102"/>
      <c r="B4211" s="116"/>
    </row>
    <row r="4212" spans="1:2" x14ac:dyDescent="0.2">
      <c r="A4212" s="102"/>
      <c r="B4212" s="116"/>
    </row>
    <row r="4213" spans="1:2" x14ac:dyDescent="0.2">
      <c r="A4213" s="102"/>
      <c r="B4213" s="116"/>
    </row>
    <row r="4214" spans="1:2" x14ac:dyDescent="0.2">
      <c r="A4214" s="102"/>
      <c r="B4214" s="116"/>
    </row>
    <row r="4215" spans="1:2" x14ac:dyDescent="0.2">
      <c r="A4215" s="102"/>
      <c r="B4215" s="116"/>
    </row>
    <row r="4216" spans="1:2" x14ac:dyDescent="0.2">
      <c r="A4216" s="102"/>
      <c r="B4216" s="116"/>
    </row>
    <row r="4217" spans="1:2" x14ac:dyDescent="0.2">
      <c r="A4217" s="102"/>
      <c r="B4217" s="116"/>
    </row>
    <row r="4218" spans="1:2" x14ac:dyDescent="0.2">
      <c r="A4218" s="102"/>
      <c r="B4218" s="116"/>
    </row>
    <row r="4219" spans="1:2" x14ac:dyDescent="0.2">
      <c r="A4219" s="102"/>
      <c r="B4219" s="116"/>
    </row>
    <row r="4220" spans="1:2" x14ac:dyDescent="0.2">
      <c r="A4220" s="102"/>
      <c r="B4220" s="116"/>
    </row>
    <row r="4221" spans="1:2" x14ac:dyDescent="0.2">
      <c r="A4221" s="102"/>
      <c r="B4221" s="116"/>
    </row>
    <row r="4222" spans="1:2" x14ac:dyDescent="0.2">
      <c r="A4222" s="102"/>
      <c r="B4222" s="116"/>
    </row>
    <row r="4223" spans="1:2" x14ac:dyDescent="0.2">
      <c r="A4223" s="102"/>
      <c r="B4223" s="116"/>
    </row>
    <row r="4224" spans="1:2" x14ac:dyDescent="0.2">
      <c r="A4224" s="102"/>
      <c r="B4224" s="116"/>
    </row>
    <row r="4225" spans="1:2" x14ac:dyDescent="0.2">
      <c r="A4225" s="102"/>
      <c r="B4225" s="116"/>
    </row>
    <row r="4226" spans="1:2" x14ac:dyDescent="0.2">
      <c r="A4226" s="102"/>
      <c r="B4226" s="116"/>
    </row>
    <row r="4227" spans="1:2" x14ac:dyDescent="0.2">
      <c r="A4227" s="102"/>
      <c r="B4227" s="116"/>
    </row>
    <row r="4228" spans="1:2" x14ac:dyDescent="0.2">
      <c r="A4228" s="102"/>
      <c r="B4228" s="116"/>
    </row>
    <row r="4229" spans="1:2" x14ac:dyDescent="0.2">
      <c r="A4229" s="102"/>
      <c r="B4229" s="116"/>
    </row>
    <row r="4230" spans="1:2" x14ac:dyDescent="0.2">
      <c r="A4230" s="102"/>
      <c r="B4230" s="116"/>
    </row>
    <row r="4231" spans="1:2" x14ac:dyDescent="0.2">
      <c r="A4231" s="102"/>
      <c r="B4231" s="116"/>
    </row>
    <row r="4232" spans="1:2" x14ac:dyDescent="0.2">
      <c r="A4232" s="102"/>
      <c r="B4232" s="116"/>
    </row>
    <row r="4233" spans="1:2" x14ac:dyDescent="0.2">
      <c r="A4233" s="102"/>
      <c r="B4233" s="116"/>
    </row>
    <row r="4234" spans="1:2" x14ac:dyDescent="0.2">
      <c r="A4234" s="102"/>
      <c r="B4234" s="116"/>
    </row>
    <row r="4235" spans="1:2" x14ac:dyDescent="0.2">
      <c r="A4235" s="102"/>
      <c r="B4235" s="116"/>
    </row>
    <row r="4236" spans="1:2" x14ac:dyDescent="0.2">
      <c r="A4236" s="102"/>
      <c r="B4236" s="116"/>
    </row>
    <row r="4237" spans="1:2" x14ac:dyDescent="0.2">
      <c r="A4237" s="102"/>
      <c r="B4237" s="116"/>
    </row>
    <row r="4238" spans="1:2" x14ac:dyDescent="0.2">
      <c r="A4238" s="102"/>
      <c r="B4238" s="116"/>
    </row>
    <row r="4239" spans="1:2" x14ac:dyDescent="0.2">
      <c r="A4239" s="102"/>
      <c r="B4239" s="116"/>
    </row>
    <row r="4240" spans="1:2" x14ac:dyDescent="0.2">
      <c r="A4240" s="102"/>
      <c r="B4240" s="116"/>
    </row>
    <row r="4241" spans="1:2" x14ac:dyDescent="0.2">
      <c r="A4241" s="102"/>
      <c r="B4241" s="116"/>
    </row>
    <row r="4242" spans="1:2" x14ac:dyDescent="0.2">
      <c r="A4242" s="102"/>
      <c r="B4242" s="116"/>
    </row>
    <row r="4243" spans="1:2" x14ac:dyDescent="0.2">
      <c r="A4243" s="102"/>
      <c r="B4243" s="116"/>
    </row>
    <row r="4244" spans="1:2" x14ac:dyDescent="0.2">
      <c r="A4244" s="102"/>
      <c r="B4244" s="116"/>
    </row>
    <row r="4245" spans="1:2" x14ac:dyDescent="0.2">
      <c r="A4245" s="102"/>
      <c r="B4245" s="116"/>
    </row>
    <row r="4246" spans="1:2" x14ac:dyDescent="0.2">
      <c r="A4246" s="102"/>
      <c r="B4246" s="116"/>
    </row>
    <row r="4247" spans="1:2" x14ac:dyDescent="0.2">
      <c r="A4247" s="102"/>
      <c r="B4247" s="116"/>
    </row>
    <row r="4248" spans="1:2" x14ac:dyDescent="0.2">
      <c r="A4248" s="102"/>
      <c r="B4248" s="116"/>
    </row>
    <row r="4249" spans="1:2" x14ac:dyDescent="0.2">
      <c r="A4249" s="102"/>
      <c r="B4249" s="116"/>
    </row>
    <row r="4250" spans="1:2" x14ac:dyDescent="0.2">
      <c r="A4250" s="102"/>
      <c r="B4250" s="116"/>
    </row>
    <row r="4251" spans="1:2" x14ac:dyDescent="0.2">
      <c r="A4251" s="102"/>
      <c r="B4251" s="116"/>
    </row>
    <row r="4252" spans="1:2" x14ac:dyDescent="0.2">
      <c r="A4252" s="102"/>
      <c r="B4252" s="116"/>
    </row>
    <row r="4253" spans="1:2" x14ac:dyDescent="0.2">
      <c r="A4253" s="102"/>
      <c r="B4253" s="116"/>
    </row>
    <row r="4254" spans="1:2" x14ac:dyDescent="0.2">
      <c r="A4254" s="102"/>
      <c r="B4254" s="116"/>
    </row>
    <row r="4255" spans="1:2" x14ac:dyDescent="0.2">
      <c r="A4255" s="102"/>
      <c r="B4255" s="116"/>
    </row>
    <row r="4256" spans="1:2" x14ac:dyDescent="0.2">
      <c r="A4256" s="102"/>
      <c r="B4256" s="116"/>
    </row>
    <row r="4257" spans="1:2" x14ac:dyDescent="0.2">
      <c r="A4257" s="102"/>
      <c r="B4257" s="116"/>
    </row>
    <row r="4258" spans="1:2" x14ac:dyDescent="0.2">
      <c r="A4258" s="102"/>
      <c r="B4258" s="116"/>
    </row>
    <row r="4259" spans="1:2" x14ac:dyDescent="0.2">
      <c r="A4259" s="102"/>
      <c r="B4259" s="116"/>
    </row>
    <row r="4260" spans="1:2" x14ac:dyDescent="0.2">
      <c r="A4260" s="102"/>
      <c r="B4260" s="116"/>
    </row>
    <row r="4261" spans="1:2" x14ac:dyDescent="0.2">
      <c r="A4261" s="102"/>
      <c r="B4261" s="116"/>
    </row>
    <row r="4262" spans="1:2" x14ac:dyDescent="0.2">
      <c r="A4262" s="102"/>
      <c r="B4262" s="116"/>
    </row>
    <row r="4263" spans="1:2" x14ac:dyDescent="0.2">
      <c r="A4263" s="102"/>
      <c r="B4263" s="116"/>
    </row>
    <row r="4264" spans="1:2" x14ac:dyDescent="0.2">
      <c r="A4264" s="102"/>
      <c r="B4264" s="116"/>
    </row>
    <row r="4265" spans="1:2" x14ac:dyDescent="0.2">
      <c r="A4265" s="102"/>
      <c r="B4265" s="116"/>
    </row>
    <row r="4266" spans="1:2" x14ac:dyDescent="0.2">
      <c r="A4266" s="102"/>
      <c r="B4266" s="116"/>
    </row>
    <row r="4267" spans="1:2" x14ac:dyDescent="0.2">
      <c r="A4267" s="102"/>
      <c r="B4267" s="116"/>
    </row>
    <row r="4268" spans="1:2" x14ac:dyDescent="0.2">
      <c r="A4268" s="102"/>
      <c r="B4268" s="116"/>
    </row>
    <row r="4269" spans="1:2" x14ac:dyDescent="0.2">
      <c r="A4269" s="102"/>
      <c r="B4269" s="116"/>
    </row>
    <row r="4270" spans="1:2" x14ac:dyDescent="0.2">
      <c r="A4270" s="102"/>
      <c r="B4270" s="116"/>
    </row>
    <row r="4271" spans="1:2" x14ac:dyDescent="0.2">
      <c r="A4271" s="102"/>
      <c r="B4271" s="116"/>
    </row>
    <row r="4272" spans="1:2" x14ac:dyDescent="0.2">
      <c r="A4272" s="102"/>
      <c r="B4272" s="116"/>
    </row>
    <row r="4273" spans="1:2" x14ac:dyDescent="0.2">
      <c r="A4273" s="102"/>
      <c r="B4273" s="116"/>
    </row>
    <row r="4274" spans="1:2" x14ac:dyDescent="0.2">
      <c r="A4274" s="102"/>
      <c r="B4274" s="116"/>
    </row>
    <row r="4275" spans="1:2" x14ac:dyDescent="0.2">
      <c r="A4275" s="102"/>
      <c r="B4275" s="116"/>
    </row>
    <row r="4276" spans="1:2" x14ac:dyDescent="0.2">
      <c r="A4276" s="102"/>
      <c r="B4276" s="116"/>
    </row>
    <row r="4277" spans="1:2" x14ac:dyDescent="0.2">
      <c r="A4277" s="102"/>
      <c r="B4277" s="116"/>
    </row>
    <row r="4278" spans="1:2" x14ac:dyDescent="0.2">
      <c r="A4278" s="102"/>
      <c r="B4278" s="116"/>
    </row>
    <row r="4279" spans="1:2" x14ac:dyDescent="0.2">
      <c r="A4279" s="102"/>
      <c r="B4279" s="116"/>
    </row>
    <row r="4280" spans="1:2" x14ac:dyDescent="0.2">
      <c r="A4280" s="102"/>
      <c r="B4280" s="116"/>
    </row>
    <row r="4281" spans="1:2" x14ac:dyDescent="0.2">
      <c r="A4281" s="102"/>
      <c r="B4281" s="116"/>
    </row>
    <row r="4282" spans="1:2" x14ac:dyDescent="0.2">
      <c r="A4282" s="102"/>
      <c r="B4282" s="116"/>
    </row>
    <row r="4283" spans="1:2" x14ac:dyDescent="0.2">
      <c r="A4283" s="102"/>
      <c r="B4283" s="116"/>
    </row>
    <row r="4284" spans="1:2" x14ac:dyDescent="0.2">
      <c r="A4284" s="102"/>
      <c r="B4284" s="116"/>
    </row>
    <row r="4285" spans="1:2" x14ac:dyDescent="0.2">
      <c r="A4285" s="102"/>
      <c r="B4285" s="116"/>
    </row>
    <row r="4286" spans="1:2" x14ac:dyDescent="0.2">
      <c r="A4286" s="102"/>
      <c r="B4286" s="116"/>
    </row>
    <row r="4287" spans="1:2" x14ac:dyDescent="0.2">
      <c r="A4287" s="102"/>
      <c r="B4287" s="116"/>
    </row>
    <row r="4288" spans="1:2" x14ac:dyDescent="0.2">
      <c r="A4288" s="102"/>
      <c r="B4288" s="116"/>
    </row>
    <row r="4289" spans="1:2" x14ac:dyDescent="0.2">
      <c r="A4289" s="102"/>
      <c r="B4289" s="116"/>
    </row>
    <row r="4290" spans="1:2" x14ac:dyDescent="0.2">
      <c r="A4290" s="102"/>
      <c r="B4290" s="116"/>
    </row>
    <row r="4291" spans="1:2" x14ac:dyDescent="0.2">
      <c r="A4291" s="102"/>
      <c r="B4291" s="116"/>
    </row>
    <row r="4292" spans="1:2" x14ac:dyDescent="0.2">
      <c r="A4292" s="102"/>
      <c r="B4292" s="116"/>
    </row>
    <row r="4293" spans="1:2" x14ac:dyDescent="0.2">
      <c r="A4293" s="102"/>
      <c r="B4293" s="116"/>
    </row>
    <row r="4294" spans="1:2" x14ac:dyDescent="0.2">
      <c r="A4294" s="102"/>
      <c r="B4294" s="116"/>
    </row>
    <row r="4295" spans="1:2" x14ac:dyDescent="0.2">
      <c r="A4295" s="102"/>
      <c r="B4295" s="116"/>
    </row>
    <row r="4296" spans="1:2" x14ac:dyDescent="0.2">
      <c r="A4296" s="102"/>
      <c r="B4296" s="116"/>
    </row>
    <row r="4297" spans="1:2" x14ac:dyDescent="0.2">
      <c r="A4297" s="102"/>
      <c r="B4297" s="116"/>
    </row>
    <row r="4298" spans="1:2" x14ac:dyDescent="0.2">
      <c r="A4298" s="102"/>
      <c r="B4298" s="116"/>
    </row>
    <row r="4299" spans="1:2" x14ac:dyDescent="0.2">
      <c r="A4299" s="102"/>
      <c r="B4299" s="116"/>
    </row>
    <row r="4300" spans="1:2" x14ac:dyDescent="0.2">
      <c r="A4300" s="102"/>
      <c r="B4300" s="116"/>
    </row>
    <row r="4301" spans="1:2" x14ac:dyDescent="0.2">
      <c r="A4301" s="102"/>
      <c r="B4301" s="116"/>
    </row>
    <row r="4302" spans="1:2" x14ac:dyDescent="0.2">
      <c r="A4302" s="102"/>
      <c r="B4302" s="116"/>
    </row>
    <row r="4303" spans="1:2" x14ac:dyDescent="0.2">
      <c r="A4303" s="102"/>
      <c r="B4303" s="116"/>
    </row>
    <row r="4304" spans="1:2" x14ac:dyDescent="0.2">
      <c r="A4304" s="102"/>
      <c r="B4304" s="116"/>
    </row>
    <row r="4305" spans="1:2" x14ac:dyDescent="0.2">
      <c r="A4305" s="102"/>
      <c r="B4305" s="116"/>
    </row>
    <row r="4306" spans="1:2" x14ac:dyDescent="0.2">
      <c r="A4306" s="102"/>
      <c r="B4306" s="116"/>
    </row>
    <row r="4307" spans="1:2" x14ac:dyDescent="0.2">
      <c r="A4307" s="102"/>
      <c r="B4307" s="116"/>
    </row>
    <row r="4308" spans="1:2" x14ac:dyDescent="0.2">
      <c r="A4308" s="102"/>
      <c r="B4308" s="116"/>
    </row>
    <row r="4309" spans="1:2" x14ac:dyDescent="0.2">
      <c r="A4309" s="102"/>
      <c r="B4309" s="116"/>
    </row>
    <row r="4310" spans="1:2" x14ac:dyDescent="0.2">
      <c r="A4310" s="102"/>
      <c r="B4310" s="116"/>
    </row>
    <row r="4311" spans="1:2" x14ac:dyDescent="0.2">
      <c r="A4311" s="102"/>
      <c r="B4311" s="116"/>
    </row>
    <row r="4312" spans="1:2" x14ac:dyDescent="0.2">
      <c r="A4312" s="102"/>
      <c r="B4312" s="116"/>
    </row>
    <row r="4313" spans="1:2" x14ac:dyDescent="0.2">
      <c r="A4313" s="102"/>
      <c r="B4313" s="116"/>
    </row>
    <row r="4314" spans="1:2" x14ac:dyDescent="0.2">
      <c r="A4314" s="102"/>
      <c r="B4314" s="116"/>
    </row>
    <row r="4315" spans="1:2" x14ac:dyDescent="0.2">
      <c r="A4315" s="102"/>
      <c r="B4315" s="116"/>
    </row>
    <row r="4316" spans="1:2" x14ac:dyDescent="0.2">
      <c r="A4316" s="102"/>
      <c r="B4316" s="116"/>
    </row>
    <row r="4317" spans="1:2" x14ac:dyDescent="0.2">
      <c r="A4317" s="102"/>
      <c r="B4317" s="116"/>
    </row>
    <row r="4318" spans="1:2" x14ac:dyDescent="0.2">
      <c r="A4318" s="102"/>
      <c r="B4318" s="116"/>
    </row>
    <row r="4319" spans="1:2" x14ac:dyDescent="0.2">
      <c r="A4319" s="102"/>
      <c r="B4319" s="116"/>
    </row>
    <row r="4320" spans="1:2" x14ac:dyDescent="0.2">
      <c r="A4320" s="102"/>
      <c r="B4320" s="116"/>
    </row>
    <row r="4321" spans="1:2" x14ac:dyDescent="0.2">
      <c r="A4321" s="102"/>
      <c r="B4321" s="116"/>
    </row>
    <row r="4322" spans="1:2" x14ac:dyDescent="0.2">
      <c r="A4322" s="102"/>
      <c r="B4322" s="116"/>
    </row>
    <row r="4323" spans="1:2" x14ac:dyDescent="0.2">
      <c r="A4323" s="102"/>
      <c r="B4323" s="116"/>
    </row>
    <row r="4324" spans="1:2" x14ac:dyDescent="0.2">
      <c r="A4324" s="102"/>
      <c r="B4324" s="116"/>
    </row>
    <row r="4325" spans="1:2" x14ac:dyDescent="0.2">
      <c r="A4325" s="102"/>
      <c r="B4325" s="116"/>
    </row>
    <row r="4326" spans="1:2" x14ac:dyDescent="0.2">
      <c r="A4326" s="102"/>
      <c r="B4326" s="116"/>
    </row>
    <row r="4327" spans="1:2" x14ac:dyDescent="0.2">
      <c r="A4327" s="102"/>
      <c r="B4327" s="116"/>
    </row>
    <row r="4328" spans="1:2" x14ac:dyDescent="0.2">
      <c r="A4328" s="102"/>
      <c r="B4328" s="116"/>
    </row>
    <row r="4329" spans="1:2" x14ac:dyDescent="0.2">
      <c r="A4329" s="102"/>
      <c r="B4329" s="116"/>
    </row>
    <row r="4330" spans="1:2" x14ac:dyDescent="0.2">
      <c r="A4330" s="102"/>
      <c r="B4330" s="116"/>
    </row>
    <row r="4331" spans="1:2" x14ac:dyDescent="0.2">
      <c r="A4331" s="102"/>
      <c r="B4331" s="116"/>
    </row>
    <row r="4332" spans="1:2" x14ac:dyDescent="0.2">
      <c r="A4332" s="102"/>
      <c r="B4332" s="116"/>
    </row>
    <row r="4333" spans="1:2" x14ac:dyDescent="0.2">
      <c r="A4333" s="102"/>
      <c r="B4333" s="116"/>
    </row>
    <row r="4334" spans="1:2" x14ac:dyDescent="0.2">
      <c r="A4334" s="102"/>
      <c r="B4334" s="116"/>
    </row>
    <row r="4335" spans="1:2" x14ac:dyDescent="0.2">
      <c r="A4335" s="102"/>
      <c r="B4335" s="116"/>
    </row>
    <row r="4336" spans="1:2" x14ac:dyDescent="0.2">
      <c r="A4336" s="102"/>
      <c r="B4336" s="116"/>
    </row>
    <row r="4337" spans="1:2" x14ac:dyDescent="0.2">
      <c r="A4337" s="102"/>
      <c r="B4337" s="116"/>
    </row>
    <row r="4338" spans="1:2" x14ac:dyDescent="0.2">
      <c r="A4338" s="102"/>
      <c r="B4338" s="116"/>
    </row>
    <row r="4339" spans="1:2" x14ac:dyDescent="0.2">
      <c r="A4339" s="102"/>
      <c r="B4339" s="116"/>
    </row>
    <row r="4340" spans="1:2" x14ac:dyDescent="0.2">
      <c r="A4340" s="102"/>
      <c r="B4340" s="116"/>
    </row>
    <row r="4341" spans="1:2" x14ac:dyDescent="0.2">
      <c r="A4341" s="102"/>
      <c r="B4341" s="116"/>
    </row>
    <row r="4342" spans="1:2" x14ac:dyDescent="0.2">
      <c r="A4342" s="102"/>
      <c r="B4342" s="116"/>
    </row>
    <row r="4343" spans="1:2" x14ac:dyDescent="0.2">
      <c r="A4343" s="102"/>
      <c r="B4343" s="116"/>
    </row>
    <row r="4344" spans="1:2" x14ac:dyDescent="0.2">
      <c r="A4344" s="102"/>
      <c r="B4344" s="116"/>
    </row>
    <row r="4345" spans="1:2" x14ac:dyDescent="0.2">
      <c r="A4345" s="102"/>
      <c r="B4345" s="116"/>
    </row>
    <row r="4346" spans="1:2" x14ac:dyDescent="0.2">
      <c r="A4346" s="102"/>
      <c r="B4346" s="116"/>
    </row>
    <row r="4347" spans="1:2" x14ac:dyDescent="0.2">
      <c r="A4347" s="102"/>
      <c r="B4347" s="116"/>
    </row>
    <row r="4348" spans="1:2" x14ac:dyDescent="0.2">
      <c r="A4348" s="102"/>
      <c r="B4348" s="116"/>
    </row>
    <row r="4349" spans="1:2" x14ac:dyDescent="0.2">
      <c r="A4349" s="102"/>
      <c r="B4349" s="116"/>
    </row>
    <row r="4350" spans="1:2" x14ac:dyDescent="0.2">
      <c r="A4350" s="102"/>
      <c r="B4350" s="116"/>
    </row>
    <row r="4351" spans="1:2" x14ac:dyDescent="0.2">
      <c r="A4351" s="102"/>
      <c r="B4351" s="116"/>
    </row>
    <row r="4352" spans="1:2" x14ac:dyDescent="0.2">
      <c r="A4352" s="102"/>
      <c r="B4352" s="116"/>
    </row>
    <row r="4353" spans="1:2" x14ac:dyDescent="0.2">
      <c r="A4353" s="102"/>
      <c r="B4353" s="116"/>
    </row>
    <row r="4354" spans="1:2" x14ac:dyDescent="0.2">
      <c r="A4354" s="102"/>
      <c r="B4354" s="116"/>
    </row>
    <row r="4355" spans="1:2" x14ac:dyDescent="0.2">
      <c r="A4355" s="102"/>
      <c r="B4355" s="116"/>
    </row>
    <row r="4356" spans="1:2" x14ac:dyDescent="0.2">
      <c r="A4356" s="102"/>
      <c r="B4356" s="116"/>
    </row>
    <row r="4357" spans="1:2" x14ac:dyDescent="0.2">
      <c r="A4357" s="102"/>
      <c r="B4357" s="116"/>
    </row>
    <row r="4358" spans="1:2" x14ac:dyDescent="0.2">
      <c r="A4358" s="102"/>
      <c r="B4358" s="116"/>
    </row>
    <row r="4359" spans="1:2" x14ac:dyDescent="0.2">
      <c r="A4359" s="102"/>
      <c r="B4359" s="116"/>
    </row>
    <row r="4360" spans="1:2" x14ac:dyDescent="0.2">
      <c r="A4360" s="102"/>
      <c r="B4360" s="116"/>
    </row>
    <row r="4361" spans="1:2" x14ac:dyDescent="0.2">
      <c r="A4361" s="102"/>
      <c r="B4361" s="116"/>
    </row>
    <row r="4362" spans="1:2" x14ac:dyDescent="0.2">
      <c r="A4362" s="102"/>
      <c r="B4362" s="116"/>
    </row>
    <row r="4363" spans="1:2" x14ac:dyDescent="0.2">
      <c r="A4363" s="102"/>
      <c r="B4363" s="116"/>
    </row>
    <row r="4364" spans="1:2" x14ac:dyDescent="0.2">
      <c r="A4364" s="102"/>
      <c r="B4364" s="116"/>
    </row>
    <row r="4365" spans="1:2" x14ac:dyDescent="0.2">
      <c r="A4365" s="102"/>
      <c r="B4365" s="116"/>
    </row>
    <row r="4366" spans="1:2" x14ac:dyDescent="0.2">
      <c r="A4366" s="102"/>
      <c r="B4366" s="116"/>
    </row>
    <row r="4367" spans="1:2" x14ac:dyDescent="0.2">
      <c r="A4367" s="102"/>
      <c r="B4367" s="116"/>
    </row>
    <row r="4368" spans="1:2" x14ac:dyDescent="0.2">
      <c r="A4368" s="102"/>
      <c r="B4368" s="116"/>
    </row>
    <row r="4369" spans="1:2" x14ac:dyDescent="0.2">
      <c r="A4369" s="102"/>
      <c r="B4369" s="116"/>
    </row>
    <row r="4370" spans="1:2" x14ac:dyDescent="0.2">
      <c r="A4370" s="102"/>
      <c r="B4370" s="116"/>
    </row>
    <row r="4371" spans="1:2" x14ac:dyDescent="0.2">
      <c r="A4371" s="102"/>
      <c r="B4371" s="116"/>
    </row>
    <row r="4372" spans="1:2" x14ac:dyDescent="0.2">
      <c r="A4372" s="102"/>
      <c r="B4372" s="116"/>
    </row>
    <row r="4373" spans="1:2" x14ac:dyDescent="0.2">
      <c r="A4373" s="102"/>
      <c r="B4373" s="116"/>
    </row>
    <row r="4374" spans="1:2" x14ac:dyDescent="0.2">
      <c r="A4374" s="102"/>
      <c r="B4374" s="116"/>
    </row>
    <row r="4375" spans="1:2" x14ac:dyDescent="0.2">
      <c r="A4375" s="102"/>
      <c r="B4375" s="116"/>
    </row>
    <row r="4376" spans="1:2" x14ac:dyDescent="0.2">
      <c r="A4376" s="102"/>
      <c r="B4376" s="116"/>
    </row>
    <row r="4377" spans="1:2" x14ac:dyDescent="0.2">
      <c r="A4377" s="102"/>
      <c r="B4377" s="116"/>
    </row>
    <row r="4378" spans="1:2" x14ac:dyDescent="0.2">
      <c r="A4378" s="102"/>
      <c r="B4378" s="116"/>
    </row>
    <row r="4379" spans="1:2" x14ac:dyDescent="0.2">
      <c r="A4379" s="102"/>
      <c r="B4379" s="116"/>
    </row>
    <row r="4380" spans="1:2" x14ac:dyDescent="0.2">
      <c r="A4380" s="102"/>
      <c r="B4380" s="116"/>
    </row>
    <row r="4381" spans="1:2" x14ac:dyDescent="0.2">
      <c r="A4381" s="102"/>
      <c r="B4381" s="116"/>
    </row>
    <row r="4382" spans="1:2" x14ac:dyDescent="0.2">
      <c r="A4382" s="102"/>
      <c r="B4382" s="116"/>
    </row>
    <row r="4383" spans="1:2" x14ac:dyDescent="0.2">
      <c r="A4383" s="102"/>
      <c r="B4383" s="116"/>
    </row>
    <row r="4384" spans="1:2" x14ac:dyDescent="0.2">
      <c r="A4384" s="102"/>
      <c r="B4384" s="116"/>
    </row>
    <row r="4385" spans="1:2" x14ac:dyDescent="0.2">
      <c r="A4385" s="102"/>
      <c r="B4385" s="116"/>
    </row>
    <row r="4386" spans="1:2" x14ac:dyDescent="0.2">
      <c r="A4386" s="102"/>
      <c r="B4386" s="116"/>
    </row>
    <row r="4387" spans="1:2" x14ac:dyDescent="0.2">
      <c r="A4387" s="102"/>
      <c r="B4387" s="116"/>
    </row>
    <row r="4388" spans="1:2" x14ac:dyDescent="0.2">
      <c r="A4388" s="102"/>
      <c r="B4388" s="116"/>
    </row>
    <row r="4389" spans="1:2" x14ac:dyDescent="0.2">
      <c r="A4389" s="102"/>
      <c r="B4389" s="116"/>
    </row>
    <row r="4390" spans="1:2" x14ac:dyDescent="0.2">
      <c r="A4390" s="102"/>
      <c r="B4390" s="116"/>
    </row>
    <row r="4391" spans="1:2" x14ac:dyDescent="0.2">
      <c r="A4391" s="102"/>
      <c r="B4391" s="116"/>
    </row>
    <row r="4392" spans="1:2" x14ac:dyDescent="0.2">
      <c r="A4392" s="102"/>
      <c r="B4392" s="116"/>
    </row>
    <row r="4393" spans="1:2" x14ac:dyDescent="0.2">
      <c r="A4393" s="102"/>
      <c r="B4393" s="116"/>
    </row>
    <row r="4394" spans="1:2" x14ac:dyDescent="0.2">
      <c r="A4394" s="102"/>
      <c r="B4394" s="116"/>
    </row>
    <row r="4395" spans="1:2" x14ac:dyDescent="0.2">
      <c r="A4395" s="102"/>
      <c r="B4395" s="116"/>
    </row>
    <row r="4396" spans="1:2" x14ac:dyDescent="0.2">
      <c r="A4396" s="102"/>
      <c r="B4396" s="116"/>
    </row>
    <row r="4397" spans="1:2" x14ac:dyDescent="0.2">
      <c r="A4397" s="102"/>
      <c r="B4397" s="116"/>
    </row>
    <row r="4398" spans="1:2" x14ac:dyDescent="0.2">
      <c r="A4398" s="102"/>
      <c r="B4398" s="116"/>
    </row>
    <row r="4399" spans="1:2" x14ac:dyDescent="0.2">
      <c r="A4399" s="102"/>
      <c r="B4399" s="116"/>
    </row>
    <row r="4400" spans="1:2" x14ac:dyDescent="0.2">
      <c r="A4400" s="102"/>
      <c r="B4400" s="116"/>
    </row>
    <row r="4401" spans="1:2" x14ac:dyDescent="0.2">
      <c r="A4401" s="102"/>
      <c r="B4401" s="116"/>
    </row>
    <row r="4402" spans="1:2" x14ac:dyDescent="0.2">
      <c r="A4402" s="102"/>
      <c r="B4402" s="116"/>
    </row>
    <row r="4403" spans="1:2" x14ac:dyDescent="0.2">
      <c r="A4403" s="102"/>
      <c r="B4403" s="116"/>
    </row>
    <row r="4404" spans="1:2" x14ac:dyDescent="0.2">
      <c r="A4404" s="102"/>
      <c r="B4404" s="116"/>
    </row>
    <row r="4405" spans="1:2" x14ac:dyDescent="0.2">
      <c r="A4405" s="102"/>
      <c r="B4405" s="116"/>
    </row>
    <row r="4406" spans="1:2" x14ac:dyDescent="0.2">
      <c r="A4406" s="102"/>
      <c r="B4406" s="116"/>
    </row>
    <row r="4407" spans="1:2" x14ac:dyDescent="0.2">
      <c r="A4407" s="102"/>
      <c r="B4407" s="116"/>
    </row>
    <row r="4408" spans="1:2" x14ac:dyDescent="0.2">
      <c r="A4408" s="102"/>
      <c r="B4408" s="116"/>
    </row>
    <row r="4409" spans="1:2" x14ac:dyDescent="0.2">
      <c r="A4409" s="102"/>
      <c r="B4409" s="116"/>
    </row>
    <row r="4410" spans="1:2" x14ac:dyDescent="0.2">
      <c r="A4410" s="102"/>
      <c r="B4410" s="116"/>
    </row>
    <row r="4411" spans="1:2" x14ac:dyDescent="0.2">
      <c r="A4411" s="102"/>
      <c r="B4411" s="116"/>
    </row>
    <row r="4412" spans="1:2" x14ac:dyDescent="0.2">
      <c r="A4412" s="102"/>
      <c r="B4412" s="116"/>
    </row>
    <row r="4413" spans="1:2" x14ac:dyDescent="0.2">
      <c r="A4413" s="102"/>
      <c r="B4413" s="116"/>
    </row>
    <row r="4414" spans="1:2" x14ac:dyDescent="0.2">
      <c r="A4414" s="102"/>
      <c r="B4414" s="116"/>
    </row>
    <row r="4415" spans="1:2" x14ac:dyDescent="0.2">
      <c r="A4415" s="102"/>
      <c r="B4415" s="116"/>
    </row>
    <row r="4416" spans="1:2" x14ac:dyDescent="0.2">
      <c r="A4416" s="102"/>
      <c r="B4416" s="116"/>
    </row>
    <row r="4417" spans="1:2" x14ac:dyDescent="0.2">
      <c r="A4417" s="102"/>
      <c r="B4417" s="116"/>
    </row>
    <row r="4418" spans="1:2" x14ac:dyDescent="0.2">
      <c r="A4418" s="102"/>
      <c r="B4418" s="116"/>
    </row>
    <row r="4419" spans="1:2" x14ac:dyDescent="0.2">
      <c r="A4419" s="102"/>
      <c r="B4419" s="116"/>
    </row>
    <row r="4420" spans="1:2" x14ac:dyDescent="0.2">
      <c r="A4420" s="102"/>
      <c r="B4420" s="116"/>
    </row>
    <row r="4421" spans="1:2" x14ac:dyDescent="0.2">
      <c r="A4421" s="102"/>
      <c r="B4421" s="116"/>
    </row>
    <row r="4422" spans="1:2" x14ac:dyDescent="0.2">
      <c r="A4422" s="102"/>
      <c r="B4422" s="116"/>
    </row>
    <row r="4423" spans="1:2" x14ac:dyDescent="0.2">
      <c r="A4423" s="102"/>
      <c r="B4423" s="116"/>
    </row>
    <row r="4424" spans="1:2" x14ac:dyDescent="0.2">
      <c r="A4424" s="102"/>
      <c r="B4424" s="116"/>
    </row>
    <row r="4425" spans="1:2" x14ac:dyDescent="0.2">
      <c r="A4425" s="102"/>
      <c r="B4425" s="116"/>
    </row>
    <row r="4426" spans="1:2" x14ac:dyDescent="0.2">
      <c r="A4426" s="102"/>
      <c r="B4426" s="116"/>
    </row>
    <row r="4427" spans="1:2" x14ac:dyDescent="0.2">
      <c r="A4427" s="102"/>
      <c r="B4427" s="116"/>
    </row>
    <row r="4428" spans="1:2" x14ac:dyDescent="0.2">
      <c r="A4428" s="102"/>
      <c r="B4428" s="116"/>
    </row>
    <row r="4429" spans="1:2" x14ac:dyDescent="0.2">
      <c r="A4429" s="102"/>
      <c r="B4429" s="116"/>
    </row>
    <row r="4430" spans="1:2" x14ac:dyDescent="0.2">
      <c r="A4430" s="102"/>
      <c r="B4430" s="116"/>
    </row>
    <row r="4431" spans="1:2" x14ac:dyDescent="0.2">
      <c r="A4431" s="102"/>
      <c r="B4431" s="116"/>
    </row>
    <row r="4432" spans="1:2" x14ac:dyDescent="0.2">
      <c r="A4432" s="102"/>
      <c r="B4432" s="116"/>
    </row>
    <row r="4433" spans="1:2" x14ac:dyDescent="0.2">
      <c r="A4433" s="102"/>
      <c r="B4433" s="116"/>
    </row>
    <row r="4434" spans="1:2" x14ac:dyDescent="0.2">
      <c r="A4434" s="102"/>
      <c r="B4434" s="116"/>
    </row>
    <row r="4435" spans="1:2" x14ac:dyDescent="0.2">
      <c r="A4435" s="102"/>
      <c r="B4435" s="116"/>
    </row>
    <row r="4436" spans="1:2" x14ac:dyDescent="0.2">
      <c r="A4436" s="102"/>
      <c r="B4436" s="116"/>
    </row>
    <row r="4437" spans="1:2" x14ac:dyDescent="0.2">
      <c r="A4437" s="102"/>
      <c r="B4437" s="116"/>
    </row>
    <row r="4438" spans="1:2" x14ac:dyDescent="0.2">
      <c r="A4438" s="102"/>
      <c r="B4438" s="116"/>
    </row>
    <row r="4439" spans="1:2" x14ac:dyDescent="0.2">
      <c r="A4439" s="102"/>
      <c r="B4439" s="116"/>
    </row>
    <row r="4440" spans="1:2" x14ac:dyDescent="0.2">
      <c r="A4440" s="102"/>
      <c r="B4440" s="116"/>
    </row>
    <row r="4441" spans="1:2" x14ac:dyDescent="0.2">
      <c r="A4441" s="102"/>
      <c r="B4441" s="116"/>
    </row>
    <row r="4442" spans="1:2" x14ac:dyDescent="0.2">
      <c r="A4442" s="102"/>
      <c r="B4442" s="116"/>
    </row>
    <row r="4443" spans="1:2" x14ac:dyDescent="0.2">
      <c r="A4443" s="102"/>
      <c r="B4443" s="116"/>
    </row>
    <row r="4444" spans="1:2" x14ac:dyDescent="0.2">
      <c r="A4444" s="102"/>
      <c r="B4444" s="116"/>
    </row>
    <row r="4445" spans="1:2" x14ac:dyDescent="0.2">
      <c r="A4445" s="102"/>
      <c r="B4445" s="116"/>
    </row>
    <row r="4446" spans="1:2" x14ac:dyDescent="0.2">
      <c r="A4446" s="102"/>
      <c r="B4446" s="116"/>
    </row>
    <row r="4447" spans="1:2" x14ac:dyDescent="0.2">
      <c r="A4447" s="102"/>
      <c r="B4447" s="116"/>
    </row>
    <row r="4448" spans="1:2" x14ac:dyDescent="0.2">
      <c r="A4448" s="102"/>
      <c r="B4448" s="116"/>
    </row>
    <row r="4449" spans="1:2" x14ac:dyDescent="0.2">
      <c r="A4449" s="102"/>
      <c r="B4449" s="116"/>
    </row>
    <row r="4450" spans="1:2" x14ac:dyDescent="0.2">
      <c r="A4450" s="102"/>
      <c r="B4450" s="116"/>
    </row>
    <row r="4451" spans="1:2" x14ac:dyDescent="0.2">
      <c r="A4451" s="102"/>
      <c r="B4451" s="116"/>
    </row>
    <row r="4452" spans="1:2" x14ac:dyDescent="0.2">
      <c r="A4452" s="102"/>
      <c r="B4452" s="116"/>
    </row>
    <row r="4453" spans="1:2" x14ac:dyDescent="0.2">
      <c r="A4453" s="102"/>
      <c r="B4453" s="116"/>
    </row>
    <row r="4454" spans="1:2" x14ac:dyDescent="0.2">
      <c r="A4454" s="102"/>
      <c r="B4454" s="116"/>
    </row>
    <row r="4455" spans="1:2" x14ac:dyDescent="0.2">
      <c r="A4455" s="102"/>
      <c r="B4455" s="116"/>
    </row>
    <row r="4456" spans="1:2" x14ac:dyDescent="0.2">
      <c r="A4456" s="102"/>
      <c r="B4456" s="116"/>
    </row>
    <row r="4457" spans="1:2" x14ac:dyDescent="0.2">
      <c r="A4457" s="102"/>
      <c r="B4457" s="116"/>
    </row>
    <row r="4458" spans="1:2" x14ac:dyDescent="0.2">
      <c r="A4458" s="102"/>
      <c r="B4458" s="116"/>
    </row>
    <row r="4459" spans="1:2" x14ac:dyDescent="0.2">
      <c r="A4459" s="102"/>
      <c r="B4459" s="116"/>
    </row>
    <row r="4460" spans="1:2" x14ac:dyDescent="0.2">
      <c r="A4460" s="102"/>
      <c r="B4460" s="116"/>
    </row>
    <row r="4461" spans="1:2" x14ac:dyDescent="0.2">
      <c r="A4461" s="102"/>
      <c r="B4461" s="116"/>
    </row>
    <row r="4462" spans="1:2" x14ac:dyDescent="0.2">
      <c r="A4462" s="102"/>
      <c r="B4462" s="116"/>
    </row>
    <row r="4463" spans="1:2" x14ac:dyDescent="0.2">
      <c r="A4463" s="102"/>
      <c r="B4463" s="116"/>
    </row>
    <row r="4464" spans="1:2" x14ac:dyDescent="0.2">
      <c r="A4464" s="102"/>
      <c r="B4464" s="116"/>
    </row>
    <row r="4465" spans="1:2" x14ac:dyDescent="0.2">
      <c r="A4465" s="102"/>
      <c r="B4465" s="116"/>
    </row>
    <row r="4466" spans="1:2" x14ac:dyDescent="0.2">
      <c r="A4466" s="102"/>
      <c r="B4466" s="116"/>
    </row>
    <row r="4467" spans="1:2" x14ac:dyDescent="0.2">
      <c r="A4467" s="102"/>
      <c r="B4467" s="116"/>
    </row>
    <row r="4468" spans="1:2" x14ac:dyDescent="0.2">
      <c r="A4468" s="102"/>
      <c r="B4468" s="116"/>
    </row>
    <row r="4469" spans="1:2" x14ac:dyDescent="0.2">
      <c r="A4469" s="102"/>
      <c r="B4469" s="116"/>
    </row>
    <row r="4470" spans="1:2" x14ac:dyDescent="0.2">
      <c r="A4470" s="102"/>
      <c r="B4470" s="116"/>
    </row>
    <row r="4471" spans="1:2" x14ac:dyDescent="0.2">
      <c r="A4471" s="102"/>
      <c r="B4471" s="116"/>
    </row>
    <row r="4472" spans="1:2" x14ac:dyDescent="0.2">
      <c r="A4472" s="102"/>
      <c r="B4472" s="116"/>
    </row>
    <row r="4473" spans="1:2" x14ac:dyDescent="0.2">
      <c r="A4473" s="102"/>
      <c r="B4473" s="116"/>
    </row>
    <row r="4474" spans="1:2" x14ac:dyDescent="0.2">
      <c r="A4474" s="102"/>
      <c r="B4474" s="116"/>
    </row>
    <row r="4475" spans="1:2" x14ac:dyDescent="0.2">
      <c r="A4475" s="102"/>
      <c r="B4475" s="116"/>
    </row>
    <row r="4476" spans="1:2" x14ac:dyDescent="0.2">
      <c r="A4476" s="102"/>
      <c r="B4476" s="116"/>
    </row>
    <row r="4477" spans="1:2" x14ac:dyDescent="0.2">
      <c r="A4477" s="102"/>
      <c r="B4477" s="116"/>
    </row>
    <row r="4478" spans="1:2" x14ac:dyDescent="0.2">
      <c r="A4478" s="102"/>
      <c r="B4478" s="116"/>
    </row>
    <row r="4479" spans="1:2" x14ac:dyDescent="0.2">
      <c r="A4479" s="102"/>
      <c r="B4479" s="116"/>
    </row>
    <row r="4480" spans="1:2" x14ac:dyDescent="0.2">
      <c r="A4480" s="102"/>
      <c r="B4480" s="116"/>
    </row>
    <row r="4481" spans="1:2" x14ac:dyDescent="0.2">
      <c r="A4481" s="102"/>
      <c r="B4481" s="116"/>
    </row>
    <row r="4482" spans="1:2" x14ac:dyDescent="0.2">
      <c r="A4482" s="102"/>
      <c r="B4482" s="116"/>
    </row>
    <row r="4483" spans="1:2" x14ac:dyDescent="0.2">
      <c r="A4483" s="102"/>
      <c r="B4483" s="116"/>
    </row>
    <row r="4484" spans="1:2" x14ac:dyDescent="0.2">
      <c r="A4484" s="102"/>
      <c r="B4484" s="116"/>
    </row>
    <row r="4485" spans="1:2" x14ac:dyDescent="0.2">
      <c r="A4485" s="102"/>
      <c r="B4485" s="116"/>
    </row>
    <row r="4486" spans="1:2" x14ac:dyDescent="0.2">
      <c r="A4486" s="102"/>
      <c r="B4486" s="116"/>
    </row>
    <row r="4487" spans="1:2" x14ac:dyDescent="0.2">
      <c r="A4487" s="102"/>
      <c r="B4487" s="116"/>
    </row>
    <row r="4488" spans="1:2" x14ac:dyDescent="0.2">
      <c r="A4488" s="102"/>
      <c r="B4488" s="116"/>
    </row>
    <row r="4489" spans="1:2" x14ac:dyDescent="0.2">
      <c r="A4489" s="102"/>
      <c r="B4489" s="116"/>
    </row>
    <row r="4490" spans="1:2" x14ac:dyDescent="0.2">
      <c r="A4490" s="102"/>
      <c r="B4490" s="116"/>
    </row>
    <row r="4491" spans="1:2" x14ac:dyDescent="0.2">
      <c r="A4491" s="102"/>
      <c r="B4491" s="116"/>
    </row>
    <row r="4492" spans="1:2" x14ac:dyDescent="0.2">
      <c r="A4492" s="102"/>
      <c r="B4492" s="116"/>
    </row>
    <row r="4493" spans="1:2" x14ac:dyDescent="0.2">
      <c r="A4493" s="102"/>
      <c r="B4493" s="116"/>
    </row>
    <row r="4494" spans="1:2" x14ac:dyDescent="0.2">
      <c r="A4494" s="102"/>
      <c r="B4494" s="116"/>
    </row>
    <row r="4495" spans="1:2" x14ac:dyDescent="0.2">
      <c r="A4495" s="102"/>
      <c r="B4495" s="116"/>
    </row>
    <row r="4496" spans="1:2" x14ac:dyDescent="0.2">
      <c r="A4496" s="102"/>
      <c r="B4496" s="116"/>
    </row>
    <row r="4497" spans="1:2" x14ac:dyDescent="0.2">
      <c r="A4497" s="102"/>
      <c r="B4497" s="116"/>
    </row>
    <row r="4498" spans="1:2" x14ac:dyDescent="0.2">
      <c r="A4498" s="102"/>
      <c r="B4498" s="116"/>
    </row>
    <row r="4499" spans="1:2" x14ac:dyDescent="0.2">
      <c r="A4499" s="102"/>
      <c r="B4499" s="116"/>
    </row>
    <row r="4500" spans="1:2" x14ac:dyDescent="0.2">
      <c r="A4500" s="102"/>
      <c r="B4500" s="116"/>
    </row>
    <row r="4501" spans="1:2" x14ac:dyDescent="0.2">
      <c r="A4501" s="102"/>
      <c r="B4501" s="116"/>
    </row>
    <row r="4502" spans="1:2" x14ac:dyDescent="0.2">
      <c r="A4502" s="102"/>
      <c r="B4502" s="116"/>
    </row>
    <row r="4503" spans="1:2" x14ac:dyDescent="0.2">
      <c r="A4503" s="102"/>
      <c r="B4503" s="116"/>
    </row>
    <row r="4504" spans="1:2" x14ac:dyDescent="0.2">
      <c r="A4504" s="102"/>
      <c r="B4504" s="116"/>
    </row>
    <row r="4505" spans="1:2" x14ac:dyDescent="0.2">
      <c r="A4505" s="102"/>
      <c r="B4505" s="116"/>
    </row>
    <row r="4506" spans="1:2" x14ac:dyDescent="0.2">
      <c r="A4506" s="102"/>
      <c r="B4506" s="116"/>
    </row>
    <row r="4507" spans="1:2" x14ac:dyDescent="0.2">
      <c r="A4507" s="102"/>
      <c r="B4507" s="116"/>
    </row>
    <row r="4508" spans="1:2" x14ac:dyDescent="0.2">
      <c r="A4508" s="102"/>
      <c r="B4508" s="116"/>
    </row>
    <row r="4509" spans="1:2" x14ac:dyDescent="0.2">
      <c r="A4509" s="102"/>
      <c r="B4509" s="116"/>
    </row>
    <row r="4510" spans="1:2" x14ac:dyDescent="0.2">
      <c r="A4510" s="102"/>
      <c r="B4510" s="116"/>
    </row>
    <row r="4511" spans="1:2" x14ac:dyDescent="0.2">
      <c r="A4511" s="102"/>
      <c r="B4511" s="116"/>
    </row>
    <row r="4512" spans="1:2" x14ac:dyDescent="0.2">
      <c r="A4512" s="102"/>
      <c r="B4512" s="116"/>
    </row>
    <row r="4513" spans="1:2" x14ac:dyDescent="0.2">
      <c r="A4513" s="102"/>
      <c r="B4513" s="116"/>
    </row>
    <row r="4514" spans="1:2" x14ac:dyDescent="0.2">
      <c r="A4514" s="102"/>
      <c r="B4514" s="116"/>
    </row>
    <row r="4515" spans="1:2" x14ac:dyDescent="0.2">
      <c r="A4515" s="102"/>
      <c r="B4515" s="116"/>
    </row>
    <row r="4516" spans="1:2" x14ac:dyDescent="0.2">
      <c r="A4516" s="102"/>
      <c r="B4516" s="116"/>
    </row>
    <row r="4517" spans="1:2" x14ac:dyDescent="0.2">
      <c r="A4517" s="102"/>
      <c r="B4517" s="116"/>
    </row>
    <row r="4518" spans="1:2" x14ac:dyDescent="0.2">
      <c r="A4518" s="102"/>
      <c r="B4518" s="116"/>
    </row>
    <row r="4519" spans="1:2" x14ac:dyDescent="0.2">
      <c r="A4519" s="102"/>
      <c r="B4519" s="116"/>
    </row>
    <row r="4520" spans="1:2" x14ac:dyDescent="0.2">
      <c r="A4520" s="102"/>
      <c r="B4520" s="116"/>
    </row>
    <row r="4521" spans="1:2" x14ac:dyDescent="0.2">
      <c r="A4521" s="102"/>
      <c r="B4521" s="116"/>
    </row>
    <row r="4522" spans="1:2" x14ac:dyDescent="0.2">
      <c r="A4522" s="102"/>
      <c r="B4522" s="116"/>
    </row>
    <row r="4523" spans="1:2" x14ac:dyDescent="0.2">
      <c r="A4523" s="102"/>
      <c r="B4523" s="116"/>
    </row>
    <row r="4524" spans="1:2" x14ac:dyDescent="0.2">
      <c r="A4524" s="102"/>
      <c r="B4524" s="116"/>
    </row>
    <row r="4525" spans="1:2" x14ac:dyDescent="0.2">
      <c r="A4525" s="102"/>
      <c r="B4525" s="116"/>
    </row>
    <row r="4526" spans="1:2" x14ac:dyDescent="0.2">
      <c r="A4526" s="102"/>
      <c r="B4526" s="116"/>
    </row>
    <row r="4527" spans="1:2" x14ac:dyDescent="0.2">
      <c r="A4527" s="102"/>
      <c r="B4527" s="116"/>
    </row>
    <row r="4528" spans="1:2" x14ac:dyDescent="0.2">
      <c r="A4528" s="102"/>
      <c r="B4528" s="116"/>
    </row>
    <row r="4529" spans="1:2" x14ac:dyDescent="0.2">
      <c r="A4529" s="102"/>
      <c r="B4529" s="116"/>
    </row>
    <row r="4530" spans="1:2" x14ac:dyDescent="0.2">
      <c r="A4530" s="102"/>
      <c r="B4530" s="116"/>
    </row>
    <row r="4531" spans="1:2" x14ac:dyDescent="0.2">
      <c r="A4531" s="102"/>
      <c r="B4531" s="116"/>
    </row>
    <row r="4532" spans="1:2" x14ac:dyDescent="0.2">
      <c r="A4532" s="102"/>
      <c r="B4532" s="116"/>
    </row>
    <row r="4533" spans="1:2" x14ac:dyDescent="0.2">
      <c r="A4533" s="102"/>
      <c r="B4533" s="116"/>
    </row>
    <row r="4534" spans="1:2" x14ac:dyDescent="0.2">
      <c r="A4534" s="102"/>
      <c r="B4534" s="116"/>
    </row>
    <row r="4535" spans="1:2" x14ac:dyDescent="0.2">
      <c r="A4535" s="102"/>
      <c r="B4535" s="116"/>
    </row>
    <row r="4536" spans="1:2" x14ac:dyDescent="0.2">
      <c r="A4536" s="102"/>
      <c r="B4536" s="116"/>
    </row>
    <row r="4537" spans="1:2" x14ac:dyDescent="0.2">
      <c r="A4537" s="102"/>
      <c r="B4537" s="116"/>
    </row>
    <row r="4538" spans="1:2" x14ac:dyDescent="0.2">
      <c r="A4538" s="102"/>
      <c r="B4538" s="116"/>
    </row>
    <row r="4539" spans="1:2" x14ac:dyDescent="0.2">
      <c r="A4539" s="102"/>
      <c r="B4539" s="116"/>
    </row>
    <row r="4540" spans="1:2" x14ac:dyDescent="0.2">
      <c r="A4540" s="102"/>
      <c r="B4540" s="116"/>
    </row>
    <row r="4541" spans="1:2" x14ac:dyDescent="0.2">
      <c r="A4541" s="102"/>
      <c r="B4541" s="116"/>
    </row>
    <row r="4542" spans="1:2" x14ac:dyDescent="0.2">
      <c r="A4542" s="102"/>
      <c r="B4542" s="116"/>
    </row>
    <row r="4543" spans="1:2" x14ac:dyDescent="0.2">
      <c r="A4543" s="102"/>
      <c r="B4543" s="116"/>
    </row>
    <row r="4544" spans="1:2" x14ac:dyDescent="0.2">
      <c r="A4544" s="102"/>
      <c r="B4544" s="116"/>
    </row>
    <row r="4545" spans="1:2" x14ac:dyDescent="0.2">
      <c r="A4545" s="102"/>
      <c r="B4545" s="116"/>
    </row>
    <row r="4546" spans="1:2" x14ac:dyDescent="0.2">
      <c r="A4546" s="102"/>
      <c r="B4546" s="116"/>
    </row>
    <row r="4547" spans="1:2" x14ac:dyDescent="0.2">
      <c r="A4547" s="102"/>
      <c r="B4547" s="116"/>
    </row>
    <row r="4548" spans="1:2" x14ac:dyDescent="0.2">
      <c r="A4548" s="102"/>
      <c r="B4548" s="116"/>
    </row>
    <row r="4549" spans="1:2" x14ac:dyDescent="0.2">
      <c r="A4549" s="102"/>
      <c r="B4549" s="116"/>
    </row>
    <row r="4550" spans="1:2" x14ac:dyDescent="0.2">
      <c r="A4550" s="102"/>
      <c r="B4550" s="116"/>
    </row>
    <row r="4551" spans="1:2" x14ac:dyDescent="0.2">
      <c r="A4551" s="102"/>
      <c r="B4551" s="116"/>
    </row>
    <row r="4552" spans="1:2" x14ac:dyDescent="0.2">
      <c r="A4552" s="102"/>
      <c r="B4552" s="116"/>
    </row>
    <row r="4553" spans="1:2" x14ac:dyDescent="0.2">
      <c r="A4553" s="102"/>
      <c r="B4553" s="116"/>
    </row>
    <row r="4554" spans="1:2" x14ac:dyDescent="0.2">
      <c r="A4554" s="102"/>
      <c r="B4554" s="116"/>
    </row>
    <row r="4555" spans="1:2" x14ac:dyDescent="0.2">
      <c r="A4555" s="102"/>
      <c r="B4555" s="116"/>
    </row>
    <row r="4556" spans="1:2" x14ac:dyDescent="0.2">
      <c r="A4556" s="102"/>
      <c r="B4556" s="116"/>
    </row>
    <row r="4557" spans="1:2" x14ac:dyDescent="0.2">
      <c r="A4557" s="102"/>
      <c r="B4557" s="116"/>
    </row>
    <row r="4558" spans="1:2" x14ac:dyDescent="0.2">
      <c r="A4558" s="102"/>
      <c r="B4558" s="116"/>
    </row>
    <row r="4559" spans="1:2" x14ac:dyDescent="0.2">
      <c r="A4559" s="102"/>
      <c r="B4559" s="116"/>
    </row>
    <row r="4560" spans="1:2" x14ac:dyDescent="0.2">
      <c r="A4560" s="102"/>
      <c r="B4560" s="116"/>
    </row>
    <row r="4561" spans="1:2" x14ac:dyDescent="0.2">
      <c r="A4561" s="102"/>
      <c r="B4561" s="116"/>
    </row>
    <row r="4562" spans="1:2" x14ac:dyDescent="0.2">
      <c r="A4562" s="102"/>
      <c r="B4562" s="116"/>
    </row>
    <row r="4563" spans="1:2" x14ac:dyDescent="0.2">
      <c r="A4563" s="102"/>
      <c r="B4563" s="116"/>
    </row>
    <row r="4564" spans="1:2" x14ac:dyDescent="0.2">
      <c r="A4564" s="102"/>
      <c r="B4564" s="116"/>
    </row>
    <row r="4565" spans="1:2" x14ac:dyDescent="0.2">
      <c r="A4565" s="102"/>
      <c r="B4565" s="116"/>
    </row>
    <row r="4566" spans="1:2" x14ac:dyDescent="0.2">
      <c r="A4566" s="102"/>
      <c r="B4566" s="116"/>
    </row>
    <row r="4567" spans="1:2" x14ac:dyDescent="0.2">
      <c r="A4567" s="102"/>
      <c r="B4567" s="116"/>
    </row>
    <row r="4568" spans="1:2" x14ac:dyDescent="0.2">
      <c r="A4568" s="102"/>
      <c r="B4568" s="116"/>
    </row>
    <row r="4569" spans="1:2" x14ac:dyDescent="0.2">
      <c r="A4569" s="102"/>
      <c r="B4569" s="116"/>
    </row>
    <row r="4570" spans="1:2" x14ac:dyDescent="0.2">
      <c r="A4570" s="102"/>
      <c r="B4570" s="116"/>
    </row>
    <row r="4571" spans="1:2" x14ac:dyDescent="0.2">
      <c r="A4571" s="102"/>
      <c r="B4571" s="116"/>
    </row>
    <row r="4572" spans="1:2" x14ac:dyDescent="0.2">
      <c r="A4572" s="102"/>
      <c r="B4572" s="116"/>
    </row>
    <row r="4573" spans="1:2" x14ac:dyDescent="0.2">
      <c r="A4573" s="102"/>
      <c r="B4573" s="116"/>
    </row>
    <row r="4574" spans="1:2" x14ac:dyDescent="0.2">
      <c r="A4574" s="102"/>
      <c r="B4574" s="116"/>
    </row>
    <row r="4575" spans="1:2" x14ac:dyDescent="0.2">
      <c r="A4575" s="102"/>
      <c r="B4575" s="116"/>
    </row>
    <row r="4576" spans="1:2" x14ac:dyDescent="0.2">
      <c r="A4576" s="102"/>
      <c r="B4576" s="116"/>
    </row>
    <row r="4577" spans="1:2" x14ac:dyDescent="0.2">
      <c r="A4577" s="102"/>
      <c r="B4577" s="116"/>
    </row>
    <row r="4578" spans="1:2" x14ac:dyDescent="0.2">
      <c r="A4578" s="102"/>
      <c r="B4578" s="116"/>
    </row>
    <row r="4579" spans="1:2" x14ac:dyDescent="0.2">
      <c r="A4579" s="102"/>
      <c r="B4579" s="116"/>
    </row>
    <row r="4580" spans="1:2" x14ac:dyDescent="0.2">
      <c r="A4580" s="102"/>
      <c r="B4580" s="116"/>
    </row>
    <row r="4581" spans="1:2" x14ac:dyDescent="0.2">
      <c r="A4581" s="102"/>
      <c r="B4581" s="116"/>
    </row>
    <row r="4582" spans="1:2" x14ac:dyDescent="0.2">
      <c r="A4582" s="102"/>
      <c r="B4582" s="116"/>
    </row>
    <row r="4583" spans="1:2" x14ac:dyDescent="0.2">
      <c r="A4583" s="102"/>
      <c r="B4583" s="116"/>
    </row>
    <row r="4584" spans="1:2" x14ac:dyDescent="0.2">
      <c r="A4584" s="102"/>
      <c r="B4584" s="116"/>
    </row>
    <row r="4585" spans="1:2" x14ac:dyDescent="0.2">
      <c r="A4585" s="102"/>
      <c r="B4585" s="116"/>
    </row>
    <row r="4586" spans="1:2" x14ac:dyDescent="0.2">
      <c r="A4586" s="102"/>
      <c r="B4586" s="116"/>
    </row>
    <row r="4587" spans="1:2" x14ac:dyDescent="0.2">
      <c r="A4587" s="102"/>
      <c r="B4587" s="116"/>
    </row>
    <row r="4588" spans="1:2" x14ac:dyDescent="0.2">
      <c r="A4588" s="102"/>
      <c r="B4588" s="116"/>
    </row>
    <row r="4589" spans="1:2" x14ac:dyDescent="0.2">
      <c r="A4589" s="102"/>
      <c r="B4589" s="116"/>
    </row>
    <row r="4590" spans="1:2" x14ac:dyDescent="0.2">
      <c r="A4590" s="102"/>
      <c r="B4590" s="116"/>
    </row>
    <row r="4591" spans="1:2" x14ac:dyDescent="0.2">
      <c r="A4591" s="102"/>
      <c r="B4591" s="116"/>
    </row>
    <row r="4592" spans="1:2" x14ac:dyDescent="0.2">
      <c r="A4592" s="102"/>
      <c r="B4592" s="116"/>
    </row>
    <row r="4593" spans="1:2" x14ac:dyDescent="0.2">
      <c r="A4593" s="102"/>
      <c r="B4593" s="116"/>
    </row>
    <row r="4594" spans="1:2" x14ac:dyDescent="0.2">
      <c r="A4594" s="102"/>
      <c r="B4594" s="116"/>
    </row>
    <row r="4595" spans="1:2" x14ac:dyDescent="0.2">
      <c r="A4595" s="102"/>
      <c r="B4595" s="116"/>
    </row>
    <row r="4596" spans="1:2" x14ac:dyDescent="0.2">
      <c r="A4596" s="102"/>
      <c r="B4596" s="116"/>
    </row>
    <row r="4597" spans="1:2" x14ac:dyDescent="0.2">
      <c r="A4597" s="102"/>
      <c r="B4597" s="116"/>
    </row>
    <row r="4598" spans="1:2" x14ac:dyDescent="0.2">
      <c r="A4598" s="102"/>
      <c r="B4598" s="116"/>
    </row>
    <row r="4599" spans="1:2" x14ac:dyDescent="0.2">
      <c r="A4599" s="102"/>
      <c r="B4599" s="116"/>
    </row>
    <row r="4600" spans="1:2" x14ac:dyDescent="0.2">
      <c r="A4600" s="102"/>
      <c r="B4600" s="116"/>
    </row>
    <row r="4601" spans="1:2" x14ac:dyDescent="0.2">
      <c r="A4601" s="102"/>
      <c r="B4601" s="116"/>
    </row>
    <row r="4602" spans="1:2" x14ac:dyDescent="0.2">
      <c r="A4602" s="102"/>
      <c r="B4602" s="116"/>
    </row>
    <row r="4603" spans="1:2" x14ac:dyDescent="0.2">
      <c r="A4603" s="102"/>
      <c r="B4603" s="116"/>
    </row>
    <row r="4604" spans="1:2" x14ac:dyDescent="0.2">
      <c r="A4604" s="102"/>
      <c r="B4604" s="116"/>
    </row>
    <row r="4605" spans="1:2" x14ac:dyDescent="0.2">
      <c r="A4605" s="102"/>
      <c r="B4605" s="116"/>
    </row>
    <row r="4606" spans="1:2" x14ac:dyDescent="0.2">
      <c r="A4606" s="102"/>
      <c r="B4606" s="116"/>
    </row>
    <row r="4607" spans="1:2" x14ac:dyDescent="0.2">
      <c r="A4607" s="102"/>
      <c r="B4607" s="116"/>
    </row>
    <row r="4608" spans="1:2" x14ac:dyDescent="0.2">
      <c r="A4608" s="102"/>
      <c r="B4608" s="116"/>
    </row>
    <row r="4609" spans="1:2" x14ac:dyDescent="0.2">
      <c r="A4609" s="102"/>
      <c r="B4609" s="116"/>
    </row>
    <row r="4610" spans="1:2" x14ac:dyDescent="0.2">
      <c r="A4610" s="102"/>
      <c r="B4610" s="116"/>
    </row>
    <row r="4611" spans="1:2" x14ac:dyDescent="0.2">
      <c r="A4611" s="102"/>
      <c r="B4611" s="116"/>
    </row>
    <row r="4612" spans="1:2" x14ac:dyDescent="0.2">
      <c r="A4612" s="102"/>
      <c r="B4612" s="116"/>
    </row>
    <row r="4613" spans="1:2" x14ac:dyDescent="0.2">
      <c r="A4613" s="102"/>
      <c r="B4613" s="116"/>
    </row>
    <row r="4614" spans="1:2" x14ac:dyDescent="0.2">
      <c r="A4614" s="102"/>
      <c r="B4614" s="116"/>
    </row>
    <row r="4615" spans="1:2" x14ac:dyDescent="0.2">
      <c r="A4615" s="102"/>
      <c r="B4615" s="116"/>
    </row>
    <row r="4616" spans="1:2" x14ac:dyDescent="0.2">
      <c r="A4616" s="102"/>
      <c r="B4616" s="116"/>
    </row>
    <row r="4617" spans="1:2" x14ac:dyDescent="0.2">
      <c r="A4617" s="102"/>
      <c r="B4617" s="116"/>
    </row>
    <row r="4618" spans="1:2" x14ac:dyDescent="0.2">
      <c r="A4618" s="102"/>
      <c r="B4618" s="116"/>
    </row>
    <row r="4619" spans="1:2" x14ac:dyDescent="0.2">
      <c r="A4619" s="102"/>
      <c r="B4619" s="116"/>
    </row>
    <row r="4620" spans="1:2" x14ac:dyDescent="0.2">
      <c r="A4620" s="102"/>
      <c r="B4620" s="116"/>
    </row>
    <row r="4621" spans="1:2" x14ac:dyDescent="0.2">
      <c r="A4621" s="102"/>
      <c r="B4621" s="116"/>
    </row>
    <row r="4622" spans="1:2" x14ac:dyDescent="0.2">
      <c r="A4622" s="102"/>
      <c r="B4622" s="116"/>
    </row>
    <row r="4623" spans="1:2" x14ac:dyDescent="0.2">
      <c r="A4623" s="102"/>
      <c r="B4623" s="116"/>
    </row>
    <row r="4624" spans="1:2" x14ac:dyDescent="0.2">
      <c r="A4624" s="102"/>
      <c r="B4624" s="116"/>
    </row>
    <row r="4625" spans="1:2" x14ac:dyDescent="0.2">
      <c r="A4625" s="102"/>
      <c r="B4625" s="116"/>
    </row>
    <row r="4626" spans="1:2" x14ac:dyDescent="0.2">
      <c r="A4626" s="102"/>
      <c r="B4626" s="116"/>
    </row>
    <row r="4627" spans="1:2" x14ac:dyDescent="0.2">
      <c r="A4627" s="102"/>
      <c r="B4627" s="116"/>
    </row>
    <row r="4628" spans="1:2" x14ac:dyDescent="0.2">
      <c r="A4628" s="102"/>
      <c r="B4628" s="116"/>
    </row>
    <row r="4629" spans="1:2" x14ac:dyDescent="0.2">
      <c r="A4629" s="102"/>
      <c r="B4629" s="116"/>
    </row>
    <row r="4630" spans="1:2" x14ac:dyDescent="0.2">
      <c r="A4630" s="102"/>
      <c r="B4630" s="116"/>
    </row>
    <row r="4631" spans="1:2" x14ac:dyDescent="0.2">
      <c r="A4631" s="102"/>
      <c r="B4631" s="116"/>
    </row>
    <row r="4632" spans="1:2" x14ac:dyDescent="0.2">
      <c r="A4632" s="102"/>
      <c r="B4632" s="116"/>
    </row>
    <row r="4633" spans="1:2" x14ac:dyDescent="0.2">
      <c r="A4633" s="102"/>
      <c r="B4633" s="116"/>
    </row>
    <row r="4634" spans="1:2" x14ac:dyDescent="0.2">
      <c r="A4634" s="102"/>
      <c r="B4634" s="116"/>
    </row>
    <row r="4635" spans="1:2" x14ac:dyDescent="0.2">
      <c r="A4635" s="102"/>
      <c r="B4635" s="116"/>
    </row>
    <row r="4636" spans="1:2" x14ac:dyDescent="0.2">
      <c r="A4636" s="102"/>
      <c r="B4636" s="116"/>
    </row>
    <row r="4637" spans="1:2" x14ac:dyDescent="0.2">
      <c r="A4637" s="102"/>
      <c r="B4637" s="116"/>
    </row>
    <row r="4638" spans="1:2" x14ac:dyDescent="0.2">
      <c r="A4638" s="102"/>
      <c r="B4638" s="116"/>
    </row>
    <row r="4639" spans="1:2" x14ac:dyDescent="0.2">
      <c r="A4639" s="102"/>
      <c r="B4639" s="116"/>
    </row>
    <row r="4640" spans="1:2" x14ac:dyDescent="0.2">
      <c r="A4640" s="102"/>
      <c r="B4640" s="116"/>
    </row>
    <row r="4641" spans="1:2" x14ac:dyDescent="0.2">
      <c r="A4641" s="102"/>
      <c r="B4641" s="116"/>
    </row>
    <row r="4642" spans="1:2" x14ac:dyDescent="0.2">
      <c r="A4642" s="102"/>
      <c r="B4642" s="116"/>
    </row>
    <row r="4643" spans="1:2" x14ac:dyDescent="0.2">
      <c r="A4643" s="102"/>
      <c r="B4643" s="116"/>
    </row>
    <row r="4644" spans="1:2" x14ac:dyDescent="0.2">
      <c r="A4644" s="102"/>
      <c r="B4644" s="116"/>
    </row>
    <row r="4645" spans="1:2" x14ac:dyDescent="0.2">
      <c r="A4645" s="102"/>
      <c r="B4645" s="116"/>
    </row>
    <row r="4646" spans="1:2" x14ac:dyDescent="0.2">
      <c r="A4646" s="102"/>
      <c r="B4646" s="116"/>
    </row>
    <row r="4647" spans="1:2" x14ac:dyDescent="0.2">
      <c r="A4647" s="102"/>
      <c r="B4647" s="116"/>
    </row>
    <row r="4648" spans="1:2" x14ac:dyDescent="0.2">
      <c r="A4648" s="102"/>
      <c r="B4648" s="116"/>
    </row>
    <row r="4649" spans="1:2" x14ac:dyDescent="0.2">
      <c r="A4649" s="102"/>
      <c r="B4649" s="116"/>
    </row>
    <row r="4650" spans="1:2" x14ac:dyDescent="0.2">
      <c r="A4650" s="102"/>
      <c r="B4650" s="116"/>
    </row>
    <row r="4651" spans="1:2" x14ac:dyDescent="0.2">
      <c r="A4651" s="102"/>
      <c r="B4651" s="116"/>
    </row>
    <row r="4652" spans="1:2" x14ac:dyDescent="0.2">
      <c r="A4652" s="102"/>
      <c r="B4652" s="116"/>
    </row>
    <row r="4653" spans="1:2" x14ac:dyDescent="0.2">
      <c r="A4653" s="102"/>
      <c r="B4653" s="116"/>
    </row>
    <row r="4654" spans="1:2" x14ac:dyDescent="0.2">
      <c r="A4654" s="102"/>
      <c r="B4654" s="116"/>
    </row>
    <row r="4655" spans="1:2" x14ac:dyDescent="0.2">
      <c r="A4655" s="102"/>
      <c r="B4655" s="116"/>
    </row>
    <row r="4656" spans="1:2" x14ac:dyDescent="0.2">
      <c r="A4656" s="102"/>
      <c r="B4656" s="116"/>
    </row>
    <row r="4657" spans="1:2" x14ac:dyDescent="0.2">
      <c r="A4657" s="102"/>
      <c r="B4657" s="116"/>
    </row>
    <row r="4658" spans="1:2" x14ac:dyDescent="0.2">
      <c r="A4658" s="102"/>
      <c r="B4658" s="116"/>
    </row>
    <row r="4659" spans="1:2" x14ac:dyDescent="0.2">
      <c r="A4659" s="102"/>
      <c r="B4659" s="116"/>
    </row>
    <row r="4660" spans="1:2" x14ac:dyDescent="0.2">
      <c r="A4660" s="102"/>
      <c r="B4660" s="116"/>
    </row>
    <row r="4661" spans="1:2" x14ac:dyDescent="0.2">
      <c r="A4661" s="102"/>
      <c r="B4661" s="116"/>
    </row>
    <row r="4662" spans="1:2" x14ac:dyDescent="0.2">
      <c r="A4662" s="102"/>
      <c r="B4662" s="116"/>
    </row>
    <row r="4663" spans="1:2" x14ac:dyDescent="0.2">
      <c r="A4663" s="102"/>
      <c r="B4663" s="116"/>
    </row>
    <row r="4664" spans="1:2" x14ac:dyDescent="0.2">
      <c r="A4664" s="102"/>
      <c r="B4664" s="116"/>
    </row>
    <row r="4665" spans="1:2" x14ac:dyDescent="0.2">
      <c r="A4665" s="102"/>
      <c r="B4665" s="116"/>
    </row>
    <row r="4666" spans="1:2" x14ac:dyDescent="0.2">
      <c r="A4666" s="102"/>
      <c r="B4666" s="116"/>
    </row>
    <row r="4667" spans="1:2" x14ac:dyDescent="0.2">
      <c r="A4667" s="102"/>
      <c r="B4667" s="116"/>
    </row>
    <row r="4668" spans="1:2" x14ac:dyDescent="0.2">
      <c r="A4668" s="102"/>
      <c r="B4668" s="116"/>
    </row>
    <row r="4669" spans="1:2" x14ac:dyDescent="0.2">
      <c r="A4669" s="102"/>
      <c r="B4669" s="116"/>
    </row>
    <row r="4670" spans="1:2" x14ac:dyDescent="0.2">
      <c r="A4670" s="102"/>
      <c r="B4670" s="116"/>
    </row>
    <row r="4671" spans="1:2" x14ac:dyDescent="0.2">
      <c r="A4671" s="102"/>
      <c r="B4671" s="116"/>
    </row>
    <row r="4672" spans="1:2" x14ac:dyDescent="0.2">
      <c r="A4672" s="102"/>
      <c r="B4672" s="116"/>
    </row>
    <row r="4673" spans="1:2" x14ac:dyDescent="0.2">
      <c r="A4673" s="102"/>
      <c r="B4673" s="116"/>
    </row>
    <row r="4674" spans="1:2" x14ac:dyDescent="0.2">
      <c r="A4674" s="102"/>
      <c r="B4674" s="116"/>
    </row>
    <row r="4675" spans="1:2" x14ac:dyDescent="0.2">
      <c r="A4675" s="102"/>
      <c r="B4675" s="116"/>
    </row>
    <row r="4676" spans="1:2" x14ac:dyDescent="0.2">
      <c r="A4676" s="102"/>
      <c r="B4676" s="116"/>
    </row>
    <row r="4677" spans="1:2" x14ac:dyDescent="0.2">
      <c r="A4677" s="102"/>
      <c r="B4677" s="116"/>
    </row>
    <row r="4678" spans="1:2" x14ac:dyDescent="0.2">
      <c r="A4678" s="102"/>
      <c r="B4678" s="116"/>
    </row>
    <row r="4679" spans="1:2" x14ac:dyDescent="0.2">
      <c r="A4679" s="102"/>
      <c r="B4679" s="116"/>
    </row>
    <row r="4680" spans="1:2" x14ac:dyDescent="0.2">
      <c r="A4680" s="102"/>
      <c r="B4680" s="116"/>
    </row>
    <row r="4681" spans="1:2" x14ac:dyDescent="0.2">
      <c r="A4681" s="102"/>
      <c r="B4681" s="116"/>
    </row>
    <row r="4682" spans="1:2" x14ac:dyDescent="0.2">
      <c r="A4682" s="102"/>
      <c r="B4682" s="116"/>
    </row>
    <row r="4683" spans="1:2" x14ac:dyDescent="0.2">
      <c r="A4683" s="102"/>
      <c r="B4683" s="116"/>
    </row>
    <row r="4684" spans="1:2" x14ac:dyDescent="0.2">
      <c r="A4684" s="102"/>
      <c r="B4684" s="116"/>
    </row>
    <row r="4685" spans="1:2" x14ac:dyDescent="0.2">
      <c r="A4685" s="102"/>
      <c r="B4685" s="116"/>
    </row>
    <row r="4686" spans="1:2" x14ac:dyDescent="0.2">
      <c r="A4686" s="102"/>
      <c r="B4686" s="116"/>
    </row>
    <row r="4687" spans="1:2" x14ac:dyDescent="0.2">
      <c r="A4687" s="102"/>
      <c r="B4687" s="116"/>
    </row>
    <row r="4688" spans="1:2" x14ac:dyDescent="0.2">
      <c r="A4688" s="102"/>
      <c r="B4688" s="116"/>
    </row>
    <row r="4689" spans="1:2" x14ac:dyDescent="0.2">
      <c r="A4689" s="102"/>
      <c r="B4689" s="116"/>
    </row>
    <row r="4690" spans="1:2" x14ac:dyDescent="0.2">
      <c r="A4690" s="102"/>
      <c r="B4690" s="116"/>
    </row>
    <row r="4691" spans="1:2" x14ac:dyDescent="0.2">
      <c r="A4691" s="102"/>
      <c r="B4691" s="116"/>
    </row>
    <row r="4692" spans="1:2" x14ac:dyDescent="0.2">
      <c r="A4692" s="102"/>
      <c r="B4692" s="116"/>
    </row>
    <row r="4693" spans="1:2" x14ac:dyDescent="0.2">
      <c r="A4693" s="102"/>
      <c r="B4693" s="116"/>
    </row>
    <row r="4694" spans="1:2" x14ac:dyDescent="0.2">
      <c r="A4694" s="102"/>
      <c r="B4694" s="116"/>
    </row>
    <row r="4695" spans="1:2" x14ac:dyDescent="0.2">
      <c r="A4695" s="102"/>
      <c r="B4695" s="116"/>
    </row>
    <row r="4696" spans="1:2" x14ac:dyDescent="0.2">
      <c r="A4696" s="102"/>
      <c r="B4696" s="116"/>
    </row>
    <row r="4697" spans="1:2" x14ac:dyDescent="0.2">
      <c r="A4697" s="102"/>
      <c r="B4697" s="116"/>
    </row>
    <row r="4698" spans="1:2" x14ac:dyDescent="0.2">
      <c r="A4698" s="102"/>
      <c r="B4698" s="116"/>
    </row>
    <row r="4699" spans="1:2" x14ac:dyDescent="0.2">
      <c r="A4699" s="102"/>
      <c r="B4699" s="116"/>
    </row>
    <row r="4700" spans="1:2" x14ac:dyDescent="0.2">
      <c r="A4700" s="102"/>
      <c r="B4700" s="116"/>
    </row>
    <row r="4701" spans="1:2" x14ac:dyDescent="0.2">
      <c r="A4701" s="102"/>
      <c r="B4701" s="116"/>
    </row>
    <row r="4702" spans="1:2" x14ac:dyDescent="0.2">
      <c r="A4702" s="102"/>
      <c r="B4702" s="116"/>
    </row>
    <row r="4703" spans="1:2" x14ac:dyDescent="0.2">
      <c r="A4703" s="102"/>
      <c r="B4703" s="116"/>
    </row>
    <row r="4704" spans="1:2" x14ac:dyDescent="0.2">
      <c r="A4704" s="102"/>
      <c r="B4704" s="116"/>
    </row>
    <row r="4705" spans="1:2" x14ac:dyDescent="0.2">
      <c r="A4705" s="102"/>
      <c r="B4705" s="116"/>
    </row>
    <row r="4706" spans="1:2" x14ac:dyDescent="0.2">
      <c r="A4706" s="102"/>
      <c r="B4706" s="116"/>
    </row>
    <row r="4707" spans="1:2" x14ac:dyDescent="0.2">
      <c r="A4707" s="102"/>
      <c r="B4707" s="116"/>
    </row>
    <row r="4708" spans="1:2" x14ac:dyDescent="0.2">
      <c r="A4708" s="102"/>
      <c r="B4708" s="116"/>
    </row>
    <row r="4709" spans="1:2" x14ac:dyDescent="0.2">
      <c r="A4709" s="102"/>
      <c r="B4709" s="116"/>
    </row>
    <row r="4710" spans="1:2" x14ac:dyDescent="0.2">
      <c r="A4710" s="102"/>
      <c r="B4710" s="116"/>
    </row>
    <row r="4711" spans="1:2" x14ac:dyDescent="0.2">
      <c r="A4711" s="102"/>
      <c r="B4711" s="116"/>
    </row>
    <row r="4712" spans="1:2" x14ac:dyDescent="0.2">
      <c r="A4712" s="102"/>
      <c r="B4712" s="116"/>
    </row>
    <row r="4713" spans="1:2" x14ac:dyDescent="0.2">
      <c r="A4713" s="102"/>
      <c r="B4713" s="116"/>
    </row>
    <row r="4714" spans="1:2" x14ac:dyDescent="0.2">
      <c r="A4714" s="102"/>
      <c r="B4714" s="116"/>
    </row>
    <row r="4715" spans="1:2" x14ac:dyDescent="0.2">
      <c r="A4715" s="102"/>
      <c r="B4715" s="116"/>
    </row>
    <row r="4716" spans="1:2" x14ac:dyDescent="0.2">
      <c r="A4716" s="102"/>
      <c r="B4716" s="116"/>
    </row>
    <row r="4717" spans="1:2" x14ac:dyDescent="0.2">
      <c r="A4717" s="102"/>
      <c r="B4717" s="116"/>
    </row>
    <row r="4718" spans="1:2" x14ac:dyDescent="0.2">
      <c r="A4718" s="102"/>
      <c r="B4718" s="116"/>
    </row>
    <row r="4719" spans="1:2" x14ac:dyDescent="0.2">
      <c r="A4719" s="102"/>
      <c r="B4719" s="116"/>
    </row>
    <row r="4720" spans="1:2" x14ac:dyDescent="0.2">
      <c r="A4720" s="102"/>
      <c r="B4720" s="116"/>
    </row>
    <row r="4721" spans="1:2" x14ac:dyDescent="0.2">
      <c r="A4721" s="102"/>
      <c r="B4721" s="116"/>
    </row>
    <row r="4722" spans="1:2" x14ac:dyDescent="0.2">
      <c r="A4722" s="102"/>
      <c r="B4722" s="116"/>
    </row>
    <row r="4723" spans="1:2" x14ac:dyDescent="0.2">
      <c r="A4723" s="102"/>
      <c r="B4723" s="116"/>
    </row>
    <row r="4724" spans="1:2" x14ac:dyDescent="0.2">
      <c r="A4724" s="102"/>
      <c r="B4724" s="116"/>
    </row>
    <row r="4725" spans="1:2" x14ac:dyDescent="0.2">
      <c r="A4725" s="102"/>
      <c r="B4725" s="116"/>
    </row>
    <row r="4726" spans="1:2" x14ac:dyDescent="0.2">
      <c r="A4726" s="102"/>
      <c r="B4726" s="116"/>
    </row>
    <row r="4727" spans="1:2" x14ac:dyDescent="0.2">
      <c r="A4727" s="102"/>
      <c r="B4727" s="116"/>
    </row>
    <row r="4728" spans="1:2" x14ac:dyDescent="0.2">
      <c r="A4728" s="102"/>
      <c r="B4728" s="116"/>
    </row>
    <row r="4729" spans="1:2" x14ac:dyDescent="0.2">
      <c r="A4729" s="102"/>
      <c r="B4729" s="116"/>
    </row>
    <row r="4730" spans="1:2" x14ac:dyDescent="0.2">
      <c r="A4730" s="102"/>
      <c r="B4730" s="116"/>
    </row>
    <row r="4731" spans="1:2" x14ac:dyDescent="0.2">
      <c r="A4731" s="102"/>
      <c r="B4731" s="116"/>
    </row>
    <row r="4732" spans="1:2" x14ac:dyDescent="0.2">
      <c r="A4732" s="102"/>
      <c r="B4732" s="116"/>
    </row>
    <row r="4733" spans="1:2" x14ac:dyDescent="0.2">
      <c r="A4733" s="102"/>
      <c r="B4733" s="116"/>
    </row>
    <row r="4734" spans="1:2" x14ac:dyDescent="0.2">
      <c r="A4734" s="102"/>
      <c r="B4734" s="116"/>
    </row>
    <row r="4735" spans="1:2" x14ac:dyDescent="0.2">
      <c r="A4735" s="102"/>
      <c r="B4735" s="116"/>
    </row>
    <row r="4736" spans="1:2" x14ac:dyDescent="0.2">
      <c r="A4736" s="102"/>
      <c r="B4736" s="116"/>
    </row>
    <row r="4737" spans="1:2" x14ac:dyDescent="0.2">
      <c r="A4737" s="102"/>
      <c r="B4737" s="116"/>
    </row>
    <row r="4738" spans="1:2" x14ac:dyDescent="0.2">
      <c r="A4738" s="102"/>
      <c r="B4738" s="116"/>
    </row>
    <row r="4739" spans="1:2" x14ac:dyDescent="0.2">
      <c r="A4739" s="102"/>
      <c r="B4739" s="116"/>
    </row>
    <row r="4740" spans="1:2" x14ac:dyDescent="0.2">
      <c r="A4740" s="102"/>
      <c r="B4740" s="116"/>
    </row>
    <row r="4741" spans="1:2" x14ac:dyDescent="0.2">
      <c r="A4741" s="102"/>
      <c r="B4741" s="116"/>
    </row>
    <row r="4742" spans="1:2" x14ac:dyDescent="0.2">
      <c r="A4742" s="102"/>
      <c r="B4742" s="116"/>
    </row>
    <row r="4743" spans="1:2" x14ac:dyDescent="0.2">
      <c r="A4743" s="102"/>
      <c r="B4743" s="116"/>
    </row>
    <row r="4744" spans="1:2" x14ac:dyDescent="0.2">
      <c r="A4744" s="102"/>
      <c r="B4744" s="116"/>
    </row>
    <row r="4745" spans="1:2" x14ac:dyDescent="0.2">
      <c r="A4745" s="102"/>
      <c r="B4745" s="116"/>
    </row>
    <row r="4746" spans="1:2" x14ac:dyDescent="0.2">
      <c r="A4746" s="102"/>
      <c r="B4746" s="116"/>
    </row>
    <row r="4747" spans="1:2" x14ac:dyDescent="0.2">
      <c r="A4747" s="102"/>
      <c r="B4747" s="116"/>
    </row>
    <row r="4748" spans="1:2" x14ac:dyDescent="0.2">
      <c r="A4748" s="102"/>
      <c r="B4748" s="116"/>
    </row>
    <row r="4749" spans="1:2" x14ac:dyDescent="0.2">
      <c r="A4749" s="102"/>
      <c r="B4749" s="116"/>
    </row>
    <row r="4750" spans="1:2" x14ac:dyDescent="0.2">
      <c r="A4750" s="102"/>
      <c r="B4750" s="116"/>
    </row>
    <row r="4751" spans="1:2" x14ac:dyDescent="0.2">
      <c r="A4751" s="102"/>
      <c r="B4751" s="116"/>
    </row>
    <row r="4752" spans="1:2" x14ac:dyDescent="0.2">
      <c r="A4752" s="102"/>
      <c r="B4752" s="116"/>
    </row>
    <row r="4753" spans="1:2" x14ac:dyDescent="0.2">
      <c r="A4753" s="102"/>
      <c r="B4753" s="116"/>
    </row>
    <row r="4754" spans="1:2" x14ac:dyDescent="0.2">
      <c r="A4754" s="102"/>
      <c r="B4754" s="116"/>
    </row>
    <row r="4755" spans="1:2" x14ac:dyDescent="0.2">
      <c r="A4755" s="102"/>
      <c r="B4755" s="116"/>
    </row>
    <row r="4756" spans="1:2" x14ac:dyDescent="0.2">
      <c r="A4756" s="102"/>
      <c r="B4756" s="116"/>
    </row>
    <row r="4757" spans="1:2" x14ac:dyDescent="0.2">
      <c r="A4757" s="102"/>
      <c r="B4757" s="116"/>
    </row>
    <row r="4758" spans="1:2" x14ac:dyDescent="0.2">
      <c r="A4758" s="102"/>
      <c r="B4758" s="116"/>
    </row>
    <row r="4759" spans="1:2" x14ac:dyDescent="0.2">
      <c r="A4759" s="102"/>
      <c r="B4759" s="116"/>
    </row>
    <row r="4760" spans="1:2" x14ac:dyDescent="0.2">
      <c r="A4760" s="102"/>
      <c r="B4760" s="116"/>
    </row>
    <row r="4761" spans="1:2" x14ac:dyDescent="0.2">
      <c r="A4761" s="102"/>
      <c r="B4761" s="116"/>
    </row>
    <row r="4762" spans="1:2" x14ac:dyDescent="0.2">
      <c r="A4762" s="102"/>
      <c r="B4762" s="116"/>
    </row>
    <row r="4763" spans="1:2" x14ac:dyDescent="0.2">
      <c r="A4763" s="102"/>
      <c r="B4763" s="116"/>
    </row>
    <row r="4764" spans="1:2" x14ac:dyDescent="0.2">
      <c r="A4764" s="102"/>
      <c r="B4764" s="116"/>
    </row>
    <row r="4765" spans="1:2" x14ac:dyDescent="0.2">
      <c r="A4765" s="102"/>
      <c r="B4765" s="116"/>
    </row>
    <row r="4766" spans="1:2" x14ac:dyDescent="0.2">
      <c r="A4766" s="102"/>
      <c r="B4766" s="116"/>
    </row>
    <row r="4767" spans="1:2" x14ac:dyDescent="0.2">
      <c r="A4767" s="102"/>
      <c r="B4767" s="116"/>
    </row>
    <row r="4768" spans="1:2" x14ac:dyDescent="0.2">
      <c r="A4768" s="102"/>
      <c r="B4768" s="116"/>
    </row>
    <row r="4769" spans="1:2" x14ac:dyDescent="0.2">
      <c r="A4769" s="102"/>
      <c r="B4769" s="116"/>
    </row>
    <row r="4770" spans="1:2" x14ac:dyDescent="0.2">
      <c r="A4770" s="102"/>
      <c r="B4770" s="116"/>
    </row>
    <row r="4771" spans="1:2" x14ac:dyDescent="0.2">
      <c r="A4771" s="102"/>
      <c r="B4771" s="116"/>
    </row>
    <row r="4772" spans="1:2" x14ac:dyDescent="0.2">
      <c r="A4772" s="102"/>
      <c r="B4772" s="116"/>
    </row>
    <row r="4773" spans="1:2" x14ac:dyDescent="0.2">
      <c r="A4773" s="102"/>
      <c r="B4773" s="116"/>
    </row>
    <row r="4774" spans="1:2" x14ac:dyDescent="0.2">
      <c r="A4774" s="102"/>
      <c r="B4774" s="116"/>
    </row>
    <row r="4775" spans="1:2" x14ac:dyDescent="0.2">
      <c r="A4775" s="102"/>
      <c r="B4775" s="116"/>
    </row>
    <row r="4776" spans="1:2" x14ac:dyDescent="0.2">
      <c r="A4776" s="102"/>
      <c r="B4776" s="116"/>
    </row>
    <row r="4777" spans="1:2" x14ac:dyDescent="0.2">
      <c r="A4777" s="102"/>
      <c r="B4777" s="116"/>
    </row>
    <row r="4778" spans="1:2" x14ac:dyDescent="0.2">
      <c r="A4778" s="102"/>
      <c r="B4778" s="116"/>
    </row>
    <row r="4779" spans="1:2" x14ac:dyDescent="0.2">
      <c r="A4779" s="102"/>
      <c r="B4779" s="116"/>
    </row>
    <row r="4780" spans="1:2" x14ac:dyDescent="0.2">
      <c r="A4780" s="102"/>
      <c r="B4780" s="116"/>
    </row>
    <row r="4781" spans="1:2" x14ac:dyDescent="0.2">
      <c r="A4781" s="102"/>
      <c r="B4781" s="116"/>
    </row>
    <row r="4782" spans="1:2" x14ac:dyDescent="0.2">
      <c r="A4782" s="102"/>
      <c r="B4782" s="116"/>
    </row>
    <row r="4783" spans="1:2" x14ac:dyDescent="0.2">
      <c r="A4783" s="102"/>
      <c r="B4783" s="116"/>
    </row>
    <row r="4784" spans="1:2" x14ac:dyDescent="0.2">
      <c r="A4784" s="102"/>
      <c r="B4784" s="116"/>
    </row>
    <row r="4785" spans="1:2" x14ac:dyDescent="0.2">
      <c r="A4785" s="102"/>
      <c r="B4785" s="116"/>
    </row>
    <row r="4786" spans="1:2" x14ac:dyDescent="0.2">
      <c r="A4786" s="102"/>
      <c r="B4786" s="116"/>
    </row>
    <row r="4787" spans="1:2" x14ac:dyDescent="0.2">
      <c r="A4787" s="102"/>
      <c r="B4787" s="116"/>
    </row>
    <row r="4788" spans="1:2" x14ac:dyDescent="0.2">
      <c r="A4788" s="102"/>
      <c r="B4788" s="116"/>
    </row>
    <row r="4789" spans="1:2" x14ac:dyDescent="0.2">
      <c r="A4789" s="102"/>
      <c r="B4789" s="116"/>
    </row>
    <row r="4790" spans="1:2" x14ac:dyDescent="0.2">
      <c r="A4790" s="102"/>
      <c r="B4790" s="116"/>
    </row>
    <row r="4791" spans="1:2" x14ac:dyDescent="0.2">
      <c r="A4791" s="102"/>
      <c r="B4791" s="116"/>
    </row>
    <row r="4792" spans="1:2" x14ac:dyDescent="0.2">
      <c r="A4792" s="102"/>
      <c r="B4792" s="116"/>
    </row>
    <row r="4793" spans="1:2" x14ac:dyDescent="0.2">
      <c r="A4793" s="102"/>
      <c r="B4793" s="116"/>
    </row>
    <row r="4794" spans="1:2" x14ac:dyDescent="0.2">
      <c r="A4794" s="102"/>
      <c r="B4794" s="116"/>
    </row>
    <row r="4795" spans="1:2" x14ac:dyDescent="0.2">
      <c r="A4795" s="102"/>
      <c r="B4795" s="116"/>
    </row>
    <row r="4796" spans="1:2" x14ac:dyDescent="0.2">
      <c r="A4796" s="102"/>
      <c r="B4796" s="116"/>
    </row>
    <row r="4797" spans="1:2" x14ac:dyDescent="0.2">
      <c r="A4797" s="102"/>
      <c r="B4797" s="116"/>
    </row>
    <row r="4798" spans="1:2" x14ac:dyDescent="0.2">
      <c r="A4798" s="102"/>
      <c r="B4798" s="116"/>
    </row>
    <row r="4799" spans="1:2" x14ac:dyDescent="0.2">
      <c r="A4799" s="102"/>
      <c r="B4799" s="116"/>
    </row>
    <row r="4800" spans="1:2" x14ac:dyDescent="0.2">
      <c r="A4800" s="102"/>
      <c r="B4800" s="116"/>
    </row>
    <row r="4801" spans="1:2" x14ac:dyDescent="0.2">
      <c r="A4801" s="102"/>
      <c r="B4801" s="116"/>
    </row>
    <row r="4802" spans="1:2" x14ac:dyDescent="0.2">
      <c r="A4802" s="102"/>
      <c r="B4802" s="116"/>
    </row>
    <row r="4803" spans="1:2" x14ac:dyDescent="0.2">
      <c r="A4803" s="102"/>
      <c r="B4803" s="116"/>
    </row>
    <row r="4804" spans="1:2" x14ac:dyDescent="0.2">
      <c r="A4804" s="102"/>
      <c r="B4804" s="116"/>
    </row>
    <row r="4805" spans="1:2" x14ac:dyDescent="0.2">
      <c r="A4805" s="102"/>
      <c r="B4805" s="116"/>
    </row>
    <row r="4806" spans="1:2" x14ac:dyDescent="0.2">
      <c r="A4806" s="102"/>
      <c r="B4806" s="116"/>
    </row>
    <row r="4807" spans="1:2" x14ac:dyDescent="0.2">
      <c r="A4807" s="102"/>
      <c r="B4807" s="116"/>
    </row>
    <row r="4808" spans="1:2" x14ac:dyDescent="0.2">
      <c r="A4808" s="102"/>
      <c r="B4808" s="116"/>
    </row>
    <row r="4809" spans="1:2" x14ac:dyDescent="0.2">
      <c r="A4809" s="102"/>
      <c r="B4809" s="116"/>
    </row>
    <row r="4810" spans="1:2" x14ac:dyDescent="0.2">
      <c r="A4810" s="102"/>
      <c r="B4810" s="116"/>
    </row>
    <row r="4811" spans="1:2" x14ac:dyDescent="0.2">
      <c r="A4811" s="102"/>
      <c r="B4811" s="116"/>
    </row>
    <row r="4812" spans="1:2" x14ac:dyDescent="0.2">
      <c r="A4812" s="102"/>
      <c r="B4812" s="116"/>
    </row>
    <row r="4813" spans="1:2" x14ac:dyDescent="0.2">
      <c r="A4813" s="102"/>
      <c r="B4813" s="116"/>
    </row>
    <row r="4814" spans="1:2" x14ac:dyDescent="0.2">
      <c r="A4814" s="102"/>
      <c r="B4814" s="116"/>
    </row>
    <row r="4815" spans="1:2" x14ac:dyDescent="0.2">
      <c r="A4815" s="102"/>
      <c r="B4815" s="116"/>
    </row>
    <row r="4816" spans="1:2" x14ac:dyDescent="0.2">
      <c r="A4816" s="102"/>
      <c r="B4816" s="116"/>
    </row>
    <row r="4817" spans="1:2" x14ac:dyDescent="0.2">
      <c r="A4817" s="102"/>
      <c r="B4817" s="116"/>
    </row>
    <row r="4818" spans="1:2" x14ac:dyDescent="0.2">
      <c r="A4818" s="102"/>
      <c r="B4818" s="116"/>
    </row>
    <row r="4819" spans="1:2" x14ac:dyDescent="0.2">
      <c r="A4819" s="102"/>
      <c r="B4819" s="116"/>
    </row>
    <row r="4820" spans="1:2" x14ac:dyDescent="0.2">
      <c r="A4820" s="102"/>
      <c r="B4820" s="116"/>
    </row>
    <row r="4821" spans="1:2" x14ac:dyDescent="0.2">
      <c r="A4821" s="102"/>
      <c r="B4821" s="116"/>
    </row>
    <row r="4822" spans="1:2" x14ac:dyDescent="0.2">
      <c r="A4822" s="102"/>
      <c r="B4822" s="116"/>
    </row>
    <row r="4823" spans="1:2" x14ac:dyDescent="0.2">
      <c r="A4823" s="102"/>
      <c r="B4823" s="116"/>
    </row>
    <row r="4824" spans="1:2" x14ac:dyDescent="0.2">
      <c r="A4824" s="102"/>
      <c r="B4824" s="116"/>
    </row>
    <row r="4825" spans="1:2" x14ac:dyDescent="0.2">
      <c r="A4825" s="102"/>
      <c r="B4825" s="116"/>
    </row>
    <row r="4826" spans="1:2" x14ac:dyDescent="0.2">
      <c r="A4826" s="102"/>
      <c r="B4826" s="116"/>
    </row>
    <row r="4827" spans="1:2" x14ac:dyDescent="0.2">
      <c r="A4827" s="102"/>
      <c r="B4827" s="116"/>
    </row>
    <row r="4828" spans="1:2" x14ac:dyDescent="0.2">
      <c r="A4828" s="102"/>
      <c r="B4828" s="116"/>
    </row>
    <row r="4829" spans="1:2" x14ac:dyDescent="0.2">
      <c r="A4829" s="102"/>
      <c r="B4829" s="116"/>
    </row>
    <row r="4830" spans="1:2" x14ac:dyDescent="0.2">
      <c r="A4830" s="102"/>
      <c r="B4830" s="116"/>
    </row>
    <row r="4831" spans="1:2" x14ac:dyDescent="0.2">
      <c r="A4831" s="102"/>
      <c r="B4831" s="116"/>
    </row>
    <row r="4832" spans="1:2" x14ac:dyDescent="0.2">
      <c r="A4832" s="102"/>
      <c r="B4832" s="116"/>
    </row>
    <row r="4833" spans="1:2" x14ac:dyDescent="0.2">
      <c r="A4833" s="102"/>
      <c r="B4833" s="116"/>
    </row>
    <row r="4834" spans="1:2" x14ac:dyDescent="0.2">
      <c r="A4834" s="102"/>
      <c r="B4834" s="116"/>
    </row>
    <row r="4835" spans="1:2" x14ac:dyDescent="0.2">
      <c r="A4835" s="102"/>
      <c r="B4835" s="116"/>
    </row>
    <row r="4836" spans="1:2" x14ac:dyDescent="0.2">
      <c r="A4836" s="102"/>
      <c r="B4836" s="116"/>
    </row>
    <row r="4837" spans="1:2" x14ac:dyDescent="0.2">
      <c r="A4837" s="102"/>
      <c r="B4837" s="116"/>
    </row>
    <row r="4838" spans="1:2" x14ac:dyDescent="0.2">
      <c r="A4838" s="102"/>
      <c r="B4838" s="116"/>
    </row>
    <row r="4839" spans="1:2" x14ac:dyDescent="0.2">
      <c r="A4839" s="102"/>
      <c r="B4839" s="116"/>
    </row>
    <row r="4840" spans="1:2" x14ac:dyDescent="0.2">
      <c r="A4840" s="102"/>
      <c r="B4840" s="116"/>
    </row>
    <row r="4841" spans="1:2" x14ac:dyDescent="0.2">
      <c r="A4841" s="102"/>
      <c r="B4841" s="116"/>
    </row>
    <row r="4842" spans="1:2" x14ac:dyDescent="0.2">
      <c r="A4842" s="102"/>
      <c r="B4842" s="116"/>
    </row>
    <row r="4843" spans="1:2" x14ac:dyDescent="0.2">
      <c r="A4843" s="102"/>
      <c r="B4843" s="116"/>
    </row>
    <row r="4844" spans="1:2" x14ac:dyDescent="0.2">
      <c r="A4844" s="102"/>
      <c r="B4844" s="116"/>
    </row>
    <row r="4845" spans="1:2" x14ac:dyDescent="0.2">
      <c r="A4845" s="102"/>
      <c r="B4845" s="116"/>
    </row>
    <row r="4846" spans="1:2" x14ac:dyDescent="0.2">
      <c r="A4846" s="102"/>
      <c r="B4846" s="116"/>
    </row>
    <row r="4847" spans="1:2" x14ac:dyDescent="0.2">
      <c r="A4847" s="102"/>
      <c r="B4847" s="116"/>
    </row>
    <row r="4848" spans="1:2" x14ac:dyDescent="0.2">
      <c r="A4848" s="102"/>
      <c r="B4848" s="116"/>
    </row>
    <row r="4849" spans="1:2" x14ac:dyDescent="0.2">
      <c r="A4849" s="102"/>
      <c r="B4849" s="116"/>
    </row>
    <row r="4850" spans="1:2" x14ac:dyDescent="0.2">
      <c r="A4850" s="102"/>
      <c r="B4850" s="116"/>
    </row>
    <row r="4851" spans="1:2" x14ac:dyDescent="0.2">
      <c r="A4851" s="102"/>
      <c r="B4851" s="116"/>
    </row>
    <row r="4852" spans="1:2" x14ac:dyDescent="0.2">
      <c r="A4852" s="102"/>
      <c r="B4852" s="116"/>
    </row>
    <row r="4853" spans="1:2" x14ac:dyDescent="0.2">
      <c r="A4853" s="102"/>
      <c r="B4853" s="116"/>
    </row>
    <row r="4854" spans="1:2" x14ac:dyDescent="0.2">
      <c r="A4854" s="102"/>
      <c r="B4854" s="116"/>
    </row>
    <row r="4855" spans="1:2" x14ac:dyDescent="0.2">
      <c r="A4855" s="102"/>
      <c r="B4855" s="116"/>
    </row>
    <row r="4856" spans="1:2" x14ac:dyDescent="0.2">
      <c r="A4856" s="102"/>
      <c r="B4856" s="116"/>
    </row>
    <row r="4857" spans="1:2" x14ac:dyDescent="0.2">
      <c r="A4857" s="102"/>
      <c r="B4857" s="116"/>
    </row>
    <row r="4858" spans="1:2" x14ac:dyDescent="0.2">
      <c r="A4858" s="102"/>
      <c r="B4858" s="116"/>
    </row>
    <row r="4859" spans="1:2" x14ac:dyDescent="0.2">
      <c r="A4859" s="102"/>
      <c r="B4859" s="116"/>
    </row>
    <row r="4860" spans="1:2" x14ac:dyDescent="0.2">
      <c r="A4860" s="102"/>
      <c r="B4860" s="116"/>
    </row>
    <row r="4861" spans="1:2" x14ac:dyDescent="0.2">
      <c r="A4861" s="102"/>
      <c r="B4861" s="116"/>
    </row>
    <row r="4862" spans="1:2" x14ac:dyDescent="0.2">
      <c r="A4862" s="102"/>
      <c r="B4862" s="116"/>
    </row>
    <row r="4863" spans="1:2" x14ac:dyDescent="0.2">
      <c r="A4863" s="102"/>
      <c r="B4863" s="116"/>
    </row>
    <row r="4864" spans="1:2" x14ac:dyDescent="0.2">
      <c r="A4864" s="102"/>
      <c r="B4864" s="116"/>
    </row>
    <row r="4865" spans="1:2" x14ac:dyDescent="0.2">
      <c r="A4865" s="102"/>
      <c r="B4865" s="116"/>
    </row>
    <row r="4866" spans="1:2" x14ac:dyDescent="0.2">
      <c r="A4866" s="102"/>
      <c r="B4866" s="116"/>
    </row>
    <row r="4867" spans="1:2" x14ac:dyDescent="0.2">
      <c r="A4867" s="102"/>
      <c r="B4867" s="116"/>
    </row>
    <row r="4868" spans="1:2" x14ac:dyDescent="0.2">
      <c r="A4868" s="102"/>
      <c r="B4868" s="116"/>
    </row>
    <row r="4869" spans="1:2" x14ac:dyDescent="0.2">
      <c r="A4869" s="102"/>
      <c r="B4869" s="116"/>
    </row>
    <row r="4870" spans="1:2" x14ac:dyDescent="0.2">
      <c r="A4870" s="102"/>
      <c r="B4870" s="116"/>
    </row>
    <row r="4871" spans="1:2" x14ac:dyDescent="0.2">
      <c r="A4871" s="102"/>
      <c r="B4871" s="116"/>
    </row>
    <row r="4872" spans="1:2" x14ac:dyDescent="0.2">
      <c r="A4872" s="102"/>
      <c r="B4872" s="116"/>
    </row>
    <row r="4873" spans="1:2" x14ac:dyDescent="0.2">
      <c r="A4873" s="102"/>
      <c r="B4873" s="116"/>
    </row>
    <row r="4874" spans="1:2" x14ac:dyDescent="0.2">
      <c r="A4874" s="102"/>
      <c r="B4874" s="116"/>
    </row>
    <row r="4875" spans="1:2" x14ac:dyDescent="0.2">
      <c r="A4875" s="102"/>
      <c r="B4875" s="116"/>
    </row>
    <row r="4876" spans="1:2" x14ac:dyDescent="0.2">
      <c r="A4876" s="102"/>
      <c r="B4876" s="116"/>
    </row>
    <row r="4877" spans="1:2" x14ac:dyDescent="0.2">
      <c r="A4877" s="102"/>
      <c r="B4877" s="116"/>
    </row>
    <row r="4878" spans="1:2" x14ac:dyDescent="0.2">
      <c r="A4878" s="102"/>
      <c r="B4878" s="116"/>
    </row>
    <row r="4879" spans="1:2" x14ac:dyDescent="0.2">
      <c r="A4879" s="102"/>
      <c r="B4879" s="116"/>
    </row>
    <row r="4880" spans="1:2" x14ac:dyDescent="0.2">
      <c r="A4880" s="102"/>
      <c r="B4880" s="116"/>
    </row>
    <row r="4881" spans="1:2" x14ac:dyDescent="0.2">
      <c r="A4881" s="102"/>
      <c r="B4881" s="116"/>
    </row>
    <row r="4882" spans="1:2" x14ac:dyDescent="0.2">
      <c r="A4882" s="102"/>
      <c r="B4882" s="116"/>
    </row>
    <row r="4883" spans="1:2" x14ac:dyDescent="0.2">
      <c r="A4883" s="102"/>
      <c r="B4883" s="116"/>
    </row>
    <row r="4884" spans="1:2" x14ac:dyDescent="0.2">
      <c r="A4884" s="102"/>
      <c r="B4884" s="116"/>
    </row>
    <row r="4885" spans="1:2" x14ac:dyDescent="0.2">
      <c r="A4885" s="102"/>
      <c r="B4885" s="116"/>
    </row>
    <row r="4886" spans="1:2" x14ac:dyDescent="0.2">
      <c r="A4886" s="102"/>
      <c r="B4886" s="116"/>
    </row>
    <row r="4887" spans="1:2" x14ac:dyDescent="0.2">
      <c r="A4887" s="102"/>
      <c r="B4887" s="116"/>
    </row>
    <row r="4888" spans="1:2" x14ac:dyDescent="0.2">
      <c r="A4888" s="102"/>
      <c r="B4888" s="116"/>
    </row>
    <row r="4889" spans="1:2" x14ac:dyDescent="0.2">
      <c r="A4889" s="102"/>
      <c r="B4889" s="116"/>
    </row>
    <row r="4890" spans="1:2" x14ac:dyDescent="0.2">
      <c r="A4890" s="102"/>
      <c r="B4890" s="116"/>
    </row>
    <row r="4891" spans="1:2" x14ac:dyDescent="0.2">
      <c r="A4891" s="102"/>
      <c r="B4891" s="116"/>
    </row>
    <row r="4892" spans="1:2" x14ac:dyDescent="0.2">
      <c r="A4892" s="102"/>
      <c r="B4892" s="116"/>
    </row>
    <row r="4893" spans="1:2" x14ac:dyDescent="0.2">
      <c r="A4893" s="102"/>
      <c r="B4893" s="116"/>
    </row>
    <row r="4894" spans="1:2" x14ac:dyDescent="0.2">
      <c r="A4894" s="102"/>
      <c r="B4894" s="116"/>
    </row>
    <row r="4895" spans="1:2" x14ac:dyDescent="0.2">
      <c r="A4895" s="102"/>
      <c r="B4895" s="116"/>
    </row>
    <row r="4896" spans="1:2" x14ac:dyDescent="0.2">
      <c r="A4896" s="102"/>
      <c r="B4896" s="116"/>
    </row>
    <row r="4897" spans="1:2" x14ac:dyDescent="0.2">
      <c r="A4897" s="102"/>
      <c r="B4897" s="116"/>
    </row>
    <row r="4898" spans="1:2" x14ac:dyDescent="0.2">
      <c r="A4898" s="102"/>
      <c r="B4898" s="116"/>
    </row>
    <row r="4899" spans="1:2" x14ac:dyDescent="0.2">
      <c r="A4899" s="102"/>
      <c r="B4899" s="116"/>
    </row>
    <row r="4900" spans="1:2" x14ac:dyDescent="0.2">
      <c r="A4900" s="102"/>
      <c r="B4900" s="116"/>
    </row>
    <row r="4901" spans="1:2" x14ac:dyDescent="0.2">
      <c r="A4901" s="102"/>
      <c r="B4901" s="116"/>
    </row>
    <row r="4902" spans="1:2" x14ac:dyDescent="0.2">
      <c r="A4902" s="102"/>
      <c r="B4902" s="116"/>
    </row>
    <row r="4903" spans="1:2" x14ac:dyDescent="0.2">
      <c r="A4903" s="102"/>
      <c r="B4903" s="116"/>
    </row>
    <row r="4904" spans="1:2" x14ac:dyDescent="0.2">
      <c r="A4904" s="102"/>
      <c r="B4904" s="116"/>
    </row>
    <row r="4905" spans="1:2" x14ac:dyDescent="0.2">
      <c r="A4905" s="102"/>
      <c r="B4905" s="116"/>
    </row>
    <row r="4906" spans="1:2" x14ac:dyDescent="0.2">
      <c r="A4906" s="102"/>
      <c r="B4906" s="116"/>
    </row>
    <row r="4907" spans="1:2" x14ac:dyDescent="0.2">
      <c r="A4907" s="102"/>
      <c r="B4907" s="116"/>
    </row>
    <row r="4908" spans="1:2" x14ac:dyDescent="0.2">
      <c r="A4908" s="102"/>
      <c r="B4908" s="116"/>
    </row>
    <row r="4909" spans="1:2" x14ac:dyDescent="0.2">
      <c r="A4909" s="102"/>
      <c r="B4909" s="116"/>
    </row>
    <row r="4910" spans="1:2" x14ac:dyDescent="0.2">
      <c r="A4910" s="102"/>
      <c r="B4910" s="116"/>
    </row>
    <row r="4911" spans="1:2" x14ac:dyDescent="0.2">
      <c r="A4911" s="102"/>
      <c r="B4911" s="116"/>
    </row>
    <row r="4912" spans="1:2" x14ac:dyDescent="0.2">
      <c r="A4912" s="102"/>
      <c r="B4912" s="116"/>
    </row>
    <row r="4913" spans="1:2" x14ac:dyDescent="0.2">
      <c r="A4913" s="102"/>
      <c r="B4913" s="116"/>
    </row>
    <row r="4914" spans="1:2" x14ac:dyDescent="0.2">
      <c r="A4914" s="102"/>
      <c r="B4914" s="116"/>
    </row>
    <row r="4915" spans="1:2" x14ac:dyDescent="0.2">
      <c r="A4915" s="102"/>
      <c r="B4915" s="116"/>
    </row>
    <row r="4916" spans="1:2" x14ac:dyDescent="0.2">
      <c r="A4916" s="102"/>
      <c r="B4916" s="116"/>
    </row>
    <row r="4917" spans="1:2" x14ac:dyDescent="0.2">
      <c r="A4917" s="102"/>
      <c r="B4917" s="116"/>
    </row>
    <row r="4918" spans="1:2" x14ac:dyDescent="0.2">
      <c r="A4918" s="102"/>
      <c r="B4918" s="116"/>
    </row>
    <row r="4919" spans="1:2" x14ac:dyDescent="0.2">
      <c r="A4919" s="102"/>
      <c r="B4919" s="116"/>
    </row>
    <row r="4920" spans="1:2" x14ac:dyDescent="0.2">
      <c r="A4920" s="102"/>
      <c r="B4920" s="116"/>
    </row>
    <row r="4921" spans="1:2" x14ac:dyDescent="0.2">
      <c r="A4921" s="102"/>
      <c r="B4921" s="116"/>
    </row>
    <row r="4922" spans="1:2" x14ac:dyDescent="0.2">
      <c r="A4922" s="102"/>
      <c r="B4922" s="116"/>
    </row>
    <row r="4923" spans="1:2" x14ac:dyDescent="0.2">
      <c r="A4923" s="102"/>
      <c r="B4923" s="116"/>
    </row>
    <row r="4924" spans="1:2" x14ac:dyDescent="0.2">
      <c r="A4924" s="102"/>
      <c r="B4924" s="116"/>
    </row>
    <row r="4925" spans="1:2" x14ac:dyDescent="0.2">
      <c r="A4925" s="102"/>
      <c r="B4925" s="116"/>
    </row>
    <row r="4926" spans="1:2" x14ac:dyDescent="0.2">
      <c r="A4926" s="102"/>
      <c r="B4926" s="116"/>
    </row>
    <row r="4927" spans="1:2" x14ac:dyDescent="0.2">
      <c r="A4927" s="102"/>
      <c r="B4927" s="116"/>
    </row>
    <row r="4928" spans="1:2" x14ac:dyDescent="0.2">
      <c r="A4928" s="102"/>
      <c r="B4928" s="116"/>
    </row>
    <row r="4929" spans="1:2" x14ac:dyDescent="0.2">
      <c r="A4929" s="102"/>
      <c r="B4929" s="116"/>
    </row>
    <row r="4930" spans="1:2" x14ac:dyDescent="0.2">
      <c r="A4930" s="102"/>
      <c r="B4930" s="116"/>
    </row>
    <row r="4931" spans="1:2" x14ac:dyDescent="0.2">
      <c r="A4931" s="102"/>
      <c r="B4931" s="116"/>
    </row>
    <row r="4932" spans="1:2" x14ac:dyDescent="0.2">
      <c r="A4932" s="102"/>
      <c r="B4932" s="116"/>
    </row>
    <row r="4933" spans="1:2" x14ac:dyDescent="0.2">
      <c r="A4933" s="102"/>
      <c r="B4933" s="116"/>
    </row>
    <row r="4934" spans="1:2" x14ac:dyDescent="0.2">
      <c r="A4934" s="102"/>
      <c r="B4934" s="116"/>
    </row>
    <row r="4935" spans="1:2" x14ac:dyDescent="0.2">
      <c r="A4935" s="102"/>
      <c r="B4935" s="116"/>
    </row>
    <row r="4936" spans="1:2" x14ac:dyDescent="0.2">
      <c r="A4936" s="102"/>
      <c r="B4936" s="116"/>
    </row>
    <row r="4937" spans="1:2" x14ac:dyDescent="0.2">
      <c r="A4937" s="102"/>
      <c r="B4937" s="116"/>
    </row>
    <row r="4938" spans="1:2" x14ac:dyDescent="0.2">
      <c r="A4938" s="102"/>
      <c r="B4938" s="116"/>
    </row>
    <row r="4939" spans="1:2" x14ac:dyDescent="0.2">
      <c r="A4939" s="102"/>
      <c r="B4939" s="116"/>
    </row>
    <row r="4940" spans="1:2" x14ac:dyDescent="0.2">
      <c r="A4940" s="102"/>
      <c r="B4940" s="116"/>
    </row>
    <row r="4941" spans="1:2" x14ac:dyDescent="0.2">
      <c r="A4941" s="102"/>
      <c r="B4941" s="116"/>
    </row>
    <row r="4942" spans="1:2" x14ac:dyDescent="0.2">
      <c r="A4942" s="102"/>
      <c r="B4942" s="116"/>
    </row>
    <row r="4943" spans="1:2" x14ac:dyDescent="0.2">
      <c r="A4943" s="102"/>
      <c r="B4943" s="116"/>
    </row>
    <row r="4944" spans="1:2" x14ac:dyDescent="0.2">
      <c r="A4944" s="102"/>
      <c r="B4944" s="116"/>
    </row>
    <row r="4945" spans="1:2" x14ac:dyDescent="0.2">
      <c r="A4945" s="102"/>
      <c r="B4945" s="116"/>
    </row>
    <row r="4946" spans="1:2" x14ac:dyDescent="0.2">
      <c r="A4946" s="102"/>
      <c r="B4946" s="116"/>
    </row>
    <row r="4947" spans="1:2" x14ac:dyDescent="0.2">
      <c r="A4947" s="102"/>
      <c r="B4947" s="116"/>
    </row>
    <row r="4948" spans="1:2" x14ac:dyDescent="0.2">
      <c r="A4948" s="102"/>
      <c r="B4948" s="116"/>
    </row>
    <row r="4949" spans="1:2" x14ac:dyDescent="0.2">
      <c r="A4949" s="102"/>
      <c r="B4949" s="116"/>
    </row>
    <row r="4950" spans="1:2" x14ac:dyDescent="0.2">
      <c r="A4950" s="102"/>
      <c r="B4950" s="116"/>
    </row>
    <row r="4951" spans="1:2" x14ac:dyDescent="0.2">
      <c r="A4951" s="102"/>
      <c r="B4951" s="116"/>
    </row>
    <row r="4952" spans="1:2" x14ac:dyDescent="0.2">
      <c r="A4952" s="102"/>
      <c r="B4952" s="116"/>
    </row>
    <row r="4953" spans="1:2" x14ac:dyDescent="0.2">
      <c r="A4953" s="102"/>
      <c r="B4953" s="116"/>
    </row>
    <row r="4954" spans="1:2" x14ac:dyDescent="0.2">
      <c r="A4954" s="102"/>
      <c r="B4954" s="116"/>
    </row>
    <row r="4955" spans="1:2" x14ac:dyDescent="0.2">
      <c r="A4955" s="102"/>
      <c r="B4955" s="116"/>
    </row>
    <row r="4956" spans="1:2" x14ac:dyDescent="0.2">
      <c r="A4956" s="102"/>
      <c r="B4956" s="116"/>
    </row>
    <row r="4957" spans="1:2" x14ac:dyDescent="0.2">
      <c r="A4957" s="102"/>
      <c r="B4957" s="116"/>
    </row>
    <row r="4958" spans="1:2" x14ac:dyDescent="0.2">
      <c r="A4958" s="102"/>
      <c r="B4958" s="116"/>
    </row>
    <row r="4959" spans="1:2" x14ac:dyDescent="0.2">
      <c r="A4959" s="102"/>
      <c r="B4959" s="116"/>
    </row>
    <row r="4960" spans="1:2" x14ac:dyDescent="0.2">
      <c r="A4960" s="102"/>
      <c r="B4960" s="116"/>
    </row>
    <row r="4961" spans="1:2" x14ac:dyDescent="0.2">
      <c r="A4961" s="102"/>
      <c r="B4961" s="116"/>
    </row>
    <row r="4962" spans="1:2" x14ac:dyDescent="0.2">
      <c r="A4962" s="102"/>
      <c r="B4962" s="116"/>
    </row>
    <row r="4963" spans="1:2" x14ac:dyDescent="0.2">
      <c r="A4963" s="102"/>
      <c r="B4963" s="116"/>
    </row>
    <row r="4964" spans="1:2" x14ac:dyDescent="0.2">
      <c r="A4964" s="102"/>
      <c r="B4964" s="116"/>
    </row>
    <row r="4965" spans="1:2" x14ac:dyDescent="0.2">
      <c r="A4965" s="102"/>
      <c r="B4965" s="116"/>
    </row>
    <row r="4966" spans="1:2" x14ac:dyDescent="0.2">
      <c r="A4966" s="102"/>
      <c r="B4966" s="116"/>
    </row>
    <row r="4967" spans="1:2" x14ac:dyDescent="0.2">
      <c r="A4967" s="102"/>
      <c r="B4967" s="116"/>
    </row>
    <row r="4968" spans="1:2" x14ac:dyDescent="0.2">
      <c r="A4968" s="102"/>
      <c r="B4968" s="116"/>
    </row>
    <row r="4969" spans="1:2" x14ac:dyDescent="0.2">
      <c r="A4969" s="102"/>
      <c r="B4969" s="116"/>
    </row>
    <row r="4970" spans="1:2" x14ac:dyDescent="0.2">
      <c r="A4970" s="102"/>
      <c r="B4970" s="116"/>
    </row>
    <row r="4971" spans="1:2" x14ac:dyDescent="0.2">
      <c r="A4971" s="102"/>
      <c r="B4971" s="116"/>
    </row>
    <row r="4972" spans="1:2" x14ac:dyDescent="0.2">
      <c r="A4972" s="102"/>
      <c r="B4972" s="116"/>
    </row>
    <row r="4973" spans="1:2" x14ac:dyDescent="0.2">
      <c r="A4973" s="102"/>
      <c r="B4973" s="116"/>
    </row>
    <row r="4974" spans="1:2" x14ac:dyDescent="0.2">
      <c r="A4974" s="102"/>
      <c r="B4974" s="116"/>
    </row>
    <row r="4975" spans="1:2" x14ac:dyDescent="0.2">
      <c r="A4975" s="102"/>
      <c r="B4975" s="116"/>
    </row>
    <row r="4976" spans="1:2" x14ac:dyDescent="0.2">
      <c r="A4976" s="102"/>
      <c r="B4976" s="116"/>
    </row>
    <row r="4977" spans="1:2" x14ac:dyDescent="0.2">
      <c r="A4977" s="102"/>
      <c r="B4977" s="116"/>
    </row>
    <row r="4978" spans="1:2" x14ac:dyDescent="0.2">
      <c r="A4978" s="102"/>
      <c r="B4978" s="116"/>
    </row>
    <row r="4979" spans="1:2" x14ac:dyDescent="0.2">
      <c r="A4979" s="102"/>
      <c r="B4979" s="116"/>
    </row>
    <row r="4980" spans="1:2" x14ac:dyDescent="0.2">
      <c r="A4980" s="102"/>
      <c r="B4980" s="116"/>
    </row>
    <row r="4981" spans="1:2" x14ac:dyDescent="0.2">
      <c r="A4981" s="102"/>
      <c r="B4981" s="116"/>
    </row>
    <row r="4982" spans="1:2" x14ac:dyDescent="0.2">
      <c r="A4982" s="102"/>
      <c r="B4982" s="116"/>
    </row>
    <row r="4983" spans="1:2" x14ac:dyDescent="0.2">
      <c r="A4983" s="102"/>
      <c r="B4983" s="116"/>
    </row>
    <row r="4984" spans="1:2" x14ac:dyDescent="0.2">
      <c r="A4984" s="102"/>
      <c r="B4984" s="116"/>
    </row>
    <row r="4985" spans="1:2" x14ac:dyDescent="0.2">
      <c r="A4985" s="102"/>
      <c r="B4985" s="116"/>
    </row>
    <row r="4986" spans="1:2" x14ac:dyDescent="0.2">
      <c r="A4986" s="102"/>
      <c r="B4986" s="116"/>
    </row>
    <row r="4987" spans="1:2" x14ac:dyDescent="0.2">
      <c r="A4987" s="102"/>
      <c r="B4987" s="116"/>
    </row>
    <row r="4988" spans="1:2" x14ac:dyDescent="0.2">
      <c r="A4988" s="102"/>
      <c r="B4988" s="116"/>
    </row>
    <row r="4989" spans="1:2" x14ac:dyDescent="0.2">
      <c r="A4989" s="102"/>
      <c r="B4989" s="116"/>
    </row>
    <row r="4990" spans="1:2" x14ac:dyDescent="0.2">
      <c r="A4990" s="102"/>
      <c r="B4990" s="116"/>
    </row>
    <row r="4991" spans="1:2" x14ac:dyDescent="0.2">
      <c r="A4991" s="102"/>
      <c r="B4991" s="116"/>
    </row>
    <row r="4992" spans="1:2" x14ac:dyDescent="0.2">
      <c r="A4992" s="102"/>
      <c r="B4992" s="116"/>
    </row>
    <row r="4993" spans="1:2" x14ac:dyDescent="0.2">
      <c r="A4993" s="102"/>
      <c r="B4993" s="116"/>
    </row>
    <row r="4994" spans="1:2" x14ac:dyDescent="0.2">
      <c r="A4994" s="102"/>
      <c r="B4994" s="116"/>
    </row>
    <row r="4995" spans="1:2" x14ac:dyDescent="0.2">
      <c r="A4995" s="102"/>
      <c r="B4995" s="116"/>
    </row>
    <row r="4996" spans="1:2" x14ac:dyDescent="0.2">
      <c r="A4996" s="102"/>
      <c r="B4996" s="116"/>
    </row>
    <row r="4997" spans="1:2" x14ac:dyDescent="0.2">
      <c r="A4997" s="102"/>
      <c r="B4997" s="116"/>
    </row>
    <row r="4998" spans="1:2" x14ac:dyDescent="0.2">
      <c r="A4998" s="102"/>
      <c r="B4998" s="116"/>
    </row>
    <row r="4999" spans="1:2" x14ac:dyDescent="0.2">
      <c r="A4999" s="102"/>
      <c r="B4999" s="116"/>
    </row>
    <row r="5000" spans="1:2" x14ac:dyDescent="0.2">
      <c r="A5000" s="102"/>
      <c r="B5000" s="116"/>
    </row>
    <row r="5001" spans="1:2" x14ac:dyDescent="0.2">
      <c r="A5001" s="102"/>
      <c r="B5001" s="116"/>
    </row>
    <row r="5002" spans="1:2" x14ac:dyDescent="0.2">
      <c r="A5002" s="102"/>
      <c r="B5002" s="116"/>
    </row>
    <row r="5003" spans="1:2" x14ac:dyDescent="0.2">
      <c r="A5003" s="102"/>
      <c r="B5003" s="116"/>
    </row>
    <row r="5004" spans="1:2" x14ac:dyDescent="0.2">
      <c r="A5004" s="102"/>
      <c r="B5004" s="116"/>
    </row>
    <row r="5005" spans="1:2" x14ac:dyDescent="0.2">
      <c r="A5005" s="102"/>
      <c r="B5005" s="116"/>
    </row>
    <row r="5006" spans="1:2" x14ac:dyDescent="0.2">
      <c r="A5006" s="102"/>
      <c r="B5006" s="116"/>
    </row>
    <row r="5007" spans="1:2" x14ac:dyDescent="0.2">
      <c r="A5007" s="102"/>
      <c r="B5007" s="116"/>
    </row>
    <row r="5008" spans="1:2" x14ac:dyDescent="0.2">
      <c r="A5008" s="102"/>
      <c r="B5008" s="116"/>
    </row>
    <row r="5009" spans="1:2" x14ac:dyDescent="0.2">
      <c r="A5009" s="102"/>
      <c r="B5009" s="116"/>
    </row>
    <row r="5010" spans="1:2" x14ac:dyDescent="0.2">
      <c r="A5010" s="102"/>
      <c r="B5010" s="116"/>
    </row>
    <row r="5011" spans="1:2" x14ac:dyDescent="0.2">
      <c r="A5011" s="102"/>
      <c r="B5011" s="116"/>
    </row>
    <row r="5012" spans="1:2" x14ac:dyDescent="0.2">
      <c r="A5012" s="102"/>
      <c r="B5012" s="116"/>
    </row>
    <row r="5013" spans="1:2" x14ac:dyDescent="0.2">
      <c r="A5013" s="102"/>
      <c r="B5013" s="116"/>
    </row>
    <row r="5014" spans="1:2" x14ac:dyDescent="0.2">
      <c r="A5014" s="102"/>
      <c r="B5014" s="116"/>
    </row>
    <row r="5015" spans="1:2" x14ac:dyDescent="0.2">
      <c r="A5015" s="102"/>
      <c r="B5015" s="116"/>
    </row>
    <row r="5016" spans="1:2" x14ac:dyDescent="0.2">
      <c r="A5016" s="102"/>
      <c r="B5016" s="116"/>
    </row>
    <row r="5017" spans="1:2" x14ac:dyDescent="0.2">
      <c r="A5017" s="102"/>
      <c r="B5017" s="116"/>
    </row>
    <row r="5018" spans="1:2" x14ac:dyDescent="0.2">
      <c r="A5018" s="102"/>
      <c r="B5018" s="116"/>
    </row>
    <row r="5019" spans="1:2" x14ac:dyDescent="0.2">
      <c r="A5019" s="102"/>
      <c r="B5019" s="116"/>
    </row>
    <row r="5020" spans="1:2" x14ac:dyDescent="0.2">
      <c r="A5020" s="102"/>
      <c r="B5020" s="116"/>
    </row>
    <row r="5021" spans="1:2" x14ac:dyDescent="0.2">
      <c r="A5021" s="102"/>
      <c r="B5021" s="116"/>
    </row>
    <row r="5022" spans="1:2" x14ac:dyDescent="0.2">
      <c r="A5022" s="102"/>
      <c r="B5022" s="116"/>
    </row>
    <row r="5023" spans="1:2" x14ac:dyDescent="0.2">
      <c r="A5023" s="102"/>
      <c r="B5023" s="116"/>
    </row>
    <row r="5024" spans="1:2" x14ac:dyDescent="0.2">
      <c r="A5024" s="102"/>
      <c r="B5024" s="116"/>
    </row>
    <row r="5025" spans="1:2" x14ac:dyDescent="0.2">
      <c r="A5025" s="102"/>
      <c r="B5025" s="116"/>
    </row>
    <row r="5026" spans="1:2" x14ac:dyDescent="0.2">
      <c r="A5026" s="102"/>
      <c r="B5026" s="116"/>
    </row>
    <row r="5027" spans="1:2" x14ac:dyDescent="0.2">
      <c r="A5027" s="102"/>
      <c r="B5027" s="116"/>
    </row>
    <row r="5028" spans="1:2" x14ac:dyDescent="0.2">
      <c r="A5028" s="102"/>
      <c r="B5028" s="116"/>
    </row>
    <row r="5029" spans="1:2" x14ac:dyDescent="0.2">
      <c r="A5029" s="102"/>
      <c r="B5029" s="116"/>
    </row>
    <row r="5030" spans="1:2" x14ac:dyDescent="0.2">
      <c r="A5030" s="102"/>
      <c r="B5030" s="116"/>
    </row>
    <row r="5031" spans="1:2" x14ac:dyDescent="0.2">
      <c r="A5031" s="102"/>
      <c r="B5031" s="116"/>
    </row>
    <row r="5032" spans="1:2" x14ac:dyDescent="0.2">
      <c r="A5032" s="102"/>
      <c r="B5032" s="116"/>
    </row>
    <row r="5033" spans="1:2" x14ac:dyDescent="0.2">
      <c r="A5033" s="102"/>
      <c r="B5033" s="116"/>
    </row>
    <row r="5034" spans="1:2" x14ac:dyDescent="0.2">
      <c r="A5034" s="102"/>
      <c r="B5034" s="116"/>
    </row>
    <row r="5035" spans="1:2" x14ac:dyDescent="0.2">
      <c r="A5035" s="102"/>
      <c r="B5035" s="116"/>
    </row>
    <row r="5036" spans="1:2" x14ac:dyDescent="0.2">
      <c r="A5036" s="102"/>
      <c r="B5036" s="116"/>
    </row>
    <row r="5037" spans="1:2" x14ac:dyDescent="0.2">
      <c r="A5037" s="102"/>
      <c r="B5037" s="116"/>
    </row>
    <row r="5038" spans="1:2" x14ac:dyDescent="0.2">
      <c r="A5038" s="102"/>
      <c r="B5038" s="116"/>
    </row>
    <row r="5039" spans="1:2" x14ac:dyDescent="0.2">
      <c r="A5039" s="102"/>
      <c r="B5039" s="116"/>
    </row>
    <row r="5040" spans="1:2" x14ac:dyDescent="0.2">
      <c r="A5040" s="102"/>
      <c r="B5040" s="116"/>
    </row>
    <row r="5041" spans="1:2" x14ac:dyDescent="0.2">
      <c r="A5041" s="102"/>
      <c r="B5041" s="116"/>
    </row>
    <row r="5042" spans="1:2" x14ac:dyDescent="0.2">
      <c r="A5042" s="102"/>
      <c r="B5042" s="116"/>
    </row>
    <row r="5043" spans="1:2" x14ac:dyDescent="0.2">
      <c r="A5043" s="102"/>
      <c r="B5043" s="116"/>
    </row>
    <row r="5044" spans="1:2" x14ac:dyDescent="0.2">
      <c r="A5044" s="102"/>
      <c r="B5044" s="116"/>
    </row>
    <row r="5045" spans="1:2" x14ac:dyDescent="0.2">
      <c r="A5045" s="102"/>
      <c r="B5045" s="116"/>
    </row>
    <row r="5046" spans="1:2" x14ac:dyDescent="0.2">
      <c r="A5046" s="102"/>
      <c r="B5046" s="116"/>
    </row>
    <row r="5047" spans="1:2" x14ac:dyDescent="0.2">
      <c r="A5047" s="102"/>
      <c r="B5047" s="116"/>
    </row>
    <row r="5048" spans="1:2" x14ac:dyDescent="0.2">
      <c r="A5048" s="102"/>
      <c r="B5048" s="116"/>
    </row>
    <row r="5049" spans="1:2" x14ac:dyDescent="0.2">
      <c r="A5049" s="102"/>
      <c r="B5049" s="116"/>
    </row>
    <row r="5050" spans="1:2" x14ac:dyDescent="0.2">
      <c r="A5050" s="102"/>
      <c r="B5050" s="116"/>
    </row>
    <row r="5051" spans="1:2" x14ac:dyDescent="0.2">
      <c r="A5051" s="102"/>
      <c r="B5051" s="116"/>
    </row>
    <row r="5052" spans="1:2" x14ac:dyDescent="0.2">
      <c r="A5052" s="102"/>
      <c r="B5052" s="116"/>
    </row>
    <row r="5053" spans="1:2" x14ac:dyDescent="0.2">
      <c r="A5053" s="102"/>
      <c r="B5053" s="116"/>
    </row>
    <row r="5054" spans="1:2" x14ac:dyDescent="0.2">
      <c r="A5054" s="102"/>
      <c r="B5054" s="116"/>
    </row>
    <row r="5055" spans="1:2" x14ac:dyDescent="0.2">
      <c r="A5055" s="102"/>
      <c r="B5055" s="116"/>
    </row>
    <row r="5056" spans="1:2" x14ac:dyDescent="0.2">
      <c r="A5056" s="102"/>
      <c r="B5056" s="116"/>
    </row>
    <row r="5057" spans="1:2" x14ac:dyDescent="0.2">
      <c r="A5057" s="102"/>
      <c r="B5057" s="116"/>
    </row>
    <row r="5058" spans="1:2" x14ac:dyDescent="0.2">
      <c r="A5058" s="102"/>
      <c r="B5058" s="116"/>
    </row>
    <row r="5059" spans="1:2" x14ac:dyDescent="0.2">
      <c r="A5059" s="102"/>
      <c r="B5059" s="116"/>
    </row>
    <row r="5060" spans="1:2" x14ac:dyDescent="0.2">
      <c r="A5060" s="102"/>
      <c r="B5060" s="116"/>
    </row>
    <row r="5061" spans="1:2" x14ac:dyDescent="0.2">
      <c r="A5061" s="102"/>
      <c r="B5061" s="116"/>
    </row>
    <row r="5062" spans="1:2" x14ac:dyDescent="0.2">
      <c r="A5062" s="102"/>
      <c r="B5062" s="116"/>
    </row>
    <row r="5063" spans="1:2" x14ac:dyDescent="0.2">
      <c r="A5063" s="102"/>
      <c r="B5063" s="116"/>
    </row>
    <row r="5064" spans="1:2" x14ac:dyDescent="0.2">
      <c r="A5064" s="102"/>
      <c r="B5064" s="116"/>
    </row>
    <row r="5065" spans="1:2" x14ac:dyDescent="0.2">
      <c r="A5065" s="102"/>
      <c r="B5065" s="116"/>
    </row>
    <row r="5066" spans="1:2" x14ac:dyDescent="0.2">
      <c r="A5066" s="102"/>
      <c r="B5066" s="116"/>
    </row>
    <row r="5067" spans="1:2" x14ac:dyDescent="0.2">
      <c r="A5067" s="102"/>
      <c r="B5067" s="116"/>
    </row>
    <row r="5068" spans="1:2" x14ac:dyDescent="0.2">
      <c r="A5068" s="102"/>
      <c r="B5068" s="116"/>
    </row>
    <row r="5069" spans="1:2" x14ac:dyDescent="0.2">
      <c r="A5069" s="102"/>
      <c r="B5069" s="116"/>
    </row>
    <row r="5070" spans="1:2" x14ac:dyDescent="0.2">
      <c r="A5070" s="102"/>
      <c r="B5070" s="116"/>
    </row>
    <row r="5071" spans="1:2" x14ac:dyDescent="0.2">
      <c r="A5071" s="102"/>
      <c r="B5071" s="116"/>
    </row>
    <row r="5072" spans="1:2" x14ac:dyDescent="0.2">
      <c r="A5072" s="102"/>
      <c r="B5072" s="116"/>
    </row>
    <row r="5073" spans="1:2" x14ac:dyDescent="0.2">
      <c r="A5073" s="102"/>
      <c r="B5073" s="116"/>
    </row>
    <row r="5074" spans="1:2" x14ac:dyDescent="0.2">
      <c r="A5074" s="102"/>
      <c r="B5074" s="116"/>
    </row>
    <row r="5075" spans="1:2" x14ac:dyDescent="0.2">
      <c r="A5075" s="102"/>
      <c r="B5075" s="116"/>
    </row>
    <row r="5076" spans="1:2" x14ac:dyDescent="0.2">
      <c r="A5076" s="102"/>
      <c r="B5076" s="116"/>
    </row>
    <row r="5077" spans="1:2" x14ac:dyDescent="0.2">
      <c r="A5077" s="102"/>
      <c r="B5077" s="116"/>
    </row>
    <row r="5078" spans="1:2" x14ac:dyDescent="0.2">
      <c r="A5078" s="102"/>
      <c r="B5078" s="116"/>
    </row>
    <row r="5079" spans="1:2" x14ac:dyDescent="0.2">
      <c r="A5079" s="102"/>
      <c r="B5079" s="116"/>
    </row>
    <row r="5080" spans="1:2" x14ac:dyDescent="0.2">
      <c r="A5080" s="102"/>
      <c r="B5080" s="116"/>
    </row>
    <row r="5081" spans="1:2" x14ac:dyDescent="0.2">
      <c r="A5081" s="102"/>
      <c r="B5081" s="116"/>
    </row>
    <row r="5082" spans="1:2" x14ac:dyDescent="0.2">
      <c r="A5082" s="102"/>
      <c r="B5082" s="116"/>
    </row>
    <row r="5083" spans="1:2" x14ac:dyDescent="0.2">
      <c r="A5083" s="102"/>
      <c r="B5083" s="116"/>
    </row>
    <row r="5084" spans="1:2" x14ac:dyDescent="0.2">
      <c r="A5084" s="102"/>
      <c r="B5084" s="116"/>
    </row>
    <row r="5085" spans="1:2" x14ac:dyDescent="0.2">
      <c r="A5085" s="102"/>
      <c r="B5085" s="116"/>
    </row>
    <row r="5086" spans="1:2" x14ac:dyDescent="0.2">
      <c r="A5086" s="102"/>
      <c r="B5086" s="116"/>
    </row>
    <row r="5087" spans="1:2" x14ac:dyDescent="0.2">
      <c r="A5087" s="102"/>
      <c r="B5087" s="116"/>
    </row>
    <row r="5088" spans="1:2" x14ac:dyDescent="0.2">
      <c r="A5088" s="102"/>
      <c r="B5088" s="116"/>
    </row>
    <row r="5089" spans="1:2" x14ac:dyDescent="0.2">
      <c r="A5089" s="102"/>
      <c r="B5089" s="116"/>
    </row>
    <row r="5090" spans="1:2" x14ac:dyDescent="0.2">
      <c r="A5090" s="102"/>
      <c r="B5090" s="116"/>
    </row>
    <row r="5091" spans="1:2" x14ac:dyDescent="0.2">
      <c r="A5091" s="102"/>
      <c r="B5091" s="116"/>
    </row>
    <row r="5092" spans="1:2" x14ac:dyDescent="0.2">
      <c r="A5092" s="102"/>
      <c r="B5092" s="116"/>
    </row>
    <row r="5093" spans="1:2" x14ac:dyDescent="0.2">
      <c r="A5093" s="102"/>
      <c r="B5093" s="116"/>
    </row>
    <row r="5094" spans="1:2" x14ac:dyDescent="0.2">
      <c r="A5094" s="102"/>
      <c r="B5094" s="116"/>
    </row>
    <row r="5095" spans="1:2" x14ac:dyDescent="0.2">
      <c r="A5095" s="102"/>
      <c r="B5095" s="116"/>
    </row>
    <row r="5096" spans="1:2" x14ac:dyDescent="0.2">
      <c r="A5096" s="102"/>
      <c r="B5096" s="116"/>
    </row>
    <row r="5097" spans="1:2" x14ac:dyDescent="0.2">
      <c r="A5097" s="102"/>
      <c r="B5097" s="116"/>
    </row>
    <row r="5098" spans="1:2" x14ac:dyDescent="0.2">
      <c r="A5098" s="102"/>
      <c r="B5098" s="116"/>
    </row>
    <row r="5099" spans="1:2" x14ac:dyDescent="0.2">
      <c r="A5099" s="102"/>
      <c r="B5099" s="116"/>
    </row>
    <row r="5100" spans="1:2" x14ac:dyDescent="0.2">
      <c r="A5100" s="102"/>
      <c r="B5100" s="116"/>
    </row>
    <row r="5101" spans="1:2" x14ac:dyDescent="0.2">
      <c r="A5101" s="102"/>
      <c r="B5101" s="116"/>
    </row>
    <row r="5102" spans="1:2" x14ac:dyDescent="0.2">
      <c r="A5102" s="102"/>
      <c r="B5102" s="116"/>
    </row>
    <row r="5103" spans="1:2" x14ac:dyDescent="0.2">
      <c r="A5103" s="102"/>
      <c r="B5103" s="116"/>
    </row>
    <row r="5104" spans="1:2" x14ac:dyDescent="0.2">
      <c r="A5104" s="102"/>
      <c r="B5104" s="116"/>
    </row>
    <row r="5105" spans="1:2" x14ac:dyDescent="0.2">
      <c r="A5105" s="102"/>
      <c r="B5105" s="116"/>
    </row>
    <row r="5106" spans="1:2" x14ac:dyDescent="0.2">
      <c r="A5106" s="102"/>
      <c r="B5106" s="116"/>
    </row>
    <row r="5107" spans="1:2" x14ac:dyDescent="0.2">
      <c r="A5107" s="102"/>
      <c r="B5107" s="116"/>
    </row>
    <row r="5108" spans="1:2" x14ac:dyDescent="0.2">
      <c r="A5108" s="102"/>
      <c r="B5108" s="116"/>
    </row>
    <row r="5109" spans="1:2" x14ac:dyDescent="0.2">
      <c r="A5109" s="102"/>
      <c r="B5109" s="116"/>
    </row>
    <row r="5110" spans="1:2" x14ac:dyDescent="0.2">
      <c r="A5110" s="102"/>
      <c r="B5110" s="116"/>
    </row>
    <row r="5111" spans="1:2" x14ac:dyDescent="0.2">
      <c r="A5111" s="102"/>
      <c r="B5111" s="116"/>
    </row>
    <row r="5112" spans="1:2" x14ac:dyDescent="0.2">
      <c r="A5112" s="102"/>
      <c r="B5112" s="116"/>
    </row>
    <row r="5113" spans="1:2" x14ac:dyDescent="0.2">
      <c r="A5113" s="102"/>
      <c r="B5113" s="116"/>
    </row>
    <row r="5114" spans="1:2" x14ac:dyDescent="0.2">
      <c r="A5114" s="102"/>
      <c r="B5114" s="116"/>
    </row>
    <row r="5115" spans="1:2" x14ac:dyDescent="0.2">
      <c r="A5115" s="102"/>
      <c r="B5115" s="116"/>
    </row>
    <row r="5116" spans="1:2" x14ac:dyDescent="0.2">
      <c r="A5116" s="102"/>
      <c r="B5116" s="116"/>
    </row>
    <row r="5117" spans="1:2" x14ac:dyDescent="0.2">
      <c r="A5117" s="102"/>
      <c r="B5117" s="116"/>
    </row>
    <row r="5118" spans="1:2" x14ac:dyDescent="0.2">
      <c r="A5118" s="102"/>
      <c r="B5118" s="116"/>
    </row>
    <row r="5119" spans="1:2" x14ac:dyDescent="0.2">
      <c r="A5119" s="102"/>
      <c r="B5119" s="116"/>
    </row>
    <row r="5120" spans="1:2" x14ac:dyDescent="0.2">
      <c r="A5120" s="102"/>
      <c r="B5120" s="116"/>
    </row>
    <row r="5121" spans="1:2" x14ac:dyDescent="0.2">
      <c r="A5121" s="102"/>
      <c r="B5121" s="116"/>
    </row>
    <row r="5122" spans="1:2" x14ac:dyDescent="0.2">
      <c r="A5122" s="102"/>
      <c r="B5122" s="116"/>
    </row>
    <row r="5123" spans="1:2" x14ac:dyDescent="0.2">
      <c r="A5123" s="102"/>
      <c r="B5123" s="116"/>
    </row>
    <row r="5124" spans="1:2" x14ac:dyDescent="0.2">
      <c r="A5124" s="102"/>
      <c r="B5124" s="116"/>
    </row>
    <row r="5125" spans="1:2" x14ac:dyDescent="0.2">
      <c r="A5125" s="102"/>
      <c r="B5125" s="116"/>
    </row>
    <row r="5126" spans="1:2" x14ac:dyDescent="0.2">
      <c r="A5126" s="102"/>
      <c r="B5126" s="116"/>
    </row>
    <row r="5127" spans="1:2" x14ac:dyDescent="0.2">
      <c r="A5127" s="102"/>
      <c r="B5127" s="116"/>
    </row>
    <row r="5128" spans="1:2" x14ac:dyDescent="0.2">
      <c r="A5128" s="102"/>
      <c r="B5128" s="116"/>
    </row>
    <row r="5129" spans="1:2" x14ac:dyDescent="0.2">
      <c r="A5129" s="102"/>
      <c r="B5129" s="116"/>
    </row>
    <row r="5130" spans="1:2" x14ac:dyDescent="0.2">
      <c r="A5130" s="102"/>
      <c r="B5130" s="116"/>
    </row>
    <row r="5131" spans="1:2" x14ac:dyDescent="0.2">
      <c r="A5131" s="102"/>
      <c r="B5131" s="116"/>
    </row>
    <row r="5132" spans="1:2" x14ac:dyDescent="0.2">
      <c r="A5132" s="102"/>
      <c r="B5132" s="116"/>
    </row>
    <row r="5133" spans="1:2" x14ac:dyDescent="0.2">
      <c r="A5133" s="102"/>
      <c r="B5133" s="116"/>
    </row>
    <row r="5134" spans="1:2" x14ac:dyDescent="0.2">
      <c r="A5134" s="102"/>
      <c r="B5134" s="116"/>
    </row>
    <row r="5135" spans="1:2" x14ac:dyDescent="0.2">
      <c r="A5135" s="102"/>
      <c r="B5135" s="116"/>
    </row>
    <row r="5136" spans="1:2" x14ac:dyDescent="0.2">
      <c r="A5136" s="102"/>
      <c r="B5136" s="116"/>
    </row>
    <row r="5137" spans="1:2" x14ac:dyDescent="0.2">
      <c r="A5137" s="102"/>
      <c r="B5137" s="116"/>
    </row>
    <row r="5138" spans="1:2" x14ac:dyDescent="0.2">
      <c r="A5138" s="102"/>
      <c r="B5138" s="116"/>
    </row>
    <row r="5139" spans="1:2" x14ac:dyDescent="0.2">
      <c r="A5139" s="102"/>
      <c r="B5139" s="116"/>
    </row>
    <row r="5140" spans="1:2" x14ac:dyDescent="0.2">
      <c r="A5140" s="102"/>
      <c r="B5140" s="116"/>
    </row>
    <row r="5141" spans="1:2" x14ac:dyDescent="0.2">
      <c r="A5141" s="102"/>
      <c r="B5141" s="116"/>
    </row>
    <row r="5142" spans="1:2" x14ac:dyDescent="0.2">
      <c r="A5142" s="102"/>
      <c r="B5142" s="116"/>
    </row>
    <row r="5143" spans="1:2" x14ac:dyDescent="0.2">
      <c r="A5143" s="102"/>
      <c r="B5143" s="116"/>
    </row>
    <row r="5144" spans="1:2" x14ac:dyDescent="0.2">
      <c r="A5144" s="102"/>
      <c r="B5144" s="116"/>
    </row>
    <row r="5145" spans="1:2" x14ac:dyDescent="0.2">
      <c r="A5145" s="102"/>
      <c r="B5145" s="116"/>
    </row>
    <row r="5146" spans="1:2" x14ac:dyDescent="0.2">
      <c r="A5146" s="102"/>
      <c r="B5146" s="116"/>
    </row>
    <row r="5147" spans="1:2" x14ac:dyDescent="0.2">
      <c r="A5147" s="102"/>
      <c r="B5147" s="116"/>
    </row>
    <row r="5148" spans="1:2" x14ac:dyDescent="0.2">
      <c r="A5148" s="102"/>
      <c r="B5148" s="116"/>
    </row>
    <row r="5149" spans="1:2" x14ac:dyDescent="0.2">
      <c r="A5149" s="102"/>
      <c r="B5149" s="116"/>
    </row>
    <row r="5150" spans="1:2" x14ac:dyDescent="0.2">
      <c r="A5150" s="102"/>
      <c r="B5150" s="116"/>
    </row>
    <row r="5151" spans="1:2" x14ac:dyDescent="0.2">
      <c r="A5151" s="102"/>
      <c r="B5151" s="116"/>
    </row>
    <row r="5152" spans="1:2" x14ac:dyDescent="0.2">
      <c r="A5152" s="102"/>
      <c r="B5152" s="116"/>
    </row>
    <row r="5153" spans="1:2" x14ac:dyDescent="0.2">
      <c r="A5153" s="102"/>
      <c r="B5153" s="116"/>
    </row>
    <row r="5154" spans="1:2" x14ac:dyDescent="0.2">
      <c r="A5154" s="102"/>
      <c r="B5154" s="116"/>
    </row>
    <row r="5155" spans="1:2" x14ac:dyDescent="0.2">
      <c r="A5155" s="102"/>
      <c r="B5155" s="116"/>
    </row>
    <row r="5156" spans="1:2" x14ac:dyDescent="0.2">
      <c r="A5156" s="102"/>
      <c r="B5156" s="116"/>
    </row>
    <row r="5157" spans="1:2" x14ac:dyDescent="0.2">
      <c r="A5157" s="102"/>
      <c r="B5157" s="116"/>
    </row>
    <row r="5158" spans="1:2" x14ac:dyDescent="0.2">
      <c r="A5158" s="102"/>
      <c r="B5158" s="116"/>
    </row>
    <row r="5159" spans="1:2" x14ac:dyDescent="0.2">
      <c r="A5159" s="102"/>
      <c r="B5159" s="116"/>
    </row>
    <row r="5160" spans="1:2" x14ac:dyDescent="0.2">
      <c r="A5160" s="102"/>
      <c r="B5160" s="116"/>
    </row>
    <row r="5161" spans="1:2" x14ac:dyDescent="0.2">
      <c r="A5161" s="102"/>
      <c r="B5161" s="116"/>
    </row>
    <row r="5162" spans="1:2" x14ac:dyDescent="0.2">
      <c r="A5162" s="102"/>
      <c r="B5162" s="116"/>
    </row>
    <row r="5163" spans="1:2" x14ac:dyDescent="0.2">
      <c r="A5163" s="102"/>
      <c r="B5163" s="116"/>
    </row>
    <row r="5164" spans="1:2" x14ac:dyDescent="0.2">
      <c r="A5164" s="102"/>
      <c r="B5164" s="116"/>
    </row>
    <row r="5165" spans="1:2" x14ac:dyDescent="0.2">
      <c r="A5165" s="102"/>
      <c r="B5165" s="116"/>
    </row>
    <row r="5166" spans="1:2" x14ac:dyDescent="0.2">
      <c r="A5166" s="102"/>
      <c r="B5166" s="116"/>
    </row>
    <row r="5167" spans="1:2" x14ac:dyDescent="0.2">
      <c r="A5167" s="102"/>
      <c r="B5167" s="116"/>
    </row>
    <row r="5168" spans="1:2" x14ac:dyDescent="0.2">
      <c r="A5168" s="102"/>
      <c r="B5168" s="116"/>
    </row>
    <row r="5169" spans="1:2" x14ac:dyDescent="0.2">
      <c r="A5169" s="102"/>
      <c r="B5169" s="116"/>
    </row>
    <row r="5170" spans="1:2" x14ac:dyDescent="0.2">
      <c r="A5170" s="102"/>
      <c r="B5170" s="116"/>
    </row>
    <row r="5171" spans="1:2" x14ac:dyDescent="0.2">
      <c r="A5171" s="102"/>
      <c r="B5171" s="116"/>
    </row>
    <row r="5172" spans="1:2" x14ac:dyDescent="0.2">
      <c r="A5172" s="102"/>
      <c r="B5172" s="116"/>
    </row>
    <row r="5173" spans="1:2" x14ac:dyDescent="0.2">
      <c r="A5173" s="102"/>
      <c r="B5173" s="116"/>
    </row>
    <row r="5174" spans="1:2" x14ac:dyDescent="0.2">
      <c r="A5174" s="102"/>
      <c r="B5174" s="116"/>
    </row>
    <row r="5175" spans="1:2" x14ac:dyDescent="0.2">
      <c r="A5175" s="102"/>
      <c r="B5175" s="116"/>
    </row>
    <row r="5176" spans="1:2" x14ac:dyDescent="0.2">
      <c r="A5176" s="102"/>
      <c r="B5176" s="116"/>
    </row>
    <row r="5177" spans="1:2" x14ac:dyDescent="0.2">
      <c r="A5177" s="102"/>
      <c r="B5177" s="116"/>
    </row>
    <row r="5178" spans="1:2" x14ac:dyDescent="0.2">
      <c r="A5178" s="102"/>
      <c r="B5178" s="116"/>
    </row>
    <row r="5179" spans="1:2" x14ac:dyDescent="0.2">
      <c r="A5179" s="102"/>
      <c r="B5179" s="116"/>
    </row>
    <row r="5180" spans="1:2" x14ac:dyDescent="0.2">
      <c r="A5180" s="102"/>
      <c r="B5180" s="116"/>
    </row>
    <row r="5181" spans="1:2" x14ac:dyDescent="0.2">
      <c r="A5181" s="102"/>
      <c r="B5181" s="116"/>
    </row>
    <row r="5182" spans="1:2" x14ac:dyDescent="0.2">
      <c r="A5182" s="102"/>
      <c r="B5182" s="116"/>
    </row>
    <row r="5183" spans="1:2" x14ac:dyDescent="0.2">
      <c r="A5183" s="102"/>
      <c r="B5183" s="116"/>
    </row>
    <row r="5184" spans="1:2" x14ac:dyDescent="0.2">
      <c r="A5184" s="102"/>
      <c r="B5184" s="116"/>
    </row>
    <row r="5185" spans="1:2" x14ac:dyDescent="0.2">
      <c r="A5185" s="102"/>
      <c r="B5185" s="116"/>
    </row>
    <row r="5186" spans="1:2" x14ac:dyDescent="0.2">
      <c r="A5186" s="102"/>
      <c r="B5186" s="116"/>
    </row>
    <row r="5187" spans="1:2" x14ac:dyDescent="0.2">
      <c r="A5187" s="102"/>
      <c r="B5187" s="116"/>
    </row>
    <row r="5188" spans="1:2" x14ac:dyDescent="0.2">
      <c r="A5188" s="102"/>
      <c r="B5188" s="116"/>
    </row>
    <row r="5189" spans="1:2" x14ac:dyDescent="0.2">
      <c r="A5189" s="102"/>
      <c r="B5189" s="116"/>
    </row>
    <row r="5190" spans="1:2" x14ac:dyDescent="0.2">
      <c r="A5190" s="102"/>
      <c r="B5190" s="116"/>
    </row>
    <row r="5191" spans="1:2" x14ac:dyDescent="0.2">
      <c r="A5191" s="102"/>
      <c r="B5191" s="116"/>
    </row>
    <row r="5192" spans="1:2" x14ac:dyDescent="0.2">
      <c r="A5192" s="102"/>
      <c r="B5192" s="116"/>
    </row>
    <row r="5193" spans="1:2" x14ac:dyDescent="0.2">
      <c r="A5193" s="102"/>
      <c r="B5193" s="116"/>
    </row>
    <row r="5194" spans="1:2" x14ac:dyDescent="0.2">
      <c r="A5194" s="102"/>
      <c r="B5194" s="116"/>
    </row>
    <row r="5195" spans="1:2" x14ac:dyDescent="0.2">
      <c r="A5195" s="102"/>
      <c r="B5195" s="116"/>
    </row>
    <row r="5196" spans="1:2" x14ac:dyDescent="0.2">
      <c r="A5196" s="102"/>
      <c r="B5196" s="116"/>
    </row>
    <row r="5197" spans="1:2" x14ac:dyDescent="0.2">
      <c r="A5197" s="102"/>
      <c r="B5197" s="116"/>
    </row>
    <row r="5198" spans="1:2" x14ac:dyDescent="0.2">
      <c r="A5198" s="102"/>
      <c r="B5198" s="116"/>
    </row>
    <row r="5199" spans="1:2" x14ac:dyDescent="0.2">
      <c r="A5199" s="102"/>
      <c r="B5199" s="116"/>
    </row>
    <row r="5200" spans="1:2" x14ac:dyDescent="0.2">
      <c r="A5200" s="102"/>
      <c r="B5200" s="116"/>
    </row>
    <row r="5201" spans="1:2" x14ac:dyDescent="0.2">
      <c r="A5201" s="102"/>
      <c r="B5201" s="116"/>
    </row>
    <row r="5202" spans="1:2" x14ac:dyDescent="0.2">
      <c r="A5202" s="102"/>
      <c r="B5202" s="116"/>
    </row>
    <row r="5203" spans="1:2" x14ac:dyDescent="0.2">
      <c r="A5203" s="102"/>
      <c r="B5203" s="116"/>
    </row>
    <row r="5204" spans="1:2" x14ac:dyDescent="0.2">
      <c r="A5204" s="102"/>
      <c r="B5204" s="116"/>
    </row>
    <row r="5205" spans="1:2" x14ac:dyDescent="0.2">
      <c r="A5205" s="102"/>
      <c r="B5205" s="116"/>
    </row>
    <row r="5206" spans="1:2" x14ac:dyDescent="0.2">
      <c r="A5206" s="102"/>
      <c r="B5206" s="116"/>
    </row>
    <row r="5207" spans="1:2" x14ac:dyDescent="0.2">
      <c r="A5207" s="102"/>
      <c r="B5207" s="116"/>
    </row>
    <row r="5208" spans="1:2" x14ac:dyDescent="0.2">
      <c r="A5208" s="102"/>
      <c r="B5208" s="116"/>
    </row>
    <row r="5209" spans="1:2" x14ac:dyDescent="0.2">
      <c r="A5209" s="102"/>
      <c r="B5209" s="116"/>
    </row>
    <row r="5210" spans="1:2" x14ac:dyDescent="0.2">
      <c r="A5210" s="102"/>
      <c r="B5210" s="116"/>
    </row>
    <row r="5211" spans="1:2" x14ac:dyDescent="0.2">
      <c r="A5211" s="102"/>
      <c r="B5211" s="116"/>
    </row>
    <row r="5212" spans="1:2" x14ac:dyDescent="0.2">
      <c r="A5212" s="102"/>
      <c r="B5212" s="116"/>
    </row>
    <row r="5213" spans="1:2" x14ac:dyDescent="0.2">
      <c r="A5213" s="102"/>
      <c r="B5213" s="116"/>
    </row>
    <row r="5214" spans="1:2" x14ac:dyDescent="0.2">
      <c r="A5214" s="102"/>
      <c r="B5214" s="116"/>
    </row>
    <row r="5215" spans="1:2" x14ac:dyDescent="0.2">
      <c r="A5215" s="102"/>
      <c r="B5215" s="116"/>
    </row>
    <row r="5216" spans="1:2" x14ac:dyDescent="0.2">
      <c r="A5216" s="102"/>
      <c r="B5216" s="116"/>
    </row>
    <row r="5217" spans="1:2" x14ac:dyDescent="0.2">
      <c r="A5217" s="102"/>
      <c r="B5217" s="116"/>
    </row>
    <row r="5218" spans="1:2" x14ac:dyDescent="0.2">
      <c r="A5218" s="102"/>
      <c r="B5218" s="116"/>
    </row>
    <row r="5219" spans="1:2" x14ac:dyDescent="0.2">
      <c r="A5219" s="102"/>
      <c r="B5219" s="116"/>
    </row>
    <row r="5220" spans="1:2" x14ac:dyDescent="0.2">
      <c r="A5220" s="102"/>
      <c r="B5220" s="116"/>
    </row>
    <row r="5221" spans="1:2" x14ac:dyDescent="0.2">
      <c r="A5221" s="102"/>
      <c r="B5221" s="116"/>
    </row>
    <row r="5222" spans="1:2" x14ac:dyDescent="0.2">
      <c r="A5222" s="102"/>
      <c r="B5222" s="116"/>
    </row>
    <row r="5223" spans="1:2" x14ac:dyDescent="0.2">
      <c r="A5223" s="102"/>
      <c r="B5223" s="116"/>
    </row>
    <row r="5224" spans="1:2" x14ac:dyDescent="0.2">
      <c r="A5224" s="102"/>
      <c r="B5224" s="116"/>
    </row>
    <row r="5225" spans="1:2" x14ac:dyDescent="0.2">
      <c r="A5225" s="102"/>
      <c r="B5225" s="116"/>
    </row>
    <row r="5226" spans="1:2" x14ac:dyDescent="0.2">
      <c r="A5226" s="102"/>
      <c r="B5226" s="116"/>
    </row>
    <row r="5227" spans="1:2" x14ac:dyDescent="0.2">
      <c r="A5227" s="102"/>
      <c r="B5227" s="116"/>
    </row>
    <row r="5228" spans="1:2" x14ac:dyDescent="0.2">
      <c r="A5228" s="102"/>
      <c r="B5228" s="116"/>
    </row>
    <row r="5229" spans="1:2" x14ac:dyDescent="0.2">
      <c r="A5229" s="102"/>
      <c r="B5229" s="116"/>
    </row>
    <row r="5230" spans="1:2" x14ac:dyDescent="0.2">
      <c r="A5230" s="102"/>
      <c r="B5230" s="116"/>
    </row>
    <row r="5231" spans="1:2" x14ac:dyDescent="0.2">
      <c r="A5231" s="102"/>
      <c r="B5231" s="116"/>
    </row>
    <row r="5232" spans="1:2" x14ac:dyDescent="0.2">
      <c r="A5232" s="102"/>
      <c r="B5232" s="116"/>
    </row>
    <row r="5233" spans="1:2" x14ac:dyDescent="0.2">
      <c r="A5233" s="102"/>
      <c r="B5233" s="116"/>
    </row>
    <row r="5234" spans="1:2" x14ac:dyDescent="0.2">
      <c r="A5234" s="102"/>
      <c r="B5234" s="116"/>
    </row>
    <row r="5235" spans="1:2" x14ac:dyDescent="0.2">
      <c r="A5235" s="102"/>
      <c r="B5235" s="116"/>
    </row>
    <row r="5236" spans="1:2" x14ac:dyDescent="0.2">
      <c r="A5236" s="102"/>
      <c r="B5236" s="116"/>
    </row>
    <row r="5237" spans="1:2" x14ac:dyDescent="0.2">
      <c r="A5237" s="102"/>
      <c r="B5237" s="116"/>
    </row>
    <row r="5238" spans="1:2" x14ac:dyDescent="0.2">
      <c r="A5238" s="102"/>
      <c r="B5238" s="116"/>
    </row>
    <row r="5239" spans="1:2" x14ac:dyDescent="0.2">
      <c r="A5239" s="102"/>
      <c r="B5239" s="116"/>
    </row>
    <row r="5240" spans="1:2" x14ac:dyDescent="0.2">
      <c r="A5240" s="102"/>
      <c r="B5240" s="116"/>
    </row>
    <row r="5241" spans="1:2" x14ac:dyDescent="0.2">
      <c r="A5241" s="102"/>
      <c r="B5241" s="116"/>
    </row>
    <row r="5242" spans="1:2" x14ac:dyDescent="0.2">
      <c r="A5242" s="102"/>
      <c r="B5242" s="116"/>
    </row>
    <row r="5243" spans="1:2" x14ac:dyDescent="0.2">
      <c r="A5243" s="102"/>
      <c r="B5243" s="116"/>
    </row>
    <row r="5244" spans="1:2" x14ac:dyDescent="0.2">
      <c r="A5244" s="102"/>
      <c r="B5244" s="116"/>
    </row>
    <row r="5245" spans="1:2" x14ac:dyDescent="0.2">
      <c r="A5245" s="102"/>
      <c r="B5245" s="116"/>
    </row>
    <row r="5246" spans="1:2" x14ac:dyDescent="0.2">
      <c r="A5246" s="102"/>
      <c r="B5246" s="116"/>
    </row>
    <row r="5247" spans="1:2" x14ac:dyDescent="0.2">
      <c r="A5247" s="102"/>
      <c r="B5247" s="116"/>
    </row>
    <row r="5248" spans="1:2" x14ac:dyDescent="0.2">
      <c r="A5248" s="102"/>
      <c r="B5248" s="116"/>
    </row>
    <row r="5249" spans="1:2" x14ac:dyDescent="0.2">
      <c r="A5249" s="102"/>
      <c r="B5249" s="116"/>
    </row>
    <row r="5250" spans="1:2" x14ac:dyDescent="0.2">
      <c r="A5250" s="102"/>
      <c r="B5250" s="116"/>
    </row>
    <row r="5251" spans="1:2" x14ac:dyDescent="0.2">
      <c r="A5251" s="102"/>
      <c r="B5251" s="116"/>
    </row>
    <row r="5252" spans="1:2" x14ac:dyDescent="0.2">
      <c r="A5252" s="102"/>
      <c r="B5252" s="116"/>
    </row>
    <row r="5253" spans="1:2" x14ac:dyDescent="0.2">
      <c r="A5253" s="102"/>
      <c r="B5253" s="116"/>
    </row>
    <row r="5254" spans="1:2" x14ac:dyDescent="0.2">
      <c r="A5254" s="102"/>
      <c r="B5254" s="116"/>
    </row>
    <row r="5255" spans="1:2" x14ac:dyDescent="0.2">
      <c r="A5255" s="102"/>
      <c r="B5255" s="116"/>
    </row>
    <row r="5256" spans="1:2" x14ac:dyDescent="0.2">
      <c r="A5256" s="102"/>
      <c r="B5256" s="116"/>
    </row>
    <row r="5257" spans="1:2" x14ac:dyDescent="0.2">
      <c r="A5257" s="102"/>
      <c r="B5257" s="116"/>
    </row>
    <row r="5258" spans="1:2" x14ac:dyDescent="0.2">
      <c r="A5258" s="102"/>
      <c r="B5258" s="116"/>
    </row>
    <row r="5259" spans="1:2" x14ac:dyDescent="0.2">
      <c r="A5259" s="102"/>
      <c r="B5259" s="116"/>
    </row>
    <row r="5260" spans="1:2" x14ac:dyDescent="0.2">
      <c r="A5260" s="102"/>
      <c r="B5260" s="116"/>
    </row>
    <row r="5261" spans="1:2" x14ac:dyDescent="0.2">
      <c r="A5261" s="102"/>
      <c r="B5261" s="116"/>
    </row>
    <row r="5262" spans="1:2" x14ac:dyDescent="0.2">
      <c r="A5262" s="102"/>
      <c r="B5262" s="116"/>
    </row>
    <row r="5263" spans="1:2" x14ac:dyDescent="0.2">
      <c r="A5263" s="102"/>
      <c r="B5263" s="116"/>
    </row>
    <row r="5264" spans="1:2" x14ac:dyDescent="0.2">
      <c r="A5264" s="102"/>
      <c r="B5264" s="116"/>
    </row>
    <row r="5265" spans="1:2" x14ac:dyDescent="0.2">
      <c r="A5265" s="102"/>
      <c r="B5265" s="116"/>
    </row>
    <row r="5266" spans="1:2" x14ac:dyDescent="0.2">
      <c r="A5266" s="102"/>
      <c r="B5266" s="116"/>
    </row>
    <row r="5267" spans="1:2" x14ac:dyDescent="0.2">
      <c r="A5267" s="102"/>
      <c r="B5267" s="116"/>
    </row>
    <row r="5268" spans="1:2" x14ac:dyDescent="0.2">
      <c r="A5268" s="102"/>
      <c r="B5268" s="116"/>
    </row>
    <row r="5269" spans="1:2" x14ac:dyDescent="0.2">
      <c r="A5269" s="102"/>
      <c r="B5269" s="116"/>
    </row>
    <row r="5270" spans="1:2" x14ac:dyDescent="0.2">
      <c r="A5270" s="102"/>
      <c r="B5270" s="116"/>
    </row>
    <row r="5271" spans="1:2" x14ac:dyDescent="0.2">
      <c r="A5271" s="102"/>
      <c r="B5271" s="116"/>
    </row>
    <row r="5272" spans="1:2" x14ac:dyDescent="0.2">
      <c r="A5272" s="102"/>
      <c r="B5272" s="116"/>
    </row>
    <row r="5273" spans="1:2" x14ac:dyDescent="0.2">
      <c r="A5273" s="102"/>
      <c r="B5273" s="116"/>
    </row>
    <row r="5274" spans="1:2" x14ac:dyDescent="0.2">
      <c r="A5274" s="102"/>
      <c r="B5274" s="116"/>
    </row>
    <row r="5275" spans="1:2" x14ac:dyDescent="0.2">
      <c r="A5275" s="102"/>
      <c r="B5275" s="116"/>
    </row>
    <row r="5276" spans="1:2" x14ac:dyDescent="0.2">
      <c r="A5276" s="102"/>
      <c r="B5276" s="116"/>
    </row>
    <row r="5277" spans="1:2" x14ac:dyDescent="0.2">
      <c r="A5277" s="102"/>
      <c r="B5277" s="116"/>
    </row>
    <row r="5278" spans="1:2" x14ac:dyDescent="0.2">
      <c r="A5278" s="102"/>
      <c r="B5278" s="116"/>
    </row>
    <row r="5279" spans="1:2" x14ac:dyDescent="0.2">
      <c r="A5279" s="102"/>
      <c r="B5279" s="116"/>
    </row>
    <row r="5280" spans="1:2" x14ac:dyDescent="0.2">
      <c r="A5280" s="102"/>
      <c r="B5280" s="116"/>
    </row>
    <row r="5281" spans="1:2" x14ac:dyDescent="0.2">
      <c r="A5281" s="102"/>
      <c r="B5281" s="116"/>
    </row>
    <row r="5282" spans="1:2" x14ac:dyDescent="0.2">
      <c r="A5282" s="102"/>
      <c r="B5282" s="116"/>
    </row>
    <row r="5283" spans="1:2" x14ac:dyDescent="0.2">
      <c r="A5283" s="102"/>
      <c r="B5283" s="116"/>
    </row>
    <row r="5284" spans="1:2" x14ac:dyDescent="0.2">
      <c r="A5284" s="102"/>
      <c r="B5284" s="116"/>
    </row>
    <row r="5285" spans="1:2" x14ac:dyDescent="0.2">
      <c r="A5285" s="102"/>
      <c r="B5285" s="116"/>
    </row>
    <row r="5286" spans="1:2" x14ac:dyDescent="0.2">
      <c r="A5286" s="102"/>
      <c r="B5286" s="116"/>
    </row>
    <row r="5287" spans="1:2" x14ac:dyDescent="0.2">
      <c r="A5287" s="102"/>
      <c r="B5287" s="116"/>
    </row>
    <row r="5288" spans="1:2" x14ac:dyDescent="0.2">
      <c r="A5288" s="102"/>
      <c r="B5288" s="116"/>
    </row>
    <row r="5289" spans="1:2" x14ac:dyDescent="0.2">
      <c r="A5289" s="102"/>
      <c r="B5289" s="116"/>
    </row>
    <row r="5290" spans="1:2" x14ac:dyDescent="0.2">
      <c r="A5290" s="102"/>
      <c r="B5290" s="116"/>
    </row>
    <row r="5291" spans="1:2" x14ac:dyDescent="0.2">
      <c r="A5291" s="102"/>
      <c r="B5291" s="116"/>
    </row>
    <row r="5292" spans="1:2" x14ac:dyDescent="0.2">
      <c r="A5292" s="102"/>
      <c r="B5292" s="116"/>
    </row>
    <row r="5293" spans="1:2" x14ac:dyDescent="0.2">
      <c r="A5293" s="102"/>
      <c r="B5293" s="116"/>
    </row>
    <row r="5294" spans="1:2" x14ac:dyDescent="0.2">
      <c r="A5294" s="102"/>
      <c r="B5294" s="116"/>
    </row>
    <row r="5295" spans="1:2" x14ac:dyDescent="0.2">
      <c r="A5295" s="102"/>
      <c r="B5295" s="116"/>
    </row>
    <row r="5296" spans="1:2" x14ac:dyDescent="0.2">
      <c r="A5296" s="102"/>
      <c r="B5296" s="116"/>
    </row>
    <row r="5297" spans="1:2" x14ac:dyDescent="0.2">
      <c r="A5297" s="102"/>
      <c r="B5297" s="116"/>
    </row>
    <row r="5298" spans="1:2" x14ac:dyDescent="0.2">
      <c r="A5298" s="102"/>
      <c r="B5298" s="116"/>
    </row>
    <row r="5299" spans="1:2" x14ac:dyDescent="0.2">
      <c r="A5299" s="102"/>
      <c r="B5299" s="116"/>
    </row>
    <row r="5300" spans="1:2" x14ac:dyDescent="0.2">
      <c r="A5300" s="102"/>
      <c r="B5300" s="116"/>
    </row>
    <row r="5301" spans="1:2" x14ac:dyDescent="0.2">
      <c r="A5301" s="102"/>
      <c r="B5301" s="116"/>
    </row>
    <row r="5302" spans="1:2" x14ac:dyDescent="0.2">
      <c r="A5302" s="102"/>
      <c r="B5302" s="116"/>
    </row>
    <row r="5303" spans="1:2" x14ac:dyDescent="0.2">
      <c r="A5303" s="102"/>
      <c r="B5303" s="116"/>
    </row>
    <row r="5304" spans="1:2" x14ac:dyDescent="0.2">
      <c r="A5304" s="102"/>
      <c r="B5304" s="116"/>
    </row>
    <row r="5305" spans="1:2" x14ac:dyDescent="0.2">
      <c r="A5305" s="102"/>
      <c r="B5305" s="116"/>
    </row>
    <row r="5306" spans="1:2" x14ac:dyDescent="0.2">
      <c r="A5306" s="102"/>
      <c r="B5306" s="116"/>
    </row>
    <row r="5307" spans="1:2" x14ac:dyDescent="0.2">
      <c r="A5307" s="102"/>
      <c r="B5307" s="116"/>
    </row>
    <row r="5308" spans="1:2" x14ac:dyDescent="0.2">
      <c r="A5308" s="102"/>
      <c r="B5308" s="116"/>
    </row>
    <row r="5309" spans="1:2" x14ac:dyDescent="0.2">
      <c r="A5309" s="102"/>
      <c r="B5309" s="116"/>
    </row>
    <row r="5310" spans="1:2" x14ac:dyDescent="0.2">
      <c r="A5310" s="102"/>
      <c r="B5310" s="116"/>
    </row>
    <row r="5311" spans="1:2" x14ac:dyDescent="0.2">
      <c r="A5311" s="102"/>
      <c r="B5311" s="116"/>
    </row>
    <row r="5312" spans="1:2" x14ac:dyDescent="0.2">
      <c r="A5312" s="102"/>
      <c r="B5312" s="116"/>
    </row>
    <row r="5313" spans="1:2" x14ac:dyDescent="0.2">
      <c r="A5313" s="102"/>
      <c r="B5313" s="116"/>
    </row>
    <row r="5314" spans="1:2" x14ac:dyDescent="0.2">
      <c r="A5314" s="102"/>
      <c r="B5314" s="116"/>
    </row>
    <row r="5315" spans="1:2" x14ac:dyDescent="0.2">
      <c r="A5315" s="102"/>
      <c r="B5315" s="116"/>
    </row>
    <row r="5316" spans="1:2" x14ac:dyDescent="0.2">
      <c r="A5316" s="102"/>
      <c r="B5316" s="116"/>
    </row>
    <row r="5317" spans="1:2" x14ac:dyDescent="0.2">
      <c r="A5317" s="102"/>
      <c r="B5317" s="116"/>
    </row>
    <row r="5318" spans="1:2" x14ac:dyDescent="0.2">
      <c r="A5318" s="102"/>
      <c r="B5318" s="116"/>
    </row>
    <row r="5319" spans="1:2" x14ac:dyDescent="0.2">
      <c r="A5319" s="102"/>
      <c r="B5319" s="116"/>
    </row>
    <row r="5320" spans="1:2" x14ac:dyDescent="0.2">
      <c r="A5320" s="102"/>
      <c r="B5320" s="116"/>
    </row>
    <row r="5321" spans="1:2" x14ac:dyDescent="0.2">
      <c r="A5321" s="102"/>
      <c r="B5321" s="116"/>
    </row>
    <row r="5322" spans="1:2" x14ac:dyDescent="0.2">
      <c r="A5322" s="102"/>
      <c r="B5322" s="116"/>
    </row>
    <row r="5323" spans="1:2" x14ac:dyDescent="0.2">
      <c r="A5323" s="102"/>
      <c r="B5323" s="116"/>
    </row>
    <row r="5324" spans="1:2" x14ac:dyDescent="0.2">
      <c r="A5324" s="102"/>
      <c r="B5324" s="116"/>
    </row>
    <row r="5325" spans="1:2" x14ac:dyDescent="0.2">
      <c r="A5325" s="102"/>
      <c r="B5325" s="116"/>
    </row>
    <row r="5326" spans="1:2" x14ac:dyDescent="0.2">
      <c r="A5326" s="102"/>
      <c r="B5326" s="116"/>
    </row>
    <row r="5327" spans="1:2" x14ac:dyDescent="0.2">
      <c r="A5327" s="102"/>
      <c r="B5327" s="116"/>
    </row>
    <row r="5328" spans="1:2" x14ac:dyDescent="0.2">
      <c r="A5328" s="102"/>
      <c r="B5328" s="116"/>
    </row>
    <row r="5329" spans="1:2" x14ac:dyDescent="0.2">
      <c r="A5329" s="102"/>
      <c r="B5329" s="116"/>
    </row>
    <row r="5330" spans="1:2" x14ac:dyDescent="0.2">
      <c r="A5330" s="102"/>
      <c r="B5330" s="116"/>
    </row>
    <row r="5331" spans="1:2" x14ac:dyDescent="0.2">
      <c r="A5331" s="102"/>
      <c r="B5331" s="116"/>
    </row>
    <row r="5332" spans="1:2" x14ac:dyDescent="0.2">
      <c r="A5332" s="102"/>
      <c r="B5332" s="116"/>
    </row>
    <row r="5333" spans="1:2" x14ac:dyDescent="0.2">
      <c r="A5333" s="102"/>
      <c r="B5333" s="116"/>
    </row>
    <row r="5334" spans="1:2" x14ac:dyDescent="0.2">
      <c r="A5334" s="102"/>
      <c r="B5334" s="116"/>
    </row>
    <row r="5335" spans="1:2" x14ac:dyDescent="0.2">
      <c r="A5335" s="102"/>
      <c r="B5335" s="116"/>
    </row>
    <row r="5336" spans="1:2" x14ac:dyDescent="0.2">
      <c r="A5336" s="102"/>
      <c r="B5336" s="116"/>
    </row>
    <row r="5337" spans="1:2" x14ac:dyDescent="0.2">
      <c r="A5337" s="102"/>
      <c r="B5337" s="116"/>
    </row>
    <row r="5338" spans="1:2" x14ac:dyDescent="0.2">
      <c r="A5338" s="102"/>
      <c r="B5338" s="116"/>
    </row>
    <row r="5339" spans="1:2" x14ac:dyDescent="0.2">
      <c r="A5339" s="102"/>
      <c r="B5339" s="116"/>
    </row>
    <row r="5340" spans="1:2" x14ac:dyDescent="0.2">
      <c r="A5340" s="102"/>
      <c r="B5340" s="116"/>
    </row>
    <row r="5341" spans="1:2" x14ac:dyDescent="0.2">
      <c r="A5341" s="102"/>
      <c r="B5341" s="116"/>
    </row>
    <row r="5342" spans="1:2" x14ac:dyDescent="0.2">
      <c r="A5342" s="102"/>
      <c r="B5342" s="116"/>
    </row>
    <row r="5343" spans="1:2" x14ac:dyDescent="0.2">
      <c r="A5343" s="102"/>
      <c r="B5343" s="116"/>
    </row>
    <row r="5344" spans="1:2" x14ac:dyDescent="0.2">
      <c r="A5344" s="102"/>
      <c r="B5344" s="116"/>
    </row>
    <row r="5345" spans="1:2" x14ac:dyDescent="0.2">
      <c r="A5345" s="102"/>
      <c r="B5345" s="116"/>
    </row>
    <row r="5346" spans="1:2" x14ac:dyDescent="0.2">
      <c r="A5346" s="102"/>
      <c r="B5346" s="116"/>
    </row>
    <row r="5347" spans="1:2" x14ac:dyDescent="0.2">
      <c r="A5347" s="102"/>
      <c r="B5347" s="116"/>
    </row>
    <row r="5348" spans="1:2" x14ac:dyDescent="0.2">
      <c r="A5348" s="102"/>
      <c r="B5348" s="116"/>
    </row>
    <row r="5349" spans="1:2" x14ac:dyDescent="0.2">
      <c r="A5349" s="102"/>
      <c r="B5349" s="116"/>
    </row>
    <row r="5350" spans="1:2" x14ac:dyDescent="0.2">
      <c r="A5350" s="102"/>
      <c r="B5350" s="116"/>
    </row>
    <row r="5351" spans="1:2" x14ac:dyDescent="0.2">
      <c r="A5351" s="102"/>
      <c r="B5351" s="116"/>
    </row>
    <row r="5352" spans="1:2" x14ac:dyDescent="0.2">
      <c r="A5352" s="102"/>
      <c r="B5352" s="116"/>
    </row>
    <row r="5353" spans="1:2" x14ac:dyDescent="0.2">
      <c r="A5353" s="102"/>
      <c r="B5353" s="116"/>
    </row>
    <row r="5354" spans="1:2" x14ac:dyDescent="0.2">
      <c r="A5354" s="102"/>
      <c r="B5354" s="116"/>
    </row>
    <row r="5355" spans="1:2" x14ac:dyDescent="0.2">
      <c r="A5355" s="102"/>
      <c r="B5355" s="116"/>
    </row>
    <row r="5356" spans="1:2" x14ac:dyDescent="0.2">
      <c r="A5356" s="102"/>
      <c r="B5356" s="116"/>
    </row>
    <row r="5357" spans="1:2" x14ac:dyDescent="0.2">
      <c r="A5357" s="102"/>
      <c r="B5357" s="116"/>
    </row>
    <row r="5358" spans="1:2" x14ac:dyDescent="0.2">
      <c r="A5358" s="102"/>
      <c r="B5358" s="116"/>
    </row>
    <row r="5359" spans="1:2" x14ac:dyDescent="0.2">
      <c r="A5359" s="102"/>
      <c r="B5359" s="116"/>
    </row>
    <row r="5360" spans="1:2" x14ac:dyDescent="0.2">
      <c r="A5360" s="102"/>
      <c r="B5360" s="116"/>
    </row>
    <row r="5361" spans="1:2" x14ac:dyDescent="0.2">
      <c r="A5361" s="102"/>
      <c r="B5361" s="116"/>
    </row>
    <row r="5362" spans="1:2" x14ac:dyDescent="0.2">
      <c r="A5362" s="102"/>
      <c r="B5362" s="116"/>
    </row>
    <row r="5363" spans="1:2" x14ac:dyDescent="0.2">
      <c r="A5363" s="102"/>
      <c r="B5363" s="116"/>
    </row>
    <row r="5364" spans="1:2" x14ac:dyDescent="0.2">
      <c r="A5364" s="102"/>
      <c r="B5364" s="116"/>
    </row>
    <row r="5365" spans="1:2" x14ac:dyDescent="0.2">
      <c r="A5365" s="102"/>
      <c r="B5365" s="116"/>
    </row>
    <row r="5366" spans="1:2" x14ac:dyDescent="0.2">
      <c r="A5366" s="102"/>
      <c r="B5366" s="116"/>
    </row>
    <row r="5367" spans="1:2" x14ac:dyDescent="0.2">
      <c r="A5367" s="102"/>
      <c r="B5367" s="116"/>
    </row>
    <row r="5368" spans="1:2" x14ac:dyDescent="0.2">
      <c r="A5368" s="102"/>
      <c r="B5368" s="116"/>
    </row>
    <row r="5369" spans="1:2" x14ac:dyDescent="0.2">
      <c r="A5369" s="102"/>
      <c r="B5369" s="116"/>
    </row>
    <row r="5370" spans="1:2" x14ac:dyDescent="0.2">
      <c r="A5370" s="102"/>
      <c r="B5370" s="116"/>
    </row>
    <row r="5371" spans="1:2" x14ac:dyDescent="0.2">
      <c r="A5371" s="102"/>
      <c r="B5371" s="116"/>
    </row>
    <row r="5372" spans="1:2" x14ac:dyDescent="0.2">
      <c r="A5372" s="102"/>
      <c r="B5372" s="116"/>
    </row>
    <row r="5373" spans="1:2" x14ac:dyDescent="0.2">
      <c r="A5373" s="102"/>
      <c r="B5373" s="116"/>
    </row>
    <row r="5374" spans="1:2" x14ac:dyDescent="0.2">
      <c r="A5374" s="102"/>
      <c r="B5374" s="116"/>
    </row>
    <row r="5375" spans="1:2" x14ac:dyDescent="0.2">
      <c r="A5375" s="102"/>
      <c r="B5375" s="116"/>
    </row>
    <row r="5376" spans="1:2" x14ac:dyDescent="0.2">
      <c r="A5376" s="102"/>
      <c r="B5376" s="116"/>
    </row>
    <row r="5377" spans="1:2" x14ac:dyDescent="0.2">
      <c r="A5377" s="102"/>
      <c r="B5377" s="116"/>
    </row>
    <row r="5378" spans="1:2" x14ac:dyDescent="0.2">
      <c r="A5378" s="102"/>
      <c r="B5378" s="116"/>
    </row>
    <row r="5379" spans="1:2" x14ac:dyDescent="0.2">
      <c r="A5379" s="102"/>
      <c r="B5379" s="116"/>
    </row>
    <row r="5380" spans="1:2" x14ac:dyDescent="0.2">
      <c r="A5380" s="102"/>
      <c r="B5380" s="116"/>
    </row>
    <row r="5381" spans="1:2" x14ac:dyDescent="0.2">
      <c r="A5381" s="102"/>
      <c r="B5381" s="116"/>
    </row>
    <row r="5382" spans="1:2" x14ac:dyDescent="0.2">
      <c r="A5382" s="102"/>
      <c r="B5382" s="116"/>
    </row>
    <row r="5383" spans="1:2" x14ac:dyDescent="0.2">
      <c r="A5383" s="102"/>
      <c r="B5383" s="116"/>
    </row>
    <row r="5384" spans="1:2" x14ac:dyDescent="0.2">
      <c r="A5384" s="102"/>
      <c r="B5384" s="116"/>
    </row>
    <row r="5385" spans="1:2" x14ac:dyDescent="0.2">
      <c r="A5385" s="102"/>
      <c r="B5385" s="116"/>
    </row>
    <row r="5386" spans="1:2" x14ac:dyDescent="0.2">
      <c r="A5386" s="102"/>
      <c r="B5386" s="116"/>
    </row>
    <row r="5387" spans="1:2" x14ac:dyDescent="0.2">
      <c r="A5387" s="102"/>
      <c r="B5387" s="116"/>
    </row>
    <row r="5388" spans="1:2" x14ac:dyDescent="0.2">
      <c r="A5388" s="102"/>
      <c r="B5388" s="116"/>
    </row>
    <row r="5389" spans="1:2" x14ac:dyDescent="0.2">
      <c r="A5389" s="102"/>
      <c r="B5389" s="116"/>
    </row>
    <row r="5390" spans="1:2" x14ac:dyDescent="0.2">
      <c r="A5390" s="102"/>
      <c r="B5390" s="116"/>
    </row>
    <row r="5391" spans="1:2" x14ac:dyDescent="0.2">
      <c r="A5391" s="102"/>
      <c r="B5391" s="116"/>
    </row>
    <row r="5392" spans="1:2" x14ac:dyDescent="0.2">
      <c r="A5392" s="102"/>
      <c r="B5392" s="116"/>
    </row>
    <row r="5393" spans="1:2" x14ac:dyDescent="0.2">
      <c r="A5393" s="102"/>
      <c r="B5393" s="116"/>
    </row>
    <row r="5394" spans="1:2" x14ac:dyDescent="0.2">
      <c r="A5394" s="102"/>
      <c r="B5394" s="116"/>
    </row>
    <row r="5395" spans="1:2" x14ac:dyDescent="0.2">
      <c r="A5395" s="102"/>
      <c r="B5395" s="116"/>
    </row>
    <row r="5396" spans="1:2" x14ac:dyDescent="0.2">
      <c r="A5396" s="102"/>
      <c r="B5396" s="116"/>
    </row>
    <row r="5397" spans="1:2" x14ac:dyDescent="0.2">
      <c r="A5397" s="102"/>
      <c r="B5397" s="116"/>
    </row>
    <row r="5398" spans="1:2" x14ac:dyDescent="0.2">
      <c r="A5398" s="102"/>
      <c r="B5398" s="116"/>
    </row>
    <row r="5399" spans="1:2" x14ac:dyDescent="0.2">
      <c r="A5399" s="102"/>
      <c r="B5399" s="116"/>
    </row>
    <row r="5400" spans="1:2" x14ac:dyDescent="0.2">
      <c r="A5400" s="102"/>
      <c r="B5400" s="116"/>
    </row>
    <row r="5401" spans="1:2" x14ac:dyDescent="0.2">
      <c r="A5401" s="102"/>
      <c r="B5401" s="116"/>
    </row>
    <row r="5402" spans="1:2" x14ac:dyDescent="0.2">
      <c r="A5402" s="102"/>
      <c r="B5402" s="116"/>
    </row>
    <row r="5403" spans="1:2" x14ac:dyDescent="0.2">
      <c r="A5403" s="102"/>
      <c r="B5403" s="116"/>
    </row>
    <row r="5404" spans="1:2" x14ac:dyDescent="0.2">
      <c r="A5404" s="102"/>
      <c r="B5404" s="116"/>
    </row>
    <row r="5405" spans="1:2" x14ac:dyDescent="0.2">
      <c r="A5405" s="102"/>
      <c r="B5405" s="116"/>
    </row>
    <row r="5406" spans="1:2" x14ac:dyDescent="0.2">
      <c r="A5406" s="102"/>
      <c r="B5406" s="116"/>
    </row>
    <row r="5407" spans="1:2" x14ac:dyDescent="0.2">
      <c r="A5407" s="102"/>
      <c r="B5407" s="116"/>
    </row>
    <row r="5408" spans="1:2" x14ac:dyDescent="0.2">
      <c r="A5408" s="102"/>
      <c r="B5408" s="116"/>
    </row>
    <row r="5409" spans="1:2" x14ac:dyDescent="0.2">
      <c r="A5409" s="102"/>
      <c r="B5409" s="116"/>
    </row>
    <row r="5410" spans="1:2" x14ac:dyDescent="0.2">
      <c r="A5410" s="102"/>
      <c r="B5410" s="116"/>
    </row>
    <row r="5411" spans="1:2" x14ac:dyDescent="0.2">
      <c r="A5411" s="102"/>
      <c r="B5411" s="116"/>
    </row>
    <row r="5412" spans="1:2" x14ac:dyDescent="0.2">
      <c r="A5412" s="102"/>
      <c r="B5412" s="116"/>
    </row>
    <row r="5413" spans="1:2" x14ac:dyDescent="0.2">
      <c r="A5413" s="102"/>
      <c r="B5413" s="116"/>
    </row>
    <row r="5414" spans="1:2" x14ac:dyDescent="0.2">
      <c r="A5414" s="102"/>
      <c r="B5414" s="116"/>
    </row>
    <row r="5415" spans="1:2" x14ac:dyDescent="0.2">
      <c r="A5415" s="102"/>
      <c r="B5415" s="116"/>
    </row>
    <row r="5416" spans="1:2" x14ac:dyDescent="0.2">
      <c r="A5416" s="102"/>
      <c r="B5416" s="116"/>
    </row>
    <row r="5417" spans="1:2" x14ac:dyDescent="0.2">
      <c r="A5417" s="102"/>
      <c r="B5417" s="116"/>
    </row>
    <row r="5418" spans="1:2" x14ac:dyDescent="0.2">
      <c r="A5418" s="102"/>
      <c r="B5418" s="116"/>
    </row>
    <row r="5419" spans="1:2" x14ac:dyDescent="0.2">
      <c r="A5419" s="102"/>
      <c r="B5419" s="116"/>
    </row>
    <row r="5420" spans="1:2" x14ac:dyDescent="0.2">
      <c r="A5420" s="102"/>
      <c r="B5420" s="116"/>
    </row>
    <row r="5421" spans="1:2" x14ac:dyDescent="0.2">
      <c r="A5421" s="102"/>
      <c r="B5421" s="116"/>
    </row>
    <row r="5422" spans="1:2" x14ac:dyDescent="0.2">
      <c r="A5422" s="102"/>
      <c r="B5422" s="116"/>
    </row>
    <row r="5423" spans="1:2" x14ac:dyDescent="0.2">
      <c r="A5423" s="102"/>
      <c r="B5423" s="116"/>
    </row>
    <row r="5424" spans="1:2" x14ac:dyDescent="0.2">
      <c r="A5424" s="102"/>
      <c r="B5424" s="116"/>
    </row>
    <row r="5425" spans="1:2" x14ac:dyDescent="0.2">
      <c r="A5425" s="102"/>
      <c r="B5425" s="116"/>
    </row>
    <row r="5426" spans="1:2" x14ac:dyDescent="0.2">
      <c r="A5426" s="102"/>
      <c r="B5426" s="116"/>
    </row>
    <row r="5427" spans="1:2" x14ac:dyDescent="0.2">
      <c r="A5427" s="102"/>
      <c r="B5427" s="116"/>
    </row>
    <row r="5428" spans="1:2" x14ac:dyDescent="0.2">
      <c r="A5428" s="102"/>
      <c r="B5428" s="116"/>
    </row>
    <row r="5429" spans="1:2" x14ac:dyDescent="0.2">
      <c r="A5429" s="102"/>
      <c r="B5429" s="116"/>
    </row>
    <row r="5430" spans="1:2" x14ac:dyDescent="0.2">
      <c r="A5430" s="102"/>
      <c r="B5430" s="116"/>
    </row>
    <row r="5431" spans="1:2" x14ac:dyDescent="0.2">
      <c r="A5431" s="102"/>
      <c r="B5431" s="116"/>
    </row>
    <row r="5432" spans="1:2" x14ac:dyDescent="0.2">
      <c r="A5432" s="102"/>
      <c r="B5432" s="116"/>
    </row>
    <row r="5433" spans="1:2" x14ac:dyDescent="0.2">
      <c r="A5433" s="102"/>
      <c r="B5433" s="116"/>
    </row>
    <row r="5434" spans="1:2" x14ac:dyDescent="0.2">
      <c r="A5434" s="102"/>
      <c r="B5434" s="116"/>
    </row>
    <row r="5435" spans="1:2" x14ac:dyDescent="0.2">
      <c r="A5435" s="102"/>
      <c r="B5435" s="116"/>
    </row>
    <row r="5436" spans="1:2" x14ac:dyDescent="0.2">
      <c r="A5436" s="102"/>
      <c r="B5436" s="116"/>
    </row>
    <row r="5437" spans="1:2" x14ac:dyDescent="0.2">
      <c r="A5437" s="102"/>
      <c r="B5437" s="116"/>
    </row>
    <row r="5438" spans="1:2" x14ac:dyDescent="0.2">
      <c r="A5438" s="102"/>
      <c r="B5438" s="116"/>
    </row>
    <row r="5439" spans="1:2" x14ac:dyDescent="0.2">
      <c r="A5439" s="102"/>
      <c r="B5439" s="116"/>
    </row>
    <row r="5440" spans="1:2" x14ac:dyDescent="0.2">
      <c r="A5440" s="102"/>
      <c r="B5440" s="116"/>
    </row>
    <row r="5441" spans="1:2" x14ac:dyDescent="0.2">
      <c r="A5441" s="102"/>
      <c r="B5441" s="116"/>
    </row>
    <row r="5442" spans="1:2" x14ac:dyDescent="0.2">
      <c r="A5442" s="102"/>
      <c r="B5442" s="116"/>
    </row>
    <row r="5443" spans="1:2" x14ac:dyDescent="0.2">
      <c r="A5443" s="102"/>
      <c r="B5443" s="116"/>
    </row>
    <row r="5444" spans="1:2" x14ac:dyDescent="0.2">
      <c r="A5444" s="102"/>
      <c r="B5444" s="116"/>
    </row>
    <row r="5445" spans="1:2" x14ac:dyDescent="0.2">
      <c r="A5445" s="102"/>
      <c r="B5445" s="116"/>
    </row>
    <row r="5446" spans="1:2" x14ac:dyDescent="0.2">
      <c r="A5446" s="102"/>
      <c r="B5446" s="116"/>
    </row>
    <row r="5447" spans="1:2" x14ac:dyDescent="0.2">
      <c r="A5447" s="102"/>
      <c r="B5447" s="116"/>
    </row>
    <row r="5448" spans="1:2" x14ac:dyDescent="0.2">
      <c r="A5448" s="102"/>
      <c r="B5448" s="116"/>
    </row>
    <row r="5449" spans="1:2" x14ac:dyDescent="0.2">
      <c r="A5449" s="102"/>
      <c r="B5449" s="116"/>
    </row>
    <row r="5450" spans="1:2" x14ac:dyDescent="0.2">
      <c r="A5450" s="102"/>
      <c r="B5450" s="116"/>
    </row>
    <row r="5451" spans="1:2" x14ac:dyDescent="0.2">
      <c r="A5451" s="102"/>
      <c r="B5451" s="116"/>
    </row>
    <row r="5452" spans="1:2" x14ac:dyDescent="0.2">
      <c r="A5452" s="102"/>
      <c r="B5452" s="116"/>
    </row>
    <row r="5453" spans="1:2" x14ac:dyDescent="0.2">
      <c r="A5453" s="102"/>
      <c r="B5453" s="116"/>
    </row>
    <row r="5454" spans="1:2" x14ac:dyDescent="0.2">
      <c r="A5454" s="102"/>
      <c r="B5454" s="116"/>
    </row>
    <row r="5455" spans="1:2" x14ac:dyDescent="0.2">
      <c r="A5455" s="102"/>
      <c r="B5455" s="116"/>
    </row>
    <row r="5456" spans="1:2" x14ac:dyDescent="0.2">
      <c r="A5456" s="102"/>
      <c r="B5456" s="116"/>
    </row>
    <row r="5457" spans="1:2" x14ac:dyDescent="0.2">
      <c r="A5457" s="102"/>
      <c r="B5457" s="116"/>
    </row>
    <row r="5458" spans="1:2" x14ac:dyDescent="0.2">
      <c r="A5458" s="102"/>
      <c r="B5458" s="116"/>
    </row>
    <row r="5459" spans="1:2" x14ac:dyDescent="0.2">
      <c r="A5459" s="102"/>
      <c r="B5459" s="116"/>
    </row>
    <row r="5460" spans="1:2" x14ac:dyDescent="0.2">
      <c r="A5460" s="102"/>
      <c r="B5460" s="116"/>
    </row>
    <row r="5461" spans="1:2" x14ac:dyDescent="0.2">
      <c r="A5461" s="102"/>
      <c r="B5461" s="116"/>
    </row>
    <row r="5462" spans="1:2" x14ac:dyDescent="0.2">
      <c r="A5462" s="102"/>
      <c r="B5462" s="116"/>
    </row>
    <row r="5463" spans="1:2" x14ac:dyDescent="0.2">
      <c r="A5463" s="102"/>
      <c r="B5463" s="116"/>
    </row>
    <row r="5464" spans="1:2" x14ac:dyDescent="0.2">
      <c r="A5464" s="102"/>
      <c r="B5464" s="116"/>
    </row>
    <row r="5465" spans="1:2" x14ac:dyDescent="0.2">
      <c r="A5465" s="102"/>
      <c r="B5465" s="116"/>
    </row>
    <row r="5466" spans="1:2" x14ac:dyDescent="0.2">
      <c r="A5466" s="102"/>
      <c r="B5466" s="116"/>
    </row>
    <row r="5467" spans="1:2" x14ac:dyDescent="0.2">
      <c r="A5467" s="102"/>
      <c r="B5467" s="116"/>
    </row>
    <row r="5468" spans="1:2" x14ac:dyDescent="0.2">
      <c r="A5468" s="102"/>
      <c r="B5468" s="116"/>
    </row>
    <row r="5469" spans="1:2" x14ac:dyDescent="0.2">
      <c r="A5469" s="102"/>
      <c r="B5469" s="116"/>
    </row>
    <row r="5470" spans="1:2" x14ac:dyDescent="0.2">
      <c r="A5470" s="102"/>
      <c r="B5470" s="116"/>
    </row>
    <row r="5471" spans="1:2" x14ac:dyDescent="0.2">
      <c r="A5471" s="102"/>
      <c r="B5471" s="116"/>
    </row>
    <row r="5472" spans="1:2" x14ac:dyDescent="0.2">
      <c r="A5472" s="102"/>
      <c r="B5472" s="116"/>
    </row>
    <row r="5473" spans="1:2" x14ac:dyDescent="0.2">
      <c r="A5473" s="102"/>
      <c r="B5473" s="116"/>
    </row>
    <row r="5474" spans="1:2" x14ac:dyDescent="0.2">
      <c r="A5474" s="102"/>
      <c r="B5474" s="116"/>
    </row>
    <row r="5475" spans="1:2" x14ac:dyDescent="0.2">
      <c r="A5475" s="102"/>
      <c r="B5475" s="116"/>
    </row>
    <row r="5476" spans="1:2" x14ac:dyDescent="0.2">
      <c r="A5476" s="102"/>
      <c r="B5476" s="116"/>
    </row>
    <row r="5477" spans="1:2" x14ac:dyDescent="0.2">
      <c r="A5477" s="102"/>
      <c r="B5477" s="116"/>
    </row>
    <row r="5478" spans="1:2" x14ac:dyDescent="0.2">
      <c r="A5478" s="102"/>
      <c r="B5478" s="116"/>
    </row>
    <row r="5479" spans="1:2" x14ac:dyDescent="0.2">
      <c r="A5479" s="102"/>
      <c r="B5479" s="116"/>
    </row>
    <row r="5480" spans="1:2" x14ac:dyDescent="0.2">
      <c r="A5480" s="102"/>
      <c r="B5480" s="116"/>
    </row>
    <row r="5481" spans="1:2" x14ac:dyDescent="0.2">
      <c r="A5481" s="102"/>
      <c r="B5481" s="116"/>
    </row>
    <row r="5482" spans="1:2" x14ac:dyDescent="0.2">
      <c r="A5482" s="102"/>
      <c r="B5482" s="116"/>
    </row>
    <row r="5483" spans="1:2" x14ac:dyDescent="0.2">
      <c r="A5483" s="102"/>
      <c r="B5483" s="116"/>
    </row>
    <row r="5484" spans="1:2" x14ac:dyDescent="0.2">
      <c r="A5484" s="102"/>
      <c r="B5484" s="116"/>
    </row>
    <row r="5485" spans="1:2" x14ac:dyDescent="0.2">
      <c r="A5485" s="102"/>
      <c r="B5485" s="116"/>
    </row>
    <row r="5486" spans="1:2" x14ac:dyDescent="0.2">
      <c r="A5486" s="102"/>
      <c r="B5486" s="116"/>
    </row>
    <row r="5487" spans="1:2" x14ac:dyDescent="0.2">
      <c r="A5487" s="102"/>
      <c r="B5487" s="116"/>
    </row>
    <row r="5488" spans="1:2" x14ac:dyDescent="0.2">
      <c r="A5488" s="102"/>
      <c r="B5488" s="116"/>
    </row>
    <row r="5489" spans="1:2" x14ac:dyDescent="0.2">
      <c r="A5489" s="102"/>
      <c r="B5489" s="116"/>
    </row>
    <row r="5490" spans="1:2" x14ac:dyDescent="0.2">
      <c r="A5490" s="102"/>
      <c r="B5490" s="116"/>
    </row>
    <row r="5491" spans="1:2" x14ac:dyDescent="0.2">
      <c r="A5491" s="102"/>
      <c r="B5491" s="116"/>
    </row>
    <row r="5492" spans="1:2" x14ac:dyDescent="0.2">
      <c r="A5492" s="102"/>
      <c r="B5492" s="116"/>
    </row>
    <row r="5493" spans="1:2" x14ac:dyDescent="0.2">
      <c r="A5493" s="102"/>
      <c r="B5493" s="116"/>
    </row>
    <row r="5494" spans="1:2" x14ac:dyDescent="0.2">
      <c r="A5494" s="102"/>
      <c r="B5494" s="116"/>
    </row>
    <row r="5495" spans="1:2" x14ac:dyDescent="0.2">
      <c r="A5495" s="102"/>
      <c r="B5495" s="116"/>
    </row>
    <row r="5496" spans="1:2" x14ac:dyDescent="0.2">
      <c r="A5496" s="102"/>
      <c r="B5496" s="116"/>
    </row>
    <row r="5497" spans="1:2" x14ac:dyDescent="0.2">
      <c r="A5497" s="102"/>
      <c r="B5497" s="116"/>
    </row>
    <row r="5498" spans="1:2" x14ac:dyDescent="0.2">
      <c r="A5498" s="102"/>
      <c r="B5498" s="116"/>
    </row>
    <row r="5499" spans="1:2" x14ac:dyDescent="0.2">
      <c r="A5499" s="102"/>
      <c r="B5499" s="116"/>
    </row>
    <row r="5500" spans="1:2" x14ac:dyDescent="0.2">
      <c r="A5500" s="102"/>
      <c r="B5500" s="116"/>
    </row>
    <row r="5501" spans="1:2" x14ac:dyDescent="0.2">
      <c r="A5501" s="102"/>
      <c r="B5501" s="116"/>
    </row>
    <row r="5502" spans="1:2" x14ac:dyDescent="0.2">
      <c r="A5502" s="102"/>
      <c r="B5502" s="116"/>
    </row>
    <row r="5503" spans="1:2" x14ac:dyDescent="0.2">
      <c r="A5503" s="102"/>
      <c r="B5503" s="116"/>
    </row>
    <row r="5504" spans="1:2" x14ac:dyDescent="0.2">
      <c r="A5504" s="102"/>
      <c r="B5504" s="116"/>
    </row>
    <row r="5505" spans="1:2" x14ac:dyDescent="0.2">
      <c r="A5505" s="102"/>
      <c r="B5505" s="116"/>
    </row>
    <row r="5506" spans="1:2" x14ac:dyDescent="0.2">
      <c r="A5506" s="102"/>
      <c r="B5506" s="116"/>
    </row>
    <row r="5507" spans="1:2" x14ac:dyDescent="0.2">
      <c r="A5507" s="102"/>
      <c r="B5507" s="116"/>
    </row>
    <row r="5508" spans="1:2" x14ac:dyDescent="0.2">
      <c r="A5508" s="102"/>
      <c r="B5508" s="116"/>
    </row>
    <row r="5509" spans="1:2" x14ac:dyDescent="0.2">
      <c r="A5509" s="102"/>
      <c r="B5509" s="116"/>
    </row>
    <row r="5510" spans="1:2" x14ac:dyDescent="0.2">
      <c r="A5510" s="102"/>
      <c r="B5510" s="116"/>
    </row>
    <row r="5511" spans="1:2" x14ac:dyDescent="0.2">
      <c r="A5511" s="102"/>
      <c r="B5511" s="116"/>
    </row>
    <row r="5512" spans="1:2" x14ac:dyDescent="0.2">
      <c r="A5512" s="102"/>
      <c r="B5512" s="116"/>
    </row>
    <row r="5513" spans="1:2" x14ac:dyDescent="0.2">
      <c r="A5513" s="102"/>
      <c r="B5513" s="116"/>
    </row>
    <row r="5514" spans="1:2" x14ac:dyDescent="0.2">
      <c r="A5514" s="102"/>
      <c r="B5514" s="116"/>
    </row>
    <row r="5515" spans="1:2" x14ac:dyDescent="0.2">
      <c r="A5515" s="102"/>
      <c r="B5515" s="116"/>
    </row>
    <row r="5516" spans="1:2" x14ac:dyDescent="0.2">
      <c r="A5516" s="102"/>
      <c r="B5516" s="116"/>
    </row>
    <row r="5517" spans="1:2" x14ac:dyDescent="0.2">
      <c r="A5517" s="102"/>
      <c r="B5517" s="116"/>
    </row>
    <row r="5518" spans="1:2" x14ac:dyDescent="0.2">
      <c r="A5518" s="102"/>
      <c r="B5518" s="116"/>
    </row>
    <row r="5519" spans="1:2" x14ac:dyDescent="0.2">
      <c r="A5519" s="102"/>
      <c r="B5519" s="116"/>
    </row>
    <row r="5520" spans="1:2" x14ac:dyDescent="0.2">
      <c r="A5520" s="102"/>
      <c r="B5520" s="116"/>
    </row>
    <row r="5521" spans="1:2" x14ac:dyDescent="0.2">
      <c r="A5521" s="102"/>
      <c r="B5521" s="116"/>
    </row>
    <row r="5522" spans="1:2" x14ac:dyDescent="0.2">
      <c r="A5522" s="102"/>
      <c r="B5522" s="116"/>
    </row>
    <row r="5523" spans="1:2" x14ac:dyDescent="0.2">
      <c r="A5523" s="102"/>
      <c r="B5523" s="116"/>
    </row>
    <row r="5524" spans="1:2" x14ac:dyDescent="0.2">
      <c r="A5524" s="102"/>
      <c r="B5524" s="116"/>
    </row>
    <row r="5525" spans="1:2" x14ac:dyDescent="0.2">
      <c r="A5525" s="102"/>
      <c r="B5525" s="116"/>
    </row>
    <row r="5526" spans="1:2" x14ac:dyDescent="0.2">
      <c r="A5526" s="102"/>
      <c r="B5526" s="116"/>
    </row>
    <row r="5527" spans="1:2" x14ac:dyDescent="0.2">
      <c r="A5527" s="102"/>
      <c r="B5527" s="116"/>
    </row>
    <row r="5528" spans="1:2" x14ac:dyDescent="0.2">
      <c r="A5528" s="102"/>
      <c r="B5528" s="116"/>
    </row>
    <row r="5529" spans="1:2" x14ac:dyDescent="0.2">
      <c r="A5529" s="102"/>
      <c r="B5529" s="116"/>
    </row>
    <row r="5530" spans="1:2" x14ac:dyDescent="0.2">
      <c r="A5530" s="102"/>
      <c r="B5530" s="116"/>
    </row>
    <row r="5531" spans="1:2" x14ac:dyDescent="0.2">
      <c r="A5531" s="102"/>
      <c r="B5531" s="116"/>
    </row>
    <row r="5532" spans="1:2" x14ac:dyDescent="0.2">
      <c r="A5532" s="102"/>
      <c r="B5532" s="116"/>
    </row>
    <row r="5533" spans="1:2" x14ac:dyDescent="0.2">
      <c r="A5533" s="102"/>
      <c r="B5533" s="116"/>
    </row>
    <row r="5534" spans="1:2" x14ac:dyDescent="0.2">
      <c r="A5534" s="102"/>
      <c r="B5534" s="116"/>
    </row>
    <row r="5535" spans="1:2" x14ac:dyDescent="0.2">
      <c r="A5535" s="102"/>
      <c r="B5535" s="116"/>
    </row>
    <row r="5536" spans="1:2" x14ac:dyDescent="0.2">
      <c r="A5536" s="102"/>
      <c r="B5536" s="116"/>
    </row>
    <row r="5537" spans="1:2" x14ac:dyDescent="0.2">
      <c r="A5537" s="102"/>
      <c r="B5537" s="116"/>
    </row>
    <row r="5538" spans="1:2" x14ac:dyDescent="0.2">
      <c r="A5538" s="102"/>
      <c r="B5538" s="116"/>
    </row>
    <row r="5539" spans="1:2" x14ac:dyDescent="0.2">
      <c r="A5539" s="102"/>
      <c r="B5539" s="116"/>
    </row>
    <row r="5540" spans="1:2" x14ac:dyDescent="0.2">
      <c r="A5540" s="102"/>
      <c r="B5540" s="116"/>
    </row>
    <row r="5541" spans="1:2" x14ac:dyDescent="0.2">
      <c r="A5541" s="102"/>
      <c r="B5541" s="116"/>
    </row>
    <row r="5542" spans="1:2" x14ac:dyDescent="0.2">
      <c r="A5542" s="102"/>
      <c r="B5542" s="116"/>
    </row>
    <row r="5543" spans="1:2" x14ac:dyDescent="0.2">
      <c r="A5543" s="102"/>
      <c r="B5543" s="116"/>
    </row>
    <row r="5544" spans="1:2" x14ac:dyDescent="0.2">
      <c r="A5544" s="102"/>
      <c r="B5544" s="116"/>
    </row>
    <row r="5545" spans="1:2" x14ac:dyDescent="0.2">
      <c r="A5545" s="102"/>
      <c r="B5545" s="116"/>
    </row>
    <row r="5546" spans="1:2" x14ac:dyDescent="0.2">
      <c r="A5546" s="102"/>
      <c r="B5546" s="116"/>
    </row>
    <row r="5547" spans="1:2" x14ac:dyDescent="0.2">
      <c r="A5547" s="102"/>
      <c r="B5547" s="116"/>
    </row>
    <row r="5548" spans="1:2" x14ac:dyDescent="0.2">
      <c r="A5548" s="102"/>
      <c r="B5548" s="116"/>
    </row>
    <row r="5549" spans="1:2" x14ac:dyDescent="0.2">
      <c r="A5549" s="102"/>
      <c r="B5549" s="116"/>
    </row>
    <row r="5550" spans="1:2" x14ac:dyDescent="0.2">
      <c r="A5550" s="102"/>
      <c r="B5550" s="116"/>
    </row>
    <row r="5551" spans="1:2" x14ac:dyDescent="0.2">
      <c r="A5551" s="102"/>
      <c r="B5551" s="116"/>
    </row>
    <row r="5552" spans="1:2" x14ac:dyDescent="0.2">
      <c r="A5552" s="102"/>
      <c r="B5552" s="116"/>
    </row>
    <row r="5553" spans="1:2" x14ac:dyDescent="0.2">
      <c r="A5553" s="102"/>
      <c r="B5553" s="116"/>
    </row>
    <row r="5554" spans="1:2" x14ac:dyDescent="0.2">
      <c r="A5554" s="102"/>
      <c r="B5554" s="116"/>
    </row>
    <row r="5555" spans="1:2" x14ac:dyDescent="0.2">
      <c r="A5555" s="102"/>
      <c r="B5555" s="116"/>
    </row>
    <row r="5556" spans="1:2" x14ac:dyDescent="0.2">
      <c r="A5556" s="102"/>
      <c r="B5556" s="116"/>
    </row>
    <row r="5557" spans="1:2" x14ac:dyDescent="0.2">
      <c r="A5557" s="102"/>
      <c r="B5557" s="116"/>
    </row>
    <row r="5558" spans="1:2" x14ac:dyDescent="0.2">
      <c r="A5558" s="102"/>
      <c r="B5558" s="116"/>
    </row>
    <row r="5559" spans="1:2" x14ac:dyDescent="0.2">
      <c r="A5559" s="102"/>
      <c r="B5559" s="116"/>
    </row>
    <row r="5560" spans="1:2" x14ac:dyDescent="0.2">
      <c r="A5560" s="102"/>
      <c r="B5560" s="116"/>
    </row>
    <row r="5561" spans="1:2" x14ac:dyDescent="0.2">
      <c r="A5561" s="102"/>
      <c r="B5561" s="116"/>
    </row>
    <row r="5562" spans="1:2" x14ac:dyDescent="0.2">
      <c r="A5562" s="102"/>
      <c r="B5562" s="116"/>
    </row>
    <row r="5563" spans="1:2" x14ac:dyDescent="0.2">
      <c r="A5563" s="102"/>
      <c r="B5563" s="116"/>
    </row>
    <row r="5564" spans="1:2" x14ac:dyDescent="0.2">
      <c r="A5564" s="102"/>
      <c r="B5564" s="116"/>
    </row>
    <row r="5565" spans="1:2" x14ac:dyDescent="0.2">
      <c r="A5565" s="102"/>
      <c r="B5565" s="116"/>
    </row>
    <row r="5566" spans="1:2" x14ac:dyDescent="0.2">
      <c r="A5566" s="102"/>
      <c r="B5566" s="116"/>
    </row>
    <row r="5567" spans="1:2" x14ac:dyDescent="0.2">
      <c r="A5567" s="102"/>
      <c r="B5567" s="116"/>
    </row>
    <row r="5568" spans="1:2" x14ac:dyDescent="0.2">
      <c r="A5568" s="102"/>
      <c r="B5568" s="116"/>
    </row>
    <row r="5569" spans="1:2" x14ac:dyDescent="0.2">
      <c r="A5569" s="102"/>
      <c r="B5569" s="116"/>
    </row>
    <row r="5570" spans="1:2" x14ac:dyDescent="0.2">
      <c r="A5570" s="102"/>
      <c r="B5570" s="116"/>
    </row>
    <row r="5571" spans="1:2" x14ac:dyDescent="0.2">
      <c r="A5571" s="102"/>
      <c r="B5571" s="116"/>
    </row>
    <row r="5572" spans="1:2" x14ac:dyDescent="0.2">
      <c r="A5572" s="102"/>
      <c r="B5572" s="116"/>
    </row>
    <row r="5573" spans="1:2" x14ac:dyDescent="0.2">
      <c r="A5573" s="102"/>
      <c r="B5573" s="116"/>
    </row>
    <row r="5574" spans="1:2" x14ac:dyDescent="0.2">
      <c r="A5574" s="102"/>
      <c r="B5574" s="116"/>
    </row>
    <row r="5575" spans="1:2" x14ac:dyDescent="0.2">
      <c r="A5575" s="102"/>
      <c r="B5575" s="116"/>
    </row>
    <row r="5576" spans="1:2" x14ac:dyDescent="0.2">
      <c r="A5576" s="102"/>
      <c r="B5576" s="116"/>
    </row>
    <row r="5577" spans="1:2" x14ac:dyDescent="0.2">
      <c r="A5577" s="102"/>
      <c r="B5577" s="116"/>
    </row>
    <row r="5578" spans="1:2" x14ac:dyDescent="0.2">
      <c r="A5578" s="102"/>
      <c r="B5578" s="116"/>
    </row>
    <row r="5579" spans="1:2" x14ac:dyDescent="0.2">
      <c r="A5579" s="102"/>
      <c r="B5579" s="116"/>
    </row>
    <row r="5580" spans="1:2" x14ac:dyDescent="0.2">
      <c r="A5580" s="102"/>
      <c r="B5580" s="116"/>
    </row>
    <row r="5581" spans="1:2" x14ac:dyDescent="0.2">
      <c r="A5581" s="102"/>
      <c r="B5581" s="116"/>
    </row>
    <row r="5582" spans="1:2" x14ac:dyDescent="0.2">
      <c r="A5582" s="102"/>
      <c r="B5582" s="116"/>
    </row>
    <row r="5583" spans="1:2" x14ac:dyDescent="0.2">
      <c r="A5583" s="102"/>
      <c r="B5583" s="116"/>
    </row>
    <row r="5584" spans="1:2" x14ac:dyDescent="0.2">
      <c r="A5584" s="102"/>
      <c r="B5584" s="116"/>
    </row>
    <row r="5585" spans="1:2" x14ac:dyDescent="0.2">
      <c r="A5585" s="102"/>
      <c r="B5585" s="116"/>
    </row>
    <row r="5586" spans="1:2" x14ac:dyDescent="0.2">
      <c r="A5586" s="102"/>
      <c r="B5586" s="116"/>
    </row>
    <row r="5587" spans="1:2" x14ac:dyDescent="0.2">
      <c r="A5587" s="102"/>
      <c r="B5587" s="116"/>
    </row>
    <row r="5588" spans="1:2" x14ac:dyDescent="0.2">
      <c r="A5588" s="102"/>
      <c r="B5588" s="116"/>
    </row>
    <row r="5589" spans="1:2" x14ac:dyDescent="0.2">
      <c r="A5589" s="102"/>
      <c r="B5589" s="116"/>
    </row>
    <row r="5590" spans="1:2" x14ac:dyDescent="0.2">
      <c r="A5590" s="102"/>
      <c r="B5590" s="116"/>
    </row>
    <row r="5591" spans="1:2" x14ac:dyDescent="0.2">
      <c r="A5591" s="102"/>
      <c r="B5591" s="116"/>
    </row>
    <row r="5592" spans="1:2" x14ac:dyDescent="0.2">
      <c r="A5592" s="102"/>
      <c r="B5592" s="116"/>
    </row>
    <row r="5593" spans="1:2" x14ac:dyDescent="0.2">
      <c r="A5593" s="102"/>
      <c r="B5593" s="116"/>
    </row>
    <row r="5594" spans="1:2" x14ac:dyDescent="0.2">
      <c r="A5594" s="102"/>
      <c r="B5594" s="116"/>
    </row>
    <row r="5595" spans="1:2" x14ac:dyDescent="0.2">
      <c r="A5595" s="102"/>
      <c r="B5595" s="116"/>
    </row>
    <row r="5596" spans="1:2" x14ac:dyDescent="0.2">
      <c r="A5596" s="102"/>
      <c r="B5596" s="116"/>
    </row>
    <row r="5597" spans="1:2" x14ac:dyDescent="0.2">
      <c r="A5597" s="102"/>
      <c r="B5597" s="116"/>
    </row>
    <row r="5598" spans="1:2" x14ac:dyDescent="0.2">
      <c r="A5598" s="102"/>
      <c r="B5598" s="116"/>
    </row>
    <row r="5599" spans="1:2" x14ac:dyDescent="0.2">
      <c r="A5599" s="102"/>
      <c r="B5599" s="116"/>
    </row>
    <row r="5600" spans="1:2" x14ac:dyDescent="0.2">
      <c r="A5600" s="102"/>
      <c r="B5600" s="116"/>
    </row>
    <row r="5601" spans="1:2" x14ac:dyDescent="0.2">
      <c r="A5601" s="102"/>
      <c r="B5601" s="116"/>
    </row>
    <row r="5602" spans="1:2" x14ac:dyDescent="0.2">
      <c r="A5602" s="102"/>
      <c r="B5602" s="116"/>
    </row>
    <row r="5603" spans="1:2" x14ac:dyDescent="0.2">
      <c r="A5603" s="102"/>
      <c r="B5603" s="116"/>
    </row>
    <row r="5604" spans="1:2" x14ac:dyDescent="0.2">
      <c r="A5604" s="102"/>
      <c r="B5604" s="116"/>
    </row>
    <row r="5605" spans="1:2" x14ac:dyDescent="0.2">
      <c r="A5605" s="102"/>
      <c r="B5605" s="116"/>
    </row>
    <row r="5606" spans="1:2" x14ac:dyDescent="0.2">
      <c r="A5606" s="102"/>
      <c r="B5606" s="116"/>
    </row>
    <row r="5607" spans="1:2" x14ac:dyDescent="0.2">
      <c r="A5607" s="102"/>
      <c r="B5607" s="116"/>
    </row>
    <row r="5608" spans="1:2" x14ac:dyDescent="0.2">
      <c r="A5608" s="102"/>
      <c r="B5608" s="116"/>
    </row>
    <row r="5609" spans="1:2" x14ac:dyDescent="0.2">
      <c r="A5609" s="102"/>
      <c r="B5609" s="116"/>
    </row>
    <row r="5610" spans="1:2" x14ac:dyDescent="0.2">
      <c r="A5610" s="102"/>
      <c r="B5610" s="116"/>
    </row>
    <row r="5611" spans="1:2" x14ac:dyDescent="0.2">
      <c r="A5611" s="102"/>
      <c r="B5611" s="116"/>
    </row>
    <row r="5612" spans="1:2" x14ac:dyDescent="0.2">
      <c r="A5612" s="102"/>
      <c r="B5612" s="116"/>
    </row>
    <row r="5613" spans="1:2" x14ac:dyDescent="0.2">
      <c r="A5613" s="102"/>
      <c r="B5613" s="116"/>
    </row>
    <row r="5614" spans="1:2" x14ac:dyDescent="0.2">
      <c r="A5614" s="102"/>
      <c r="B5614" s="116"/>
    </row>
    <row r="5615" spans="1:2" x14ac:dyDescent="0.2">
      <c r="A5615" s="102"/>
      <c r="B5615" s="116"/>
    </row>
    <row r="5616" spans="1:2" x14ac:dyDescent="0.2">
      <c r="A5616" s="102"/>
      <c r="B5616" s="116"/>
    </row>
    <row r="5617" spans="1:2" x14ac:dyDescent="0.2">
      <c r="A5617" s="102"/>
      <c r="B5617" s="116"/>
    </row>
    <row r="5618" spans="1:2" x14ac:dyDescent="0.2">
      <c r="A5618" s="102"/>
      <c r="B5618" s="116"/>
    </row>
    <row r="5619" spans="1:2" x14ac:dyDescent="0.2">
      <c r="A5619" s="102"/>
      <c r="B5619" s="116"/>
    </row>
    <row r="5620" spans="1:2" x14ac:dyDescent="0.2">
      <c r="A5620" s="102"/>
      <c r="B5620" s="116"/>
    </row>
    <row r="5621" spans="1:2" x14ac:dyDescent="0.2">
      <c r="A5621" s="102"/>
      <c r="B5621" s="116"/>
    </row>
    <row r="5622" spans="1:2" x14ac:dyDescent="0.2">
      <c r="A5622" s="102"/>
      <c r="B5622" s="116"/>
    </row>
    <row r="5623" spans="1:2" x14ac:dyDescent="0.2">
      <c r="A5623" s="102"/>
      <c r="B5623" s="116"/>
    </row>
    <row r="5624" spans="1:2" x14ac:dyDescent="0.2">
      <c r="A5624" s="102"/>
      <c r="B5624" s="116"/>
    </row>
    <row r="5625" spans="1:2" x14ac:dyDescent="0.2">
      <c r="A5625" s="102"/>
      <c r="B5625" s="116"/>
    </row>
    <row r="5626" spans="1:2" x14ac:dyDescent="0.2">
      <c r="A5626" s="102"/>
      <c r="B5626" s="116"/>
    </row>
    <row r="5627" spans="1:2" x14ac:dyDescent="0.2">
      <c r="A5627" s="102"/>
      <c r="B5627" s="116"/>
    </row>
    <row r="5628" spans="1:2" x14ac:dyDescent="0.2">
      <c r="A5628" s="102"/>
      <c r="B5628" s="116"/>
    </row>
    <row r="5629" spans="1:2" x14ac:dyDescent="0.2">
      <c r="A5629" s="102"/>
      <c r="B5629" s="116"/>
    </row>
    <row r="5630" spans="1:2" x14ac:dyDescent="0.2">
      <c r="A5630" s="102"/>
      <c r="B5630" s="116"/>
    </row>
    <row r="5631" spans="1:2" x14ac:dyDescent="0.2">
      <c r="A5631" s="102"/>
      <c r="B5631" s="116"/>
    </row>
    <row r="5632" spans="1:2" x14ac:dyDescent="0.2">
      <c r="A5632" s="102"/>
      <c r="B5632" s="116"/>
    </row>
    <row r="5633" spans="1:2" x14ac:dyDescent="0.2">
      <c r="A5633" s="102"/>
      <c r="B5633" s="116"/>
    </row>
    <row r="5634" spans="1:2" x14ac:dyDescent="0.2">
      <c r="A5634" s="102"/>
      <c r="B5634" s="116"/>
    </row>
    <row r="5635" spans="1:2" x14ac:dyDescent="0.2">
      <c r="A5635" s="102"/>
      <c r="B5635" s="116"/>
    </row>
    <row r="5636" spans="1:2" x14ac:dyDescent="0.2">
      <c r="A5636" s="102"/>
      <c r="B5636" s="116"/>
    </row>
    <row r="5637" spans="1:2" x14ac:dyDescent="0.2">
      <c r="A5637" s="102"/>
      <c r="B5637" s="116"/>
    </row>
    <row r="5638" spans="1:2" x14ac:dyDescent="0.2">
      <c r="A5638" s="102"/>
      <c r="B5638" s="116"/>
    </row>
    <row r="5639" spans="1:2" x14ac:dyDescent="0.2">
      <c r="A5639" s="102"/>
      <c r="B5639" s="116"/>
    </row>
    <row r="5640" spans="1:2" x14ac:dyDescent="0.2">
      <c r="A5640" s="102"/>
      <c r="B5640" s="116"/>
    </row>
    <row r="5641" spans="1:2" x14ac:dyDescent="0.2">
      <c r="A5641" s="102"/>
      <c r="B5641" s="116"/>
    </row>
    <row r="5642" spans="1:2" x14ac:dyDescent="0.2">
      <c r="A5642" s="102"/>
      <c r="B5642" s="116"/>
    </row>
    <row r="5643" spans="1:2" x14ac:dyDescent="0.2">
      <c r="A5643" s="102"/>
      <c r="B5643" s="116"/>
    </row>
    <row r="5644" spans="1:2" x14ac:dyDescent="0.2">
      <c r="A5644" s="102"/>
      <c r="B5644" s="116"/>
    </row>
    <row r="5645" spans="1:2" x14ac:dyDescent="0.2">
      <c r="A5645" s="102"/>
      <c r="B5645" s="116"/>
    </row>
    <row r="5646" spans="1:2" x14ac:dyDescent="0.2">
      <c r="A5646" s="102"/>
      <c r="B5646" s="116"/>
    </row>
    <row r="5647" spans="1:2" x14ac:dyDescent="0.2">
      <c r="A5647" s="102"/>
      <c r="B5647" s="116"/>
    </row>
    <row r="5648" spans="1:2" x14ac:dyDescent="0.2">
      <c r="A5648" s="102"/>
      <c r="B5648" s="116"/>
    </row>
    <row r="5649" spans="1:2" x14ac:dyDescent="0.2">
      <c r="A5649" s="102"/>
      <c r="B5649" s="116"/>
    </row>
    <row r="5650" spans="1:2" x14ac:dyDescent="0.2">
      <c r="A5650" s="102"/>
      <c r="B5650" s="116"/>
    </row>
    <row r="5651" spans="1:2" x14ac:dyDescent="0.2">
      <c r="A5651" s="102"/>
      <c r="B5651" s="116"/>
    </row>
    <row r="5652" spans="1:2" x14ac:dyDescent="0.2">
      <c r="A5652" s="102"/>
      <c r="B5652" s="116"/>
    </row>
    <row r="5653" spans="1:2" x14ac:dyDescent="0.2">
      <c r="A5653" s="102"/>
      <c r="B5653" s="116"/>
    </row>
    <row r="5654" spans="1:2" x14ac:dyDescent="0.2">
      <c r="A5654" s="102"/>
      <c r="B5654" s="116"/>
    </row>
    <row r="5655" spans="1:2" x14ac:dyDescent="0.2">
      <c r="A5655" s="102"/>
      <c r="B5655" s="116"/>
    </row>
    <row r="5656" spans="1:2" x14ac:dyDescent="0.2">
      <c r="A5656" s="102"/>
      <c r="B5656" s="116"/>
    </row>
    <row r="5657" spans="1:2" x14ac:dyDescent="0.2">
      <c r="A5657" s="102"/>
      <c r="B5657" s="116"/>
    </row>
    <row r="5658" spans="1:2" x14ac:dyDescent="0.2">
      <c r="A5658" s="102"/>
      <c r="B5658" s="116"/>
    </row>
    <row r="5659" spans="1:2" x14ac:dyDescent="0.2">
      <c r="A5659" s="102"/>
      <c r="B5659" s="116"/>
    </row>
    <row r="5660" spans="1:2" x14ac:dyDescent="0.2">
      <c r="A5660" s="102"/>
      <c r="B5660" s="116"/>
    </row>
    <row r="5661" spans="1:2" x14ac:dyDescent="0.2">
      <c r="A5661" s="102"/>
      <c r="B5661" s="116"/>
    </row>
    <row r="5662" spans="1:2" x14ac:dyDescent="0.2">
      <c r="A5662" s="102"/>
      <c r="B5662" s="116"/>
    </row>
    <row r="5663" spans="1:2" x14ac:dyDescent="0.2">
      <c r="A5663" s="102"/>
      <c r="B5663" s="116"/>
    </row>
    <row r="5664" spans="1:2" x14ac:dyDescent="0.2">
      <c r="A5664" s="102"/>
      <c r="B5664" s="116"/>
    </row>
    <row r="5665" spans="1:2" x14ac:dyDescent="0.2">
      <c r="A5665" s="102"/>
      <c r="B5665" s="116"/>
    </row>
    <row r="5666" spans="1:2" x14ac:dyDescent="0.2">
      <c r="A5666" s="102"/>
      <c r="B5666" s="116"/>
    </row>
    <row r="5667" spans="1:2" x14ac:dyDescent="0.2">
      <c r="A5667" s="102"/>
      <c r="B5667" s="116"/>
    </row>
    <row r="5668" spans="1:2" x14ac:dyDescent="0.2">
      <c r="A5668" s="102"/>
      <c r="B5668" s="116"/>
    </row>
    <row r="5669" spans="1:2" x14ac:dyDescent="0.2">
      <c r="A5669" s="102"/>
      <c r="B5669" s="116"/>
    </row>
    <row r="5670" spans="1:2" x14ac:dyDescent="0.2">
      <c r="A5670" s="102"/>
      <c r="B5670" s="116"/>
    </row>
    <row r="5671" spans="1:2" x14ac:dyDescent="0.2">
      <c r="A5671" s="102"/>
      <c r="B5671" s="116"/>
    </row>
    <row r="5672" spans="1:2" x14ac:dyDescent="0.2">
      <c r="A5672" s="102"/>
      <c r="B5672" s="116"/>
    </row>
    <row r="5673" spans="1:2" x14ac:dyDescent="0.2">
      <c r="A5673" s="102"/>
      <c r="B5673" s="116"/>
    </row>
    <row r="5674" spans="1:2" x14ac:dyDescent="0.2">
      <c r="A5674" s="102"/>
      <c r="B5674" s="116"/>
    </row>
    <row r="5675" spans="1:2" x14ac:dyDescent="0.2">
      <c r="A5675" s="102"/>
      <c r="B5675" s="116"/>
    </row>
    <row r="5676" spans="1:2" x14ac:dyDescent="0.2">
      <c r="A5676" s="102"/>
      <c r="B5676" s="116"/>
    </row>
    <row r="5677" spans="1:2" x14ac:dyDescent="0.2">
      <c r="A5677" s="102"/>
      <c r="B5677" s="116"/>
    </row>
    <row r="5678" spans="1:2" x14ac:dyDescent="0.2">
      <c r="A5678" s="102"/>
      <c r="B5678" s="116"/>
    </row>
    <row r="5679" spans="1:2" x14ac:dyDescent="0.2">
      <c r="A5679" s="102"/>
      <c r="B5679" s="116"/>
    </row>
    <row r="5680" spans="1:2" x14ac:dyDescent="0.2">
      <c r="A5680" s="102"/>
      <c r="B5680" s="116"/>
    </row>
    <row r="5681" spans="1:2" x14ac:dyDescent="0.2">
      <c r="A5681" s="102"/>
      <c r="B5681" s="116"/>
    </row>
    <row r="5682" spans="1:2" x14ac:dyDescent="0.2">
      <c r="A5682" s="102"/>
      <c r="B5682" s="116"/>
    </row>
    <row r="5683" spans="1:2" x14ac:dyDescent="0.2">
      <c r="A5683" s="102"/>
      <c r="B5683" s="116"/>
    </row>
    <row r="5684" spans="1:2" x14ac:dyDescent="0.2">
      <c r="A5684" s="102"/>
      <c r="B5684" s="116"/>
    </row>
    <row r="5685" spans="1:2" x14ac:dyDescent="0.2">
      <c r="A5685" s="102"/>
      <c r="B5685" s="116"/>
    </row>
    <row r="5686" spans="1:2" x14ac:dyDescent="0.2">
      <c r="A5686" s="102"/>
      <c r="B5686" s="116"/>
    </row>
    <row r="5687" spans="1:2" x14ac:dyDescent="0.2">
      <c r="A5687" s="102"/>
      <c r="B5687" s="116"/>
    </row>
    <row r="5688" spans="1:2" x14ac:dyDescent="0.2">
      <c r="A5688" s="102"/>
      <c r="B5688" s="116"/>
    </row>
    <row r="5689" spans="1:2" x14ac:dyDescent="0.2">
      <c r="A5689" s="102"/>
      <c r="B5689" s="116"/>
    </row>
    <row r="5690" spans="1:2" x14ac:dyDescent="0.2">
      <c r="A5690" s="102"/>
      <c r="B5690" s="116"/>
    </row>
    <row r="5691" spans="1:2" x14ac:dyDescent="0.2">
      <c r="A5691" s="102"/>
      <c r="B5691" s="116"/>
    </row>
    <row r="5692" spans="1:2" x14ac:dyDescent="0.2">
      <c r="A5692" s="102"/>
      <c r="B5692" s="116"/>
    </row>
    <row r="5693" spans="1:2" x14ac:dyDescent="0.2">
      <c r="A5693" s="102"/>
      <c r="B5693" s="116"/>
    </row>
    <row r="5694" spans="1:2" x14ac:dyDescent="0.2">
      <c r="A5694" s="102"/>
      <c r="B5694" s="116"/>
    </row>
    <row r="5695" spans="1:2" x14ac:dyDescent="0.2">
      <c r="A5695" s="102"/>
      <c r="B5695" s="116"/>
    </row>
    <row r="5696" spans="1:2" x14ac:dyDescent="0.2">
      <c r="A5696" s="102"/>
      <c r="B5696" s="116"/>
    </row>
    <row r="5697" spans="1:2" x14ac:dyDescent="0.2">
      <c r="A5697" s="102"/>
      <c r="B5697" s="116"/>
    </row>
    <row r="5698" spans="1:2" x14ac:dyDescent="0.2">
      <c r="A5698" s="102"/>
      <c r="B5698" s="116"/>
    </row>
    <row r="5699" spans="1:2" x14ac:dyDescent="0.2">
      <c r="A5699" s="102"/>
      <c r="B5699" s="116"/>
    </row>
    <row r="5700" spans="1:2" x14ac:dyDescent="0.2">
      <c r="A5700" s="102"/>
      <c r="B5700" s="116"/>
    </row>
    <row r="5701" spans="1:2" x14ac:dyDescent="0.2">
      <c r="A5701" s="102"/>
      <c r="B5701" s="116"/>
    </row>
    <row r="5702" spans="1:2" x14ac:dyDescent="0.2">
      <c r="A5702" s="102"/>
      <c r="B5702" s="116"/>
    </row>
    <row r="5703" spans="1:2" x14ac:dyDescent="0.2">
      <c r="A5703" s="102"/>
      <c r="B5703" s="116"/>
    </row>
    <row r="5704" spans="1:2" x14ac:dyDescent="0.2">
      <c r="A5704" s="102"/>
      <c r="B5704" s="116"/>
    </row>
    <row r="5705" spans="1:2" x14ac:dyDescent="0.2">
      <c r="A5705" s="102"/>
      <c r="B5705" s="116"/>
    </row>
    <row r="5706" spans="1:2" x14ac:dyDescent="0.2">
      <c r="A5706" s="102"/>
      <c r="B5706" s="116"/>
    </row>
    <row r="5707" spans="1:2" x14ac:dyDescent="0.2">
      <c r="A5707" s="102"/>
      <c r="B5707" s="116"/>
    </row>
    <row r="5708" spans="1:2" x14ac:dyDescent="0.2">
      <c r="A5708" s="102"/>
      <c r="B5708" s="116"/>
    </row>
    <row r="5709" spans="1:2" x14ac:dyDescent="0.2">
      <c r="A5709" s="102"/>
      <c r="B5709" s="116"/>
    </row>
    <row r="5710" spans="1:2" x14ac:dyDescent="0.2">
      <c r="A5710" s="102"/>
      <c r="B5710" s="116"/>
    </row>
    <row r="5711" spans="1:2" x14ac:dyDescent="0.2">
      <c r="A5711" s="102"/>
      <c r="B5711" s="116"/>
    </row>
    <row r="5712" spans="1:2" x14ac:dyDescent="0.2">
      <c r="A5712" s="102"/>
      <c r="B5712" s="116"/>
    </row>
    <row r="5713" spans="1:2" x14ac:dyDescent="0.2">
      <c r="A5713" s="102"/>
      <c r="B5713" s="116"/>
    </row>
    <row r="5714" spans="1:2" x14ac:dyDescent="0.2">
      <c r="A5714" s="102"/>
      <c r="B5714" s="116"/>
    </row>
    <row r="5715" spans="1:2" x14ac:dyDescent="0.2">
      <c r="A5715" s="102"/>
      <c r="B5715" s="116"/>
    </row>
    <row r="5716" spans="1:2" x14ac:dyDescent="0.2">
      <c r="A5716" s="102"/>
      <c r="B5716" s="116"/>
    </row>
    <row r="5717" spans="1:2" x14ac:dyDescent="0.2">
      <c r="A5717" s="102"/>
      <c r="B5717" s="116"/>
    </row>
    <row r="5718" spans="1:2" x14ac:dyDescent="0.2">
      <c r="A5718" s="102"/>
      <c r="B5718" s="116"/>
    </row>
    <row r="5719" spans="1:2" x14ac:dyDescent="0.2">
      <c r="A5719" s="102"/>
      <c r="B5719" s="116"/>
    </row>
    <row r="5720" spans="1:2" x14ac:dyDescent="0.2">
      <c r="A5720" s="102"/>
      <c r="B5720" s="116"/>
    </row>
    <row r="5721" spans="1:2" x14ac:dyDescent="0.2">
      <c r="A5721" s="102"/>
      <c r="B5721" s="116"/>
    </row>
    <row r="5722" spans="1:2" x14ac:dyDescent="0.2">
      <c r="A5722" s="102"/>
      <c r="B5722" s="116"/>
    </row>
    <row r="5723" spans="1:2" x14ac:dyDescent="0.2">
      <c r="A5723" s="102"/>
      <c r="B5723" s="116"/>
    </row>
    <row r="5724" spans="1:2" x14ac:dyDescent="0.2">
      <c r="A5724" s="102"/>
      <c r="B5724" s="116"/>
    </row>
    <row r="5725" spans="1:2" x14ac:dyDescent="0.2">
      <c r="A5725" s="102"/>
      <c r="B5725" s="116"/>
    </row>
    <row r="5726" spans="1:2" x14ac:dyDescent="0.2">
      <c r="A5726" s="102"/>
      <c r="B5726" s="116"/>
    </row>
    <row r="5727" spans="1:2" x14ac:dyDescent="0.2">
      <c r="A5727" s="102"/>
      <c r="B5727" s="116"/>
    </row>
    <row r="5728" spans="1:2" x14ac:dyDescent="0.2">
      <c r="A5728" s="102"/>
      <c r="B5728" s="116"/>
    </row>
    <row r="5729" spans="1:2" x14ac:dyDescent="0.2">
      <c r="A5729" s="102"/>
      <c r="B5729" s="116"/>
    </row>
    <row r="5730" spans="1:2" x14ac:dyDescent="0.2">
      <c r="A5730" s="102"/>
      <c r="B5730" s="116"/>
    </row>
    <row r="5731" spans="1:2" x14ac:dyDescent="0.2">
      <c r="A5731" s="102"/>
      <c r="B5731" s="116"/>
    </row>
    <row r="5732" spans="1:2" x14ac:dyDescent="0.2">
      <c r="A5732" s="102"/>
      <c r="B5732" s="116"/>
    </row>
    <row r="5733" spans="1:2" x14ac:dyDescent="0.2">
      <c r="A5733" s="102"/>
      <c r="B5733" s="116"/>
    </row>
    <row r="5734" spans="1:2" x14ac:dyDescent="0.2">
      <c r="A5734" s="102"/>
      <c r="B5734" s="116"/>
    </row>
    <row r="5735" spans="1:2" x14ac:dyDescent="0.2">
      <c r="A5735" s="102"/>
      <c r="B5735" s="116"/>
    </row>
    <row r="5736" spans="1:2" x14ac:dyDescent="0.2">
      <c r="A5736" s="102"/>
      <c r="B5736" s="116"/>
    </row>
    <row r="5737" spans="1:2" x14ac:dyDescent="0.2">
      <c r="A5737" s="102"/>
      <c r="B5737" s="116"/>
    </row>
    <row r="5738" spans="1:2" x14ac:dyDescent="0.2">
      <c r="A5738" s="102"/>
      <c r="B5738" s="116"/>
    </row>
    <row r="5739" spans="1:2" x14ac:dyDescent="0.2">
      <c r="A5739" s="102"/>
      <c r="B5739" s="116"/>
    </row>
    <row r="5740" spans="1:2" x14ac:dyDescent="0.2">
      <c r="A5740" s="102"/>
      <c r="B5740" s="116"/>
    </row>
    <row r="5741" spans="1:2" x14ac:dyDescent="0.2">
      <c r="A5741" s="102"/>
      <c r="B5741" s="116"/>
    </row>
    <row r="5742" spans="1:2" x14ac:dyDescent="0.2">
      <c r="A5742" s="102"/>
      <c r="B5742" s="116"/>
    </row>
    <row r="5743" spans="1:2" x14ac:dyDescent="0.2">
      <c r="A5743" s="102"/>
      <c r="B5743" s="116"/>
    </row>
    <row r="5744" spans="1:2" x14ac:dyDescent="0.2">
      <c r="A5744" s="102"/>
      <c r="B5744" s="116"/>
    </row>
    <row r="5745" spans="1:2" x14ac:dyDescent="0.2">
      <c r="A5745" s="102"/>
      <c r="B5745" s="116"/>
    </row>
    <row r="5746" spans="1:2" x14ac:dyDescent="0.2">
      <c r="A5746" s="102"/>
      <c r="B5746" s="116"/>
    </row>
    <row r="5747" spans="1:2" x14ac:dyDescent="0.2">
      <c r="A5747" s="102"/>
      <c r="B5747" s="116"/>
    </row>
    <row r="5748" spans="1:2" x14ac:dyDescent="0.2">
      <c r="A5748" s="102"/>
      <c r="B5748" s="116"/>
    </row>
    <row r="5749" spans="1:2" x14ac:dyDescent="0.2">
      <c r="A5749" s="102"/>
      <c r="B5749" s="116"/>
    </row>
    <row r="5750" spans="1:2" x14ac:dyDescent="0.2">
      <c r="A5750" s="102"/>
      <c r="B5750" s="116"/>
    </row>
    <row r="5751" spans="1:2" x14ac:dyDescent="0.2">
      <c r="A5751" s="102"/>
      <c r="B5751" s="116"/>
    </row>
    <row r="5752" spans="1:2" x14ac:dyDescent="0.2">
      <c r="A5752" s="102"/>
      <c r="B5752" s="116"/>
    </row>
    <row r="5753" spans="1:2" x14ac:dyDescent="0.2">
      <c r="A5753" s="102"/>
      <c r="B5753" s="116"/>
    </row>
    <row r="5754" spans="1:2" x14ac:dyDescent="0.2">
      <c r="A5754" s="102"/>
      <c r="B5754" s="116"/>
    </row>
    <row r="5755" spans="1:2" x14ac:dyDescent="0.2">
      <c r="A5755" s="102"/>
      <c r="B5755" s="116"/>
    </row>
    <row r="5756" spans="1:2" x14ac:dyDescent="0.2">
      <c r="A5756" s="102"/>
      <c r="B5756" s="116"/>
    </row>
    <row r="5757" spans="1:2" x14ac:dyDescent="0.2">
      <c r="A5757" s="102"/>
      <c r="B5757" s="116"/>
    </row>
    <row r="5758" spans="1:2" x14ac:dyDescent="0.2">
      <c r="A5758" s="102"/>
      <c r="B5758" s="116"/>
    </row>
    <row r="5759" spans="1:2" x14ac:dyDescent="0.2">
      <c r="A5759" s="102"/>
      <c r="B5759" s="116"/>
    </row>
    <row r="5760" spans="1:2" x14ac:dyDescent="0.2">
      <c r="A5760" s="102"/>
      <c r="B5760" s="116"/>
    </row>
    <row r="5761" spans="1:2" x14ac:dyDescent="0.2">
      <c r="A5761" s="102"/>
      <c r="B5761" s="116"/>
    </row>
    <row r="5762" spans="1:2" x14ac:dyDescent="0.2">
      <c r="A5762" s="102"/>
      <c r="B5762" s="116"/>
    </row>
    <row r="5763" spans="1:2" x14ac:dyDescent="0.2">
      <c r="A5763" s="102"/>
      <c r="B5763" s="116"/>
    </row>
    <row r="5764" spans="1:2" x14ac:dyDescent="0.2">
      <c r="A5764" s="102"/>
      <c r="B5764" s="116"/>
    </row>
    <row r="5765" spans="1:2" x14ac:dyDescent="0.2">
      <c r="A5765" s="102"/>
      <c r="B5765" s="116"/>
    </row>
    <row r="5766" spans="1:2" x14ac:dyDescent="0.2">
      <c r="A5766" s="102"/>
      <c r="B5766" s="116"/>
    </row>
    <row r="5767" spans="1:2" x14ac:dyDescent="0.2">
      <c r="A5767" s="102"/>
      <c r="B5767" s="116"/>
    </row>
    <row r="5768" spans="1:2" x14ac:dyDescent="0.2">
      <c r="A5768" s="102"/>
      <c r="B5768" s="116"/>
    </row>
    <row r="5769" spans="1:2" x14ac:dyDescent="0.2">
      <c r="A5769" s="102"/>
      <c r="B5769" s="116"/>
    </row>
    <row r="5770" spans="1:2" x14ac:dyDescent="0.2">
      <c r="A5770" s="102"/>
      <c r="B5770" s="116"/>
    </row>
    <row r="5771" spans="1:2" x14ac:dyDescent="0.2">
      <c r="A5771" s="102"/>
      <c r="B5771" s="116"/>
    </row>
    <row r="5772" spans="1:2" x14ac:dyDescent="0.2">
      <c r="A5772" s="102"/>
      <c r="B5772" s="116"/>
    </row>
    <row r="5773" spans="1:2" x14ac:dyDescent="0.2">
      <c r="A5773" s="102"/>
      <c r="B5773" s="116"/>
    </row>
    <row r="5774" spans="1:2" x14ac:dyDescent="0.2">
      <c r="A5774" s="102"/>
      <c r="B5774" s="116"/>
    </row>
    <row r="5775" spans="1:2" x14ac:dyDescent="0.2">
      <c r="A5775" s="102"/>
      <c r="B5775" s="116"/>
    </row>
    <row r="5776" spans="1:2" x14ac:dyDescent="0.2">
      <c r="A5776" s="102"/>
      <c r="B5776" s="116"/>
    </row>
    <row r="5777" spans="1:2" x14ac:dyDescent="0.2">
      <c r="A5777" s="102"/>
      <c r="B5777" s="116"/>
    </row>
    <row r="5778" spans="1:2" x14ac:dyDescent="0.2">
      <c r="A5778" s="102"/>
      <c r="B5778" s="116"/>
    </row>
    <row r="5779" spans="1:2" x14ac:dyDescent="0.2">
      <c r="A5779" s="102"/>
      <c r="B5779" s="116"/>
    </row>
    <row r="5780" spans="1:2" x14ac:dyDescent="0.2">
      <c r="A5780" s="102"/>
      <c r="B5780" s="116"/>
    </row>
    <row r="5781" spans="1:2" x14ac:dyDescent="0.2">
      <c r="A5781" s="102"/>
      <c r="B5781" s="116"/>
    </row>
    <row r="5782" spans="1:2" x14ac:dyDescent="0.2">
      <c r="A5782" s="102"/>
      <c r="B5782" s="116"/>
    </row>
    <row r="5783" spans="1:2" x14ac:dyDescent="0.2">
      <c r="A5783" s="102"/>
      <c r="B5783" s="116"/>
    </row>
    <row r="5784" spans="1:2" x14ac:dyDescent="0.2">
      <c r="A5784" s="102"/>
      <c r="B5784" s="116"/>
    </row>
    <row r="5785" spans="1:2" x14ac:dyDescent="0.2">
      <c r="A5785" s="102"/>
      <c r="B5785" s="116"/>
    </row>
    <row r="5786" spans="1:2" x14ac:dyDescent="0.2">
      <c r="A5786" s="102"/>
      <c r="B5786" s="116"/>
    </row>
    <row r="5787" spans="1:2" x14ac:dyDescent="0.2">
      <c r="A5787" s="102"/>
      <c r="B5787" s="116"/>
    </row>
    <row r="5788" spans="1:2" x14ac:dyDescent="0.2">
      <c r="A5788" s="102"/>
      <c r="B5788" s="116"/>
    </row>
    <row r="5789" spans="1:2" x14ac:dyDescent="0.2">
      <c r="A5789" s="102"/>
      <c r="B5789" s="116"/>
    </row>
    <row r="5790" spans="1:2" x14ac:dyDescent="0.2">
      <c r="A5790" s="102"/>
      <c r="B5790" s="116"/>
    </row>
    <row r="5791" spans="1:2" x14ac:dyDescent="0.2">
      <c r="A5791" s="102"/>
      <c r="B5791" s="116"/>
    </row>
    <row r="5792" spans="1:2" x14ac:dyDescent="0.2">
      <c r="A5792" s="102"/>
      <c r="B5792" s="116"/>
    </row>
    <row r="5793" spans="1:2" x14ac:dyDescent="0.2">
      <c r="A5793" s="102"/>
      <c r="B5793" s="116"/>
    </row>
    <row r="5794" spans="1:2" x14ac:dyDescent="0.2">
      <c r="A5794" s="102"/>
      <c r="B5794" s="116"/>
    </row>
    <row r="5795" spans="1:2" x14ac:dyDescent="0.2">
      <c r="A5795" s="102"/>
      <c r="B5795" s="116"/>
    </row>
    <row r="5796" spans="1:2" x14ac:dyDescent="0.2">
      <c r="A5796" s="102"/>
      <c r="B5796" s="116"/>
    </row>
    <row r="5797" spans="1:2" x14ac:dyDescent="0.2">
      <c r="A5797" s="102"/>
      <c r="B5797" s="116"/>
    </row>
    <row r="5798" spans="1:2" x14ac:dyDescent="0.2">
      <c r="A5798" s="102"/>
      <c r="B5798" s="116"/>
    </row>
    <row r="5799" spans="1:2" x14ac:dyDescent="0.2">
      <c r="A5799" s="102"/>
      <c r="B5799" s="116"/>
    </row>
    <row r="5800" spans="1:2" x14ac:dyDescent="0.2">
      <c r="A5800" s="102"/>
      <c r="B5800" s="116"/>
    </row>
    <row r="5801" spans="1:2" x14ac:dyDescent="0.2">
      <c r="A5801" s="102"/>
      <c r="B5801" s="116"/>
    </row>
    <row r="5802" spans="1:2" x14ac:dyDescent="0.2">
      <c r="A5802" s="102"/>
      <c r="B5802" s="116"/>
    </row>
    <row r="5803" spans="1:2" x14ac:dyDescent="0.2">
      <c r="A5803" s="102"/>
      <c r="B5803" s="116"/>
    </row>
    <row r="5804" spans="1:2" x14ac:dyDescent="0.2">
      <c r="A5804" s="102"/>
      <c r="B5804" s="116"/>
    </row>
    <row r="5805" spans="1:2" x14ac:dyDescent="0.2">
      <c r="A5805" s="102"/>
      <c r="B5805" s="116"/>
    </row>
    <row r="5806" spans="1:2" x14ac:dyDescent="0.2">
      <c r="A5806" s="102"/>
      <c r="B5806" s="116"/>
    </row>
    <row r="5807" spans="1:2" x14ac:dyDescent="0.2">
      <c r="A5807" s="102"/>
      <c r="B5807" s="116"/>
    </row>
    <row r="5808" spans="1:2" x14ac:dyDescent="0.2">
      <c r="A5808" s="102"/>
      <c r="B5808" s="116"/>
    </row>
    <row r="5809" spans="1:2" x14ac:dyDescent="0.2">
      <c r="A5809" s="102"/>
      <c r="B5809" s="116"/>
    </row>
    <row r="5810" spans="1:2" x14ac:dyDescent="0.2">
      <c r="A5810" s="102"/>
      <c r="B5810" s="116"/>
    </row>
    <row r="5811" spans="1:2" x14ac:dyDescent="0.2">
      <c r="A5811" s="102"/>
      <c r="B5811" s="116"/>
    </row>
    <row r="5812" spans="1:2" x14ac:dyDescent="0.2">
      <c r="A5812" s="102"/>
      <c r="B5812" s="116"/>
    </row>
    <row r="5813" spans="1:2" x14ac:dyDescent="0.2">
      <c r="A5813" s="102"/>
      <c r="B5813" s="116"/>
    </row>
    <row r="5814" spans="1:2" x14ac:dyDescent="0.2">
      <c r="A5814" s="102"/>
      <c r="B5814" s="116"/>
    </row>
    <row r="5815" spans="1:2" x14ac:dyDescent="0.2">
      <c r="A5815" s="102"/>
      <c r="B5815" s="116"/>
    </row>
    <row r="5816" spans="1:2" x14ac:dyDescent="0.2">
      <c r="A5816" s="102"/>
      <c r="B5816" s="116"/>
    </row>
    <row r="5817" spans="1:2" x14ac:dyDescent="0.2">
      <c r="A5817" s="102"/>
      <c r="B5817" s="116"/>
    </row>
    <row r="5818" spans="1:2" x14ac:dyDescent="0.2">
      <c r="A5818" s="102"/>
      <c r="B5818" s="116"/>
    </row>
    <row r="5819" spans="1:2" x14ac:dyDescent="0.2">
      <c r="A5819" s="102"/>
      <c r="B5819" s="116"/>
    </row>
    <row r="5820" spans="1:2" x14ac:dyDescent="0.2">
      <c r="A5820" s="102"/>
      <c r="B5820" s="116"/>
    </row>
    <row r="5821" spans="1:2" x14ac:dyDescent="0.2">
      <c r="A5821" s="102"/>
      <c r="B5821" s="116"/>
    </row>
    <row r="5822" spans="1:2" x14ac:dyDescent="0.2">
      <c r="A5822" s="102"/>
      <c r="B5822" s="116"/>
    </row>
    <row r="5823" spans="1:2" x14ac:dyDescent="0.2">
      <c r="A5823" s="102"/>
      <c r="B5823" s="116"/>
    </row>
    <row r="5824" spans="1:2" x14ac:dyDescent="0.2">
      <c r="A5824" s="102"/>
      <c r="B5824" s="116"/>
    </row>
    <row r="5825" spans="1:2" x14ac:dyDescent="0.2">
      <c r="A5825" s="102"/>
      <c r="B5825" s="116"/>
    </row>
    <row r="5826" spans="1:2" x14ac:dyDescent="0.2">
      <c r="A5826" s="102"/>
      <c r="B5826" s="116"/>
    </row>
    <row r="5827" spans="1:2" x14ac:dyDescent="0.2">
      <c r="A5827" s="102"/>
      <c r="B5827" s="116"/>
    </row>
    <row r="5828" spans="1:2" x14ac:dyDescent="0.2">
      <c r="A5828" s="102"/>
      <c r="B5828" s="116"/>
    </row>
    <row r="5829" spans="1:2" x14ac:dyDescent="0.2">
      <c r="A5829" s="102"/>
      <c r="B5829" s="116"/>
    </row>
    <row r="5830" spans="1:2" x14ac:dyDescent="0.2">
      <c r="A5830" s="102"/>
      <c r="B5830" s="116"/>
    </row>
    <row r="5831" spans="1:2" x14ac:dyDescent="0.2">
      <c r="A5831" s="102"/>
      <c r="B5831" s="116"/>
    </row>
    <row r="5832" spans="1:2" x14ac:dyDescent="0.2">
      <c r="A5832" s="102"/>
      <c r="B5832" s="116"/>
    </row>
    <row r="5833" spans="1:2" x14ac:dyDescent="0.2">
      <c r="A5833" s="102"/>
      <c r="B5833" s="116"/>
    </row>
    <row r="5834" spans="1:2" x14ac:dyDescent="0.2">
      <c r="A5834" s="102"/>
      <c r="B5834" s="116"/>
    </row>
    <row r="5835" spans="1:2" x14ac:dyDescent="0.2">
      <c r="A5835" s="102"/>
      <c r="B5835" s="116"/>
    </row>
    <row r="5836" spans="1:2" x14ac:dyDescent="0.2">
      <c r="A5836" s="102"/>
      <c r="B5836" s="116"/>
    </row>
    <row r="5837" spans="1:2" x14ac:dyDescent="0.2">
      <c r="A5837" s="102"/>
      <c r="B5837" s="116"/>
    </row>
    <row r="5838" spans="1:2" x14ac:dyDescent="0.2">
      <c r="A5838" s="102"/>
      <c r="B5838" s="116"/>
    </row>
    <row r="5839" spans="1:2" x14ac:dyDescent="0.2">
      <c r="A5839" s="102"/>
      <c r="B5839" s="116"/>
    </row>
    <row r="5840" spans="1:2" x14ac:dyDescent="0.2">
      <c r="A5840" s="102"/>
      <c r="B5840" s="116"/>
    </row>
    <row r="5841" spans="1:2" x14ac:dyDescent="0.2">
      <c r="A5841" s="102"/>
      <c r="B5841" s="116"/>
    </row>
    <row r="5842" spans="1:2" x14ac:dyDescent="0.2">
      <c r="A5842" s="102"/>
      <c r="B5842" s="116"/>
    </row>
    <row r="5843" spans="1:2" x14ac:dyDescent="0.2">
      <c r="A5843" s="102"/>
      <c r="B5843" s="116"/>
    </row>
    <row r="5844" spans="1:2" x14ac:dyDescent="0.2">
      <c r="A5844" s="102"/>
      <c r="B5844" s="116"/>
    </row>
    <row r="5845" spans="1:2" x14ac:dyDescent="0.2">
      <c r="A5845" s="102"/>
      <c r="B5845" s="116"/>
    </row>
    <row r="5846" spans="1:2" x14ac:dyDescent="0.2">
      <c r="A5846" s="102"/>
      <c r="B5846" s="116"/>
    </row>
    <row r="5847" spans="1:2" x14ac:dyDescent="0.2">
      <c r="A5847" s="102"/>
      <c r="B5847" s="116"/>
    </row>
    <row r="5848" spans="1:2" x14ac:dyDescent="0.2">
      <c r="A5848" s="102"/>
      <c r="B5848" s="116"/>
    </row>
    <row r="5849" spans="1:2" x14ac:dyDescent="0.2">
      <c r="A5849" s="102"/>
      <c r="B5849" s="116"/>
    </row>
    <row r="5850" spans="1:2" x14ac:dyDescent="0.2">
      <c r="A5850" s="102"/>
      <c r="B5850" s="116"/>
    </row>
    <row r="5851" spans="1:2" x14ac:dyDescent="0.2">
      <c r="A5851" s="102"/>
      <c r="B5851" s="116"/>
    </row>
    <row r="5852" spans="1:2" x14ac:dyDescent="0.2">
      <c r="A5852" s="102"/>
      <c r="B5852" s="116"/>
    </row>
    <row r="5853" spans="1:2" x14ac:dyDescent="0.2">
      <c r="A5853" s="102"/>
      <c r="B5853" s="116"/>
    </row>
    <row r="5854" spans="1:2" x14ac:dyDescent="0.2">
      <c r="A5854" s="102"/>
      <c r="B5854" s="116"/>
    </row>
    <row r="5855" spans="1:2" x14ac:dyDescent="0.2">
      <c r="A5855" s="102"/>
      <c r="B5855" s="116"/>
    </row>
    <row r="5856" spans="1:2" x14ac:dyDescent="0.2">
      <c r="A5856" s="102"/>
      <c r="B5856" s="116"/>
    </row>
    <row r="5857" spans="1:2" x14ac:dyDescent="0.2">
      <c r="A5857" s="102"/>
      <c r="B5857" s="116"/>
    </row>
    <row r="5858" spans="1:2" x14ac:dyDescent="0.2">
      <c r="A5858" s="102"/>
      <c r="B5858" s="116"/>
    </row>
    <row r="5859" spans="1:2" x14ac:dyDescent="0.2">
      <c r="A5859" s="102"/>
      <c r="B5859" s="116"/>
    </row>
    <row r="5860" spans="1:2" x14ac:dyDescent="0.2">
      <c r="A5860" s="102"/>
      <c r="B5860" s="116"/>
    </row>
    <row r="5861" spans="1:2" x14ac:dyDescent="0.2">
      <c r="A5861" s="102"/>
      <c r="B5861" s="116"/>
    </row>
    <row r="5862" spans="1:2" x14ac:dyDescent="0.2">
      <c r="A5862" s="102"/>
      <c r="B5862" s="116"/>
    </row>
    <row r="5863" spans="1:2" x14ac:dyDescent="0.2">
      <c r="A5863" s="102"/>
      <c r="B5863" s="116"/>
    </row>
    <row r="5864" spans="1:2" x14ac:dyDescent="0.2">
      <c r="A5864" s="102"/>
      <c r="B5864" s="116"/>
    </row>
    <row r="5865" spans="1:2" x14ac:dyDescent="0.2">
      <c r="A5865" s="102"/>
      <c r="B5865" s="116"/>
    </row>
    <row r="5866" spans="1:2" x14ac:dyDescent="0.2">
      <c r="A5866" s="102"/>
      <c r="B5866" s="116"/>
    </row>
    <row r="5867" spans="1:2" x14ac:dyDescent="0.2">
      <c r="A5867" s="102"/>
      <c r="B5867" s="116"/>
    </row>
    <row r="5868" spans="1:2" x14ac:dyDescent="0.2">
      <c r="A5868" s="102"/>
      <c r="B5868" s="116"/>
    </row>
    <row r="5869" spans="1:2" x14ac:dyDescent="0.2">
      <c r="A5869" s="102"/>
      <c r="B5869" s="116"/>
    </row>
    <row r="5870" spans="1:2" x14ac:dyDescent="0.2">
      <c r="A5870" s="102"/>
      <c r="B5870" s="116"/>
    </row>
    <row r="5871" spans="1:2" x14ac:dyDescent="0.2">
      <c r="A5871" s="102"/>
      <c r="B5871" s="116"/>
    </row>
    <row r="5872" spans="1:2" x14ac:dyDescent="0.2">
      <c r="A5872" s="102"/>
      <c r="B5872" s="116"/>
    </row>
    <row r="5873" spans="1:2" x14ac:dyDescent="0.2">
      <c r="A5873" s="102"/>
      <c r="B5873" s="116"/>
    </row>
    <row r="5874" spans="1:2" x14ac:dyDescent="0.2">
      <c r="A5874" s="102"/>
      <c r="B5874" s="116"/>
    </row>
    <row r="5875" spans="1:2" x14ac:dyDescent="0.2">
      <c r="A5875" s="102"/>
      <c r="B5875" s="116"/>
    </row>
    <row r="5876" spans="1:2" x14ac:dyDescent="0.2">
      <c r="A5876" s="102"/>
      <c r="B5876" s="116"/>
    </row>
    <row r="5877" spans="1:2" x14ac:dyDescent="0.2">
      <c r="A5877" s="102"/>
      <c r="B5877" s="116"/>
    </row>
    <row r="5878" spans="1:2" x14ac:dyDescent="0.2">
      <c r="A5878" s="102"/>
      <c r="B5878" s="116"/>
    </row>
    <row r="5879" spans="1:2" x14ac:dyDescent="0.2">
      <c r="A5879" s="102"/>
      <c r="B5879" s="116"/>
    </row>
    <row r="5880" spans="1:2" x14ac:dyDescent="0.2">
      <c r="A5880" s="102"/>
      <c r="B5880" s="116"/>
    </row>
    <row r="5881" spans="1:2" x14ac:dyDescent="0.2">
      <c r="A5881" s="102"/>
      <c r="B5881" s="116"/>
    </row>
    <row r="5882" spans="1:2" x14ac:dyDescent="0.2">
      <c r="A5882" s="102"/>
      <c r="B5882" s="116"/>
    </row>
    <row r="5883" spans="1:2" x14ac:dyDescent="0.2">
      <c r="A5883" s="102"/>
      <c r="B5883" s="116"/>
    </row>
    <row r="5884" spans="1:2" x14ac:dyDescent="0.2">
      <c r="A5884" s="102"/>
      <c r="B5884" s="116"/>
    </row>
    <row r="5885" spans="1:2" x14ac:dyDescent="0.2">
      <c r="A5885" s="102"/>
      <c r="B5885" s="116"/>
    </row>
    <row r="5886" spans="1:2" x14ac:dyDescent="0.2">
      <c r="A5886" s="102"/>
      <c r="B5886" s="116"/>
    </row>
    <row r="5887" spans="1:2" x14ac:dyDescent="0.2">
      <c r="A5887" s="102"/>
      <c r="B5887" s="116"/>
    </row>
    <row r="5888" spans="1:2" x14ac:dyDescent="0.2">
      <c r="A5888" s="102"/>
      <c r="B5888" s="116"/>
    </row>
    <row r="5889" spans="1:2" x14ac:dyDescent="0.2">
      <c r="A5889" s="102"/>
      <c r="B5889" s="116"/>
    </row>
    <row r="5890" spans="1:2" x14ac:dyDescent="0.2">
      <c r="A5890" s="102"/>
      <c r="B5890" s="116"/>
    </row>
    <row r="5891" spans="1:2" x14ac:dyDescent="0.2">
      <c r="A5891" s="102"/>
      <c r="B5891" s="116"/>
    </row>
    <row r="5892" spans="1:2" x14ac:dyDescent="0.2">
      <c r="A5892" s="102"/>
      <c r="B5892" s="116"/>
    </row>
    <row r="5893" spans="1:2" x14ac:dyDescent="0.2">
      <c r="A5893" s="102"/>
      <c r="B5893" s="116"/>
    </row>
    <row r="5894" spans="1:2" x14ac:dyDescent="0.2">
      <c r="A5894" s="102"/>
      <c r="B5894" s="116"/>
    </row>
    <row r="5895" spans="1:2" x14ac:dyDescent="0.2">
      <c r="A5895" s="102"/>
      <c r="B5895" s="116"/>
    </row>
    <row r="5896" spans="1:2" x14ac:dyDescent="0.2">
      <c r="A5896" s="102"/>
      <c r="B5896" s="116"/>
    </row>
    <row r="5897" spans="1:2" x14ac:dyDescent="0.2">
      <c r="A5897" s="102"/>
      <c r="B5897" s="116"/>
    </row>
    <row r="5898" spans="1:2" x14ac:dyDescent="0.2">
      <c r="A5898" s="102"/>
      <c r="B5898" s="116"/>
    </row>
    <row r="5899" spans="1:2" x14ac:dyDescent="0.2">
      <c r="A5899" s="102"/>
      <c r="B5899" s="116"/>
    </row>
    <row r="5900" spans="1:2" x14ac:dyDescent="0.2">
      <c r="A5900" s="102"/>
      <c r="B5900" s="116"/>
    </row>
    <row r="5901" spans="1:2" x14ac:dyDescent="0.2">
      <c r="A5901" s="102"/>
      <c r="B5901" s="116"/>
    </row>
    <row r="5902" spans="1:2" x14ac:dyDescent="0.2">
      <c r="A5902" s="102"/>
      <c r="B5902" s="116"/>
    </row>
    <row r="5903" spans="1:2" x14ac:dyDescent="0.2">
      <c r="A5903" s="102"/>
      <c r="B5903" s="116"/>
    </row>
    <row r="5904" spans="1:2" x14ac:dyDescent="0.2">
      <c r="A5904" s="102"/>
      <c r="B5904" s="116"/>
    </row>
    <row r="5905" spans="1:2" x14ac:dyDescent="0.2">
      <c r="A5905" s="102"/>
      <c r="B5905" s="116"/>
    </row>
    <row r="5906" spans="1:2" x14ac:dyDescent="0.2">
      <c r="A5906" s="102"/>
      <c r="B5906" s="116"/>
    </row>
    <row r="5907" spans="1:2" x14ac:dyDescent="0.2">
      <c r="A5907" s="102"/>
      <c r="B5907" s="116"/>
    </row>
    <row r="5908" spans="1:2" x14ac:dyDescent="0.2">
      <c r="A5908" s="102"/>
      <c r="B5908" s="116"/>
    </row>
    <row r="5909" spans="1:2" x14ac:dyDescent="0.2">
      <c r="A5909" s="102"/>
      <c r="B5909" s="116"/>
    </row>
    <row r="5910" spans="1:2" x14ac:dyDescent="0.2">
      <c r="A5910" s="102"/>
      <c r="B5910" s="116"/>
    </row>
    <row r="5911" spans="1:2" x14ac:dyDescent="0.2">
      <c r="A5911" s="102"/>
      <c r="B5911" s="116"/>
    </row>
    <row r="5912" spans="1:2" x14ac:dyDescent="0.2">
      <c r="A5912" s="102"/>
      <c r="B5912" s="116"/>
    </row>
    <row r="5913" spans="1:2" x14ac:dyDescent="0.2">
      <c r="A5913" s="102"/>
      <c r="B5913" s="116"/>
    </row>
    <row r="5914" spans="1:2" x14ac:dyDescent="0.2">
      <c r="A5914" s="102"/>
      <c r="B5914" s="116"/>
    </row>
    <row r="5915" spans="1:2" x14ac:dyDescent="0.2">
      <c r="A5915" s="102"/>
      <c r="B5915" s="116"/>
    </row>
    <row r="5916" spans="1:2" x14ac:dyDescent="0.2">
      <c r="A5916" s="102"/>
      <c r="B5916" s="116"/>
    </row>
    <row r="5917" spans="1:2" x14ac:dyDescent="0.2">
      <c r="A5917" s="102"/>
      <c r="B5917" s="116"/>
    </row>
    <row r="5918" spans="1:2" x14ac:dyDescent="0.2">
      <c r="A5918" s="102"/>
      <c r="B5918" s="116"/>
    </row>
    <row r="5919" spans="1:2" x14ac:dyDescent="0.2">
      <c r="A5919" s="102"/>
      <c r="B5919" s="116"/>
    </row>
    <row r="5920" spans="1:2" x14ac:dyDescent="0.2">
      <c r="A5920" s="102"/>
      <c r="B5920" s="116"/>
    </row>
    <row r="5921" spans="1:2" x14ac:dyDescent="0.2">
      <c r="A5921" s="102"/>
      <c r="B5921" s="116"/>
    </row>
    <row r="5922" spans="1:2" x14ac:dyDescent="0.2">
      <c r="A5922" s="102"/>
      <c r="B5922" s="116"/>
    </row>
    <row r="5923" spans="1:2" x14ac:dyDescent="0.2">
      <c r="A5923" s="102"/>
      <c r="B5923" s="116"/>
    </row>
    <row r="5924" spans="1:2" x14ac:dyDescent="0.2">
      <c r="A5924" s="102"/>
      <c r="B5924" s="116"/>
    </row>
    <row r="5925" spans="1:2" x14ac:dyDescent="0.2">
      <c r="A5925" s="102"/>
      <c r="B5925" s="116"/>
    </row>
    <row r="5926" spans="1:2" x14ac:dyDescent="0.2">
      <c r="A5926" s="102"/>
      <c r="B5926" s="116"/>
    </row>
    <row r="5927" spans="1:2" x14ac:dyDescent="0.2">
      <c r="A5927" s="102"/>
      <c r="B5927" s="116"/>
    </row>
    <row r="5928" spans="1:2" x14ac:dyDescent="0.2">
      <c r="A5928" s="102"/>
      <c r="B5928" s="116"/>
    </row>
    <row r="5929" spans="1:2" x14ac:dyDescent="0.2">
      <c r="A5929" s="102"/>
      <c r="B5929" s="116"/>
    </row>
    <row r="5930" spans="1:2" x14ac:dyDescent="0.2">
      <c r="A5930" s="102"/>
      <c r="B5930" s="116"/>
    </row>
    <row r="5931" spans="1:2" x14ac:dyDescent="0.2">
      <c r="A5931" s="102"/>
      <c r="B5931" s="116"/>
    </row>
    <row r="5932" spans="1:2" x14ac:dyDescent="0.2">
      <c r="A5932" s="102"/>
      <c r="B5932" s="116"/>
    </row>
    <row r="5933" spans="1:2" x14ac:dyDescent="0.2">
      <c r="A5933" s="102"/>
      <c r="B5933" s="116"/>
    </row>
    <row r="5934" spans="1:2" x14ac:dyDescent="0.2">
      <c r="A5934" s="102"/>
      <c r="B5934" s="116"/>
    </row>
    <row r="5935" spans="1:2" x14ac:dyDescent="0.2">
      <c r="A5935" s="102"/>
      <c r="B5935" s="116"/>
    </row>
    <row r="5936" spans="1:2" x14ac:dyDescent="0.2">
      <c r="A5936" s="102"/>
      <c r="B5936" s="116"/>
    </row>
    <row r="5937" spans="1:2" x14ac:dyDescent="0.2">
      <c r="A5937" s="102"/>
      <c r="B5937" s="116"/>
    </row>
    <row r="5938" spans="1:2" x14ac:dyDescent="0.2">
      <c r="A5938" s="102"/>
      <c r="B5938" s="116"/>
    </row>
    <row r="5939" spans="1:2" x14ac:dyDescent="0.2">
      <c r="A5939" s="102"/>
      <c r="B5939" s="116"/>
    </row>
    <row r="5940" spans="1:2" x14ac:dyDescent="0.2">
      <c r="A5940" s="102"/>
      <c r="B5940" s="116"/>
    </row>
    <row r="5941" spans="1:2" x14ac:dyDescent="0.2">
      <c r="A5941" s="102"/>
      <c r="B5941" s="116"/>
    </row>
    <row r="5942" spans="1:2" x14ac:dyDescent="0.2">
      <c r="A5942" s="102"/>
      <c r="B5942" s="116"/>
    </row>
    <row r="5943" spans="1:2" x14ac:dyDescent="0.2">
      <c r="A5943" s="102"/>
      <c r="B5943" s="116"/>
    </row>
    <row r="5944" spans="1:2" x14ac:dyDescent="0.2">
      <c r="A5944" s="102"/>
      <c r="B5944" s="116"/>
    </row>
    <row r="5945" spans="1:2" x14ac:dyDescent="0.2">
      <c r="A5945" s="102"/>
      <c r="B5945" s="116"/>
    </row>
    <row r="5946" spans="1:2" x14ac:dyDescent="0.2">
      <c r="A5946" s="102"/>
      <c r="B5946" s="116"/>
    </row>
    <row r="5947" spans="1:2" x14ac:dyDescent="0.2">
      <c r="A5947" s="102"/>
      <c r="B5947" s="116"/>
    </row>
    <row r="5948" spans="1:2" x14ac:dyDescent="0.2">
      <c r="A5948" s="102"/>
      <c r="B5948" s="116"/>
    </row>
    <row r="5949" spans="1:2" x14ac:dyDescent="0.2">
      <c r="A5949" s="102"/>
      <c r="B5949" s="116"/>
    </row>
    <row r="5950" spans="1:2" x14ac:dyDescent="0.2">
      <c r="A5950" s="102"/>
      <c r="B5950" s="116"/>
    </row>
    <row r="5951" spans="1:2" x14ac:dyDescent="0.2">
      <c r="A5951" s="102"/>
      <c r="B5951" s="116"/>
    </row>
    <row r="5952" spans="1:2" x14ac:dyDescent="0.2">
      <c r="A5952" s="102"/>
      <c r="B5952" s="116"/>
    </row>
    <row r="5953" spans="1:2" x14ac:dyDescent="0.2">
      <c r="A5953" s="102"/>
      <c r="B5953" s="116"/>
    </row>
    <row r="5954" spans="1:2" x14ac:dyDescent="0.2">
      <c r="A5954" s="102"/>
      <c r="B5954" s="116"/>
    </row>
    <row r="5955" spans="1:2" x14ac:dyDescent="0.2">
      <c r="A5955" s="102"/>
      <c r="B5955" s="116"/>
    </row>
    <row r="5956" spans="1:2" x14ac:dyDescent="0.2">
      <c r="A5956" s="102"/>
      <c r="B5956" s="116"/>
    </row>
    <row r="5957" spans="1:2" x14ac:dyDescent="0.2">
      <c r="A5957" s="102"/>
      <c r="B5957" s="116"/>
    </row>
    <row r="5958" spans="1:2" x14ac:dyDescent="0.2">
      <c r="A5958" s="102"/>
      <c r="B5958" s="116"/>
    </row>
    <row r="5959" spans="1:2" x14ac:dyDescent="0.2">
      <c r="A5959" s="102"/>
      <c r="B5959" s="116"/>
    </row>
    <row r="5960" spans="1:2" x14ac:dyDescent="0.2">
      <c r="A5960" s="102"/>
      <c r="B5960" s="116"/>
    </row>
    <row r="5961" spans="1:2" x14ac:dyDescent="0.2">
      <c r="A5961" s="102"/>
      <c r="B5961" s="116"/>
    </row>
    <row r="5962" spans="1:2" x14ac:dyDescent="0.2">
      <c r="A5962" s="102"/>
      <c r="B5962" s="116"/>
    </row>
    <row r="5963" spans="1:2" x14ac:dyDescent="0.2">
      <c r="A5963" s="102"/>
      <c r="B5963" s="116"/>
    </row>
    <row r="5964" spans="1:2" x14ac:dyDescent="0.2">
      <c r="A5964" s="102"/>
      <c r="B5964" s="116"/>
    </row>
    <row r="5965" spans="1:2" x14ac:dyDescent="0.2">
      <c r="A5965" s="102"/>
      <c r="B5965" s="116"/>
    </row>
    <row r="5966" spans="1:2" x14ac:dyDescent="0.2">
      <c r="A5966" s="102"/>
      <c r="B5966" s="116"/>
    </row>
    <row r="5967" spans="1:2" x14ac:dyDescent="0.2">
      <c r="A5967" s="102"/>
      <c r="B5967" s="116"/>
    </row>
    <row r="5968" spans="1:2" x14ac:dyDescent="0.2">
      <c r="A5968" s="102"/>
      <c r="B5968" s="116"/>
    </row>
    <row r="5969" spans="1:2" x14ac:dyDescent="0.2">
      <c r="A5969" s="102"/>
      <c r="B5969" s="116"/>
    </row>
    <row r="5970" spans="1:2" x14ac:dyDescent="0.2">
      <c r="A5970" s="102"/>
      <c r="B5970" s="116"/>
    </row>
    <row r="5971" spans="1:2" x14ac:dyDescent="0.2">
      <c r="A5971" s="102"/>
      <c r="B5971" s="116"/>
    </row>
    <row r="5972" spans="1:2" x14ac:dyDescent="0.2">
      <c r="A5972" s="102"/>
      <c r="B5972" s="116"/>
    </row>
    <row r="5973" spans="1:2" x14ac:dyDescent="0.2">
      <c r="A5973" s="102"/>
      <c r="B5973" s="116"/>
    </row>
    <row r="5974" spans="1:2" x14ac:dyDescent="0.2">
      <c r="A5974" s="102"/>
      <c r="B5974" s="116"/>
    </row>
    <row r="5975" spans="1:2" x14ac:dyDescent="0.2">
      <c r="A5975" s="102"/>
      <c r="B5975" s="116"/>
    </row>
    <row r="5976" spans="1:2" x14ac:dyDescent="0.2">
      <c r="A5976" s="102"/>
      <c r="B5976" s="116"/>
    </row>
    <row r="5977" spans="1:2" x14ac:dyDescent="0.2">
      <c r="A5977" s="102"/>
      <c r="B5977" s="116"/>
    </row>
    <row r="5978" spans="1:2" x14ac:dyDescent="0.2">
      <c r="A5978" s="102"/>
      <c r="B5978" s="116"/>
    </row>
    <row r="5979" spans="1:2" x14ac:dyDescent="0.2">
      <c r="A5979" s="102"/>
      <c r="B5979" s="116"/>
    </row>
    <row r="5980" spans="1:2" x14ac:dyDescent="0.2">
      <c r="A5980" s="102"/>
      <c r="B5980" s="116"/>
    </row>
    <row r="5981" spans="1:2" x14ac:dyDescent="0.2">
      <c r="A5981" s="102"/>
      <c r="B5981" s="116"/>
    </row>
    <row r="5982" spans="1:2" x14ac:dyDescent="0.2">
      <c r="A5982" s="102"/>
      <c r="B5982" s="116"/>
    </row>
    <row r="5983" spans="1:2" x14ac:dyDescent="0.2">
      <c r="A5983" s="102"/>
      <c r="B5983" s="116"/>
    </row>
    <row r="5984" spans="1:2" x14ac:dyDescent="0.2">
      <c r="A5984" s="102"/>
      <c r="B5984" s="116"/>
    </row>
    <row r="5985" spans="1:2" x14ac:dyDescent="0.2">
      <c r="A5985" s="102"/>
      <c r="B5985" s="116"/>
    </row>
    <row r="5986" spans="1:2" x14ac:dyDescent="0.2">
      <c r="A5986" s="102"/>
      <c r="B5986" s="116"/>
    </row>
    <row r="5987" spans="1:2" x14ac:dyDescent="0.2">
      <c r="A5987" s="102"/>
      <c r="B5987" s="116"/>
    </row>
    <row r="5988" spans="1:2" x14ac:dyDescent="0.2">
      <c r="A5988" s="102"/>
      <c r="B5988" s="116"/>
    </row>
    <row r="5989" spans="1:2" x14ac:dyDescent="0.2">
      <c r="A5989" s="102"/>
      <c r="B5989" s="116"/>
    </row>
    <row r="5990" spans="1:2" x14ac:dyDescent="0.2">
      <c r="A5990" s="102"/>
      <c r="B5990" s="116"/>
    </row>
    <row r="5991" spans="1:2" x14ac:dyDescent="0.2">
      <c r="A5991" s="102"/>
      <c r="B5991" s="116"/>
    </row>
    <row r="5992" spans="1:2" x14ac:dyDescent="0.2">
      <c r="A5992" s="102"/>
      <c r="B5992" s="116"/>
    </row>
    <row r="5993" spans="1:2" x14ac:dyDescent="0.2">
      <c r="A5993" s="102"/>
      <c r="B5993" s="116"/>
    </row>
    <row r="5994" spans="1:2" x14ac:dyDescent="0.2">
      <c r="A5994" s="102"/>
      <c r="B5994" s="116"/>
    </row>
    <row r="5995" spans="1:2" x14ac:dyDescent="0.2">
      <c r="A5995" s="102"/>
      <c r="B5995" s="116"/>
    </row>
    <row r="5996" spans="1:2" x14ac:dyDescent="0.2">
      <c r="A5996" s="102"/>
      <c r="B5996" s="116"/>
    </row>
    <row r="5997" spans="1:2" x14ac:dyDescent="0.2">
      <c r="A5997" s="102"/>
      <c r="B5997" s="116"/>
    </row>
    <row r="5998" spans="1:2" x14ac:dyDescent="0.2">
      <c r="A5998" s="102"/>
      <c r="B5998" s="116"/>
    </row>
    <row r="5999" spans="1:2" x14ac:dyDescent="0.2">
      <c r="A5999" s="102"/>
      <c r="B5999" s="116"/>
    </row>
    <row r="6000" spans="1:2" x14ac:dyDescent="0.2">
      <c r="A6000" s="102"/>
      <c r="B6000" s="116"/>
    </row>
    <row r="6001" spans="1:2" x14ac:dyDescent="0.2">
      <c r="A6001" s="102"/>
      <c r="B6001" s="116"/>
    </row>
    <row r="6002" spans="1:2" x14ac:dyDescent="0.2">
      <c r="A6002" s="102"/>
      <c r="B6002" s="116"/>
    </row>
    <row r="6003" spans="1:2" x14ac:dyDescent="0.2">
      <c r="A6003" s="102"/>
      <c r="B6003" s="116"/>
    </row>
    <row r="6004" spans="1:2" x14ac:dyDescent="0.2">
      <c r="A6004" s="102"/>
      <c r="B6004" s="116"/>
    </row>
    <row r="6005" spans="1:2" x14ac:dyDescent="0.2">
      <c r="A6005" s="102"/>
      <c r="B6005" s="116"/>
    </row>
    <row r="6006" spans="1:2" x14ac:dyDescent="0.2">
      <c r="A6006" s="102"/>
      <c r="B6006" s="116"/>
    </row>
    <row r="6007" spans="1:2" x14ac:dyDescent="0.2">
      <c r="A6007" s="102"/>
      <c r="B6007" s="116"/>
    </row>
    <row r="6008" spans="1:2" x14ac:dyDescent="0.2">
      <c r="A6008" s="102"/>
      <c r="B6008" s="116"/>
    </row>
    <row r="6009" spans="1:2" x14ac:dyDescent="0.2">
      <c r="A6009" s="102"/>
      <c r="B6009" s="116"/>
    </row>
    <row r="6010" spans="1:2" x14ac:dyDescent="0.2">
      <c r="A6010" s="102"/>
      <c r="B6010" s="116"/>
    </row>
    <row r="6011" spans="1:2" x14ac:dyDescent="0.2">
      <c r="A6011" s="102"/>
      <c r="B6011" s="116"/>
    </row>
    <row r="6012" spans="1:2" x14ac:dyDescent="0.2">
      <c r="A6012" s="102"/>
      <c r="B6012" s="116"/>
    </row>
    <row r="6013" spans="1:2" x14ac:dyDescent="0.2">
      <c r="A6013" s="102"/>
      <c r="B6013" s="116"/>
    </row>
    <row r="6014" spans="1:2" x14ac:dyDescent="0.2">
      <c r="A6014" s="102"/>
      <c r="B6014" s="116"/>
    </row>
    <row r="6015" spans="1:2" x14ac:dyDescent="0.2">
      <c r="A6015" s="102"/>
      <c r="B6015" s="116"/>
    </row>
    <row r="6016" spans="1:2" x14ac:dyDescent="0.2">
      <c r="A6016" s="102"/>
      <c r="B6016" s="116"/>
    </row>
    <row r="6017" spans="1:2" x14ac:dyDescent="0.2">
      <c r="A6017" s="102"/>
      <c r="B6017" s="116"/>
    </row>
    <row r="6018" spans="1:2" x14ac:dyDescent="0.2">
      <c r="A6018" s="102"/>
      <c r="B6018" s="116"/>
    </row>
    <row r="6019" spans="1:2" x14ac:dyDescent="0.2">
      <c r="A6019" s="102"/>
      <c r="B6019" s="116"/>
    </row>
    <row r="6020" spans="1:2" x14ac:dyDescent="0.2">
      <c r="A6020" s="102"/>
      <c r="B6020" s="116"/>
    </row>
    <row r="6021" spans="1:2" x14ac:dyDescent="0.2">
      <c r="A6021" s="102"/>
      <c r="B6021" s="116"/>
    </row>
    <row r="6022" spans="1:2" x14ac:dyDescent="0.2">
      <c r="A6022" s="102"/>
      <c r="B6022" s="116"/>
    </row>
    <row r="6023" spans="1:2" x14ac:dyDescent="0.2">
      <c r="A6023" s="102"/>
      <c r="B6023" s="116"/>
    </row>
    <row r="6024" spans="1:2" x14ac:dyDescent="0.2">
      <c r="A6024" s="102"/>
      <c r="B6024" s="116"/>
    </row>
    <row r="6025" spans="1:2" x14ac:dyDescent="0.2">
      <c r="A6025" s="102"/>
      <c r="B6025" s="116"/>
    </row>
    <row r="6026" spans="1:2" x14ac:dyDescent="0.2">
      <c r="A6026" s="102"/>
      <c r="B6026" s="116"/>
    </row>
    <row r="6027" spans="1:2" x14ac:dyDescent="0.2">
      <c r="A6027" s="102"/>
      <c r="B6027" s="116"/>
    </row>
    <row r="6028" spans="1:2" x14ac:dyDescent="0.2">
      <c r="A6028" s="102"/>
      <c r="B6028" s="116"/>
    </row>
    <row r="6029" spans="1:2" x14ac:dyDescent="0.2">
      <c r="A6029" s="102"/>
      <c r="B6029" s="116"/>
    </row>
    <row r="6030" spans="1:2" x14ac:dyDescent="0.2">
      <c r="A6030" s="102"/>
      <c r="B6030" s="116"/>
    </row>
    <row r="6031" spans="1:2" x14ac:dyDescent="0.2">
      <c r="A6031" s="102"/>
      <c r="B6031" s="116"/>
    </row>
    <row r="6032" spans="1:2" x14ac:dyDescent="0.2">
      <c r="A6032" s="102"/>
      <c r="B6032" s="116"/>
    </row>
    <row r="6033" spans="1:2" x14ac:dyDescent="0.2">
      <c r="A6033" s="102"/>
      <c r="B6033" s="116"/>
    </row>
    <row r="6034" spans="1:2" x14ac:dyDescent="0.2">
      <c r="A6034" s="102"/>
      <c r="B6034" s="116"/>
    </row>
    <row r="6035" spans="1:2" x14ac:dyDescent="0.2">
      <c r="A6035" s="102"/>
      <c r="B6035" s="116"/>
    </row>
    <row r="6036" spans="1:2" x14ac:dyDescent="0.2">
      <c r="A6036" s="102"/>
      <c r="B6036" s="116"/>
    </row>
    <row r="6037" spans="1:2" x14ac:dyDescent="0.2">
      <c r="A6037" s="102"/>
      <c r="B6037" s="116"/>
    </row>
    <row r="6038" spans="1:2" x14ac:dyDescent="0.2">
      <c r="A6038" s="102"/>
      <c r="B6038" s="116"/>
    </row>
    <row r="6039" spans="1:2" x14ac:dyDescent="0.2">
      <c r="A6039" s="102"/>
      <c r="B6039" s="116"/>
    </row>
    <row r="6040" spans="1:2" x14ac:dyDescent="0.2">
      <c r="A6040" s="102"/>
      <c r="B6040" s="116"/>
    </row>
    <row r="6041" spans="1:2" x14ac:dyDescent="0.2">
      <c r="A6041" s="102"/>
      <c r="B6041" s="116"/>
    </row>
    <row r="6042" spans="1:2" x14ac:dyDescent="0.2">
      <c r="A6042" s="102"/>
      <c r="B6042" s="116"/>
    </row>
    <row r="6043" spans="1:2" x14ac:dyDescent="0.2">
      <c r="A6043" s="102"/>
      <c r="B6043" s="116"/>
    </row>
    <row r="6044" spans="1:2" x14ac:dyDescent="0.2">
      <c r="A6044" s="102"/>
      <c r="B6044" s="116"/>
    </row>
    <row r="6045" spans="1:2" x14ac:dyDescent="0.2">
      <c r="A6045" s="102"/>
      <c r="B6045" s="116"/>
    </row>
    <row r="6046" spans="1:2" x14ac:dyDescent="0.2">
      <c r="A6046" s="102"/>
      <c r="B6046" s="116"/>
    </row>
    <row r="6047" spans="1:2" x14ac:dyDescent="0.2">
      <c r="A6047" s="102"/>
      <c r="B6047" s="116"/>
    </row>
    <row r="6048" spans="1:2" x14ac:dyDescent="0.2">
      <c r="A6048" s="102"/>
      <c r="B6048" s="116"/>
    </row>
    <row r="6049" spans="1:2" x14ac:dyDescent="0.2">
      <c r="A6049" s="102"/>
      <c r="B6049" s="116"/>
    </row>
    <row r="6050" spans="1:2" x14ac:dyDescent="0.2">
      <c r="A6050" s="102"/>
      <c r="B6050" s="116"/>
    </row>
    <row r="6051" spans="1:2" x14ac:dyDescent="0.2">
      <c r="A6051" s="102"/>
      <c r="B6051" s="116"/>
    </row>
    <row r="6052" spans="1:2" x14ac:dyDescent="0.2">
      <c r="A6052" s="102"/>
      <c r="B6052" s="116"/>
    </row>
    <row r="6053" spans="1:2" x14ac:dyDescent="0.2">
      <c r="A6053" s="102"/>
      <c r="B6053" s="116"/>
    </row>
    <row r="6054" spans="1:2" x14ac:dyDescent="0.2">
      <c r="A6054" s="102"/>
      <c r="B6054" s="116"/>
    </row>
    <row r="6055" spans="1:2" x14ac:dyDescent="0.2">
      <c r="A6055" s="102"/>
      <c r="B6055" s="116"/>
    </row>
    <row r="6056" spans="1:2" x14ac:dyDescent="0.2">
      <c r="A6056" s="102"/>
      <c r="B6056" s="116"/>
    </row>
    <row r="6057" spans="1:2" x14ac:dyDescent="0.2">
      <c r="A6057" s="102"/>
      <c r="B6057" s="116"/>
    </row>
    <row r="6058" spans="1:2" x14ac:dyDescent="0.2">
      <c r="A6058" s="102"/>
      <c r="B6058" s="116"/>
    </row>
    <row r="6059" spans="1:2" x14ac:dyDescent="0.2">
      <c r="A6059" s="102"/>
      <c r="B6059" s="116"/>
    </row>
    <row r="6060" spans="1:2" x14ac:dyDescent="0.2">
      <c r="A6060" s="102"/>
      <c r="B6060" s="116"/>
    </row>
    <row r="6061" spans="1:2" x14ac:dyDescent="0.2">
      <c r="A6061" s="102"/>
      <c r="B6061" s="116"/>
    </row>
    <row r="6062" spans="1:2" x14ac:dyDescent="0.2">
      <c r="A6062" s="102"/>
      <c r="B6062" s="116"/>
    </row>
    <row r="6063" spans="1:2" x14ac:dyDescent="0.2">
      <c r="A6063" s="102"/>
      <c r="B6063" s="116"/>
    </row>
    <row r="6064" spans="1:2" x14ac:dyDescent="0.2">
      <c r="A6064" s="102"/>
      <c r="B6064" s="116"/>
    </row>
    <row r="6065" spans="1:2" x14ac:dyDescent="0.2">
      <c r="A6065" s="102"/>
      <c r="B6065" s="116"/>
    </row>
    <row r="6066" spans="1:2" x14ac:dyDescent="0.2">
      <c r="A6066" s="102"/>
      <c r="B6066" s="116"/>
    </row>
    <row r="6067" spans="1:2" x14ac:dyDescent="0.2">
      <c r="A6067" s="102"/>
      <c r="B6067" s="116"/>
    </row>
    <row r="6068" spans="1:2" x14ac:dyDescent="0.2">
      <c r="A6068" s="102"/>
      <c r="B6068" s="116"/>
    </row>
    <row r="6069" spans="1:2" x14ac:dyDescent="0.2">
      <c r="A6069" s="102"/>
      <c r="B6069" s="116"/>
    </row>
    <row r="6070" spans="1:2" x14ac:dyDescent="0.2">
      <c r="A6070" s="102"/>
      <c r="B6070" s="116"/>
    </row>
    <row r="6071" spans="1:2" x14ac:dyDescent="0.2">
      <c r="A6071" s="102"/>
      <c r="B6071" s="116"/>
    </row>
    <row r="6072" spans="1:2" x14ac:dyDescent="0.2">
      <c r="A6072" s="102"/>
      <c r="B6072" s="116"/>
    </row>
    <row r="6073" spans="1:2" x14ac:dyDescent="0.2">
      <c r="A6073" s="102"/>
      <c r="B6073" s="116"/>
    </row>
    <row r="6074" spans="1:2" x14ac:dyDescent="0.2">
      <c r="A6074" s="102"/>
      <c r="B6074" s="116"/>
    </row>
    <row r="6075" spans="1:2" x14ac:dyDescent="0.2">
      <c r="A6075" s="102"/>
      <c r="B6075" s="116"/>
    </row>
    <row r="6076" spans="1:2" x14ac:dyDescent="0.2">
      <c r="A6076" s="102"/>
      <c r="B6076" s="116"/>
    </row>
    <row r="6077" spans="1:2" x14ac:dyDescent="0.2">
      <c r="A6077" s="102"/>
      <c r="B6077" s="116"/>
    </row>
    <row r="6078" spans="1:2" x14ac:dyDescent="0.2">
      <c r="A6078" s="102"/>
      <c r="B6078" s="116"/>
    </row>
    <row r="6079" spans="1:2" x14ac:dyDescent="0.2">
      <c r="A6079" s="102"/>
      <c r="B6079" s="116"/>
    </row>
    <row r="6080" spans="1:2" x14ac:dyDescent="0.2">
      <c r="A6080" s="102"/>
      <c r="B6080" s="116"/>
    </row>
    <row r="6081" spans="1:2" x14ac:dyDescent="0.2">
      <c r="A6081" s="102"/>
      <c r="B6081" s="116"/>
    </row>
    <row r="6082" spans="1:2" x14ac:dyDescent="0.2">
      <c r="A6082" s="102"/>
      <c r="B6082" s="116"/>
    </row>
    <row r="6083" spans="1:2" x14ac:dyDescent="0.2">
      <c r="A6083" s="102"/>
      <c r="B6083" s="116"/>
    </row>
    <row r="6084" spans="1:2" x14ac:dyDescent="0.2">
      <c r="A6084" s="102"/>
      <c r="B6084" s="116"/>
    </row>
    <row r="6085" spans="1:2" x14ac:dyDescent="0.2">
      <c r="A6085" s="102"/>
      <c r="B6085" s="116"/>
    </row>
    <row r="6086" spans="1:2" x14ac:dyDescent="0.2">
      <c r="A6086" s="102"/>
      <c r="B6086" s="116"/>
    </row>
    <row r="6087" spans="1:2" x14ac:dyDescent="0.2">
      <c r="A6087" s="102"/>
      <c r="B6087" s="116"/>
    </row>
    <row r="6088" spans="1:2" x14ac:dyDescent="0.2">
      <c r="A6088" s="102"/>
      <c r="B6088" s="116"/>
    </row>
    <row r="6089" spans="1:2" x14ac:dyDescent="0.2">
      <c r="A6089" s="102"/>
      <c r="B6089" s="116"/>
    </row>
    <row r="6090" spans="1:2" x14ac:dyDescent="0.2">
      <c r="A6090" s="102"/>
      <c r="B6090" s="116"/>
    </row>
    <row r="6091" spans="1:2" x14ac:dyDescent="0.2">
      <c r="A6091" s="102"/>
      <c r="B6091" s="116"/>
    </row>
    <row r="6092" spans="1:2" x14ac:dyDescent="0.2">
      <c r="A6092" s="102"/>
      <c r="B6092" s="116"/>
    </row>
    <row r="6093" spans="1:2" x14ac:dyDescent="0.2">
      <c r="A6093" s="102"/>
      <c r="B6093" s="116"/>
    </row>
    <row r="6094" spans="1:2" x14ac:dyDescent="0.2">
      <c r="A6094" s="102"/>
      <c r="B6094" s="116"/>
    </row>
    <row r="6095" spans="1:2" x14ac:dyDescent="0.2">
      <c r="A6095" s="102"/>
      <c r="B6095" s="116"/>
    </row>
    <row r="6096" spans="1:2" x14ac:dyDescent="0.2">
      <c r="A6096" s="102"/>
      <c r="B6096" s="116"/>
    </row>
    <row r="6097" spans="1:2" x14ac:dyDescent="0.2">
      <c r="A6097" s="102"/>
      <c r="B6097" s="116"/>
    </row>
    <row r="6098" spans="1:2" x14ac:dyDescent="0.2">
      <c r="A6098" s="102"/>
      <c r="B6098" s="116"/>
    </row>
    <row r="6099" spans="1:2" x14ac:dyDescent="0.2">
      <c r="A6099" s="102"/>
      <c r="B6099" s="116"/>
    </row>
    <row r="6100" spans="1:2" x14ac:dyDescent="0.2">
      <c r="A6100" s="102"/>
      <c r="B6100" s="116"/>
    </row>
    <row r="6101" spans="1:2" x14ac:dyDescent="0.2">
      <c r="A6101" s="102"/>
      <c r="B6101" s="116"/>
    </row>
    <row r="6102" spans="1:2" x14ac:dyDescent="0.2">
      <c r="A6102" s="102"/>
      <c r="B6102" s="116"/>
    </row>
    <row r="6103" spans="1:2" x14ac:dyDescent="0.2">
      <c r="A6103" s="102"/>
      <c r="B6103" s="116"/>
    </row>
    <row r="6104" spans="1:2" x14ac:dyDescent="0.2">
      <c r="A6104" s="102"/>
      <c r="B6104" s="116"/>
    </row>
    <row r="6105" spans="1:2" x14ac:dyDescent="0.2">
      <c r="A6105" s="102"/>
      <c r="B6105" s="116"/>
    </row>
    <row r="6106" spans="1:2" x14ac:dyDescent="0.2">
      <c r="A6106" s="102"/>
      <c r="B6106" s="116"/>
    </row>
    <row r="6107" spans="1:2" x14ac:dyDescent="0.2">
      <c r="A6107" s="102"/>
      <c r="B6107" s="116"/>
    </row>
    <row r="6108" spans="1:2" x14ac:dyDescent="0.2">
      <c r="A6108" s="102"/>
      <c r="B6108" s="116"/>
    </row>
    <row r="6109" spans="1:2" x14ac:dyDescent="0.2">
      <c r="A6109" s="102"/>
      <c r="B6109" s="116"/>
    </row>
    <row r="6110" spans="1:2" x14ac:dyDescent="0.2">
      <c r="A6110" s="102"/>
      <c r="B6110" s="116"/>
    </row>
    <row r="6111" spans="1:2" x14ac:dyDescent="0.2">
      <c r="A6111" s="102"/>
      <c r="B6111" s="116"/>
    </row>
    <row r="6112" spans="1:2" x14ac:dyDescent="0.2">
      <c r="A6112" s="102"/>
      <c r="B6112" s="116"/>
    </row>
    <row r="6113" spans="1:2" x14ac:dyDescent="0.2">
      <c r="A6113" s="102"/>
      <c r="B6113" s="116"/>
    </row>
    <row r="6114" spans="1:2" x14ac:dyDescent="0.2">
      <c r="A6114" s="102"/>
      <c r="B6114" s="116"/>
    </row>
    <row r="6115" spans="1:2" x14ac:dyDescent="0.2">
      <c r="A6115" s="102"/>
      <c r="B6115" s="116"/>
    </row>
    <row r="6116" spans="1:2" x14ac:dyDescent="0.2">
      <c r="A6116" s="102"/>
      <c r="B6116" s="116"/>
    </row>
    <row r="6117" spans="1:2" x14ac:dyDescent="0.2">
      <c r="A6117" s="102"/>
      <c r="B6117" s="116"/>
    </row>
    <row r="6118" spans="1:2" x14ac:dyDescent="0.2">
      <c r="A6118" s="102"/>
      <c r="B6118" s="116"/>
    </row>
    <row r="6119" spans="1:2" x14ac:dyDescent="0.2">
      <c r="A6119" s="102"/>
      <c r="B6119" s="116"/>
    </row>
    <row r="6120" spans="1:2" x14ac:dyDescent="0.2">
      <c r="A6120" s="102"/>
      <c r="B6120" s="116"/>
    </row>
    <row r="6121" spans="1:2" x14ac:dyDescent="0.2">
      <c r="A6121" s="102"/>
      <c r="B6121" s="116"/>
    </row>
    <row r="6122" spans="1:2" x14ac:dyDescent="0.2">
      <c r="A6122" s="102"/>
      <c r="B6122" s="116"/>
    </row>
    <row r="6123" spans="1:2" x14ac:dyDescent="0.2">
      <c r="A6123" s="102"/>
      <c r="B6123" s="116"/>
    </row>
    <row r="6124" spans="1:2" x14ac:dyDescent="0.2">
      <c r="A6124" s="102"/>
      <c r="B6124" s="116"/>
    </row>
    <row r="6125" spans="1:2" x14ac:dyDescent="0.2">
      <c r="A6125" s="102"/>
      <c r="B6125" s="116"/>
    </row>
    <row r="6126" spans="1:2" x14ac:dyDescent="0.2">
      <c r="A6126" s="102"/>
      <c r="B6126" s="116"/>
    </row>
    <row r="6127" spans="1:2" x14ac:dyDescent="0.2">
      <c r="A6127" s="102"/>
      <c r="B6127" s="116"/>
    </row>
    <row r="6128" spans="1:2" x14ac:dyDescent="0.2">
      <c r="A6128" s="102"/>
      <c r="B6128" s="116"/>
    </row>
    <row r="6129" spans="1:2" x14ac:dyDescent="0.2">
      <c r="A6129" s="102"/>
      <c r="B6129" s="116"/>
    </row>
    <row r="6130" spans="1:2" x14ac:dyDescent="0.2">
      <c r="A6130" s="102"/>
      <c r="B6130" s="116"/>
    </row>
    <row r="6131" spans="1:2" x14ac:dyDescent="0.2">
      <c r="A6131" s="102"/>
      <c r="B6131" s="116"/>
    </row>
    <row r="6132" spans="1:2" x14ac:dyDescent="0.2">
      <c r="A6132" s="102"/>
      <c r="B6132" s="116"/>
    </row>
    <row r="6133" spans="1:2" x14ac:dyDescent="0.2">
      <c r="A6133" s="102"/>
      <c r="B6133" s="116"/>
    </row>
    <row r="6134" spans="1:2" x14ac:dyDescent="0.2">
      <c r="A6134" s="102"/>
      <c r="B6134" s="116"/>
    </row>
    <row r="6135" spans="1:2" x14ac:dyDescent="0.2">
      <c r="A6135" s="102"/>
      <c r="B6135" s="116"/>
    </row>
    <row r="6136" spans="1:2" x14ac:dyDescent="0.2">
      <c r="A6136" s="102"/>
      <c r="B6136" s="116"/>
    </row>
    <row r="6137" spans="1:2" x14ac:dyDescent="0.2">
      <c r="A6137" s="102"/>
      <c r="B6137" s="116"/>
    </row>
    <row r="6138" spans="1:2" x14ac:dyDescent="0.2">
      <c r="A6138" s="102"/>
      <c r="B6138" s="116"/>
    </row>
    <row r="6139" spans="1:2" x14ac:dyDescent="0.2">
      <c r="A6139" s="102"/>
      <c r="B6139" s="116"/>
    </row>
    <row r="6140" spans="1:2" x14ac:dyDescent="0.2">
      <c r="A6140" s="102"/>
      <c r="B6140" s="116"/>
    </row>
    <row r="6141" spans="1:2" x14ac:dyDescent="0.2">
      <c r="A6141" s="102"/>
      <c r="B6141" s="116"/>
    </row>
    <row r="6142" spans="1:2" x14ac:dyDescent="0.2">
      <c r="A6142" s="102"/>
      <c r="B6142" s="116"/>
    </row>
    <row r="6143" spans="1:2" x14ac:dyDescent="0.2">
      <c r="A6143" s="102"/>
      <c r="B6143" s="116"/>
    </row>
    <row r="6144" spans="1:2" x14ac:dyDescent="0.2">
      <c r="A6144" s="102"/>
      <c r="B6144" s="116"/>
    </row>
    <row r="6145" spans="1:2" x14ac:dyDescent="0.2">
      <c r="A6145" s="102"/>
      <c r="B6145" s="116"/>
    </row>
    <row r="6146" spans="1:2" x14ac:dyDescent="0.2">
      <c r="A6146" s="102"/>
      <c r="B6146" s="116"/>
    </row>
    <row r="6147" spans="1:2" x14ac:dyDescent="0.2">
      <c r="A6147" s="102"/>
      <c r="B6147" s="116"/>
    </row>
    <row r="6148" spans="1:2" x14ac:dyDescent="0.2">
      <c r="A6148" s="102"/>
      <c r="B6148" s="116"/>
    </row>
    <row r="6149" spans="1:2" x14ac:dyDescent="0.2">
      <c r="A6149" s="102"/>
      <c r="B6149" s="116"/>
    </row>
    <row r="6150" spans="1:2" x14ac:dyDescent="0.2">
      <c r="A6150" s="102"/>
      <c r="B6150" s="116"/>
    </row>
    <row r="6151" spans="1:2" x14ac:dyDescent="0.2">
      <c r="A6151" s="102"/>
      <c r="B6151" s="116"/>
    </row>
    <row r="6152" spans="1:2" x14ac:dyDescent="0.2">
      <c r="A6152" s="102"/>
      <c r="B6152" s="116"/>
    </row>
    <row r="6153" spans="1:2" x14ac:dyDescent="0.2">
      <c r="A6153" s="102"/>
      <c r="B6153" s="116"/>
    </row>
    <row r="6154" spans="1:2" x14ac:dyDescent="0.2">
      <c r="A6154" s="102"/>
      <c r="B6154" s="116"/>
    </row>
    <row r="6155" spans="1:2" x14ac:dyDescent="0.2">
      <c r="A6155" s="102"/>
      <c r="B6155" s="116"/>
    </row>
    <row r="6156" spans="1:2" x14ac:dyDescent="0.2">
      <c r="A6156" s="102"/>
      <c r="B6156" s="116"/>
    </row>
    <row r="6157" spans="1:2" x14ac:dyDescent="0.2">
      <c r="A6157" s="102"/>
      <c r="B6157" s="116"/>
    </row>
    <row r="6158" spans="1:2" x14ac:dyDescent="0.2">
      <c r="A6158" s="102"/>
      <c r="B6158" s="116"/>
    </row>
    <row r="6159" spans="1:2" x14ac:dyDescent="0.2">
      <c r="A6159" s="102"/>
      <c r="B6159" s="116"/>
    </row>
    <row r="6160" spans="1:2" x14ac:dyDescent="0.2">
      <c r="A6160" s="102"/>
      <c r="B6160" s="116"/>
    </row>
    <row r="6161" spans="1:2" x14ac:dyDescent="0.2">
      <c r="A6161" s="102"/>
      <c r="B6161" s="116"/>
    </row>
    <row r="6162" spans="1:2" x14ac:dyDescent="0.2">
      <c r="A6162" s="102"/>
      <c r="B6162" s="116"/>
    </row>
    <row r="6163" spans="1:2" x14ac:dyDescent="0.2">
      <c r="A6163" s="102"/>
      <c r="B6163" s="116"/>
    </row>
    <row r="6164" spans="1:2" x14ac:dyDescent="0.2">
      <c r="A6164" s="102"/>
      <c r="B6164" s="116"/>
    </row>
    <row r="6165" spans="1:2" x14ac:dyDescent="0.2">
      <c r="A6165" s="102"/>
      <c r="B6165" s="116"/>
    </row>
    <row r="6166" spans="1:2" x14ac:dyDescent="0.2">
      <c r="A6166" s="102"/>
      <c r="B6166" s="116"/>
    </row>
    <row r="6167" spans="1:2" x14ac:dyDescent="0.2">
      <c r="A6167" s="102"/>
      <c r="B6167" s="116"/>
    </row>
    <row r="6168" spans="1:2" x14ac:dyDescent="0.2">
      <c r="A6168" s="102"/>
      <c r="B6168" s="116"/>
    </row>
    <row r="6169" spans="1:2" x14ac:dyDescent="0.2">
      <c r="A6169" s="102"/>
      <c r="B6169" s="116"/>
    </row>
    <row r="6170" spans="1:2" x14ac:dyDescent="0.2">
      <c r="A6170" s="102"/>
      <c r="B6170" s="116"/>
    </row>
    <row r="6171" spans="1:2" x14ac:dyDescent="0.2">
      <c r="A6171" s="102"/>
      <c r="B6171" s="116"/>
    </row>
    <row r="6172" spans="1:2" x14ac:dyDescent="0.2">
      <c r="A6172" s="102"/>
      <c r="B6172" s="116"/>
    </row>
    <row r="6173" spans="1:2" x14ac:dyDescent="0.2">
      <c r="A6173" s="102"/>
      <c r="B6173" s="116"/>
    </row>
    <row r="6174" spans="1:2" x14ac:dyDescent="0.2">
      <c r="A6174" s="102"/>
      <c r="B6174" s="116"/>
    </row>
    <row r="6175" spans="1:2" x14ac:dyDescent="0.2">
      <c r="A6175" s="102"/>
      <c r="B6175" s="116"/>
    </row>
    <row r="6176" spans="1:2" x14ac:dyDescent="0.2">
      <c r="A6176" s="102"/>
      <c r="B6176" s="116"/>
    </row>
    <row r="6177" spans="1:2" x14ac:dyDescent="0.2">
      <c r="A6177" s="102"/>
      <c r="B6177" s="116"/>
    </row>
    <row r="6178" spans="1:2" x14ac:dyDescent="0.2">
      <c r="A6178" s="102"/>
      <c r="B6178" s="116"/>
    </row>
    <row r="6179" spans="1:2" x14ac:dyDescent="0.2">
      <c r="A6179" s="102"/>
      <c r="B6179" s="116"/>
    </row>
    <row r="6180" spans="1:2" x14ac:dyDescent="0.2">
      <c r="A6180" s="102"/>
      <c r="B6180" s="116"/>
    </row>
    <row r="6181" spans="1:2" x14ac:dyDescent="0.2">
      <c r="A6181" s="102"/>
      <c r="B6181" s="116"/>
    </row>
    <row r="6182" spans="1:2" x14ac:dyDescent="0.2">
      <c r="A6182" s="102"/>
      <c r="B6182" s="116"/>
    </row>
    <row r="6183" spans="1:2" x14ac:dyDescent="0.2">
      <c r="A6183" s="102"/>
      <c r="B6183" s="116"/>
    </row>
    <row r="6184" spans="1:2" x14ac:dyDescent="0.2">
      <c r="A6184" s="102"/>
      <c r="B6184" s="116"/>
    </row>
    <row r="6185" spans="1:2" x14ac:dyDescent="0.2">
      <c r="A6185" s="102"/>
      <c r="B6185" s="116"/>
    </row>
    <row r="6186" spans="1:2" x14ac:dyDescent="0.2">
      <c r="A6186" s="102"/>
      <c r="B6186" s="116"/>
    </row>
    <row r="6187" spans="1:2" x14ac:dyDescent="0.2">
      <c r="A6187" s="102"/>
      <c r="B6187" s="116"/>
    </row>
    <row r="6188" spans="1:2" x14ac:dyDescent="0.2">
      <c r="A6188" s="102"/>
      <c r="B6188" s="116"/>
    </row>
    <row r="6189" spans="1:2" x14ac:dyDescent="0.2">
      <c r="A6189" s="102"/>
      <c r="B6189" s="116"/>
    </row>
    <row r="6190" spans="1:2" x14ac:dyDescent="0.2">
      <c r="A6190" s="102"/>
      <c r="B6190" s="116"/>
    </row>
    <row r="6191" spans="1:2" x14ac:dyDescent="0.2">
      <c r="A6191" s="102"/>
      <c r="B6191" s="116"/>
    </row>
    <row r="6192" spans="1:2" x14ac:dyDescent="0.2">
      <c r="A6192" s="102"/>
      <c r="B6192" s="116"/>
    </row>
    <row r="6193" spans="1:2" x14ac:dyDescent="0.2">
      <c r="A6193" s="102"/>
      <c r="B6193" s="116"/>
    </row>
    <row r="6194" spans="1:2" x14ac:dyDescent="0.2">
      <c r="A6194" s="102"/>
      <c r="B6194" s="116"/>
    </row>
    <row r="6195" spans="1:2" x14ac:dyDescent="0.2">
      <c r="A6195" s="102"/>
      <c r="B6195" s="116"/>
    </row>
    <row r="6196" spans="1:2" x14ac:dyDescent="0.2">
      <c r="A6196" s="102"/>
      <c r="B6196" s="116"/>
    </row>
    <row r="6197" spans="1:2" x14ac:dyDescent="0.2">
      <c r="A6197" s="102"/>
      <c r="B6197" s="116"/>
    </row>
    <row r="6198" spans="1:2" x14ac:dyDescent="0.2">
      <c r="A6198" s="102"/>
      <c r="B6198" s="116"/>
    </row>
    <row r="6199" spans="1:2" x14ac:dyDescent="0.2">
      <c r="A6199" s="102"/>
      <c r="B6199" s="116"/>
    </row>
    <row r="6200" spans="1:2" x14ac:dyDescent="0.2">
      <c r="A6200" s="102"/>
      <c r="B6200" s="116"/>
    </row>
    <row r="6201" spans="1:2" x14ac:dyDescent="0.2">
      <c r="A6201" s="102"/>
      <c r="B6201" s="116"/>
    </row>
    <row r="6202" spans="1:2" x14ac:dyDescent="0.2">
      <c r="A6202" s="102"/>
      <c r="B6202" s="116"/>
    </row>
    <row r="6203" spans="1:2" x14ac:dyDescent="0.2">
      <c r="A6203" s="102"/>
      <c r="B6203" s="116"/>
    </row>
    <row r="6204" spans="1:2" x14ac:dyDescent="0.2">
      <c r="A6204" s="102"/>
      <c r="B6204" s="116"/>
    </row>
    <row r="6205" spans="1:2" x14ac:dyDescent="0.2">
      <c r="A6205" s="102"/>
      <c r="B6205" s="116"/>
    </row>
    <row r="6206" spans="1:2" x14ac:dyDescent="0.2">
      <c r="A6206" s="102"/>
      <c r="B6206" s="116"/>
    </row>
    <row r="6207" spans="1:2" x14ac:dyDescent="0.2">
      <c r="A6207" s="102"/>
      <c r="B6207" s="116"/>
    </row>
    <row r="6208" spans="1:2" x14ac:dyDescent="0.2">
      <c r="A6208" s="102"/>
      <c r="B6208" s="116"/>
    </row>
    <row r="6209" spans="1:2" x14ac:dyDescent="0.2">
      <c r="A6209" s="102"/>
      <c r="B6209" s="116"/>
    </row>
    <row r="6210" spans="1:2" x14ac:dyDescent="0.2">
      <c r="A6210" s="102"/>
      <c r="B6210" s="116"/>
    </row>
    <row r="6211" spans="1:2" x14ac:dyDescent="0.2">
      <c r="A6211" s="102"/>
      <c r="B6211" s="116"/>
    </row>
    <row r="6212" spans="1:2" x14ac:dyDescent="0.2">
      <c r="A6212" s="102"/>
      <c r="B6212" s="116"/>
    </row>
    <row r="6213" spans="1:2" x14ac:dyDescent="0.2">
      <c r="A6213" s="102"/>
      <c r="B6213" s="116"/>
    </row>
    <row r="6214" spans="1:2" x14ac:dyDescent="0.2">
      <c r="A6214" s="102"/>
      <c r="B6214" s="116"/>
    </row>
    <row r="6215" spans="1:2" x14ac:dyDescent="0.2">
      <c r="A6215" s="102"/>
      <c r="B6215" s="116"/>
    </row>
    <row r="6216" spans="1:2" x14ac:dyDescent="0.2">
      <c r="A6216" s="102"/>
      <c r="B6216" s="116"/>
    </row>
    <row r="6217" spans="1:2" x14ac:dyDescent="0.2">
      <c r="A6217" s="102"/>
      <c r="B6217" s="116"/>
    </row>
    <row r="6218" spans="1:2" x14ac:dyDescent="0.2">
      <c r="A6218" s="102"/>
      <c r="B6218" s="116"/>
    </row>
    <row r="6219" spans="1:2" x14ac:dyDescent="0.2">
      <c r="A6219" s="102"/>
      <c r="B6219" s="116"/>
    </row>
    <row r="6220" spans="1:2" x14ac:dyDescent="0.2">
      <c r="A6220" s="102"/>
      <c r="B6220" s="116"/>
    </row>
    <row r="6221" spans="1:2" x14ac:dyDescent="0.2">
      <c r="A6221" s="102"/>
      <c r="B6221" s="116"/>
    </row>
    <row r="6222" spans="1:2" x14ac:dyDescent="0.2">
      <c r="A6222" s="102"/>
      <c r="B6222" s="116"/>
    </row>
    <row r="6223" spans="1:2" x14ac:dyDescent="0.2">
      <c r="A6223" s="102"/>
      <c r="B6223" s="116"/>
    </row>
    <row r="6224" spans="1:2" x14ac:dyDescent="0.2">
      <c r="A6224" s="102"/>
      <c r="B6224" s="116"/>
    </row>
    <row r="6225" spans="1:2" x14ac:dyDescent="0.2">
      <c r="A6225" s="102"/>
      <c r="B6225" s="116"/>
    </row>
    <row r="6226" spans="1:2" x14ac:dyDescent="0.2">
      <c r="A6226" s="102"/>
      <c r="B6226" s="116"/>
    </row>
    <row r="6227" spans="1:2" x14ac:dyDescent="0.2">
      <c r="A6227" s="102"/>
      <c r="B6227" s="116"/>
    </row>
    <row r="6228" spans="1:2" x14ac:dyDescent="0.2">
      <c r="A6228" s="102"/>
      <c r="B6228" s="116"/>
    </row>
    <row r="6229" spans="1:2" x14ac:dyDescent="0.2">
      <c r="A6229" s="102"/>
      <c r="B6229" s="116"/>
    </row>
    <row r="6230" spans="1:2" x14ac:dyDescent="0.2">
      <c r="A6230" s="102"/>
      <c r="B6230" s="116"/>
    </row>
    <row r="6231" spans="1:2" x14ac:dyDescent="0.2">
      <c r="A6231" s="102"/>
      <c r="B6231" s="116"/>
    </row>
    <row r="6232" spans="1:2" x14ac:dyDescent="0.2">
      <c r="A6232" s="102"/>
      <c r="B6232" s="116"/>
    </row>
    <row r="6233" spans="1:2" x14ac:dyDescent="0.2">
      <c r="A6233" s="102"/>
      <c r="B6233" s="116"/>
    </row>
    <row r="6234" spans="1:2" x14ac:dyDescent="0.2">
      <c r="A6234" s="102"/>
      <c r="B6234" s="116"/>
    </row>
    <row r="6235" spans="1:2" x14ac:dyDescent="0.2">
      <c r="A6235" s="102"/>
      <c r="B6235" s="116"/>
    </row>
    <row r="6236" spans="1:2" x14ac:dyDescent="0.2">
      <c r="A6236" s="102"/>
      <c r="B6236" s="116"/>
    </row>
    <row r="6237" spans="1:2" x14ac:dyDescent="0.2">
      <c r="A6237" s="102"/>
      <c r="B6237" s="116"/>
    </row>
    <row r="6238" spans="1:2" x14ac:dyDescent="0.2">
      <c r="A6238" s="102"/>
      <c r="B6238" s="116"/>
    </row>
    <row r="6239" spans="1:2" x14ac:dyDescent="0.2">
      <c r="A6239" s="102"/>
      <c r="B6239" s="116"/>
    </row>
    <row r="6240" spans="1:2" x14ac:dyDescent="0.2">
      <c r="A6240" s="102"/>
      <c r="B6240" s="116"/>
    </row>
    <row r="6241" spans="1:2" x14ac:dyDescent="0.2">
      <c r="A6241" s="102"/>
      <c r="B6241" s="116"/>
    </row>
    <row r="6242" spans="1:2" x14ac:dyDescent="0.2">
      <c r="A6242" s="102"/>
      <c r="B6242" s="116"/>
    </row>
    <row r="6243" spans="1:2" x14ac:dyDescent="0.2">
      <c r="A6243" s="102"/>
      <c r="B6243" s="116"/>
    </row>
    <row r="6244" spans="1:2" x14ac:dyDescent="0.2">
      <c r="A6244" s="102"/>
      <c r="B6244" s="116"/>
    </row>
    <row r="6245" spans="1:2" x14ac:dyDescent="0.2">
      <c r="A6245" s="102"/>
      <c r="B6245" s="116"/>
    </row>
    <row r="6246" spans="1:2" x14ac:dyDescent="0.2">
      <c r="A6246" s="102"/>
      <c r="B6246" s="116"/>
    </row>
    <row r="6247" spans="1:2" x14ac:dyDescent="0.2">
      <c r="A6247" s="102"/>
      <c r="B6247" s="116"/>
    </row>
    <row r="6248" spans="1:2" x14ac:dyDescent="0.2">
      <c r="A6248" s="102"/>
      <c r="B6248" s="116"/>
    </row>
    <row r="6249" spans="1:2" x14ac:dyDescent="0.2">
      <c r="A6249" s="102"/>
      <c r="B6249" s="116"/>
    </row>
    <row r="6250" spans="1:2" x14ac:dyDescent="0.2">
      <c r="A6250" s="102"/>
      <c r="B6250" s="116"/>
    </row>
    <row r="6251" spans="1:2" x14ac:dyDescent="0.2">
      <c r="A6251" s="102"/>
      <c r="B6251" s="116"/>
    </row>
    <row r="6252" spans="1:2" x14ac:dyDescent="0.2">
      <c r="A6252" s="102"/>
      <c r="B6252" s="116"/>
    </row>
    <row r="6253" spans="1:2" x14ac:dyDescent="0.2">
      <c r="A6253" s="102"/>
      <c r="B6253" s="116"/>
    </row>
    <row r="6254" spans="1:2" x14ac:dyDescent="0.2">
      <c r="A6254" s="102"/>
      <c r="B6254" s="116"/>
    </row>
    <row r="6255" spans="1:2" x14ac:dyDescent="0.2">
      <c r="A6255" s="102"/>
      <c r="B6255" s="116"/>
    </row>
    <row r="6256" spans="1:2" x14ac:dyDescent="0.2">
      <c r="A6256" s="102"/>
      <c r="B6256" s="116"/>
    </row>
    <row r="6257" spans="1:2" x14ac:dyDescent="0.2">
      <c r="A6257" s="102"/>
      <c r="B6257" s="116"/>
    </row>
    <row r="6258" spans="1:2" x14ac:dyDescent="0.2">
      <c r="A6258" s="102"/>
      <c r="B6258" s="116"/>
    </row>
    <row r="6259" spans="1:2" x14ac:dyDescent="0.2">
      <c r="A6259" s="102"/>
      <c r="B6259" s="116"/>
    </row>
    <row r="6260" spans="1:2" x14ac:dyDescent="0.2">
      <c r="A6260" s="102"/>
      <c r="B6260" s="116"/>
    </row>
    <row r="6261" spans="1:2" x14ac:dyDescent="0.2">
      <c r="A6261" s="102"/>
      <c r="B6261" s="116"/>
    </row>
    <row r="6262" spans="1:2" x14ac:dyDescent="0.2">
      <c r="A6262" s="102"/>
      <c r="B6262" s="116"/>
    </row>
    <row r="6263" spans="1:2" x14ac:dyDescent="0.2">
      <c r="A6263" s="102"/>
      <c r="B6263" s="116"/>
    </row>
    <row r="6264" spans="1:2" x14ac:dyDescent="0.2">
      <c r="A6264" s="102"/>
      <c r="B6264" s="116"/>
    </row>
    <row r="6265" spans="1:2" x14ac:dyDescent="0.2">
      <c r="A6265" s="102"/>
      <c r="B6265" s="116"/>
    </row>
    <row r="6266" spans="1:2" x14ac:dyDescent="0.2">
      <c r="A6266" s="102"/>
      <c r="B6266" s="116"/>
    </row>
    <row r="6267" spans="1:2" x14ac:dyDescent="0.2">
      <c r="A6267" s="102"/>
      <c r="B6267" s="116"/>
    </row>
    <row r="6268" spans="1:2" x14ac:dyDescent="0.2">
      <c r="A6268" s="102"/>
      <c r="B6268" s="116"/>
    </row>
    <row r="6269" spans="1:2" x14ac:dyDescent="0.2">
      <c r="A6269" s="102"/>
      <c r="B6269" s="116"/>
    </row>
    <row r="6270" spans="1:2" x14ac:dyDescent="0.2">
      <c r="A6270" s="102"/>
      <c r="B6270" s="116"/>
    </row>
    <row r="6271" spans="1:2" x14ac:dyDescent="0.2">
      <c r="A6271" s="102"/>
      <c r="B6271" s="116"/>
    </row>
    <row r="6272" spans="1:2" x14ac:dyDescent="0.2">
      <c r="A6272" s="102"/>
      <c r="B6272" s="116"/>
    </row>
    <row r="6273" spans="1:2" x14ac:dyDescent="0.2">
      <c r="A6273" s="102"/>
      <c r="B6273" s="116"/>
    </row>
    <row r="6274" spans="1:2" x14ac:dyDescent="0.2">
      <c r="A6274" s="102"/>
      <c r="B6274" s="116"/>
    </row>
    <row r="6275" spans="1:2" x14ac:dyDescent="0.2">
      <c r="A6275" s="102"/>
      <c r="B6275" s="116"/>
    </row>
    <row r="6276" spans="1:2" x14ac:dyDescent="0.2">
      <c r="A6276" s="102"/>
      <c r="B6276" s="116"/>
    </row>
    <row r="6277" spans="1:2" x14ac:dyDescent="0.2">
      <c r="A6277" s="102"/>
      <c r="B6277" s="116"/>
    </row>
    <row r="6278" spans="1:2" x14ac:dyDescent="0.2">
      <c r="A6278" s="102"/>
      <c r="B6278" s="116"/>
    </row>
    <row r="6279" spans="1:2" x14ac:dyDescent="0.2">
      <c r="A6279" s="102"/>
      <c r="B6279" s="116"/>
    </row>
    <row r="6280" spans="1:2" x14ac:dyDescent="0.2">
      <c r="A6280" s="102"/>
      <c r="B6280" s="116"/>
    </row>
    <row r="6281" spans="1:2" x14ac:dyDescent="0.2">
      <c r="A6281" s="102"/>
      <c r="B6281" s="116"/>
    </row>
    <row r="6282" spans="1:2" x14ac:dyDescent="0.2">
      <c r="A6282" s="102"/>
      <c r="B6282" s="116"/>
    </row>
    <row r="6283" spans="1:2" x14ac:dyDescent="0.2">
      <c r="A6283" s="102"/>
      <c r="B6283" s="116"/>
    </row>
    <row r="6284" spans="1:2" x14ac:dyDescent="0.2">
      <c r="A6284" s="102"/>
      <c r="B6284" s="116"/>
    </row>
    <row r="6285" spans="1:2" x14ac:dyDescent="0.2">
      <c r="A6285" s="102"/>
      <c r="B6285" s="116"/>
    </row>
    <row r="6286" spans="1:2" x14ac:dyDescent="0.2">
      <c r="A6286" s="102"/>
      <c r="B6286" s="116"/>
    </row>
    <row r="6287" spans="1:2" x14ac:dyDescent="0.2">
      <c r="A6287" s="102"/>
      <c r="B6287" s="116"/>
    </row>
    <row r="6288" spans="1:2" x14ac:dyDescent="0.2">
      <c r="A6288" s="102"/>
      <c r="B6288" s="116"/>
    </row>
    <row r="6289" spans="1:2" x14ac:dyDescent="0.2">
      <c r="A6289" s="102"/>
      <c r="B6289" s="116"/>
    </row>
    <row r="6290" spans="1:2" x14ac:dyDescent="0.2">
      <c r="A6290" s="102"/>
      <c r="B6290" s="116"/>
    </row>
    <row r="6291" spans="1:2" x14ac:dyDescent="0.2">
      <c r="A6291" s="102"/>
      <c r="B6291" s="116"/>
    </row>
    <row r="6292" spans="1:2" x14ac:dyDescent="0.2">
      <c r="A6292" s="102"/>
      <c r="B6292" s="116"/>
    </row>
    <row r="6293" spans="1:2" x14ac:dyDescent="0.2">
      <c r="A6293" s="102"/>
      <c r="B6293" s="116"/>
    </row>
    <row r="6294" spans="1:2" x14ac:dyDescent="0.2">
      <c r="A6294" s="102"/>
      <c r="B6294" s="116"/>
    </row>
    <row r="6295" spans="1:2" x14ac:dyDescent="0.2">
      <c r="A6295" s="102"/>
      <c r="B6295" s="116"/>
    </row>
    <row r="6296" spans="1:2" x14ac:dyDescent="0.2">
      <c r="A6296" s="102"/>
      <c r="B6296" s="116"/>
    </row>
    <row r="6297" spans="1:2" x14ac:dyDescent="0.2">
      <c r="A6297" s="102"/>
      <c r="B6297" s="116"/>
    </row>
    <row r="6298" spans="1:2" x14ac:dyDescent="0.2">
      <c r="A6298" s="102"/>
      <c r="B6298" s="116"/>
    </row>
    <row r="6299" spans="1:2" x14ac:dyDescent="0.2">
      <c r="A6299" s="102"/>
      <c r="B6299" s="116"/>
    </row>
    <row r="6300" spans="1:2" x14ac:dyDescent="0.2">
      <c r="A6300" s="102"/>
      <c r="B6300" s="116"/>
    </row>
    <row r="6301" spans="1:2" x14ac:dyDescent="0.2">
      <c r="A6301" s="102"/>
      <c r="B6301" s="116"/>
    </row>
    <row r="6302" spans="1:2" x14ac:dyDescent="0.2">
      <c r="A6302" s="102"/>
      <c r="B6302" s="116"/>
    </row>
    <row r="6303" spans="1:2" x14ac:dyDescent="0.2">
      <c r="A6303" s="102"/>
      <c r="B6303" s="116"/>
    </row>
    <row r="6304" spans="1:2" x14ac:dyDescent="0.2">
      <c r="A6304" s="102"/>
      <c r="B6304" s="116"/>
    </row>
    <row r="6305" spans="1:2" x14ac:dyDescent="0.2">
      <c r="A6305" s="102"/>
      <c r="B6305" s="116"/>
    </row>
    <row r="6306" spans="1:2" x14ac:dyDescent="0.2">
      <c r="A6306" s="102"/>
      <c r="B6306" s="116"/>
    </row>
    <row r="6307" spans="1:2" x14ac:dyDescent="0.2">
      <c r="A6307" s="102"/>
      <c r="B6307" s="116"/>
    </row>
    <row r="6308" spans="1:2" x14ac:dyDescent="0.2">
      <c r="A6308" s="102"/>
      <c r="B6308" s="116"/>
    </row>
    <row r="6309" spans="1:2" x14ac:dyDescent="0.2">
      <c r="A6309" s="102"/>
      <c r="B6309" s="116"/>
    </row>
    <row r="6310" spans="1:2" x14ac:dyDescent="0.2">
      <c r="A6310" s="102"/>
      <c r="B6310" s="116"/>
    </row>
    <row r="6311" spans="1:2" x14ac:dyDescent="0.2">
      <c r="A6311" s="102"/>
      <c r="B6311" s="116"/>
    </row>
    <row r="6312" spans="1:2" x14ac:dyDescent="0.2">
      <c r="A6312" s="102"/>
      <c r="B6312" s="116"/>
    </row>
    <row r="6313" spans="1:2" x14ac:dyDescent="0.2">
      <c r="A6313" s="102"/>
      <c r="B6313" s="116"/>
    </row>
    <row r="6314" spans="1:2" x14ac:dyDescent="0.2">
      <c r="A6314" s="102"/>
      <c r="B6314" s="116"/>
    </row>
    <row r="6315" spans="1:2" x14ac:dyDescent="0.2">
      <c r="A6315" s="102"/>
      <c r="B6315" s="116"/>
    </row>
    <row r="6316" spans="1:2" x14ac:dyDescent="0.2">
      <c r="A6316" s="102"/>
      <c r="B6316" s="116"/>
    </row>
    <row r="6317" spans="1:2" x14ac:dyDescent="0.2">
      <c r="A6317" s="102"/>
      <c r="B6317" s="116"/>
    </row>
    <row r="6318" spans="1:2" x14ac:dyDescent="0.2">
      <c r="A6318" s="102"/>
      <c r="B6318" s="116"/>
    </row>
    <row r="6319" spans="1:2" x14ac:dyDescent="0.2">
      <c r="A6319" s="102"/>
      <c r="B6319" s="116"/>
    </row>
    <row r="6320" spans="1:2" x14ac:dyDescent="0.2">
      <c r="A6320" s="102"/>
      <c r="B6320" s="116"/>
    </row>
    <row r="6321" spans="1:2" x14ac:dyDescent="0.2">
      <c r="A6321" s="102"/>
      <c r="B6321" s="116"/>
    </row>
    <row r="6322" spans="1:2" x14ac:dyDescent="0.2">
      <c r="A6322" s="102"/>
      <c r="B6322" s="116"/>
    </row>
    <row r="6323" spans="1:2" x14ac:dyDescent="0.2">
      <c r="A6323" s="102"/>
      <c r="B6323" s="116"/>
    </row>
    <row r="6324" spans="1:2" x14ac:dyDescent="0.2">
      <c r="A6324" s="102"/>
      <c r="B6324" s="116"/>
    </row>
    <row r="6325" spans="1:2" x14ac:dyDescent="0.2">
      <c r="A6325" s="102"/>
      <c r="B6325" s="116"/>
    </row>
    <row r="6326" spans="1:2" x14ac:dyDescent="0.2">
      <c r="A6326" s="102"/>
      <c r="B6326" s="116"/>
    </row>
    <row r="6327" spans="1:2" x14ac:dyDescent="0.2">
      <c r="A6327" s="102"/>
      <c r="B6327" s="116"/>
    </row>
    <row r="6328" spans="1:2" x14ac:dyDescent="0.2">
      <c r="A6328" s="102"/>
      <c r="B6328" s="116"/>
    </row>
    <row r="6329" spans="1:2" x14ac:dyDescent="0.2">
      <c r="A6329" s="102"/>
      <c r="B6329" s="116"/>
    </row>
    <row r="6330" spans="1:2" x14ac:dyDescent="0.2">
      <c r="A6330" s="102"/>
      <c r="B6330" s="116"/>
    </row>
    <row r="6331" spans="1:2" x14ac:dyDescent="0.2">
      <c r="A6331" s="102"/>
      <c r="B6331" s="116"/>
    </row>
    <row r="6332" spans="1:2" x14ac:dyDescent="0.2">
      <c r="A6332" s="102"/>
      <c r="B6332" s="116"/>
    </row>
    <row r="6333" spans="1:2" x14ac:dyDescent="0.2">
      <c r="A6333" s="102"/>
      <c r="B6333" s="116"/>
    </row>
    <row r="6334" spans="1:2" x14ac:dyDescent="0.2">
      <c r="A6334" s="102"/>
      <c r="B6334" s="116"/>
    </row>
    <row r="6335" spans="1:2" x14ac:dyDescent="0.2">
      <c r="A6335" s="102"/>
      <c r="B6335" s="116"/>
    </row>
    <row r="6336" spans="1:2" x14ac:dyDescent="0.2">
      <c r="A6336" s="102"/>
      <c r="B6336" s="116"/>
    </row>
    <row r="6337" spans="1:2" x14ac:dyDescent="0.2">
      <c r="A6337" s="102"/>
      <c r="B6337" s="116"/>
    </row>
    <row r="6338" spans="1:2" x14ac:dyDescent="0.2">
      <c r="A6338" s="102"/>
      <c r="B6338" s="116"/>
    </row>
    <row r="6339" spans="1:2" x14ac:dyDescent="0.2">
      <c r="A6339" s="102"/>
      <c r="B6339" s="116"/>
    </row>
    <row r="6340" spans="1:2" x14ac:dyDescent="0.2">
      <c r="A6340" s="102"/>
      <c r="B6340" s="116"/>
    </row>
    <row r="6341" spans="1:2" x14ac:dyDescent="0.2">
      <c r="A6341" s="102"/>
      <c r="B6341" s="116"/>
    </row>
    <row r="6342" spans="1:2" x14ac:dyDescent="0.2">
      <c r="A6342" s="102"/>
      <c r="B6342" s="116"/>
    </row>
    <row r="6343" spans="1:2" x14ac:dyDescent="0.2">
      <c r="A6343" s="102"/>
      <c r="B6343" s="116"/>
    </row>
    <row r="6344" spans="1:2" x14ac:dyDescent="0.2">
      <c r="A6344" s="102"/>
      <c r="B6344" s="116"/>
    </row>
    <row r="6345" spans="1:2" x14ac:dyDescent="0.2">
      <c r="A6345" s="102"/>
      <c r="B6345" s="116"/>
    </row>
    <row r="6346" spans="1:2" x14ac:dyDescent="0.2">
      <c r="A6346" s="102"/>
      <c r="B6346" s="116"/>
    </row>
    <row r="6347" spans="1:2" x14ac:dyDescent="0.2">
      <c r="A6347" s="102"/>
      <c r="B6347" s="116"/>
    </row>
    <row r="6348" spans="1:2" x14ac:dyDescent="0.2">
      <c r="A6348" s="102"/>
      <c r="B6348" s="116"/>
    </row>
    <row r="6349" spans="1:2" x14ac:dyDescent="0.2">
      <c r="A6349" s="102"/>
      <c r="B6349" s="116"/>
    </row>
    <row r="6350" spans="1:2" x14ac:dyDescent="0.2">
      <c r="A6350" s="102"/>
      <c r="B6350" s="116"/>
    </row>
    <row r="6351" spans="1:2" x14ac:dyDescent="0.2">
      <c r="A6351" s="102"/>
      <c r="B6351" s="116"/>
    </row>
    <row r="6352" spans="1:2" x14ac:dyDescent="0.2">
      <c r="A6352" s="102"/>
      <c r="B6352" s="116"/>
    </row>
    <row r="6353" spans="1:2" x14ac:dyDescent="0.2">
      <c r="A6353" s="102"/>
      <c r="B6353" s="116"/>
    </row>
    <row r="6354" spans="1:2" x14ac:dyDescent="0.2">
      <c r="A6354" s="102"/>
      <c r="B6354" s="116"/>
    </row>
    <row r="6355" spans="1:2" x14ac:dyDescent="0.2">
      <c r="A6355" s="102"/>
      <c r="B6355" s="116"/>
    </row>
    <row r="6356" spans="1:2" x14ac:dyDescent="0.2">
      <c r="A6356" s="102"/>
      <c r="B6356" s="116"/>
    </row>
    <row r="6357" spans="1:2" x14ac:dyDescent="0.2">
      <c r="A6357" s="102"/>
      <c r="B6357" s="116"/>
    </row>
    <row r="6358" spans="1:2" x14ac:dyDescent="0.2">
      <c r="A6358" s="102"/>
      <c r="B6358" s="116"/>
    </row>
    <row r="6359" spans="1:2" x14ac:dyDescent="0.2">
      <c r="A6359" s="102"/>
      <c r="B6359" s="116"/>
    </row>
    <row r="6360" spans="1:2" x14ac:dyDescent="0.2">
      <c r="A6360" s="102"/>
      <c r="B6360" s="116"/>
    </row>
    <row r="6361" spans="1:2" x14ac:dyDescent="0.2">
      <c r="A6361" s="102"/>
      <c r="B6361" s="116"/>
    </row>
    <row r="6362" spans="1:2" x14ac:dyDescent="0.2">
      <c r="A6362" s="102"/>
      <c r="B6362" s="116"/>
    </row>
    <row r="6363" spans="1:2" x14ac:dyDescent="0.2">
      <c r="A6363" s="102"/>
      <c r="B6363" s="116"/>
    </row>
    <row r="6364" spans="1:2" x14ac:dyDescent="0.2">
      <c r="A6364" s="102"/>
      <c r="B6364" s="116"/>
    </row>
    <row r="6365" spans="1:2" x14ac:dyDescent="0.2">
      <c r="A6365" s="102"/>
      <c r="B6365" s="116"/>
    </row>
    <row r="6366" spans="1:2" x14ac:dyDescent="0.2">
      <c r="A6366" s="102"/>
      <c r="B6366" s="116"/>
    </row>
    <row r="6367" spans="1:2" x14ac:dyDescent="0.2">
      <c r="A6367" s="102"/>
      <c r="B6367" s="116"/>
    </row>
    <row r="6368" spans="1:2" x14ac:dyDescent="0.2">
      <c r="A6368" s="102"/>
      <c r="B6368" s="116"/>
    </row>
    <row r="6369" spans="1:2" x14ac:dyDescent="0.2">
      <c r="A6369" s="102"/>
      <c r="B6369" s="116"/>
    </row>
    <row r="6370" spans="1:2" x14ac:dyDescent="0.2">
      <c r="A6370" s="102"/>
      <c r="B6370" s="116"/>
    </row>
    <row r="6371" spans="1:2" x14ac:dyDescent="0.2">
      <c r="A6371" s="102"/>
      <c r="B6371" s="116"/>
    </row>
    <row r="6372" spans="1:2" x14ac:dyDescent="0.2">
      <c r="A6372" s="102"/>
      <c r="B6372" s="116"/>
    </row>
    <row r="6373" spans="1:2" x14ac:dyDescent="0.2">
      <c r="A6373" s="102"/>
      <c r="B6373" s="116"/>
    </row>
    <row r="6374" spans="1:2" x14ac:dyDescent="0.2">
      <c r="A6374" s="102"/>
      <c r="B6374" s="116"/>
    </row>
    <row r="6375" spans="1:2" x14ac:dyDescent="0.2">
      <c r="A6375" s="102"/>
      <c r="B6375" s="116"/>
    </row>
    <row r="6376" spans="1:2" x14ac:dyDescent="0.2">
      <c r="A6376" s="102"/>
      <c r="B6376" s="116"/>
    </row>
    <row r="6377" spans="1:2" x14ac:dyDescent="0.2">
      <c r="A6377" s="102"/>
      <c r="B6377" s="116"/>
    </row>
    <row r="6378" spans="1:2" x14ac:dyDescent="0.2">
      <c r="A6378" s="102"/>
      <c r="B6378" s="116"/>
    </row>
    <row r="6379" spans="1:2" x14ac:dyDescent="0.2">
      <c r="A6379" s="102"/>
      <c r="B6379" s="116"/>
    </row>
    <row r="6380" spans="1:2" x14ac:dyDescent="0.2">
      <c r="A6380" s="102"/>
      <c r="B6380" s="116"/>
    </row>
    <row r="6381" spans="1:2" x14ac:dyDescent="0.2">
      <c r="A6381" s="102"/>
      <c r="B6381" s="116"/>
    </row>
    <row r="6382" spans="1:2" x14ac:dyDescent="0.2">
      <c r="A6382" s="102"/>
      <c r="B6382" s="116"/>
    </row>
    <row r="6383" spans="1:2" x14ac:dyDescent="0.2">
      <c r="A6383" s="102"/>
      <c r="B6383" s="116"/>
    </row>
    <row r="6384" spans="1:2" x14ac:dyDescent="0.2">
      <c r="A6384" s="102"/>
      <c r="B6384" s="116"/>
    </row>
    <row r="6385" spans="1:2" x14ac:dyDescent="0.2">
      <c r="A6385" s="102"/>
      <c r="B6385" s="116"/>
    </row>
    <row r="6386" spans="1:2" x14ac:dyDescent="0.2">
      <c r="A6386" s="102"/>
      <c r="B6386" s="116"/>
    </row>
    <row r="6387" spans="1:2" x14ac:dyDescent="0.2">
      <c r="A6387" s="102"/>
      <c r="B6387" s="116"/>
    </row>
    <row r="6388" spans="1:2" x14ac:dyDescent="0.2">
      <c r="A6388" s="102"/>
      <c r="B6388" s="116"/>
    </row>
    <row r="6389" spans="1:2" x14ac:dyDescent="0.2">
      <c r="A6389" s="102"/>
      <c r="B6389" s="116"/>
    </row>
    <row r="6390" spans="1:2" x14ac:dyDescent="0.2">
      <c r="A6390" s="102"/>
      <c r="B6390" s="116"/>
    </row>
    <row r="6391" spans="1:2" x14ac:dyDescent="0.2">
      <c r="A6391" s="102"/>
      <c r="B6391" s="116"/>
    </row>
    <row r="6392" spans="1:2" x14ac:dyDescent="0.2">
      <c r="A6392" s="102"/>
      <c r="B6392" s="116"/>
    </row>
    <row r="6393" spans="1:2" x14ac:dyDescent="0.2">
      <c r="A6393" s="102"/>
      <c r="B6393" s="116"/>
    </row>
    <row r="6394" spans="1:2" x14ac:dyDescent="0.2">
      <c r="A6394" s="102"/>
      <c r="B6394" s="116"/>
    </row>
    <row r="6395" spans="1:2" x14ac:dyDescent="0.2">
      <c r="A6395" s="102"/>
      <c r="B6395" s="116"/>
    </row>
    <row r="6396" spans="1:2" x14ac:dyDescent="0.2">
      <c r="A6396" s="102"/>
      <c r="B6396" s="116"/>
    </row>
    <row r="6397" spans="1:2" x14ac:dyDescent="0.2">
      <c r="A6397" s="102"/>
      <c r="B6397" s="116"/>
    </row>
    <row r="6398" spans="1:2" x14ac:dyDescent="0.2">
      <c r="A6398" s="102"/>
      <c r="B6398" s="116"/>
    </row>
    <row r="6399" spans="1:2" x14ac:dyDescent="0.2">
      <c r="A6399" s="102"/>
      <c r="B6399" s="116"/>
    </row>
    <row r="6400" spans="1:2" x14ac:dyDescent="0.2">
      <c r="A6400" s="102"/>
      <c r="B6400" s="116"/>
    </row>
    <row r="6401" spans="1:2" x14ac:dyDescent="0.2">
      <c r="A6401" s="102"/>
      <c r="B6401" s="116"/>
    </row>
    <row r="6402" spans="1:2" x14ac:dyDescent="0.2">
      <c r="A6402" s="102"/>
      <c r="B6402" s="116"/>
    </row>
    <row r="6403" spans="1:2" x14ac:dyDescent="0.2">
      <c r="A6403" s="102"/>
      <c r="B6403" s="116"/>
    </row>
    <row r="6404" spans="1:2" x14ac:dyDescent="0.2">
      <c r="A6404" s="102"/>
      <c r="B6404" s="116"/>
    </row>
    <row r="6405" spans="1:2" x14ac:dyDescent="0.2">
      <c r="A6405" s="102"/>
      <c r="B6405" s="116"/>
    </row>
    <row r="6406" spans="1:2" x14ac:dyDescent="0.2">
      <c r="A6406" s="102"/>
      <c r="B6406" s="116"/>
    </row>
    <row r="6407" spans="1:2" x14ac:dyDescent="0.2">
      <c r="A6407" s="102"/>
      <c r="B6407" s="116"/>
    </row>
    <row r="6408" spans="1:2" x14ac:dyDescent="0.2">
      <c r="A6408" s="102"/>
      <c r="B6408" s="116"/>
    </row>
    <row r="6409" spans="1:2" x14ac:dyDescent="0.2">
      <c r="A6409" s="102"/>
      <c r="B6409" s="116"/>
    </row>
    <row r="6410" spans="1:2" x14ac:dyDescent="0.2">
      <c r="A6410" s="102"/>
      <c r="B6410" s="116"/>
    </row>
    <row r="6411" spans="1:2" x14ac:dyDescent="0.2">
      <c r="A6411" s="102"/>
      <c r="B6411" s="116"/>
    </row>
    <row r="6412" spans="1:2" x14ac:dyDescent="0.2">
      <c r="A6412" s="102"/>
      <c r="B6412" s="116"/>
    </row>
    <row r="6413" spans="1:2" x14ac:dyDescent="0.2">
      <c r="A6413" s="102"/>
      <c r="B6413" s="116"/>
    </row>
    <row r="6414" spans="1:2" x14ac:dyDescent="0.2">
      <c r="A6414" s="102"/>
      <c r="B6414" s="116"/>
    </row>
    <row r="6415" spans="1:2" x14ac:dyDescent="0.2">
      <c r="A6415" s="102"/>
      <c r="B6415" s="116"/>
    </row>
    <row r="6416" spans="1:2" x14ac:dyDescent="0.2">
      <c r="A6416" s="102"/>
      <c r="B6416" s="116"/>
    </row>
    <row r="6417" spans="1:2" x14ac:dyDescent="0.2">
      <c r="A6417" s="102"/>
      <c r="B6417" s="116"/>
    </row>
    <row r="6418" spans="1:2" x14ac:dyDescent="0.2">
      <c r="A6418" s="102"/>
      <c r="B6418" s="116"/>
    </row>
    <row r="6419" spans="1:2" x14ac:dyDescent="0.2">
      <c r="A6419" s="102"/>
      <c r="B6419" s="116"/>
    </row>
    <row r="6420" spans="1:2" x14ac:dyDescent="0.2">
      <c r="A6420" s="102"/>
      <c r="B6420" s="116"/>
    </row>
    <row r="6421" spans="1:2" x14ac:dyDescent="0.2">
      <c r="A6421" s="102"/>
      <c r="B6421" s="116"/>
    </row>
    <row r="6422" spans="1:2" x14ac:dyDescent="0.2">
      <c r="A6422" s="102"/>
      <c r="B6422" s="116"/>
    </row>
    <row r="6423" spans="1:2" x14ac:dyDescent="0.2">
      <c r="A6423" s="102"/>
      <c r="B6423" s="116"/>
    </row>
    <row r="6424" spans="1:2" x14ac:dyDescent="0.2">
      <c r="A6424" s="102"/>
      <c r="B6424" s="116"/>
    </row>
    <row r="6425" spans="1:2" x14ac:dyDescent="0.2">
      <c r="A6425" s="102"/>
      <c r="B6425" s="116"/>
    </row>
    <row r="6426" spans="1:2" x14ac:dyDescent="0.2">
      <c r="A6426" s="102"/>
      <c r="B6426" s="116"/>
    </row>
    <row r="6427" spans="1:2" x14ac:dyDescent="0.2">
      <c r="A6427" s="102"/>
      <c r="B6427" s="116"/>
    </row>
    <row r="6428" spans="1:2" x14ac:dyDescent="0.2">
      <c r="A6428" s="102"/>
      <c r="B6428" s="116"/>
    </row>
    <row r="6429" spans="1:2" x14ac:dyDescent="0.2">
      <c r="A6429" s="102"/>
      <c r="B6429" s="116"/>
    </row>
    <row r="6430" spans="1:2" x14ac:dyDescent="0.2">
      <c r="A6430" s="102"/>
      <c r="B6430" s="116"/>
    </row>
    <row r="6431" spans="1:2" x14ac:dyDescent="0.2">
      <c r="A6431" s="102"/>
      <c r="B6431" s="116"/>
    </row>
    <row r="6432" spans="1:2" x14ac:dyDescent="0.2">
      <c r="A6432" s="102"/>
      <c r="B6432" s="116"/>
    </row>
    <row r="6433" spans="1:2" x14ac:dyDescent="0.2">
      <c r="A6433" s="102"/>
      <c r="B6433" s="116"/>
    </row>
    <row r="6434" spans="1:2" x14ac:dyDescent="0.2">
      <c r="A6434" s="102"/>
      <c r="B6434" s="116"/>
    </row>
    <row r="6435" spans="1:2" x14ac:dyDescent="0.2">
      <c r="A6435" s="102"/>
      <c r="B6435" s="116"/>
    </row>
    <row r="6436" spans="1:2" x14ac:dyDescent="0.2">
      <c r="A6436" s="102"/>
      <c r="B6436" s="116"/>
    </row>
    <row r="6437" spans="1:2" x14ac:dyDescent="0.2">
      <c r="A6437" s="102"/>
      <c r="B6437" s="116"/>
    </row>
    <row r="6438" spans="1:2" x14ac:dyDescent="0.2">
      <c r="A6438" s="102"/>
      <c r="B6438" s="116"/>
    </row>
    <row r="6439" spans="1:2" x14ac:dyDescent="0.2">
      <c r="A6439" s="102"/>
      <c r="B6439" s="116"/>
    </row>
    <row r="6440" spans="1:2" x14ac:dyDescent="0.2">
      <c r="A6440" s="102"/>
      <c r="B6440" s="116"/>
    </row>
    <row r="6441" spans="1:2" x14ac:dyDescent="0.2">
      <c r="A6441" s="102"/>
      <c r="B6441" s="116"/>
    </row>
    <row r="6442" spans="1:2" x14ac:dyDescent="0.2">
      <c r="A6442" s="102"/>
      <c r="B6442" s="116"/>
    </row>
    <row r="6443" spans="1:2" x14ac:dyDescent="0.2">
      <c r="A6443" s="102"/>
      <c r="B6443" s="116"/>
    </row>
    <row r="6444" spans="1:2" x14ac:dyDescent="0.2">
      <c r="A6444" s="102"/>
      <c r="B6444" s="116"/>
    </row>
    <row r="6445" spans="1:2" x14ac:dyDescent="0.2">
      <c r="A6445" s="102"/>
      <c r="B6445" s="116"/>
    </row>
    <row r="6446" spans="1:2" x14ac:dyDescent="0.2">
      <c r="A6446" s="102"/>
      <c r="B6446" s="116"/>
    </row>
    <row r="6447" spans="1:2" x14ac:dyDescent="0.2">
      <c r="A6447" s="102"/>
      <c r="B6447" s="116"/>
    </row>
    <row r="6448" spans="1:2" x14ac:dyDescent="0.2">
      <c r="A6448" s="102"/>
      <c r="B6448" s="116"/>
    </row>
    <row r="6449" spans="1:2" x14ac:dyDescent="0.2">
      <c r="A6449" s="102"/>
      <c r="B6449" s="116"/>
    </row>
    <row r="6450" spans="1:2" x14ac:dyDescent="0.2">
      <c r="A6450" s="102"/>
      <c r="B6450" s="116"/>
    </row>
    <row r="6451" spans="1:2" x14ac:dyDescent="0.2">
      <c r="A6451" s="102"/>
      <c r="B6451" s="116"/>
    </row>
    <row r="6452" spans="1:2" x14ac:dyDescent="0.2">
      <c r="A6452" s="102"/>
      <c r="B6452" s="116"/>
    </row>
    <row r="6453" spans="1:2" x14ac:dyDescent="0.2">
      <c r="A6453" s="102"/>
      <c r="B6453" s="116"/>
    </row>
    <row r="6454" spans="1:2" x14ac:dyDescent="0.2">
      <c r="A6454" s="102"/>
      <c r="B6454" s="116"/>
    </row>
    <row r="6455" spans="1:2" x14ac:dyDescent="0.2">
      <c r="A6455" s="102"/>
      <c r="B6455" s="116"/>
    </row>
    <row r="6456" spans="1:2" x14ac:dyDescent="0.2">
      <c r="A6456" s="102"/>
      <c r="B6456" s="116"/>
    </row>
    <row r="6457" spans="1:2" x14ac:dyDescent="0.2">
      <c r="A6457" s="102"/>
      <c r="B6457" s="116"/>
    </row>
    <row r="6458" spans="1:2" x14ac:dyDescent="0.2">
      <c r="A6458" s="102"/>
      <c r="B6458" s="116"/>
    </row>
    <row r="6459" spans="1:2" x14ac:dyDescent="0.2">
      <c r="A6459" s="102"/>
      <c r="B6459" s="116"/>
    </row>
    <row r="6460" spans="1:2" x14ac:dyDescent="0.2">
      <c r="A6460" s="102"/>
      <c r="B6460" s="116"/>
    </row>
    <row r="6461" spans="1:2" x14ac:dyDescent="0.2">
      <c r="A6461" s="102"/>
      <c r="B6461" s="116"/>
    </row>
    <row r="6462" spans="1:2" x14ac:dyDescent="0.2">
      <c r="A6462" s="102"/>
      <c r="B6462" s="116"/>
    </row>
    <row r="6463" spans="1:2" x14ac:dyDescent="0.2">
      <c r="A6463" s="102"/>
      <c r="B6463" s="116"/>
    </row>
    <row r="6464" spans="1:2" x14ac:dyDescent="0.2">
      <c r="A6464" s="102"/>
      <c r="B6464" s="116"/>
    </row>
    <row r="6465" spans="1:2" x14ac:dyDescent="0.2">
      <c r="A6465" s="102"/>
      <c r="B6465" s="116"/>
    </row>
    <row r="6466" spans="1:2" x14ac:dyDescent="0.2">
      <c r="A6466" s="102"/>
      <c r="B6466" s="116"/>
    </row>
    <row r="6467" spans="1:2" x14ac:dyDescent="0.2">
      <c r="A6467" s="102"/>
      <c r="B6467" s="116"/>
    </row>
    <row r="6468" spans="1:2" x14ac:dyDescent="0.2">
      <c r="A6468" s="102"/>
      <c r="B6468" s="116"/>
    </row>
    <row r="6469" spans="1:2" x14ac:dyDescent="0.2">
      <c r="A6469" s="102"/>
      <c r="B6469" s="116"/>
    </row>
    <row r="6470" spans="1:2" x14ac:dyDescent="0.2">
      <c r="A6470" s="102"/>
      <c r="B6470" s="116"/>
    </row>
    <row r="6471" spans="1:2" x14ac:dyDescent="0.2">
      <c r="A6471" s="102"/>
      <c r="B6471" s="116"/>
    </row>
    <row r="6472" spans="1:2" x14ac:dyDescent="0.2">
      <c r="A6472" s="102"/>
      <c r="B6472" s="116"/>
    </row>
    <row r="6473" spans="1:2" x14ac:dyDescent="0.2">
      <c r="A6473" s="102"/>
      <c r="B6473" s="116"/>
    </row>
    <row r="6474" spans="1:2" x14ac:dyDescent="0.2">
      <c r="A6474" s="102"/>
      <c r="B6474" s="116"/>
    </row>
    <row r="6475" spans="1:2" x14ac:dyDescent="0.2">
      <c r="A6475" s="102"/>
      <c r="B6475" s="116"/>
    </row>
    <row r="6476" spans="1:2" x14ac:dyDescent="0.2">
      <c r="A6476" s="102"/>
      <c r="B6476" s="116"/>
    </row>
    <row r="6477" spans="1:2" x14ac:dyDescent="0.2">
      <c r="A6477" s="102"/>
      <c r="B6477" s="116"/>
    </row>
    <row r="6478" spans="1:2" x14ac:dyDescent="0.2">
      <c r="A6478" s="102"/>
      <c r="B6478" s="116"/>
    </row>
    <row r="6479" spans="1:2" x14ac:dyDescent="0.2">
      <c r="A6479" s="102"/>
      <c r="B6479" s="116"/>
    </row>
    <row r="6480" spans="1:2" x14ac:dyDescent="0.2">
      <c r="A6480" s="102"/>
      <c r="B6480" s="116"/>
    </row>
    <row r="6481" spans="1:2" x14ac:dyDescent="0.2">
      <c r="A6481" s="102"/>
      <c r="B6481" s="116"/>
    </row>
    <row r="6482" spans="1:2" x14ac:dyDescent="0.2">
      <c r="A6482" s="102"/>
      <c r="B6482" s="116"/>
    </row>
    <row r="6483" spans="1:2" x14ac:dyDescent="0.2">
      <c r="A6483" s="102"/>
      <c r="B6483" s="116"/>
    </row>
    <row r="6484" spans="1:2" x14ac:dyDescent="0.2">
      <c r="A6484" s="102"/>
      <c r="B6484" s="116"/>
    </row>
    <row r="6485" spans="1:2" x14ac:dyDescent="0.2">
      <c r="A6485" s="102"/>
      <c r="B6485" s="116"/>
    </row>
    <row r="6486" spans="1:2" x14ac:dyDescent="0.2">
      <c r="A6486" s="102"/>
      <c r="B6486" s="116"/>
    </row>
    <row r="6487" spans="1:2" x14ac:dyDescent="0.2">
      <c r="A6487" s="102"/>
      <c r="B6487" s="116"/>
    </row>
    <row r="6488" spans="1:2" x14ac:dyDescent="0.2">
      <c r="A6488" s="102"/>
      <c r="B6488" s="116"/>
    </row>
    <row r="6489" spans="1:2" x14ac:dyDescent="0.2">
      <c r="A6489" s="102"/>
      <c r="B6489" s="116"/>
    </row>
    <row r="6490" spans="1:2" x14ac:dyDescent="0.2">
      <c r="A6490" s="102"/>
      <c r="B6490" s="116"/>
    </row>
    <row r="6491" spans="1:2" x14ac:dyDescent="0.2">
      <c r="A6491" s="102"/>
      <c r="B6491" s="116"/>
    </row>
    <row r="6492" spans="1:2" x14ac:dyDescent="0.2">
      <c r="A6492" s="102"/>
      <c r="B6492" s="116"/>
    </row>
    <row r="6493" spans="1:2" x14ac:dyDescent="0.2">
      <c r="A6493" s="102"/>
      <c r="B6493" s="116"/>
    </row>
    <row r="6494" spans="1:2" x14ac:dyDescent="0.2">
      <c r="A6494" s="102"/>
      <c r="B6494" s="116"/>
    </row>
    <row r="6495" spans="1:2" x14ac:dyDescent="0.2">
      <c r="A6495" s="102"/>
      <c r="B6495" s="116"/>
    </row>
    <row r="6496" spans="1:2" x14ac:dyDescent="0.2">
      <c r="A6496" s="102"/>
      <c r="B6496" s="116"/>
    </row>
    <row r="6497" spans="1:2" x14ac:dyDescent="0.2">
      <c r="A6497" s="102"/>
      <c r="B6497" s="116"/>
    </row>
    <row r="6498" spans="1:2" x14ac:dyDescent="0.2">
      <c r="A6498" s="102"/>
      <c r="B6498" s="116"/>
    </row>
    <row r="6499" spans="1:2" x14ac:dyDescent="0.2">
      <c r="A6499" s="102"/>
      <c r="B6499" s="116"/>
    </row>
    <row r="6500" spans="1:2" x14ac:dyDescent="0.2">
      <c r="A6500" s="102"/>
      <c r="B6500" s="116"/>
    </row>
    <row r="6501" spans="1:2" x14ac:dyDescent="0.2">
      <c r="A6501" s="102"/>
      <c r="B6501" s="116"/>
    </row>
    <row r="6502" spans="1:2" x14ac:dyDescent="0.2">
      <c r="A6502" s="102"/>
      <c r="B6502" s="116"/>
    </row>
    <row r="6503" spans="1:2" x14ac:dyDescent="0.2">
      <c r="A6503" s="102"/>
      <c r="B6503" s="116"/>
    </row>
    <row r="6504" spans="1:2" x14ac:dyDescent="0.2">
      <c r="A6504" s="102"/>
      <c r="B6504" s="116"/>
    </row>
    <row r="6505" spans="1:2" x14ac:dyDescent="0.2">
      <c r="A6505" s="102"/>
      <c r="B6505" s="116"/>
    </row>
    <row r="6506" spans="1:2" x14ac:dyDescent="0.2">
      <c r="A6506" s="102"/>
      <c r="B6506" s="116"/>
    </row>
    <row r="6507" spans="1:2" x14ac:dyDescent="0.2">
      <c r="A6507" s="102"/>
      <c r="B6507" s="116"/>
    </row>
    <row r="6508" spans="1:2" x14ac:dyDescent="0.2">
      <c r="A6508" s="102"/>
      <c r="B6508" s="116"/>
    </row>
    <row r="6509" spans="1:2" x14ac:dyDescent="0.2">
      <c r="A6509" s="102"/>
      <c r="B6509" s="116"/>
    </row>
    <row r="6510" spans="1:2" x14ac:dyDescent="0.2">
      <c r="A6510" s="102"/>
      <c r="B6510" s="116"/>
    </row>
    <row r="6511" spans="1:2" x14ac:dyDescent="0.2">
      <c r="A6511" s="102"/>
      <c r="B6511" s="116"/>
    </row>
    <row r="6512" spans="1:2" x14ac:dyDescent="0.2">
      <c r="A6512" s="102"/>
      <c r="B6512" s="116"/>
    </row>
    <row r="6513" spans="1:2" x14ac:dyDescent="0.2">
      <c r="A6513" s="102"/>
      <c r="B6513" s="116"/>
    </row>
    <row r="6514" spans="1:2" x14ac:dyDescent="0.2">
      <c r="A6514" s="102"/>
      <c r="B6514" s="116"/>
    </row>
    <row r="6515" spans="1:2" x14ac:dyDescent="0.2">
      <c r="A6515" s="102"/>
      <c r="B6515" s="116"/>
    </row>
    <row r="6516" spans="1:2" x14ac:dyDescent="0.2">
      <c r="A6516" s="102"/>
      <c r="B6516" s="116"/>
    </row>
    <row r="6517" spans="1:2" x14ac:dyDescent="0.2">
      <c r="A6517" s="102"/>
      <c r="B6517" s="116"/>
    </row>
    <row r="6518" spans="1:2" x14ac:dyDescent="0.2">
      <c r="A6518" s="102"/>
      <c r="B6518" s="116"/>
    </row>
    <row r="6519" spans="1:2" x14ac:dyDescent="0.2">
      <c r="A6519" s="102"/>
      <c r="B6519" s="116"/>
    </row>
    <row r="6520" spans="1:2" x14ac:dyDescent="0.2">
      <c r="A6520" s="102"/>
      <c r="B6520" s="116"/>
    </row>
    <row r="6521" spans="1:2" x14ac:dyDescent="0.2">
      <c r="A6521" s="102"/>
      <c r="B6521" s="116"/>
    </row>
    <row r="6522" spans="1:2" x14ac:dyDescent="0.2">
      <c r="A6522" s="102"/>
      <c r="B6522" s="116"/>
    </row>
    <row r="6523" spans="1:2" x14ac:dyDescent="0.2">
      <c r="A6523" s="102"/>
      <c r="B6523" s="116"/>
    </row>
    <row r="6524" spans="1:2" x14ac:dyDescent="0.2">
      <c r="A6524" s="102"/>
      <c r="B6524" s="116"/>
    </row>
    <row r="6525" spans="1:2" x14ac:dyDescent="0.2">
      <c r="A6525" s="102"/>
      <c r="B6525" s="116"/>
    </row>
    <row r="6526" spans="1:2" x14ac:dyDescent="0.2">
      <c r="A6526" s="102"/>
      <c r="B6526" s="116"/>
    </row>
    <row r="6527" spans="1:2" x14ac:dyDescent="0.2">
      <c r="A6527" s="102"/>
      <c r="B6527" s="116"/>
    </row>
    <row r="6528" spans="1:2" x14ac:dyDescent="0.2">
      <c r="A6528" s="102"/>
      <c r="B6528" s="116"/>
    </row>
    <row r="6529" spans="1:2" x14ac:dyDescent="0.2">
      <c r="A6529" s="102"/>
      <c r="B6529" s="116"/>
    </row>
    <row r="6530" spans="1:2" x14ac:dyDescent="0.2">
      <c r="A6530" s="102"/>
      <c r="B6530" s="116"/>
    </row>
    <row r="6531" spans="1:2" x14ac:dyDescent="0.2">
      <c r="A6531" s="102"/>
      <c r="B6531" s="116"/>
    </row>
    <row r="6532" spans="1:2" x14ac:dyDescent="0.2">
      <c r="A6532" s="102"/>
      <c r="B6532" s="116"/>
    </row>
    <row r="6533" spans="1:2" x14ac:dyDescent="0.2">
      <c r="A6533" s="102"/>
      <c r="B6533" s="116"/>
    </row>
    <row r="6534" spans="1:2" x14ac:dyDescent="0.2">
      <c r="A6534" s="102"/>
      <c r="B6534" s="116"/>
    </row>
    <row r="6535" spans="1:2" x14ac:dyDescent="0.2">
      <c r="A6535" s="102"/>
      <c r="B6535" s="116"/>
    </row>
    <row r="6536" spans="1:2" x14ac:dyDescent="0.2">
      <c r="A6536" s="102"/>
      <c r="B6536" s="116"/>
    </row>
    <row r="6537" spans="1:2" x14ac:dyDescent="0.2">
      <c r="A6537" s="102"/>
      <c r="B6537" s="116"/>
    </row>
    <row r="6538" spans="1:2" x14ac:dyDescent="0.2">
      <c r="A6538" s="102"/>
      <c r="B6538" s="116"/>
    </row>
    <row r="6539" spans="1:2" x14ac:dyDescent="0.2">
      <c r="A6539" s="102"/>
      <c r="B6539" s="116"/>
    </row>
    <row r="6540" spans="1:2" x14ac:dyDescent="0.2">
      <c r="A6540" s="102"/>
      <c r="B6540" s="116"/>
    </row>
    <row r="6541" spans="1:2" x14ac:dyDescent="0.2">
      <c r="A6541" s="102"/>
      <c r="B6541" s="116"/>
    </row>
    <row r="6542" spans="1:2" x14ac:dyDescent="0.2">
      <c r="A6542" s="102"/>
      <c r="B6542" s="116"/>
    </row>
    <row r="6543" spans="1:2" x14ac:dyDescent="0.2">
      <c r="A6543" s="102"/>
      <c r="B6543" s="116"/>
    </row>
    <row r="6544" spans="1:2" x14ac:dyDescent="0.2">
      <c r="A6544" s="102"/>
      <c r="B6544" s="116"/>
    </row>
    <row r="6545" spans="1:2" x14ac:dyDescent="0.2">
      <c r="A6545" s="102"/>
      <c r="B6545" s="116"/>
    </row>
    <row r="6546" spans="1:2" x14ac:dyDescent="0.2">
      <c r="A6546" s="102"/>
      <c r="B6546" s="116"/>
    </row>
    <row r="6547" spans="1:2" x14ac:dyDescent="0.2">
      <c r="A6547" s="102"/>
      <c r="B6547" s="116"/>
    </row>
    <row r="6548" spans="1:2" x14ac:dyDescent="0.2">
      <c r="A6548" s="102"/>
      <c r="B6548" s="116"/>
    </row>
    <row r="6549" spans="1:2" x14ac:dyDescent="0.2">
      <c r="A6549" s="102"/>
      <c r="B6549" s="116"/>
    </row>
    <row r="6550" spans="1:2" x14ac:dyDescent="0.2">
      <c r="A6550" s="102"/>
      <c r="B6550" s="116"/>
    </row>
    <row r="6551" spans="1:2" x14ac:dyDescent="0.2">
      <c r="A6551" s="102"/>
      <c r="B6551" s="116"/>
    </row>
    <row r="6552" spans="1:2" x14ac:dyDescent="0.2">
      <c r="A6552" s="102"/>
      <c r="B6552" s="116"/>
    </row>
    <row r="6553" spans="1:2" x14ac:dyDescent="0.2">
      <c r="A6553" s="102"/>
      <c r="B6553" s="116"/>
    </row>
    <row r="6554" spans="1:2" x14ac:dyDescent="0.2">
      <c r="A6554" s="102"/>
      <c r="B6554" s="116"/>
    </row>
    <row r="6555" spans="1:2" x14ac:dyDescent="0.2">
      <c r="A6555" s="102"/>
      <c r="B6555" s="116"/>
    </row>
    <row r="6556" spans="1:2" x14ac:dyDescent="0.2">
      <c r="A6556" s="102"/>
      <c r="B6556" s="116"/>
    </row>
    <row r="6557" spans="1:2" x14ac:dyDescent="0.2">
      <c r="A6557" s="102"/>
      <c r="B6557" s="116"/>
    </row>
    <row r="6558" spans="1:2" x14ac:dyDescent="0.2">
      <c r="A6558" s="102"/>
      <c r="B6558" s="116"/>
    </row>
    <row r="6559" spans="1:2" x14ac:dyDescent="0.2">
      <c r="A6559" s="102"/>
      <c r="B6559" s="116"/>
    </row>
    <row r="6560" spans="1:2" x14ac:dyDescent="0.2">
      <c r="A6560" s="102"/>
      <c r="B6560" s="116"/>
    </row>
    <row r="6561" spans="1:2" x14ac:dyDescent="0.2">
      <c r="A6561" s="102"/>
      <c r="B6561" s="116"/>
    </row>
    <row r="6562" spans="1:2" x14ac:dyDescent="0.2">
      <c r="A6562" s="102"/>
      <c r="B6562" s="116"/>
    </row>
    <row r="6563" spans="1:2" x14ac:dyDescent="0.2">
      <c r="A6563" s="102"/>
      <c r="B6563" s="116"/>
    </row>
    <row r="6564" spans="1:2" x14ac:dyDescent="0.2">
      <c r="A6564" s="102"/>
      <c r="B6564" s="116"/>
    </row>
    <row r="6565" spans="1:2" x14ac:dyDescent="0.2">
      <c r="A6565" s="102"/>
      <c r="B6565" s="116"/>
    </row>
    <row r="6566" spans="1:2" x14ac:dyDescent="0.2">
      <c r="A6566" s="102"/>
      <c r="B6566" s="116"/>
    </row>
    <row r="6567" spans="1:2" x14ac:dyDescent="0.2">
      <c r="A6567" s="102"/>
      <c r="B6567" s="116"/>
    </row>
    <row r="6568" spans="1:2" x14ac:dyDescent="0.2">
      <c r="A6568" s="102"/>
      <c r="B6568" s="116"/>
    </row>
    <row r="6569" spans="1:2" x14ac:dyDescent="0.2">
      <c r="A6569" s="102"/>
      <c r="B6569" s="116"/>
    </row>
    <row r="6570" spans="1:2" x14ac:dyDescent="0.2">
      <c r="A6570" s="102"/>
      <c r="B6570" s="116"/>
    </row>
    <row r="6571" spans="1:2" x14ac:dyDescent="0.2">
      <c r="A6571" s="102"/>
      <c r="B6571" s="116"/>
    </row>
    <row r="6572" spans="1:2" x14ac:dyDescent="0.2">
      <c r="A6572" s="102"/>
      <c r="B6572" s="116"/>
    </row>
    <row r="6573" spans="1:2" x14ac:dyDescent="0.2">
      <c r="A6573" s="102"/>
      <c r="B6573" s="116"/>
    </row>
    <row r="6574" spans="1:2" x14ac:dyDescent="0.2">
      <c r="A6574" s="102"/>
      <c r="B6574" s="116"/>
    </row>
    <row r="6575" spans="1:2" x14ac:dyDescent="0.2">
      <c r="A6575" s="102"/>
      <c r="B6575" s="116"/>
    </row>
    <row r="6576" spans="1:2" x14ac:dyDescent="0.2">
      <c r="A6576" s="102"/>
      <c r="B6576" s="116"/>
    </row>
    <row r="6577" spans="1:2" x14ac:dyDescent="0.2">
      <c r="A6577" s="102"/>
      <c r="B6577" s="116"/>
    </row>
    <row r="6578" spans="1:2" x14ac:dyDescent="0.2">
      <c r="A6578" s="102"/>
      <c r="B6578" s="116"/>
    </row>
    <row r="6579" spans="1:2" x14ac:dyDescent="0.2">
      <c r="A6579" s="102"/>
      <c r="B6579" s="116"/>
    </row>
    <row r="6580" spans="1:2" x14ac:dyDescent="0.2">
      <c r="A6580" s="102"/>
      <c r="B6580" s="116"/>
    </row>
    <row r="6581" spans="1:2" x14ac:dyDescent="0.2">
      <c r="A6581" s="102"/>
      <c r="B6581" s="116"/>
    </row>
    <row r="6582" spans="1:2" x14ac:dyDescent="0.2">
      <c r="A6582" s="102"/>
      <c r="B6582" s="116"/>
    </row>
    <row r="6583" spans="1:2" x14ac:dyDescent="0.2">
      <c r="A6583" s="102"/>
      <c r="B6583" s="116"/>
    </row>
    <row r="6584" spans="1:2" x14ac:dyDescent="0.2">
      <c r="A6584" s="102"/>
      <c r="B6584" s="116"/>
    </row>
    <row r="6585" spans="1:2" x14ac:dyDescent="0.2">
      <c r="A6585" s="102"/>
      <c r="B6585" s="116"/>
    </row>
    <row r="6586" spans="1:2" x14ac:dyDescent="0.2">
      <c r="A6586" s="102"/>
      <c r="B6586" s="116"/>
    </row>
    <row r="6587" spans="1:2" x14ac:dyDescent="0.2">
      <c r="A6587" s="102"/>
      <c r="B6587" s="116"/>
    </row>
    <row r="6588" spans="1:2" x14ac:dyDescent="0.2">
      <c r="A6588" s="102"/>
      <c r="B6588" s="116"/>
    </row>
    <row r="6589" spans="1:2" x14ac:dyDescent="0.2">
      <c r="A6589" s="102"/>
      <c r="B6589" s="116"/>
    </row>
    <row r="6590" spans="1:2" x14ac:dyDescent="0.2">
      <c r="A6590" s="102"/>
      <c r="B6590" s="116"/>
    </row>
    <row r="6591" spans="1:2" x14ac:dyDescent="0.2">
      <c r="A6591" s="102"/>
      <c r="B6591" s="116"/>
    </row>
    <row r="6592" spans="1:2" x14ac:dyDescent="0.2">
      <c r="A6592" s="102"/>
      <c r="B6592" s="116"/>
    </row>
    <row r="6593" spans="1:2" x14ac:dyDescent="0.2">
      <c r="A6593" s="102"/>
      <c r="B6593" s="116"/>
    </row>
    <row r="6594" spans="1:2" x14ac:dyDescent="0.2">
      <c r="A6594" s="102"/>
      <c r="B6594" s="116"/>
    </row>
    <row r="6595" spans="1:2" x14ac:dyDescent="0.2">
      <c r="A6595" s="102"/>
      <c r="B6595" s="116"/>
    </row>
    <row r="6596" spans="1:2" x14ac:dyDescent="0.2">
      <c r="A6596" s="102"/>
      <c r="B6596" s="116"/>
    </row>
    <row r="6597" spans="1:2" x14ac:dyDescent="0.2">
      <c r="A6597" s="102"/>
      <c r="B6597" s="116"/>
    </row>
    <row r="6598" spans="1:2" x14ac:dyDescent="0.2">
      <c r="A6598" s="102"/>
      <c r="B6598" s="116"/>
    </row>
    <row r="6599" spans="1:2" x14ac:dyDescent="0.2">
      <c r="A6599" s="102"/>
      <c r="B6599" s="116"/>
    </row>
    <row r="6600" spans="1:2" x14ac:dyDescent="0.2">
      <c r="A6600" s="102"/>
      <c r="B6600" s="116"/>
    </row>
    <row r="6601" spans="1:2" x14ac:dyDescent="0.2">
      <c r="A6601" s="102"/>
      <c r="B6601" s="116"/>
    </row>
    <row r="6602" spans="1:2" x14ac:dyDescent="0.2">
      <c r="A6602" s="102"/>
      <c r="B6602" s="116"/>
    </row>
    <row r="6603" spans="1:2" x14ac:dyDescent="0.2">
      <c r="A6603" s="102"/>
      <c r="B6603" s="116"/>
    </row>
    <row r="6604" spans="1:2" x14ac:dyDescent="0.2">
      <c r="A6604" s="102"/>
      <c r="B6604" s="116"/>
    </row>
    <row r="6605" spans="1:2" x14ac:dyDescent="0.2">
      <c r="A6605" s="102"/>
      <c r="B6605" s="116"/>
    </row>
    <row r="6606" spans="1:2" x14ac:dyDescent="0.2">
      <c r="A6606" s="102"/>
      <c r="B6606" s="116"/>
    </row>
    <row r="6607" spans="1:2" x14ac:dyDescent="0.2">
      <c r="A6607" s="102"/>
      <c r="B6607" s="116"/>
    </row>
    <row r="6608" spans="1:2" x14ac:dyDescent="0.2">
      <c r="A6608" s="102"/>
      <c r="B6608" s="116"/>
    </row>
    <row r="6609" spans="1:2" x14ac:dyDescent="0.2">
      <c r="A6609" s="102"/>
      <c r="B6609" s="116"/>
    </row>
    <row r="6610" spans="1:2" x14ac:dyDescent="0.2">
      <c r="A6610" s="102"/>
      <c r="B6610" s="116"/>
    </row>
    <row r="6611" spans="1:2" x14ac:dyDescent="0.2">
      <c r="A6611" s="102"/>
      <c r="B6611" s="116"/>
    </row>
    <row r="6612" spans="1:2" x14ac:dyDescent="0.2">
      <c r="A6612" s="102"/>
      <c r="B6612" s="116"/>
    </row>
    <row r="6613" spans="1:2" x14ac:dyDescent="0.2">
      <c r="A6613" s="102"/>
      <c r="B6613" s="116"/>
    </row>
    <row r="6614" spans="1:2" x14ac:dyDescent="0.2">
      <c r="A6614" s="102"/>
      <c r="B6614" s="116"/>
    </row>
    <row r="6615" spans="1:2" x14ac:dyDescent="0.2">
      <c r="A6615" s="102"/>
      <c r="B6615" s="116"/>
    </row>
    <row r="6616" spans="1:2" x14ac:dyDescent="0.2">
      <c r="A6616" s="102"/>
      <c r="B6616" s="116"/>
    </row>
    <row r="6617" spans="1:2" x14ac:dyDescent="0.2">
      <c r="A6617" s="102"/>
      <c r="B6617" s="116"/>
    </row>
    <row r="6618" spans="1:2" x14ac:dyDescent="0.2">
      <c r="A6618" s="102"/>
      <c r="B6618" s="116"/>
    </row>
    <row r="6619" spans="1:2" x14ac:dyDescent="0.2">
      <c r="A6619" s="102"/>
      <c r="B6619" s="116"/>
    </row>
    <row r="6620" spans="1:2" x14ac:dyDescent="0.2">
      <c r="A6620" s="102"/>
      <c r="B6620" s="116"/>
    </row>
    <row r="6621" spans="1:2" x14ac:dyDescent="0.2">
      <c r="A6621" s="102"/>
      <c r="B6621" s="116"/>
    </row>
    <row r="6622" spans="1:2" x14ac:dyDescent="0.2">
      <c r="A6622" s="102"/>
      <c r="B6622" s="116"/>
    </row>
    <row r="6623" spans="1:2" x14ac:dyDescent="0.2">
      <c r="A6623" s="102"/>
      <c r="B6623" s="116"/>
    </row>
    <row r="6624" spans="1:2" x14ac:dyDescent="0.2">
      <c r="A6624" s="102"/>
      <c r="B6624" s="116"/>
    </row>
    <row r="6625" spans="1:2" x14ac:dyDescent="0.2">
      <c r="A6625" s="102"/>
      <c r="B6625" s="116"/>
    </row>
    <row r="6626" spans="1:2" x14ac:dyDescent="0.2">
      <c r="A6626" s="102"/>
      <c r="B6626" s="116"/>
    </row>
    <row r="6627" spans="1:2" x14ac:dyDescent="0.2">
      <c r="A6627" s="102"/>
      <c r="B6627" s="116"/>
    </row>
    <row r="6628" spans="1:2" x14ac:dyDescent="0.2">
      <c r="A6628" s="102"/>
      <c r="B6628" s="116"/>
    </row>
    <row r="6629" spans="1:2" x14ac:dyDescent="0.2">
      <c r="A6629" s="102"/>
      <c r="B6629" s="116"/>
    </row>
    <row r="6630" spans="1:2" x14ac:dyDescent="0.2">
      <c r="A6630" s="102"/>
      <c r="B6630" s="116"/>
    </row>
    <row r="6631" spans="1:2" x14ac:dyDescent="0.2">
      <c r="A6631" s="102"/>
      <c r="B6631" s="116"/>
    </row>
    <row r="6632" spans="1:2" x14ac:dyDescent="0.2">
      <c r="A6632" s="102"/>
      <c r="B6632" s="116"/>
    </row>
    <row r="6633" spans="1:2" x14ac:dyDescent="0.2">
      <c r="A6633" s="102"/>
      <c r="B6633" s="116"/>
    </row>
    <row r="6634" spans="1:2" x14ac:dyDescent="0.2">
      <c r="A6634" s="102"/>
      <c r="B6634" s="116"/>
    </row>
    <row r="6635" spans="1:2" x14ac:dyDescent="0.2">
      <c r="A6635" s="102"/>
      <c r="B6635" s="116"/>
    </row>
    <row r="6636" spans="1:2" x14ac:dyDescent="0.2">
      <c r="A6636" s="102"/>
      <c r="B6636" s="116"/>
    </row>
    <row r="6637" spans="1:2" x14ac:dyDescent="0.2">
      <c r="A6637" s="102"/>
      <c r="B6637" s="116"/>
    </row>
    <row r="6638" spans="1:2" x14ac:dyDescent="0.2">
      <c r="A6638" s="102"/>
      <c r="B6638" s="116"/>
    </row>
    <row r="6639" spans="1:2" x14ac:dyDescent="0.2">
      <c r="A6639" s="102"/>
      <c r="B6639" s="116"/>
    </row>
    <row r="6640" spans="1:2" x14ac:dyDescent="0.2">
      <c r="A6640" s="102"/>
      <c r="B6640" s="116"/>
    </row>
    <row r="6641" spans="1:2" x14ac:dyDescent="0.2">
      <c r="A6641" s="102"/>
      <c r="B6641" s="116"/>
    </row>
    <row r="6642" spans="1:2" x14ac:dyDescent="0.2">
      <c r="A6642" s="102"/>
      <c r="B6642" s="116"/>
    </row>
    <row r="6643" spans="1:2" x14ac:dyDescent="0.2">
      <c r="A6643" s="102"/>
      <c r="B6643" s="116"/>
    </row>
    <row r="6644" spans="1:2" x14ac:dyDescent="0.2">
      <c r="A6644" s="102"/>
      <c r="B6644" s="116"/>
    </row>
    <row r="6645" spans="1:2" x14ac:dyDescent="0.2">
      <c r="A6645" s="102"/>
      <c r="B6645" s="116"/>
    </row>
    <row r="6646" spans="1:2" x14ac:dyDescent="0.2">
      <c r="A6646" s="102"/>
      <c r="B6646" s="116"/>
    </row>
    <row r="6647" spans="1:2" x14ac:dyDescent="0.2">
      <c r="A6647" s="102"/>
      <c r="B6647" s="116"/>
    </row>
    <row r="6648" spans="1:2" x14ac:dyDescent="0.2">
      <c r="A6648" s="102"/>
      <c r="B6648" s="116"/>
    </row>
    <row r="6649" spans="1:2" x14ac:dyDescent="0.2">
      <c r="A6649" s="102"/>
      <c r="B6649" s="116"/>
    </row>
    <row r="6650" spans="1:2" x14ac:dyDescent="0.2">
      <c r="A6650" s="102"/>
      <c r="B6650" s="116"/>
    </row>
    <row r="6651" spans="1:2" x14ac:dyDescent="0.2">
      <c r="A6651" s="102"/>
      <c r="B6651" s="116"/>
    </row>
    <row r="6652" spans="1:2" x14ac:dyDescent="0.2">
      <c r="A6652" s="102"/>
      <c r="B6652" s="116"/>
    </row>
    <row r="6653" spans="1:2" x14ac:dyDescent="0.2">
      <c r="A6653" s="102"/>
      <c r="B6653" s="116"/>
    </row>
    <row r="6654" spans="1:2" x14ac:dyDescent="0.2">
      <c r="A6654" s="102"/>
      <c r="B6654" s="116"/>
    </row>
    <row r="6655" spans="1:2" x14ac:dyDescent="0.2">
      <c r="A6655" s="102"/>
      <c r="B6655" s="116"/>
    </row>
    <row r="6656" spans="1:2" x14ac:dyDescent="0.2">
      <c r="A6656" s="102"/>
      <c r="B6656" s="116"/>
    </row>
    <row r="6657" spans="1:2" x14ac:dyDescent="0.2">
      <c r="A6657" s="102"/>
      <c r="B6657" s="116"/>
    </row>
    <row r="6658" spans="1:2" x14ac:dyDescent="0.2">
      <c r="A6658" s="102"/>
      <c r="B6658" s="116"/>
    </row>
    <row r="6659" spans="1:2" x14ac:dyDescent="0.2">
      <c r="A6659" s="102"/>
      <c r="B6659" s="116"/>
    </row>
    <row r="6660" spans="1:2" x14ac:dyDescent="0.2">
      <c r="A6660" s="102"/>
      <c r="B6660" s="116"/>
    </row>
    <row r="6661" spans="1:2" x14ac:dyDescent="0.2">
      <c r="A6661" s="102"/>
      <c r="B6661" s="116"/>
    </row>
    <row r="6662" spans="1:2" x14ac:dyDescent="0.2">
      <c r="A6662" s="102"/>
      <c r="B6662" s="116"/>
    </row>
    <row r="6663" spans="1:2" x14ac:dyDescent="0.2">
      <c r="A6663" s="102"/>
      <c r="B6663" s="116"/>
    </row>
    <row r="6664" spans="1:2" x14ac:dyDescent="0.2">
      <c r="A6664" s="102"/>
      <c r="B6664" s="116"/>
    </row>
    <row r="6665" spans="1:2" x14ac:dyDescent="0.2">
      <c r="A6665" s="102"/>
      <c r="B6665" s="116"/>
    </row>
    <row r="6666" spans="1:2" x14ac:dyDescent="0.2">
      <c r="A6666" s="102"/>
      <c r="B6666" s="116"/>
    </row>
    <row r="6667" spans="1:2" x14ac:dyDescent="0.2">
      <c r="A6667" s="102"/>
      <c r="B6667" s="116"/>
    </row>
    <row r="6668" spans="1:2" x14ac:dyDescent="0.2">
      <c r="A6668" s="102"/>
      <c r="B6668" s="116"/>
    </row>
    <row r="6669" spans="1:2" x14ac:dyDescent="0.2">
      <c r="A6669" s="102"/>
      <c r="B6669" s="116"/>
    </row>
    <row r="6670" spans="1:2" x14ac:dyDescent="0.2">
      <c r="A6670" s="102"/>
      <c r="B6670" s="116"/>
    </row>
    <row r="6671" spans="1:2" x14ac:dyDescent="0.2">
      <c r="A6671" s="102"/>
      <c r="B6671" s="116"/>
    </row>
    <row r="6672" spans="1:2" x14ac:dyDescent="0.2">
      <c r="A6672" s="102"/>
      <c r="B6672" s="116"/>
    </row>
    <row r="6673" spans="1:2" x14ac:dyDescent="0.2">
      <c r="A6673" s="102"/>
      <c r="B6673" s="116"/>
    </row>
    <row r="6674" spans="1:2" x14ac:dyDescent="0.2">
      <c r="A6674" s="102"/>
      <c r="B6674" s="116"/>
    </row>
    <row r="6675" spans="1:2" x14ac:dyDescent="0.2">
      <c r="A6675" s="102"/>
      <c r="B6675" s="116"/>
    </row>
    <row r="6676" spans="1:2" x14ac:dyDescent="0.2">
      <c r="A6676" s="102"/>
      <c r="B6676" s="116"/>
    </row>
    <row r="6677" spans="1:2" x14ac:dyDescent="0.2">
      <c r="A6677" s="102"/>
      <c r="B6677" s="116"/>
    </row>
    <row r="6678" spans="1:2" x14ac:dyDescent="0.2">
      <c r="A6678" s="102"/>
      <c r="B6678" s="116"/>
    </row>
    <row r="6679" spans="1:2" x14ac:dyDescent="0.2">
      <c r="A6679" s="102"/>
      <c r="B6679" s="116"/>
    </row>
    <row r="6680" spans="1:2" x14ac:dyDescent="0.2">
      <c r="A6680" s="102"/>
      <c r="B6680" s="116"/>
    </row>
    <row r="6681" spans="1:2" x14ac:dyDescent="0.2">
      <c r="A6681" s="102"/>
      <c r="B6681" s="116"/>
    </row>
    <row r="6682" spans="1:2" x14ac:dyDescent="0.2">
      <c r="A6682" s="102"/>
      <c r="B6682" s="116"/>
    </row>
    <row r="6683" spans="1:2" x14ac:dyDescent="0.2">
      <c r="A6683" s="102"/>
      <c r="B6683" s="116"/>
    </row>
    <row r="6684" spans="1:2" x14ac:dyDescent="0.2">
      <c r="A6684" s="102"/>
      <c r="B6684" s="116"/>
    </row>
    <row r="6685" spans="1:2" x14ac:dyDescent="0.2">
      <c r="A6685" s="102"/>
      <c r="B6685" s="116"/>
    </row>
    <row r="6686" spans="1:2" x14ac:dyDescent="0.2">
      <c r="A6686" s="102"/>
      <c r="B6686" s="116"/>
    </row>
    <row r="6687" spans="1:2" x14ac:dyDescent="0.2">
      <c r="A6687" s="102"/>
      <c r="B6687" s="116"/>
    </row>
    <row r="6688" spans="1:2" x14ac:dyDescent="0.2">
      <c r="A6688" s="102"/>
      <c r="B6688" s="116"/>
    </row>
    <row r="6689" spans="1:2" x14ac:dyDescent="0.2">
      <c r="A6689" s="102"/>
      <c r="B6689" s="116"/>
    </row>
    <row r="6690" spans="1:2" x14ac:dyDescent="0.2">
      <c r="A6690" s="102"/>
      <c r="B6690" s="116"/>
    </row>
    <row r="6691" spans="1:2" x14ac:dyDescent="0.2">
      <c r="A6691" s="102"/>
      <c r="B6691" s="116"/>
    </row>
    <row r="6692" spans="1:2" x14ac:dyDescent="0.2">
      <c r="A6692" s="102"/>
      <c r="B6692" s="116"/>
    </row>
    <row r="6693" spans="1:2" x14ac:dyDescent="0.2">
      <c r="A6693" s="102"/>
      <c r="B6693" s="116"/>
    </row>
    <row r="6694" spans="1:2" x14ac:dyDescent="0.2">
      <c r="A6694" s="102"/>
      <c r="B6694" s="116"/>
    </row>
    <row r="6695" spans="1:2" x14ac:dyDescent="0.2">
      <c r="A6695" s="102"/>
      <c r="B6695" s="116"/>
    </row>
    <row r="6696" spans="1:2" x14ac:dyDescent="0.2">
      <c r="A6696" s="102"/>
      <c r="B6696" s="116"/>
    </row>
    <row r="6697" spans="1:2" x14ac:dyDescent="0.2">
      <c r="A6697" s="102"/>
      <c r="B6697" s="116"/>
    </row>
    <row r="6698" spans="1:2" x14ac:dyDescent="0.2">
      <c r="A6698" s="102"/>
      <c r="B6698" s="116"/>
    </row>
    <row r="6699" spans="1:2" x14ac:dyDescent="0.2">
      <c r="A6699" s="102"/>
      <c r="B6699" s="116"/>
    </row>
    <row r="6700" spans="1:2" x14ac:dyDescent="0.2">
      <c r="A6700" s="102"/>
      <c r="B6700" s="116"/>
    </row>
    <row r="6701" spans="1:2" x14ac:dyDescent="0.2">
      <c r="A6701" s="102"/>
      <c r="B6701" s="116"/>
    </row>
    <row r="6702" spans="1:2" x14ac:dyDescent="0.2">
      <c r="A6702" s="102"/>
      <c r="B6702" s="116"/>
    </row>
    <row r="6703" spans="1:2" x14ac:dyDescent="0.2">
      <c r="A6703" s="102"/>
      <c r="B6703" s="116"/>
    </row>
    <row r="6704" spans="1:2" x14ac:dyDescent="0.2">
      <c r="A6704" s="102"/>
      <c r="B6704" s="116"/>
    </row>
    <row r="6705" spans="1:2" x14ac:dyDescent="0.2">
      <c r="A6705" s="102"/>
      <c r="B6705" s="116"/>
    </row>
    <row r="6706" spans="1:2" x14ac:dyDescent="0.2">
      <c r="A6706" s="102"/>
      <c r="B6706" s="116"/>
    </row>
    <row r="6707" spans="1:2" x14ac:dyDescent="0.2">
      <c r="A6707" s="102"/>
      <c r="B6707" s="116"/>
    </row>
    <row r="6708" spans="1:2" x14ac:dyDescent="0.2">
      <c r="A6708" s="102"/>
      <c r="B6708" s="116"/>
    </row>
    <row r="6709" spans="1:2" x14ac:dyDescent="0.2">
      <c r="A6709" s="102"/>
      <c r="B6709" s="116"/>
    </row>
    <row r="6710" spans="1:2" x14ac:dyDescent="0.2">
      <c r="A6710" s="102"/>
      <c r="B6710" s="116"/>
    </row>
    <row r="6711" spans="1:2" x14ac:dyDescent="0.2">
      <c r="A6711" s="102"/>
      <c r="B6711" s="116"/>
    </row>
    <row r="6712" spans="1:2" x14ac:dyDescent="0.2">
      <c r="A6712" s="102"/>
      <c r="B6712" s="116"/>
    </row>
    <row r="6713" spans="1:2" x14ac:dyDescent="0.2">
      <c r="A6713" s="102"/>
      <c r="B6713" s="116"/>
    </row>
    <row r="6714" spans="1:2" x14ac:dyDescent="0.2">
      <c r="A6714" s="102"/>
      <c r="B6714" s="116"/>
    </row>
    <row r="6715" spans="1:2" x14ac:dyDescent="0.2">
      <c r="A6715" s="102"/>
      <c r="B6715" s="116"/>
    </row>
    <row r="6716" spans="1:2" x14ac:dyDescent="0.2">
      <c r="A6716" s="102"/>
      <c r="B6716" s="116"/>
    </row>
    <row r="6717" spans="1:2" x14ac:dyDescent="0.2">
      <c r="A6717" s="102"/>
      <c r="B6717" s="116"/>
    </row>
    <row r="6718" spans="1:2" x14ac:dyDescent="0.2">
      <c r="A6718" s="102"/>
      <c r="B6718" s="116"/>
    </row>
    <row r="6719" spans="1:2" x14ac:dyDescent="0.2">
      <c r="A6719" s="102"/>
      <c r="B6719" s="116"/>
    </row>
    <row r="6720" spans="1:2" x14ac:dyDescent="0.2">
      <c r="A6720" s="102"/>
      <c r="B6720" s="116"/>
    </row>
    <row r="6721" spans="1:2" x14ac:dyDescent="0.2">
      <c r="A6721" s="102"/>
      <c r="B6721" s="116"/>
    </row>
    <row r="6722" spans="1:2" x14ac:dyDescent="0.2">
      <c r="A6722" s="102"/>
      <c r="B6722" s="116"/>
    </row>
    <row r="6723" spans="1:2" x14ac:dyDescent="0.2">
      <c r="A6723" s="102"/>
      <c r="B6723" s="116"/>
    </row>
    <row r="6724" spans="1:2" x14ac:dyDescent="0.2">
      <c r="A6724" s="102"/>
      <c r="B6724" s="116"/>
    </row>
    <row r="6725" spans="1:2" x14ac:dyDescent="0.2">
      <c r="A6725" s="102"/>
      <c r="B6725" s="116"/>
    </row>
    <row r="6726" spans="1:2" x14ac:dyDescent="0.2">
      <c r="A6726" s="102"/>
      <c r="B6726" s="116"/>
    </row>
    <row r="6727" spans="1:2" x14ac:dyDescent="0.2">
      <c r="A6727" s="102"/>
      <c r="B6727" s="116"/>
    </row>
    <row r="6728" spans="1:2" x14ac:dyDescent="0.2">
      <c r="A6728" s="102"/>
      <c r="B6728" s="116"/>
    </row>
    <row r="6729" spans="1:2" x14ac:dyDescent="0.2">
      <c r="A6729" s="102"/>
      <c r="B6729" s="116"/>
    </row>
    <row r="6730" spans="1:2" x14ac:dyDescent="0.2">
      <c r="A6730" s="102"/>
      <c r="B6730" s="116"/>
    </row>
    <row r="6731" spans="1:2" x14ac:dyDescent="0.2">
      <c r="A6731" s="102"/>
      <c r="B6731" s="116"/>
    </row>
    <row r="6732" spans="1:2" x14ac:dyDescent="0.2">
      <c r="A6732" s="102"/>
      <c r="B6732" s="116"/>
    </row>
    <row r="6733" spans="1:2" x14ac:dyDescent="0.2">
      <c r="A6733" s="102"/>
      <c r="B6733" s="116"/>
    </row>
    <row r="6734" spans="1:2" x14ac:dyDescent="0.2">
      <c r="A6734" s="102"/>
      <c r="B6734" s="116"/>
    </row>
    <row r="6735" spans="1:2" x14ac:dyDescent="0.2">
      <c r="A6735" s="102"/>
      <c r="B6735" s="116"/>
    </row>
    <row r="6736" spans="1:2" x14ac:dyDescent="0.2">
      <c r="A6736" s="102"/>
      <c r="B6736" s="116"/>
    </row>
    <row r="6737" spans="1:2" x14ac:dyDescent="0.2">
      <c r="A6737" s="102"/>
      <c r="B6737" s="116"/>
    </row>
    <row r="6738" spans="1:2" x14ac:dyDescent="0.2">
      <c r="A6738" s="102"/>
      <c r="B6738" s="116"/>
    </row>
    <row r="6739" spans="1:2" x14ac:dyDescent="0.2">
      <c r="A6739" s="102"/>
      <c r="B6739" s="116"/>
    </row>
    <row r="6740" spans="1:2" x14ac:dyDescent="0.2">
      <c r="A6740" s="102"/>
      <c r="B6740" s="116"/>
    </row>
    <row r="6741" spans="1:2" x14ac:dyDescent="0.2">
      <c r="A6741" s="102"/>
      <c r="B6741" s="116"/>
    </row>
    <row r="6742" spans="1:2" x14ac:dyDescent="0.2">
      <c r="A6742" s="102"/>
      <c r="B6742" s="116"/>
    </row>
    <row r="6743" spans="1:2" x14ac:dyDescent="0.2">
      <c r="A6743" s="102"/>
      <c r="B6743" s="116"/>
    </row>
    <row r="6744" spans="1:2" x14ac:dyDescent="0.2">
      <c r="A6744" s="102"/>
      <c r="B6744" s="116"/>
    </row>
    <row r="6745" spans="1:2" x14ac:dyDescent="0.2">
      <c r="A6745" s="102"/>
      <c r="B6745" s="116"/>
    </row>
    <row r="6746" spans="1:2" x14ac:dyDescent="0.2">
      <c r="A6746" s="102"/>
      <c r="B6746" s="116"/>
    </row>
    <row r="6747" spans="1:2" x14ac:dyDescent="0.2">
      <c r="A6747" s="102"/>
      <c r="B6747" s="116"/>
    </row>
    <row r="6748" spans="1:2" x14ac:dyDescent="0.2">
      <c r="A6748" s="102"/>
      <c r="B6748" s="116"/>
    </row>
    <row r="6749" spans="1:2" x14ac:dyDescent="0.2">
      <c r="A6749" s="102"/>
      <c r="B6749" s="116"/>
    </row>
    <row r="6750" spans="1:2" x14ac:dyDescent="0.2">
      <c r="A6750" s="102"/>
      <c r="B6750" s="116"/>
    </row>
    <row r="6751" spans="1:2" x14ac:dyDescent="0.2">
      <c r="A6751" s="102"/>
      <c r="B6751" s="116"/>
    </row>
    <row r="6752" spans="1:2" x14ac:dyDescent="0.2">
      <c r="A6752" s="102"/>
      <c r="B6752" s="116"/>
    </row>
    <row r="6753" spans="1:2" x14ac:dyDescent="0.2">
      <c r="A6753" s="102"/>
      <c r="B6753" s="116"/>
    </row>
    <row r="6754" spans="1:2" x14ac:dyDescent="0.2">
      <c r="A6754" s="102"/>
      <c r="B6754" s="116"/>
    </row>
    <row r="6755" spans="1:2" x14ac:dyDescent="0.2">
      <c r="A6755" s="102"/>
      <c r="B6755" s="116"/>
    </row>
    <row r="6756" spans="1:2" x14ac:dyDescent="0.2">
      <c r="A6756" s="102"/>
      <c r="B6756" s="116"/>
    </row>
    <row r="6757" spans="1:2" x14ac:dyDescent="0.2">
      <c r="A6757" s="102"/>
      <c r="B6757" s="116"/>
    </row>
    <row r="6758" spans="1:2" x14ac:dyDescent="0.2">
      <c r="A6758" s="102"/>
      <c r="B6758" s="116"/>
    </row>
    <row r="6759" spans="1:2" x14ac:dyDescent="0.2">
      <c r="A6759" s="102"/>
      <c r="B6759" s="116"/>
    </row>
    <row r="6760" spans="1:2" x14ac:dyDescent="0.2">
      <c r="A6760" s="102"/>
      <c r="B6760" s="116"/>
    </row>
    <row r="6761" spans="1:2" x14ac:dyDescent="0.2">
      <c r="A6761" s="102"/>
      <c r="B6761" s="116"/>
    </row>
    <row r="6762" spans="1:2" x14ac:dyDescent="0.2">
      <c r="A6762" s="102"/>
      <c r="B6762" s="116"/>
    </row>
    <row r="6763" spans="1:2" x14ac:dyDescent="0.2">
      <c r="A6763" s="102"/>
      <c r="B6763" s="116"/>
    </row>
    <row r="6764" spans="1:2" x14ac:dyDescent="0.2">
      <c r="A6764" s="102"/>
      <c r="B6764" s="116"/>
    </row>
    <row r="6765" spans="1:2" x14ac:dyDescent="0.2">
      <c r="A6765" s="102"/>
      <c r="B6765" s="116"/>
    </row>
    <row r="6766" spans="1:2" x14ac:dyDescent="0.2">
      <c r="A6766" s="102"/>
      <c r="B6766" s="116"/>
    </row>
    <row r="6767" spans="1:2" x14ac:dyDescent="0.2">
      <c r="A6767" s="102"/>
      <c r="B6767" s="116"/>
    </row>
    <row r="6768" spans="1:2" x14ac:dyDescent="0.2">
      <c r="A6768" s="102"/>
      <c r="B6768" s="116"/>
    </row>
    <row r="6769" spans="1:2" x14ac:dyDescent="0.2">
      <c r="A6769" s="102"/>
      <c r="B6769" s="116"/>
    </row>
    <row r="6770" spans="1:2" x14ac:dyDescent="0.2">
      <c r="A6770" s="102"/>
      <c r="B6770" s="116"/>
    </row>
    <row r="6771" spans="1:2" x14ac:dyDescent="0.2">
      <c r="A6771" s="102"/>
      <c r="B6771" s="116"/>
    </row>
    <row r="6772" spans="1:2" x14ac:dyDescent="0.2">
      <c r="A6772" s="102"/>
      <c r="B6772" s="116"/>
    </row>
    <row r="6773" spans="1:2" x14ac:dyDescent="0.2">
      <c r="A6773" s="102"/>
      <c r="B6773" s="116"/>
    </row>
    <row r="6774" spans="1:2" x14ac:dyDescent="0.2">
      <c r="A6774" s="102"/>
      <c r="B6774" s="116"/>
    </row>
    <row r="6775" spans="1:2" x14ac:dyDescent="0.2">
      <c r="A6775" s="102"/>
      <c r="B6775" s="116"/>
    </row>
    <row r="6776" spans="1:2" x14ac:dyDescent="0.2">
      <c r="A6776" s="102"/>
      <c r="B6776" s="116"/>
    </row>
    <row r="6777" spans="1:2" x14ac:dyDescent="0.2">
      <c r="A6777" s="102"/>
      <c r="B6777" s="116"/>
    </row>
    <row r="6778" spans="1:2" x14ac:dyDescent="0.2">
      <c r="A6778" s="102"/>
      <c r="B6778" s="116"/>
    </row>
    <row r="6779" spans="1:2" x14ac:dyDescent="0.2">
      <c r="A6779" s="102"/>
      <c r="B6779" s="116"/>
    </row>
    <row r="6780" spans="1:2" x14ac:dyDescent="0.2">
      <c r="A6780" s="102"/>
      <c r="B6780" s="116"/>
    </row>
    <row r="6781" spans="1:2" x14ac:dyDescent="0.2">
      <c r="A6781" s="102"/>
      <c r="B6781" s="116"/>
    </row>
    <row r="6782" spans="1:2" x14ac:dyDescent="0.2">
      <c r="A6782" s="102"/>
      <c r="B6782" s="116"/>
    </row>
    <row r="6783" spans="1:2" x14ac:dyDescent="0.2">
      <c r="A6783" s="102"/>
      <c r="B6783" s="116"/>
    </row>
    <row r="6784" spans="1:2" x14ac:dyDescent="0.2">
      <c r="A6784" s="102"/>
      <c r="B6784" s="116"/>
    </row>
    <row r="6785" spans="1:2" x14ac:dyDescent="0.2">
      <c r="A6785" s="102"/>
      <c r="B6785" s="116"/>
    </row>
    <row r="6786" spans="1:2" x14ac:dyDescent="0.2">
      <c r="A6786" s="102"/>
      <c r="B6786" s="116"/>
    </row>
    <row r="6787" spans="1:2" x14ac:dyDescent="0.2">
      <c r="A6787" s="102"/>
      <c r="B6787" s="116"/>
    </row>
    <row r="6788" spans="1:2" x14ac:dyDescent="0.2">
      <c r="A6788" s="102"/>
      <c r="B6788" s="116"/>
    </row>
    <row r="6789" spans="1:2" x14ac:dyDescent="0.2">
      <c r="A6789" s="102"/>
      <c r="B6789" s="116"/>
    </row>
    <row r="6790" spans="1:2" x14ac:dyDescent="0.2">
      <c r="A6790" s="102"/>
      <c r="B6790" s="116"/>
    </row>
    <row r="6791" spans="1:2" x14ac:dyDescent="0.2">
      <c r="A6791" s="102"/>
      <c r="B6791" s="116"/>
    </row>
    <row r="6792" spans="1:2" x14ac:dyDescent="0.2">
      <c r="A6792" s="102"/>
      <c r="B6792" s="116"/>
    </row>
    <row r="6793" spans="1:2" x14ac:dyDescent="0.2">
      <c r="A6793" s="102"/>
      <c r="B6793" s="116"/>
    </row>
    <row r="6794" spans="1:2" x14ac:dyDescent="0.2">
      <c r="A6794" s="102"/>
      <c r="B6794" s="116"/>
    </row>
    <row r="6795" spans="1:2" x14ac:dyDescent="0.2">
      <c r="A6795" s="102"/>
      <c r="B6795" s="116"/>
    </row>
    <row r="6796" spans="1:2" x14ac:dyDescent="0.2">
      <c r="A6796" s="102"/>
      <c r="B6796" s="116"/>
    </row>
    <row r="6797" spans="1:2" x14ac:dyDescent="0.2">
      <c r="A6797" s="102"/>
      <c r="B6797" s="116"/>
    </row>
    <row r="6798" spans="1:2" x14ac:dyDescent="0.2">
      <c r="A6798" s="102"/>
      <c r="B6798" s="116"/>
    </row>
    <row r="6799" spans="1:2" x14ac:dyDescent="0.2">
      <c r="A6799" s="102"/>
      <c r="B6799" s="116"/>
    </row>
    <row r="6800" spans="1:2" x14ac:dyDescent="0.2">
      <c r="A6800" s="102"/>
      <c r="B6800" s="116"/>
    </row>
    <row r="6801" spans="1:2" x14ac:dyDescent="0.2">
      <c r="A6801" s="102"/>
      <c r="B6801" s="116"/>
    </row>
    <row r="6802" spans="1:2" x14ac:dyDescent="0.2">
      <c r="A6802" s="102"/>
      <c r="B6802" s="116"/>
    </row>
    <row r="6803" spans="1:2" x14ac:dyDescent="0.2">
      <c r="A6803" s="102"/>
      <c r="B6803" s="116"/>
    </row>
    <row r="6804" spans="1:2" x14ac:dyDescent="0.2">
      <c r="A6804" s="102"/>
      <c r="B6804" s="116"/>
    </row>
    <row r="6805" spans="1:2" x14ac:dyDescent="0.2">
      <c r="A6805" s="102"/>
      <c r="B6805" s="116"/>
    </row>
    <row r="6806" spans="1:2" x14ac:dyDescent="0.2">
      <c r="A6806" s="102"/>
      <c r="B6806" s="116"/>
    </row>
    <row r="6807" spans="1:2" x14ac:dyDescent="0.2">
      <c r="A6807" s="102"/>
      <c r="B6807" s="116"/>
    </row>
    <row r="6808" spans="1:2" x14ac:dyDescent="0.2">
      <c r="A6808" s="102"/>
      <c r="B6808" s="116"/>
    </row>
    <row r="6809" spans="1:2" x14ac:dyDescent="0.2">
      <c r="A6809" s="102"/>
      <c r="B6809" s="116"/>
    </row>
    <row r="6810" spans="1:2" x14ac:dyDescent="0.2">
      <c r="A6810" s="102"/>
      <c r="B6810" s="116"/>
    </row>
    <row r="6811" spans="1:2" x14ac:dyDescent="0.2">
      <c r="A6811" s="102"/>
      <c r="B6811" s="116"/>
    </row>
    <row r="6812" spans="1:2" x14ac:dyDescent="0.2">
      <c r="A6812" s="102"/>
      <c r="B6812" s="116"/>
    </row>
    <row r="6813" spans="1:2" x14ac:dyDescent="0.2">
      <c r="A6813" s="102"/>
      <c r="B6813" s="116"/>
    </row>
    <row r="6814" spans="1:2" x14ac:dyDescent="0.2">
      <c r="A6814" s="102"/>
      <c r="B6814" s="116"/>
    </row>
    <row r="6815" spans="1:2" x14ac:dyDescent="0.2">
      <c r="A6815" s="102"/>
      <c r="B6815" s="116"/>
    </row>
    <row r="6816" spans="1:2" x14ac:dyDescent="0.2">
      <c r="A6816" s="102"/>
      <c r="B6816" s="116"/>
    </row>
    <row r="6817" spans="1:2" x14ac:dyDescent="0.2">
      <c r="A6817" s="102"/>
      <c r="B6817" s="116"/>
    </row>
    <row r="6818" spans="1:2" x14ac:dyDescent="0.2">
      <c r="A6818" s="102"/>
      <c r="B6818" s="116"/>
    </row>
    <row r="6819" spans="1:2" x14ac:dyDescent="0.2">
      <c r="A6819" s="102"/>
      <c r="B6819" s="116"/>
    </row>
    <row r="6820" spans="1:2" x14ac:dyDescent="0.2">
      <c r="A6820" s="102"/>
      <c r="B6820" s="116"/>
    </row>
    <row r="6821" spans="1:2" x14ac:dyDescent="0.2">
      <c r="A6821" s="102"/>
      <c r="B6821" s="116"/>
    </row>
    <row r="6822" spans="1:2" x14ac:dyDescent="0.2">
      <c r="A6822" s="102"/>
      <c r="B6822" s="116"/>
    </row>
    <row r="6823" spans="1:2" x14ac:dyDescent="0.2">
      <c r="A6823" s="102"/>
      <c r="B6823" s="116"/>
    </row>
    <row r="6824" spans="1:2" x14ac:dyDescent="0.2">
      <c r="A6824" s="102"/>
      <c r="B6824" s="116"/>
    </row>
    <row r="6825" spans="1:2" x14ac:dyDescent="0.2">
      <c r="A6825" s="102"/>
      <c r="B6825" s="116"/>
    </row>
    <row r="6826" spans="1:2" x14ac:dyDescent="0.2">
      <c r="A6826" s="102"/>
      <c r="B6826" s="116"/>
    </row>
    <row r="6827" spans="1:2" x14ac:dyDescent="0.2">
      <c r="A6827" s="102"/>
      <c r="B6827" s="116"/>
    </row>
    <row r="6828" spans="1:2" x14ac:dyDescent="0.2">
      <c r="A6828" s="102"/>
      <c r="B6828" s="116"/>
    </row>
    <row r="6829" spans="1:2" x14ac:dyDescent="0.2">
      <c r="A6829" s="102"/>
      <c r="B6829" s="116"/>
    </row>
    <row r="6830" spans="1:2" x14ac:dyDescent="0.2">
      <c r="A6830" s="102"/>
      <c r="B6830" s="116"/>
    </row>
    <row r="6831" spans="1:2" x14ac:dyDescent="0.2">
      <c r="A6831" s="102"/>
      <c r="B6831" s="116"/>
    </row>
    <row r="6832" spans="1:2" x14ac:dyDescent="0.2">
      <c r="A6832" s="102"/>
      <c r="B6832" s="116"/>
    </row>
    <row r="6833" spans="1:2" x14ac:dyDescent="0.2">
      <c r="A6833" s="102"/>
      <c r="B6833" s="116"/>
    </row>
    <row r="6834" spans="1:2" x14ac:dyDescent="0.2">
      <c r="A6834" s="102"/>
      <c r="B6834" s="116"/>
    </row>
    <row r="6835" spans="1:2" x14ac:dyDescent="0.2">
      <c r="A6835" s="102"/>
      <c r="B6835" s="116"/>
    </row>
    <row r="6836" spans="1:2" x14ac:dyDescent="0.2">
      <c r="A6836" s="102"/>
      <c r="B6836" s="116"/>
    </row>
    <row r="6837" spans="1:2" x14ac:dyDescent="0.2">
      <c r="A6837" s="102"/>
      <c r="B6837" s="116"/>
    </row>
    <row r="6838" spans="1:2" x14ac:dyDescent="0.2">
      <c r="A6838" s="102"/>
      <c r="B6838" s="116"/>
    </row>
    <row r="6839" spans="1:2" x14ac:dyDescent="0.2">
      <c r="A6839" s="102"/>
      <c r="B6839" s="116"/>
    </row>
    <row r="6840" spans="1:2" x14ac:dyDescent="0.2">
      <c r="A6840" s="102"/>
      <c r="B6840" s="116"/>
    </row>
    <row r="6841" spans="1:2" x14ac:dyDescent="0.2">
      <c r="A6841" s="102"/>
      <c r="B6841" s="116"/>
    </row>
    <row r="6842" spans="1:2" x14ac:dyDescent="0.2">
      <c r="A6842" s="102"/>
      <c r="B6842" s="116"/>
    </row>
    <row r="6843" spans="1:2" x14ac:dyDescent="0.2">
      <c r="A6843" s="102"/>
      <c r="B6843" s="116"/>
    </row>
    <row r="6844" spans="1:2" x14ac:dyDescent="0.2">
      <c r="A6844" s="102"/>
      <c r="B6844" s="116"/>
    </row>
    <row r="6845" spans="1:2" x14ac:dyDescent="0.2">
      <c r="A6845" s="102"/>
      <c r="B6845" s="116"/>
    </row>
    <row r="6846" spans="1:2" x14ac:dyDescent="0.2">
      <c r="A6846" s="102"/>
      <c r="B6846" s="116"/>
    </row>
    <row r="6847" spans="1:2" x14ac:dyDescent="0.2">
      <c r="A6847" s="102"/>
      <c r="B6847" s="116"/>
    </row>
    <row r="6848" spans="1:2" x14ac:dyDescent="0.2">
      <c r="A6848" s="102"/>
      <c r="B6848" s="116"/>
    </row>
    <row r="6849" spans="1:2" x14ac:dyDescent="0.2">
      <c r="A6849" s="102"/>
      <c r="B6849" s="116"/>
    </row>
    <row r="6850" spans="1:2" x14ac:dyDescent="0.2">
      <c r="A6850" s="102"/>
      <c r="B6850" s="116"/>
    </row>
    <row r="6851" spans="1:2" x14ac:dyDescent="0.2">
      <c r="A6851" s="102"/>
      <c r="B6851" s="116"/>
    </row>
    <row r="6852" spans="1:2" x14ac:dyDescent="0.2">
      <c r="A6852" s="102"/>
      <c r="B6852" s="116"/>
    </row>
    <row r="6853" spans="1:2" x14ac:dyDescent="0.2">
      <c r="A6853" s="102"/>
      <c r="B6853" s="116"/>
    </row>
    <row r="6854" spans="1:2" x14ac:dyDescent="0.2">
      <c r="A6854" s="102"/>
      <c r="B6854" s="116"/>
    </row>
    <row r="6855" spans="1:2" x14ac:dyDescent="0.2">
      <c r="A6855" s="102"/>
      <c r="B6855" s="116"/>
    </row>
    <row r="6856" spans="1:2" x14ac:dyDescent="0.2">
      <c r="A6856" s="102"/>
      <c r="B6856" s="116"/>
    </row>
    <row r="6857" spans="1:2" x14ac:dyDescent="0.2">
      <c r="A6857" s="102"/>
      <c r="B6857" s="116"/>
    </row>
    <row r="6858" spans="1:2" x14ac:dyDescent="0.2">
      <c r="A6858" s="102"/>
      <c r="B6858" s="116"/>
    </row>
    <row r="6859" spans="1:2" x14ac:dyDescent="0.2">
      <c r="A6859" s="102"/>
      <c r="B6859" s="116"/>
    </row>
    <row r="6860" spans="1:2" x14ac:dyDescent="0.2">
      <c r="A6860" s="102"/>
      <c r="B6860" s="116"/>
    </row>
    <row r="6861" spans="1:2" x14ac:dyDescent="0.2">
      <c r="A6861" s="102"/>
      <c r="B6861" s="116"/>
    </row>
    <row r="6862" spans="1:2" x14ac:dyDescent="0.2">
      <c r="A6862" s="102"/>
      <c r="B6862" s="116"/>
    </row>
    <row r="6863" spans="1:2" x14ac:dyDescent="0.2">
      <c r="A6863" s="102"/>
      <c r="B6863" s="116"/>
    </row>
    <row r="6864" spans="1:2" x14ac:dyDescent="0.2">
      <c r="A6864" s="102"/>
      <c r="B6864" s="116"/>
    </row>
    <row r="6865" spans="1:2" x14ac:dyDescent="0.2">
      <c r="A6865" s="102"/>
      <c r="B6865" s="116"/>
    </row>
    <row r="6866" spans="1:2" x14ac:dyDescent="0.2">
      <c r="A6866" s="102"/>
      <c r="B6866" s="116"/>
    </row>
    <row r="6867" spans="1:2" x14ac:dyDescent="0.2">
      <c r="A6867" s="102"/>
      <c r="B6867" s="116"/>
    </row>
    <row r="6868" spans="1:2" x14ac:dyDescent="0.2">
      <c r="A6868" s="102"/>
      <c r="B6868" s="116"/>
    </row>
    <row r="6869" spans="1:2" x14ac:dyDescent="0.2">
      <c r="A6869" s="102"/>
      <c r="B6869" s="116"/>
    </row>
    <row r="6870" spans="1:2" x14ac:dyDescent="0.2">
      <c r="A6870" s="102"/>
      <c r="B6870" s="116"/>
    </row>
    <row r="6871" spans="1:2" x14ac:dyDescent="0.2">
      <c r="A6871" s="102"/>
      <c r="B6871" s="116"/>
    </row>
    <row r="6872" spans="1:2" x14ac:dyDescent="0.2">
      <c r="A6872" s="102"/>
      <c r="B6872" s="116"/>
    </row>
    <row r="6873" spans="1:2" x14ac:dyDescent="0.2">
      <c r="A6873" s="102"/>
      <c r="B6873" s="116"/>
    </row>
    <row r="6874" spans="1:2" x14ac:dyDescent="0.2">
      <c r="A6874" s="102"/>
      <c r="B6874" s="116"/>
    </row>
    <row r="6875" spans="1:2" x14ac:dyDescent="0.2">
      <c r="A6875" s="102"/>
      <c r="B6875" s="116"/>
    </row>
    <row r="6876" spans="1:2" x14ac:dyDescent="0.2">
      <c r="A6876" s="102"/>
      <c r="B6876" s="116"/>
    </row>
    <row r="6877" spans="1:2" x14ac:dyDescent="0.2">
      <c r="A6877" s="102"/>
      <c r="B6877" s="116"/>
    </row>
    <row r="6878" spans="1:2" x14ac:dyDescent="0.2">
      <c r="A6878" s="102"/>
      <c r="B6878" s="116"/>
    </row>
    <row r="6879" spans="1:2" x14ac:dyDescent="0.2">
      <c r="A6879" s="102"/>
      <c r="B6879" s="116"/>
    </row>
    <row r="6880" spans="1:2" x14ac:dyDescent="0.2">
      <c r="A6880" s="102"/>
      <c r="B6880" s="116"/>
    </row>
    <row r="6881" spans="1:2" x14ac:dyDescent="0.2">
      <c r="A6881" s="102"/>
      <c r="B6881" s="116"/>
    </row>
    <row r="6882" spans="1:2" x14ac:dyDescent="0.2">
      <c r="A6882" s="102"/>
      <c r="B6882" s="116"/>
    </row>
    <row r="6883" spans="1:2" x14ac:dyDescent="0.2">
      <c r="A6883" s="102"/>
      <c r="B6883" s="116"/>
    </row>
    <row r="6884" spans="1:2" x14ac:dyDescent="0.2">
      <c r="A6884" s="102"/>
      <c r="B6884" s="116"/>
    </row>
    <row r="6885" spans="1:2" x14ac:dyDescent="0.2">
      <c r="A6885" s="102"/>
      <c r="B6885" s="116"/>
    </row>
    <row r="6886" spans="1:2" x14ac:dyDescent="0.2">
      <c r="A6886" s="102"/>
      <c r="B6886" s="116"/>
    </row>
    <row r="6887" spans="1:2" x14ac:dyDescent="0.2">
      <c r="A6887" s="102"/>
      <c r="B6887" s="116"/>
    </row>
    <row r="6888" spans="1:2" x14ac:dyDescent="0.2">
      <c r="A6888" s="102"/>
      <c r="B6888" s="116"/>
    </row>
    <row r="6889" spans="1:2" x14ac:dyDescent="0.2">
      <c r="A6889" s="102"/>
      <c r="B6889" s="116"/>
    </row>
    <row r="6890" spans="1:2" x14ac:dyDescent="0.2">
      <c r="A6890" s="102"/>
      <c r="B6890" s="116"/>
    </row>
    <row r="6891" spans="1:2" x14ac:dyDescent="0.2">
      <c r="A6891" s="102"/>
      <c r="B6891" s="116"/>
    </row>
    <row r="6892" spans="1:2" x14ac:dyDescent="0.2">
      <c r="A6892" s="102"/>
      <c r="B6892" s="116"/>
    </row>
    <row r="6893" spans="1:2" x14ac:dyDescent="0.2">
      <c r="A6893" s="102"/>
      <c r="B6893" s="116"/>
    </row>
    <row r="6894" spans="1:2" x14ac:dyDescent="0.2">
      <c r="A6894" s="102"/>
      <c r="B6894" s="116"/>
    </row>
    <row r="6895" spans="1:2" x14ac:dyDescent="0.2">
      <c r="A6895" s="102"/>
      <c r="B6895" s="116"/>
    </row>
    <row r="6896" spans="1:2" x14ac:dyDescent="0.2">
      <c r="A6896" s="102"/>
      <c r="B6896" s="116"/>
    </row>
    <row r="6897" spans="1:2" x14ac:dyDescent="0.2">
      <c r="A6897" s="102"/>
      <c r="B6897" s="116"/>
    </row>
    <row r="6898" spans="1:2" x14ac:dyDescent="0.2">
      <c r="A6898" s="102"/>
      <c r="B6898" s="116"/>
    </row>
    <row r="6899" spans="1:2" x14ac:dyDescent="0.2">
      <c r="A6899" s="102"/>
      <c r="B6899" s="116"/>
    </row>
    <row r="6900" spans="1:2" x14ac:dyDescent="0.2">
      <c r="A6900" s="102"/>
      <c r="B6900" s="116"/>
    </row>
    <row r="6901" spans="1:2" x14ac:dyDescent="0.2">
      <c r="A6901" s="102"/>
      <c r="B6901" s="116"/>
    </row>
    <row r="6902" spans="1:2" x14ac:dyDescent="0.2">
      <c r="A6902" s="102"/>
      <c r="B6902" s="116"/>
    </row>
    <row r="6903" spans="1:2" x14ac:dyDescent="0.2">
      <c r="A6903" s="102"/>
      <c r="B6903" s="116"/>
    </row>
    <row r="6904" spans="1:2" x14ac:dyDescent="0.2">
      <c r="A6904" s="102"/>
      <c r="B6904" s="116"/>
    </row>
    <row r="6905" spans="1:2" x14ac:dyDescent="0.2">
      <c r="A6905" s="102"/>
      <c r="B6905" s="116"/>
    </row>
    <row r="6906" spans="1:2" x14ac:dyDescent="0.2">
      <c r="A6906" s="102"/>
      <c r="B6906" s="116"/>
    </row>
    <row r="6907" spans="1:2" x14ac:dyDescent="0.2">
      <c r="A6907" s="102"/>
      <c r="B6907" s="116"/>
    </row>
    <row r="6908" spans="1:2" x14ac:dyDescent="0.2">
      <c r="A6908" s="102"/>
      <c r="B6908" s="116"/>
    </row>
    <row r="6909" spans="1:2" x14ac:dyDescent="0.2">
      <c r="A6909" s="102"/>
      <c r="B6909" s="116"/>
    </row>
    <row r="6910" spans="1:2" x14ac:dyDescent="0.2">
      <c r="A6910" s="102"/>
      <c r="B6910" s="116"/>
    </row>
  </sheetData>
  <mergeCells count="4">
    <mergeCell ref="G17:H17"/>
    <mergeCell ref="I17:J17"/>
    <mergeCell ref="A68:D68"/>
    <mergeCell ref="A86:F86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CD612-CB52-4F44-948A-C606800848F3}">
  <dimension ref="A1:Q170"/>
  <sheetViews>
    <sheetView tabSelected="1" workbookViewId="0">
      <selection activeCell="H7" sqref="H7"/>
    </sheetView>
  </sheetViews>
  <sheetFormatPr defaultRowHeight="15" x14ac:dyDescent="0.25"/>
  <cols>
    <col min="1" max="5" width="1.7109375" style="162" customWidth="1"/>
    <col min="6" max="6" width="65.7109375" style="162" customWidth="1"/>
    <col min="7" max="7" width="22.7109375" style="163" customWidth="1"/>
    <col min="8" max="8" width="10.7109375" style="163" customWidth="1"/>
    <col min="9" max="9" width="9.7109375" style="164" customWidth="1"/>
    <col min="10" max="10" width="9.7109375" style="173" customWidth="1"/>
    <col min="11" max="11" width="9.7109375" style="165" customWidth="1"/>
    <col min="12" max="12" width="9.7109375" style="166" customWidth="1"/>
    <col min="13" max="13" width="9.140625" style="162"/>
    <col min="14" max="14" width="67.28515625" style="162" customWidth="1"/>
    <col min="15" max="15" width="2.7109375" style="168" customWidth="1"/>
    <col min="16" max="16384" width="9.140625" style="168"/>
  </cols>
  <sheetData>
    <row r="1" spans="1:15" ht="12.75" customHeight="1" x14ac:dyDescent="0.25">
      <c r="A1" s="203" t="s">
        <v>309</v>
      </c>
      <c r="B1" s="204"/>
      <c r="C1" s="204"/>
      <c r="D1" s="204"/>
      <c r="E1" s="204"/>
      <c r="F1" s="204"/>
      <c r="G1" s="204"/>
      <c r="H1" s="205"/>
      <c r="I1" s="206"/>
      <c r="J1" s="207"/>
      <c r="K1" s="207"/>
      <c r="L1" s="208"/>
      <c r="M1" s="204"/>
      <c r="N1" s="204"/>
      <c r="O1" s="167"/>
    </row>
    <row r="2" spans="1:15" ht="12.75" customHeight="1" x14ac:dyDescent="0.25">
      <c r="A2" s="209"/>
      <c r="B2" s="204"/>
      <c r="C2" s="204"/>
      <c r="D2" s="204"/>
      <c r="E2" s="204"/>
      <c r="F2" s="204"/>
      <c r="G2" s="204"/>
      <c r="H2" s="205"/>
      <c r="I2" s="206"/>
      <c r="J2" s="207"/>
      <c r="K2" s="207"/>
      <c r="L2" s="208"/>
      <c r="M2" s="204"/>
      <c r="N2" s="204"/>
      <c r="O2" s="167"/>
    </row>
    <row r="3" spans="1:15" s="162" customFormat="1" ht="12.75" customHeight="1" x14ac:dyDescent="0.25">
      <c r="A3" s="210" t="s">
        <v>310</v>
      </c>
      <c r="B3" s="211"/>
      <c r="C3" s="211"/>
      <c r="D3" s="211"/>
      <c r="E3" s="211"/>
      <c r="F3" s="211"/>
      <c r="G3" s="210" t="s">
        <v>311</v>
      </c>
      <c r="H3" s="212"/>
      <c r="I3" s="213" t="s">
        <v>312</v>
      </c>
      <c r="J3" s="214"/>
      <c r="K3" s="213" t="s">
        <v>313</v>
      </c>
      <c r="L3" s="215" t="s">
        <v>314</v>
      </c>
      <c r="M3" s="211"/>
      <c r="N3" s="212" t="s">
        <v>315</v>
      </c>
      <c r="O3" s="169"/>
    </row>
    <row r="4" spans="1:15" ht="12.75" customHeight="1" x14ac:dyDescent="0.25">
      <c r="A4" s="216"/>
      <c r="B4" s="204"/>
      <c r="C4" s="204"/>
      <c r="D4" s="204"/>
      <c r="E4" s="204"/>
      <c r="F4" s="204"/>
      <c r="G4" s="216"/>
      <c r="H4" s="205"/>
      <c r="I4" s="217"/>
      <c r="J4" s="218"/>
      <c r="K4" s="218"/>
      <c r="L4" s="219"/>
      <c r="M4" s="204"/>
      <c r="N4" s="205"/>
      <c r="O4" s="170"/>
    </row>
    <row r="5" spans="1:15" ht="26.45" customHeight="1" x14ac:dyDescent="0.25">
      <c r="A5" s="220" t="s">
        <v>66</v>
      </c>
      <c r="B5" s="204"/>
      <c r="C5" s="204"/>
      <c r="D5" s="204"/>
      <c r="E5" s="204"/>
      <c r="F5" s="204"/>
      <c r="G5" s="221" t="s">
        <v>316</v>
      </c>
      <c r="H5" s="205"/>
      <c r="I5" s="195" t="s">
        <v>317</v>
      </c>
      <c r="J5" s="222"/>
      <c r="K5" s="223" t="s">
        <v>318</v>
      </c>
      <c r="L5" s="224" t="str">
        <f>IF(ISBLANK(I6),IF(ISBLANK(I5),IF(J5="",K5,J5),I5),VLOOKUP(ChemRowNr,[1]substances!A8:B1041,2,0))</f>
        <v>benzene</v>
      </c>
      <c r="M5" s="204"/>
      <c r="N5" s="225"/>
      <c r="O5" s="170"/>
    </row>
    <row r="6" spans="1:15" ht="12.75" customHeight="1" x14ac:dyDescent="0.25">
      <c r="A6" s="216"/>
      <c r="B6" s="204"/>
      <c r="C6" s="204"/>
      <c r="D6" s="204"/>
      <c r="E6" s="204"/>
      <c r="F6" s="204"/>
      <c r="G6" s="216" t="s">
        <v>319</v>
      </c>
      <c r="H6" s="205"/>
      <c r="I6" s="196">
        <v>169</v>
      </c>
      <c r="J6" s="222"/>
      <c r="K6" s="226">
        <f>VLOOKUP(ChemName,ChemData,26,FALSE)</f>
        <v>0</v>
      </c>
      <c r="L6" s="227">
        <f>IF(ISBLANK(I6),IF(ISBLANK(J6),K6,J6),I6)</f>
        <v>169</v>
      </c>
      <c r="M6" s="204"/>
      <c r="N6" s="205"/>
      <c r="O6" s="170"/>
    </row>
    <row r="7" spans="1:15" ht="12.75" customHeight="1" x14ac:dyDescent="0.25">
      <c r="A7" s="216"/>
      <c r="B7" s="216"/>
      <c r="C7" s="216"/>
      <c r="D7" s="216"/>
      <c r="E7" s="216"/>
      <c r="F7" s="216"/>
      <c r="G7" s="216"/>
      <c r="H7" s="216"/>
      <c r="I7" s="216"/>
      <c r="J7" s="228"/>
      <c r="K7" s="228"/>
      <c r="L7" s="229"/>
      <c r="M7" s="204"/>
      <c r="N7" s="205"/>
      <c r="O7" s="171"/>
    </row>
    <row r="8" spans="1:15" ht="26.45" customHeight="1" x14ac:dyDescent="0.25">
      <c r="A8" s="225" t="s">
        <v>320</v>
      </c>
      <c r="B8" s="225"/>
      <c r="C8" s="225"/>
      <c r="D8" s="225"/>
      <c r="E8" s="225"/>
      <c r="F8" s="225"/>
      <c r="G8" s="221" t="s">
        <v>321</v>
      </c>
      <c r="H8" s="230"/>
      <c r="I8" s="195"/>
      <c r="J8" s="222"/>
      <c r="K8" s="223" t="s">
        <v>322</v>
      </c>
      <c r="L8" s="224" t="str">
        <f>IF(ISBLANK(I8),IF(J8=0,K8,J8),I8)</f>
        <v>default scenario</v>
      </c>
      <c r="M8" s="204"/>
      <c r="N8" s="225"/>
      <c r="O8" s="171"/>
    </row>
    <row r="9" spans="1:15" ht="12.75" customHeight="1" x14ac:dyDescent="0.25">
      <c r="A9" s="216"/>
      <c r="B9" s="204"/>
      <c r="C9" s="204"/>
      <c r="D9" s="204"/>
      <c r="E9" s="204"/>
      <c r="F9" s="204"/>
      <c r="G9" s="216"/>
      <c r="H9" s="205"/>
      <c r="I9" s="205"/>
      <c r="J9" s="218"/>
      <c r="K9" s="218"/>
      <c r="L9" s="219"/>
      <c r="M9" s="204"/>
      <c r="N9" s="205"/>
      <c r="O9" s="171"/>
    </row>
    <row r="10" spans="1:15" ht="26.45" customHeight="1" x14ac:dyDescent="0.25">
      <c r="A10" s="220" t="s">
        <v>323</v>
      </c>
      <c r="B10" s="204"/>
      <c r="C10" s="204"/>
      <c r="D10" s="204"/>
      <c r="E10" s="204"/>
      <c r="F10" s="204"/>
      <c r="G10" s="221" t="s">
        <v>324</v>
      </c>
      <c r="H10" s="205"/>
      <c r="I10" s="195" t="s">
        <v>325</v>
      </c>
      <c r="J10" s="222"/>
      <c r="K10" s="223" t="s">
        <v>325</v>
      </c>
      <c r="L10" s="224" t="str">
        <f>IF(ISBLANK(I10),IF(ISBLANK(J10),K10,J10),I10)</f>
        <v>defaults only</v>
      </c>
      <c r="M10" s="204"/>
      <c r="N10" s="225"/>
    </row>
    <row r="11" spans="1:15" ht="12.75" customHeight="1" x14ac:dyDescent="0.25">
      <c r="A11" s="204"/>
      <c r="B11" s="204"/>
      <c r="C11" s="204"/>
      <c r="D11" s="204"/>
      <c r="E11" s="204"/>
      <c r="F11" s="204"/>
      <c r="G11" s="205"/>
      <c r="H11" s="205"/>
      <c r="I11" s="231"/>
      <c r="J11" s="207"/>
      <c r="K11" s="207"/>
      <c r="L11" s="208"/>
      <c r="M11" s="204"/>
      <c r="N11" s="204"/>
    </row>
    <row r="12" spans="1:15" s="162" customFormat="1" ht="12.75" customHeight="1" x14ac:dyDescent="0.25">
      <c r="A12" s="210" t="s">
        <v>326</v>
      </c>
      <c r="B12" s="211"/>
      <c r="C12" s="211"/>
      <c r="D12" s="211"/>
      <c r="E12" s="211"/>
      <c r="F12" s="211"/>
      <c r="G12" s="210" t="s">
        <v>311</v>
      </c>
      <c r="H12" s="212" t="s">
        <v>68</v>
      </c>
      <c r="I12" s="213" t="s">
        <v>312</v>
      </c>
      <c r="J12" s="213" t="s">
        <v>327</v>
      </c>
      <c r="K12" s="213" t="s">
        <v>313</v>
      </c>
      <c r="L12" s="215" t="s">
        <v>314</v>
      </c>
      <c r="M12" s="211"/>
      <c r="N12" s="212" t="s">
        <v>315</v>
      </c>
      <c r="O12" s="168"/>
    </row>
    <row r="13" spans="1:15" ht="12.75" customHeight="1" x14ac:dyDescent="0.25">
      <c r="A13" s="216"/>
      <c r="B13" s="204"/>
      <c r="C13" s="204"/>
      <c r="D13" s="204"/>
      <c r="E13" s="204"/>
      <c r="F13" s="204"/>
      <c r="G13" s="216"/>
      <c r="H13" s="205"/>
      <c r="I13" s="217"/>
      <c r="J13" s="218"/>
      <c r="K13" s="218"/>
      <c r="L13" s="219"/>
      <c r="M13" s="204"/>
      <c r="N13" s="205"/>
      <c r="O13" s="171"/>
    </row>
    <row r="14" spans="1:15" ht="12.75" customHeight="1" x14ac:dyDescent="0.25">
      <c r="A14" s="216"/>
      <c r="B14" s="220" t="s">
        <v>328</v>
      </c>
      <c r="C14" s="225"/>
      <c r="D14" s="225"/>
      <c r="E14" s="225"/>
      <c r="F14" s="225"/>
      <c r="G14" s="221" t="s">
        <v>329</v>
      </c>
      <c r="H14" s="220"/>
      <c r="I14" s="199" t="s">
        <v>330</v>
      </c>
      <c r="J14" s="232" t="str">
        <f>IF(HLOOKUP(CaseName,CaseData,ROW()-2,FALSE)="",IF(ISBLANK(VLOOKUP(ChemName,ChemData,MATCH("ChemClass",[1]substances!$3:$3,FALSE)-1,FALSE)),"",VLOOKUP(ChemName,ChemData,MATCH("ChemClass",[1]substances!$3:$3,FALSE)-1,FALSE)),HLOOKUP(CaseName,CaseData,ROW()-2,FALSE))</f>
        <v/>
      </c>
      <c r="K14" s="233" t="s">
        <v>70</v>
      </c>
      <c r="L14" s="234" t="str">
        <f>IF(I14="",IF(J14="",K14,J14),I14)</f>
        <v>Neutral</v>
      </c>
      <c r="M14" s="216"/>
      <c r="N14" s="204"/>
      <c r="O14" s="171"/>
    </row>
    <row r="15" spans="1:15" ht="12.75" customHeight="1" x14ac:dyDescent="0.25">
      <c r="A15" s="204"/>
      <c r="B15" s="216" t="s">
        <v>331</v>
      </c>
      <c r="C15" s="204"/>
      <c r="D15" s="204"/>
      <c r="E15" s="204"/>
      <c r="F15" s="204"/>
      <c r="G15" s="229" t="s">
        <v>332</v>
      </c>
      <c r="H15" s="216" t="s">
        <v>333</v>
      </c>
      <c r="I15" s="200"/>
      <c r="J15" s="235">
        <f>IF(HLOOKUP(CaseName,CaseData,ROW()-2,FALSE)="",IF(ISBLANK(VLOOKUP(ChemName,ChemData,MATCH("MW",[1]substances!$3:$3,FALSE)-1,FALSE)),"",VLOOKUP(ChemName,ChemData,MATCH("MW",[1]substances!$3:$3,FALSE)-1,FALSE)),HLOOKUP(CaseName,CaseData,ROW()-2,FALSE))</f>
        <v>78</v>
      </c>
      <c r="K15" s="236">
        <f>MEDIAN([1]substances!F$17:F$283)</f>
        <v>138</v>
      </c>
      <c r="L15" s="227">
        <f>IF(ISBLANK(I15),IF(ISNUMBER(J15)=FALSE,K15/1000,J15/1000),I15/1000)</f>
        <v>7.8E-2</v>
      </c>
      <c r="M15" s="216" t="s">
        <v>334</v>
      </c>
      <c r="N15" s="204"/>
    </row>
    <row r="16" spans="1:15" ht="12.75" customHeight="1" x14ac:dyDescent="0.25">
      <c r="A16" s="204"/>
      <c r="B16" s="216"/>
      <c r="C16" s="204"/>
      <c r="D16" s="204"/>
      <c r="E16" s="204"/>
      <c r="F16" s="204"/>
      <c r="G16" s="216"/>
      <c r="H16" s="205"/>
      <c r="I16" s="205"/>
      <c r="J16" s="237"/>
      <c r="K16" s="207"/>
      <c r="L16" s="208"/>
      <c r="M16" s="204"/>
      <c r="N16" s="204"/>
      <c r="O16" s="171"/>
    </row>
    <row r="17" spans="1:17" ht="12.75" customHeight="1" x14ac:dyDescent="0.25">
      <c r="A17" s="216"/>
      <c r="B17" s="216" t="s">
        <v>335</v>
      </c>
      <c r="C17" s="204"/>
      <c r="D17" s="204"/>
      <c r="E17" s="204"/>
      <c r="F17" s="204"/>
      <c r="G17" s="238" t="s">
        <v>336</v>
      </c>
      <c r="H17" s="216" t="s">
        <v>337</v>
      </c>
      <c r="I17" s="200"/>
      <c r="J17" s="235" t="str">
        <f>IF(HLOOKUP(CaseName,CaseData,ROW()-2,FALSE)="",IF(ISBLANK(VLOOKUP(ChemName,ChemData,MATCH("Ksw",[1]substances!$3:$3,FALSE)-1,FALSE)),"",VLOOKUP(ChemName,ChemData,MATCH("Ksw",[1]substances!$3:$3,FALSE)-1,FALSE)),HLOOKUP(CaseName,CaseData,ROW()-2,FALSE))</f>
        <v/>
      </c>
      <c r="K17" s="236">
        <f>(VLOOKUP(ChemClass,QSARtable,7,FALSE))*CORG*RHOsolid/1000</f>
        <v>3.3468831452930603</v>
      </c>
      <c r="L17" s="227">
        <f t="shared" ref="L17:L35" si="0">IF(ISBLANK(I17), IF(ISNUMBER(J17)=FALSE, K17, J17), I17)</f>
        <v>3.3468831452930603</v>
      </c>
      <c r="M17" s="216" t="s">
        <v>17</v>
      </c>
      <c r="N17" s="204" t="s">
        <v>338</v>
      </c>
      <c r="O17" s="171"/>
    </row>
    <row r="18" spans="1:17" ht="12.75" customHeight="1" x14ac:dyDescent="0.25">
      <c r="A18" s="216"/>
      <c r="B18" s="216" t="s">
        <v>339</v>
      </c>
      <c r="C18" s="204"/>
      <c r="D18" s="204"/>
      <c r="E18" s="204"/>
      <c r="F18" s="204"/>
      <c r="G18" s="238" t="s">
        <v>340</v>
      </c>
      <c r="H18" s="216" t="s">
        <v>337</v>
      </c>
      <c r="I18" s="200"/>
      <c r="J18" s="235" t="str">
        <f>IF(HLOOKUP(CaseName,CaseData,ROW()-2,FALSE)="","",HLOOKUP(CaseName,CaseData,ROW()-2,FALSE))</f>
        <v/>
      </c>
      <c r="K18" s="236">
        <f>(VLOOKUP(ChemClass,QSARtable,8,FALSE))*CORG*RHOsolid/1000</f>
        <v>3.3468831452930603</v>
      </c>
      <c r="L18" s="227">
        <f t="shared" si="0"/>
        <v>3.3468831452930603</v>
      </c>
      <c r="M18" s="216" t="s">
        <v>17</v>
      </c>
      <c r="N18" s="204"/>
      <c r="O18" s="171"/>
    </row>
    <row r="19" spans="1:17" ht="12.75" customHeight="1" x14ac:dyDescent="0.25">
      <c r="A19" s="216"/>
      <c r="B19" s="216" t="s">
        <v>341</v>
      </c>
      <c r="C19" s="239"/>
      <c r="D19" s="204"/>
      <c r="E19" s="204"/>
      <c r="F19" s="204"/>
      <c r="G19" s="238" t="s">
        <v>342</v>
      </c>
      <c r="H19" s="216" t="s">
        <v>337</v>
      </c>
      <c r="I19" s="200">
        <f>10^0.1749</f>
        <v>1.4958911747641013</v>
      </c>
      <c r="J19" s="235" t="str">
        <f>IF(HLOOKUP(CaseName,CaseData,ROW()-2,FALSE)="",IF(ISBLANK(VLOOKUP(ChemName,ChemData,MATCH("Kaw",[1]substances!$3:$3,FALSE)-1,FALSE)),"",VLOOKUP(ChemName,ChemData,MATCH("Kaw",[1]substances!$3:$3,FALSE)-1,FALSE)),HLOOKUP(CaseName,CaseData,ROW()-2,FALSE))</f>
        <v/>
      </c>
      <c r="K19" s="240">
        <f>VLOOKUP(ChemClass,QSARtable,9,FALSE)</f>
        <v>0.22462186928677924</v>
      </c>
      <c r="L19" s="227">
        <f>IF(ISBLANK(I19), IF(ISNUMBER(J19)=FALSE, K19, J19), I19)</f>
        <v>1.4958911747641013</v>
      </c>
      <c r="M19" s="216" t="s">
        <v>17</v>
      </c>
      <c r="N19" s="204">
        <v>0.17490241790484123</v>
      </c>
      <c r="O19" s="171"/>
    </row>
    <row r="20" spans="1:17" ht="12.75" customHeight="1" x14ac:dyDescent="0.25">
      <c r="A20" s="204"/>
      <c r="B20" s="204"/>
      <c r="C20" s="216" t="s">
        <v>343</v>
      </c>
      <c r="D20" s="204"/>
      <c r="E20" s="204"/>
      <c r="F20" s="204"/>
      <c r="G20" s="229" t="s">
        <v>344</v>
      </c>
      <c r="H20" s="216" t="s">
        <v>337</v>
      </c>
      <c r="I20" s="200">
        <f>10^2.13</f>
        <v>134.89628825916537</v>
      </c>
      <c r="J20" s="235">
        <f>IF(HLOOKUP(CaseName,CaseData,ROW()-2,FALSE)="",IF(ISBLANK(VLOOKUP(ChemName,ChemData,MATCH("Kow",[1]substances!$3:$3,FALSE)-1,FALSE)),"",VLOOKUP(ChemName,ChemData,MATCH("Kow",[1]substances!$3:$3,FALSE)-1,FALSE)),HLOOKUP(CaseName,CaseData,ROW()-2,FALSE))</f>
        <v>100</v>
      </c>
      <c r="K20" s="236">
        <f>MEDIAN([1]substances!K$17:K$283)</f>
        <v>18</v>
      </c>
      <c r="L20" s="241">
        <f t="shared" si="0"/>
        <v>134.89628825916537</v>
      </c>
      <c r="M20" s="216" t="s">
        <v>17</v>
      </c>
      <c r="N20" s="204">
        <v>100</v>
      </c>
      <c r="O20" s="171"/>
      <c r="Q20" s="162"/>
    </row>
    <row r="21" spans="1:17" ht="12.75" customHeight="1" x14ac:dyDescent="0.25">
      <c r="A21" s="204"/>
      <c r="B21" s="204"/>
      <c r="C21" s="216" t="s">
        <v>345</v>
      </c>
      <c r="D21" s="204"/>
      <c r="E21" s="204"/>
      <c r="F21" s="204"/>
      <c r="G21" s="229" t="s">
        <v>346</v>
      </c>
      <c r="H21" s="216" t="s">
        <v>337</v>
      </c>
      <c r="I21" s="200"/>
      <c r="J21" s="235" t="str">
        <f>IF(HLOOKUP(CaseName,CaseData,ROW()-2,FALSE)="","",HLOOKUP(CaseName,CaseData,ROW()-2,FALSE))</f>
        <v/>
      </c>
      <c r="K21" s="242">
        <f>10^(LOG(Kow)-3.5)</f>
        <v>4.2657951880159237E-2</v>
      </c>
      <c r="L21" s="227">
        <f t="shared" si="0"/>
        <v>4.2657951880159237E-2</v>
      </c>
      <c r="M21" s="216" t="s">
        <v>17</v>
      </c>
      <c r="N21" s="204"/>
      <c r="O21" s="171"/>
    </row>
    <row r="22" spans="1:17" ht="12.75" customHeight="1" x14ac:dyDescent="0.25">
      <c r="A22" s="204"/>
      <c r="B22" s="204"/>
      <c r="C22" s="216" t="s">
        <v>347</v>
      </c>
      <c r="D22" s="204"/>
      <c r="E22" s="204"/>
      <c r="F22" s="204"/>
      <c r="G22" s="216" t="s">
        <v>348</v>
      </c>
      <c r="H22" s="216"/>
      <c r="I22" s="200"/>
      <c r="J22" s="235" t="str">
        <f>IF(HLOOKUP(CaseName,CaseData,ROW()-2,FALSE)="",IF(ISBLANK(VLOOKUP(ChemName,ChemData,MATCH("pKa",[1]substances!$3:$3,FALSE)-1,FALSE)),"",VLOOKUP(ChemName,ChemData,MATCH("pKa",[1]substances!$3:$3,FALSE)-1,FALSE)),HLOOKUP(CaseName,CaseData,ROW()-2,FALSE))</f>
        <v/>
      </c>
      <c r="K22" s="236">
        <v>7</v>
      </c>
      <c r="L22" s="227">
        <f t="shared" si="0"/>
        <v>7</v>
      </c>
      <c r="M22" s="239" t="s">
        <v>17</v>
      </c>
      <c r="N22" s="204"/>
      <c r="O22" s="171"/>
    </row>
    <row r="23" spans="1:17" ht="12.75" customHeight="1" x14ac:dyDescent="0.25">
      <c r="A23" s="204"/>
      <c r="B23" s="204"/>
      <c r="C23" s="216" t="s">
        <v>349</v>
      </c>
      <c r="D23" s="204"/>
      <c r="E23" s="204"/>
      <c r="F23" s="204"/>
      <c r="G23" s="229" t="s">
        <v>350</v>
      </c>
      <c r="H23" s="216" t="s">
        <v>337</v>
      </c>
      <c r="I23" s="200"/>
      <c r="J23" s="235" t="str">
        <f t="shared" ref="J23:J38" si="1">IF(HLOOKUP(CaseName,CaseData,ROW()-2,FALSE)="","",HLOOKUP(CaseName,CaseData,ROW()-2,FALSE))</f>
        <v/>
      </c>
      <c r="K23" s="236">
        <f>IF(ChemClass="Acid",1/(1+10^(7-pKa)),IF(ChemClass="Base",1/(1+10^(pKa-7)),1))*Kow + (1-IF(ChemClass="Acid",1/(1+10^(7-pKa)),IF(ChemClass="Base",1/(1+10^(pKa-7)),1)))*Kow.alt</f>
        <v>134.89628825916537</v>
      </c>
      <c r="L23" s="227">
        <f t="shared" si="0"/>
        <v>134.89628825916537</v>
      </c>
      <c r="M23" s="216" t="s">
        <v>17</v>
      </c>
      <c r="N23" s="204" t="s">
        <v>351</v>
      </c>
      <c r="O23" s="171"/>
    </row>
    <row r="24" spans="1:17" ht="12.75" customHeight="1" x14ac:dyDescent="0.25">
      <c r="A24" s="243"/>
      <c r="B24" s="204"/>
      <c r="C24" s="204" t="s">
        <v>352</v>
      </c>
      <c r="D24" s="204"/>
      <c r="E24" s="204"/>
      <c r="F24" s="204"/>
      <c r="G24" s="205" t="s">
        <v>353</v>
      </c>
      <c r="H24" s="205" t="s">
        <v>337</v>
      </c>
      <c r="I24" s="200"/>
      <c r="J24" s="235" t="str">
        <f t="shared" si="1"/>
        <v/>
      </c>
      <c r="K24" s="244">
        <f>IF(ChemClass="Acid",1/(1+10^(pH.aerw-pKa)),IF(ChemClass="Base",1/(1+10^(pKa-pH.aerw)),1))</f>
        <v>1</v>
      </c>
      <c r="L24" s="227">
        <f t="shared" si="0"/>
        <v>1</v>
      </c>
      <c r="M24" s="245" t="s">
        <v>17</v>
      </c>
      <c r="N24" s="204"/>
      <c r="O24" s="171"/>
    </row>
    <row r="25" spans="1:17" ht="12.75" customHeight="1" x14ac:dyDescent="0.25">
      <c r="A25" s="243"/>
      <c r="B25" s="204"/>
      <c r="C25" s="204" t="s">
        <v>354</v>
      </c>
      <c r="D25" s="204"/>
      <c r="E25" s="204"/>
      <c r="F25" s="204"/>
      <c r="G25" s="205" t="s">
        <v>355</v>
      </c>
      <c r="H25" s="205" t="s">
        <v>337</v>
      </c>
      <c r="I25" s="200"/>
      <c r="J25" s="235" t="str">
        <f t="shared" si="1"/>
        <v/>
      </c>
      <c r="K25" s="244">
        <f>IF(ChemClass="Acid",1/(1+10^(pH.w1-pKa)),IF(ChemClass="Base",1/(1+10^(pKa-pH.w1)),1))</f>
        <v>1</v>
      </c>
      <c r="L25" s="227">
        <f t="shared" si="0"/>
        <v>1</v>
      </c>
      <c r="M25" s="245" t="s">
        <v>17</v>
      </c>
      <c r="N25" s="204"/>
      <c r="O25" s="171"/>
    </row>
    <row r="26" spans="1:17" ht="12.75" customHeight="1" x14ac:dyDescent="0.25">
      <c r="A26" s="243"/>
      <c r="B26" s="204"/>
      <c r="C26" s="204" t="s">
        <v>356</v>
      </c>
      <c r="D26" s="204"/>
      <c r="E26" s="204"/>
      <c r="F26" s="204"/>
      <c r="G26" s="205" t="s">
        <v>357</v>
      </c>
      <c r="H26" s="205" t="s">
        <v>337</v>
      </c>
      <c r="I26" s="200"/>
      <c r="J26" s="235" t="str">
        <f t="shared" si="1"/>
        <v/>
      </c>
      <c r="K26" s="244">
        <f>IF(ChemClass="Acid",1/(1+10^(pH.w1-0.6-pKa)),IF(ChemClass="Base",1/(1+10^(pKa-4.5)),1))</f>
        <v>1</v>
      </c>
      <c r="L26" s="227">
        <f t="shared" si="0"/>
        <v>1</v>
      </c>
      <c r="M26" s="245"/>
      <c r="N26" s="204"/>
      <c r="O26" s="171"/>
    </row>
    <row r="27" spans="1:17" ht="12.75" customHeight="1" x14ac:dyDescent="0.25">
      <c r="A27" s="243"/>
      <c r="B27" s="204"/>
      <c r="C27" s="204" t="s">
        <v>358</v>
      </c>
      <c r="D27" s="204"/>
      <c r="E27" s="204"/>
      <c r="F27" s="204"/>
      <c r="G27" s="205" t="s">
        <v>359</v>
      </c>
      <c r="H27" s="205" t="s">
        <v>337</v>
      </c>
      <c r="I27" s="200"/>
      <c r="J27" s="235" t="str">
        <f t="shared" si="1"/>
        <v/>
      </c>
      <c r="K27" s="244">
        <f>IF(ChemClass="Acid",1/(1+10^(pH.w2-pKa)),IF(ChemClass="Base",1/(1+10^(pKa-pH.w2)),1))</f>
        <v>1</v>
      </c>
      <c r="L27" s="227">
        <f t="shared" si="0"/>
        <v>1</v>
      </c>
      <c r="M27" s="245" t="s">
        <v>17</v>
      </c>
      <c r="N27" s="204"/>
      <c r="O27" s="171"/>
    </row>
    <row r="28" spans="1:17" ht="12.75" customHeight="1" x14ac:dyDescent="0.25">
      <c r="A28" s="243"/>
      <c r="B28" s="204"/>
      <c r="C28" s="204" t="s">
        <v>360</v>
      </c>
      <c r="D28" s="204"/>
      <c r="E28" s="204"/>
      <c r="F28" s="204"/>
      <c r="G28" s="205" t="s">
        <v>361</v>
      </c>
      <c r="H28" s="205" t="s">
        <v>337</v>
      </c>
      <c r="I28" s="200"/>
      <c r="J28" s="235" t="str">
        <f t="shared" si="1"/>
        <v/>
      </c>
      <c r="K28" s="244">
        <f>IF(ChemClass="Acid",1/(1+10^(pH.w2-0.6-pKa)),IF(ChemClass="Base",1/(1+10^(pKa-4.5)),1))</f>
        <v>1</v>
      </c>
      <c r="L28" s="227">
        <f t="shared" si="0"/>
        <v>1</v>
      </c>
      <c r="M28" s="245"/>
      <c r="N28" s="204"/>
      <c r="O28" s="171"/>
    </row>
    <row r="29" spans="1:17" ht="12.75" customHeight="1" x14ac:dyDescent="0.25">
      <c r="A29" s="243"/>
      <c r="B29" s="204"/>
      <c r="C29" s="204" t="s">
        <v>362</v>
      </c>
      <c r="D29" s="204"/>
      <c r="E29" s="204"/>
      <c r="F29" s="204"/>
      <c r="G29" s="205" t="s">
        <v>363</v>
      </c>
      <c r="H29" s="205" t="s">
        <v>337</v>
      </c>
      <c r="I29" s="200"/>
      <c r="J29" s="235" t="str">
        <f t="shared" si="1"/>
        <v/>
      </c>
      <c r="K29" s="244">
        <f>IF(ChemClass="Acid",1/(1+10^(pH.s1-0.6-pKa)),IF(ChemClass="Base",1/(1+10^(pKa-4.5)),1))</f>
        <v>1</v>
      </c>
      <c r="L29" s="227">
        <f t="shared" si="0"/>
        <v>1</v>
      </c>
      <c r="M29" s="245" t="s">
        <v>17</v>
      </c>
      <c r="N29" s="204"/>
      <c r="O29" s="171"/>
    </row>
    <row r="30" spans="1:17" ht="12.75" customHeight="1" x14ac:dyDescent="0.25">
      <c r="A30" s="243"/>
      <c r="B30" s="204"/>
      <c r="C30" s="204" t="s">
        <v>364</v>
      </c>
      <c r="D30" s="204"/>
      <c r="E30" s="204"/>
      <c r="F30" s="204"/>
      <c r="G30" s="205" t="s">
        <v>365</v>
      </c>
      <c r="H30" s="205" t="s">
        <v>337</v>
      </c>
      <c r="I30" s="200"/>
      <c r="J30" s="235" t="str">
        <f t="shared" si="1"/>
        <v/>
      </c>
      <c r="K30" s="244">
        <f>IF(ChemClass="Acid",1/(1+10^(pH.s1-pKa)),IF(ChemClass="Base",1/(1+10^(pKa-pH.s1)),1))</f>
        <v>1</v>
      </c>
      <c r="L30" s="227">
        <f t="shared" si="0"/>
        <v>1</v>
      </c>
      <c r="M30" s="245" t="s">
        <v>17</v>
      </c>
      <c r="N30" s="204"/>
      <c r="O30" s="171"/>
    </row>
    <row r="31" spans="1:17" ht="12.75" customHeight="1" x14ac:dyDescent="0.25">
      <c r="A31" s="243"/>
      <c r="B31" s="204"/>
      <c r="C31" s="204" t="s">
        <v>366</v>
      </c>
      <c r="D31" s="204"/>
      <c r="E31" s="204"/>
      <c r="F31" s="204"/>
      <c r="G31" s="205" t="s">
        <v>367</v>
      </c>
      <c r="H31" s="205" t="s">
        <v>337</v>
      </c>
      <c r="I31" s="200"/>
      <c r="J31" s="235" t="str">
        <f t="shared" si="1"/>
        <v/>
      </c>
      <c r="K31" s="244">
        <f>IF(ChemClass="Acid",1/(1+10^(pH.s2-0.6-pKa)),IF(ChemClass="Base",1/(1+10^(pKa-4.5)),1))</f>
        <v>1</v>
      </c>
      <c r="L31" s="227">
        <f t="shared" si="0"/>
        <v>1</v>
      </c>
      <c r="M31" s="245" t="s">
        <v>17</v>
      </c>
      <c r="N31" s="204"/>
      <c r="O31" s="171"/>
    </row>
    <row r="32" spans="1:17" ht="12.75" customHeight="1" x14ac:dyDescent="0.25">
      <c r="A32" s="243"/>
      <c r="B32" s="204"/>
      <c r="C32" s="204" t="s">
        <v>368</v>
      </c>
      <c r="D32" s="204"/>
      <c r="E32" s="204"/>
      <c r="F32" s="204"/>
      <c r="G32" s="205" t="s">
        <v>369</v>
      </c>
      <c r="H32" s="205" t="s">
        <v>337</v>
      </c>
      <c r="I32" s="200"/>
      <c r="J32" s="235" t="str">
        <f t="shared" si="1"/>
        <v/>
      </c>
      <c r="K32" s="244">
        <f>IF(ChemClass="Acid",1/(1+10^(pH.s2-pKa)),IF(ChemClass="Base",1/(1+10^(pKa-pH.s2)),1))</f>
        <v>1</v>
      </c>
      <c r="L32" s="227">
        <f t="shared" si="0"/>
        <v>1</v>
      </c>
      <c r="M32" s="245" t="s">
        <v>17</v>
      </c>
      <c r="N32" s="204"/>
      <c r="O32" s="171"/>
    </row>
    <row r="33" spans="1:15" ht="12.75" customHeight="1" x14ac:dyDescent="0.25">
      <c r="A33" s="243"/>
      <c r="B33" s="204"/>
      <c r="C33" s="204" t="s">
        <v>370</v>
      </c>
      <c r="D33" s="204"/>
      <c r="E33" s="204"/>
      <c r="F33" s="204"/>
      <c r="G33" s="205" t="s">
        <v>371</v>
      </c>
      <c r="H33" s="205" t="s">
        <v>337</v>
      </c>
      <c r="I33" s="200"/>
      <c r="J33" s="235" t="str">
        <f t="shared" si="1"/>
        <v/>
      </c>
      <c r="K33" s="244">
        <f>IF(ChemClass="Acid",1/(1+10^(pH.s3-0.6-pKa)),IF(ChemClass="Base",1/(1+10^(pKa-4.5)),1))</f>
        <v>1</v>
      </c>
      <c r="L33" s="227">
        <f t="shared" si="0"/>
        <v>1</v>
      </c>
      <c r="M33" s="245" t="s">
        <v>17</v>
      </c>
      <c r="N33" s="204"/>
      <c r="O33" s="171"/>
    </row>
    <row r="34" spans="1:15" ht="12.75" customHeight="1" x14ac:dyDescent="0.25">
      <c r="A34" s="243"/>
      <c r="B34" s="204"/>
      <c r="C34" s="204" t="s">
        <v>372</v>
      </c>
      <c r="D34" s="204"/>
      <c r="E34" s="204"/>
      <c r="F34" s="204"/>
      <c r="G34" s="205" t="s">
        <v>373</v>
      </c>
      <c r="H34" s="205" t="s">
        <v>337</v>
      </c>
      <c r="I34" s="200"/>
      <c r="J34" s="235" t="str">
        <f t="shared" si="1"/>
        <v/>
      </c>
      <c r="K34" s="244">
        <f>IF(ChemClass="Acid",1/(1+10^(pH.s3-pKa)),IF(ChemClass="Base",1/(1+10^(pKa-pH.s3)),1))</f>
        <v>1</v>
      </c>
      <c r="L34" s="227">
        <f t="shared" si="0"/>
        <v>1</v>
      </c>
      <c r="M34" s="245" t="s">
        <v>17</v>
      </c>
      <c r="N34" s="204"/>
      <c r="O34" s="171"/>
    </row>
    <row r="35" spans="1:15" ht="12.75" customHeight="1" x14ac:dyDescent="0.25">
      <c r="A35" s="246"/>
      <c r="B35" s="246"/>
      <c r="C35" s="246" t="s">
        <v>374</v>
      </c>
      <c r="D35" s="204"/>
      <c r="E35" s="204"/>
      <c r="F35" s="204"/>
      <c r="G35" s="208" t="s">
        <v>375</v>
      </c>
      <c r="H35" s="246" t="s">
        <v>376</v>
      </c>
      <c r="I35" s="200">
        <v>12700</v>
      </c>
      <c r="J35" s="235">
        <f>IF(HLOOKUP(CaseName,CaseData,ROW()-2,FALSE)="",IF(ISBLANK(VLOOKUP(ChemName,ChemData,MATCH("Pvap25",[1]substances!$3:$3,FALSE)-1,FALSE)),"",VLOOKUP(ChemName,ChemData,MATCH("Pvap25",[1]substances!$3:$3,FALSE)-1,FALSE)),HLOOKUP(CaseName,CaseData,ROW()-2,FALSE))</f>
        <v>10000</v>
      </c>
      <c r="K35" s="236">
        <f>MEDIAN([1]substances!$H$17:$H$283)</f>
        <v>4</v>
      </c>
      <c r="L35" s="227">
        <f t="shared" si="0"/>
        <v>12700</v>
      </c>
      <c r="M35" s="246" t="s">
        <v>377</v>
      </c>
      <c r="N35" s="204"/>
      <c r="O35" s="171"/>
    </row>
    <row r="36" spans="1:15" ht="12.75" customHeight="1" x14ac:dyDescent="0.25">
      <c r="A36" s="204"/>
      <c r="B36" s="216"/>
      <c r="C36" s="216" t="s">
        <v>378</v>
      </c>
      <c r="D36" s="204"/>
      <c r="E36" s="204"/>
      <c r="F36" s="204"/>
      <c r="G36" s="229" t="s">
        <v>379</v>
      </c>
      <c r="H36" s="216" t="s">
        <v>380</v>
      </c>
      <c r="I36" s="200"/>
      <c r="J36" s="235" t="str">
        <f t="shared" si="1"/>
        <v/>
      </c>
      <c r="K36" s="236">
        <f>-3.82*LN(IF(Tm&gt;298,Pvap25*EXP(-6.79*(1-Tm/298)),Pvap25))+70</f>
        <v>33.903455219253672</v>
      </c>
      <c r="L36" s="227">
        <f>IF(ISBLANK(I36),IF(ISNUMBER(J36)=FALSE,K36*1000,J36*1000),I36*1000)</f>
        <v>33903.455219253672</v>
      </c>
      <c r="M36" s="239" t="s">
        <v>381</v>
      </c>
      <c r="N36" s="247"/>
      <c r="O36" s="171"/>
    </row>
    <row r="37" spans="1:15" ht="12.75" customHeight="1" x14ac:dyDescent="0.25">
      <c r="A37" s="204"/>
      <c r="B37" s="216"/>
      <c r="C37" s="216" t="s">
        <v>382</v>
      </c>
      <c r="D37" s="204"/>
      <c r="E37" s="204"/>
      <c r="F37" s="204"/>
      <c r="G37" s="229" t="s">
        <v>383</v>
      </c>
      <c r="H37" s="216" t="s">
        <v>384</v>
      </c>
      <c r="I37" s="200">
        <v>1780</v>
      </c>
      <c r="J37" s="235">
        <f>IF(HLOOKUP(CaseName,CaseData,ROW()-2,FALSE)="",IF(ISBLANK(VLOOKUP(ChemName,ChemData,MATCH("Sol25",[1]substances!$3:$3,FALSE)-1,FALSE)),"",VLOOKUP(ChemName,ChemData,MATCH("Sol25",[1]substances!$3:$3,FALSE)-1,FALSE)),HLOOKUP(CaseName,CaseData,ROW()-2,FALSE))</f>
        <v>1800</v>
      </c>
      <c r="K37" s="236">
        <f>10^(LOG(Kow)*-1.214+0.85)*(Molweight*1000000)</f>
        <v>1433.0937523952207</v>
      </c>
      <c r="L37" s="227">
        <f>IF(ISBLANK(I37),IF(ISNUMBER(J37)=FALSE,K37/(1000*Molweight),J37/(1000*Molweight)),I37/(1000*Molweight))</f>
        <v>22.820512820512821</v>
      </c>
      <c r="M37" s="216" t="s">
        <v>385</v>
      </c>
      <c r="N37" s="204"/>
      <c r="O37" s="171"/>
    </row>
    <row r="38" spans="1:15" ht="12.75" customHeight="1" x14ac:dyDescent="0.25">
      <c r="A38" s="204"/>
      <c r="B38" s="216"/>
      <c r="C38" s="216" t="s">
        <v>386</v>
      </c>
      <c r="D38" s="204"/>
      <c r="E38" s="204"/>
      <c r="F38" s="204"/>
      <c r="G38" s="229" t="s">
        <v>387</v>
      </c>
      <c r="H38" s="216" t="s">
        <v>380</v>
      </c>
      <c r="I38" s="200"/>
      <c r="J38" s="235" t="str">
        <f t="shared" si="1"/>
        <v/>
      </c>
      <c r="K38" s="236">
        <v>10</v>
      </c>
      <c r="L38" s="227">
        <f>IF(ISBLANK(I38),IF(ISNUMBER(J38)=FALSE,K38*1000,J38*1000),I38*1000)</f>
        <v>10000</v>
      </c>
      <c r="M38" s="239" t="s">
        <v>381</v>
      </c>
      <c r="N38" s="204"/>
      <c r="O38" s="171"/>
    </row>
    <row r="39" spans="1:15" ht="12.75" customHeight="1" x14ac:dyDescent="0.25">
      <c r="A39" s="246"/>
      <c r="B39" s="246"/>
      <c r="C39" s="246" t="s">
        <v>388</v>
      </c>
      <c r="D39" s="204"/>
      <c r="E39" s="204"/>
      <c r="F39" s="204"/>
      <c r="G39" s="208" t="s">
        <v>389</v>
      </c>
      <c r="H39" s="246" t="s">
        <v>390</v>
      </c>
      <c r="I39" s="201">
        <v>5.35</v>
      </c>
      <c r="J39" s="235">
        <f>IF(HLOOKUP(CaseName,CaseData,ROW()-2,FALSE)="",IF(ISBLANK(VLOOKUP(ChemName,ChemData,MATCH("Tm",[1]substances!$3:$3,FALSE)-1,FALSE)),"",VLOOKUP(ChemName,ChemData,MATCH("Tm",[1]substances!$3:$3,FALSE)-1,FALSE)),HLOOKUP(CaseName,CaseData,ROW()-2,FALSE))</f>
        <v>5</v>
      </c>
      <c r="K39" s="236">
        <f>MEDIAN([1]substances!$G$17:$G$283)</f>
        <v>1</v>
      </c>
      <c r="L39" s="227">
        <f>IF(ISBLANK(I39),IF(ISNUMBER(J39)=FALSE,K39+273,J39+273),I39+273)</f>
        <v>278.35000000000002</v>
      </c>
      <c r="M39" s="246" t="s">
        <v>391</v>
      </c>
      <c r="N39" s="204"/>
      <c r="O39" s="171"/>
    </row>
    <row r="40" spans="1:15" ht="12.75" customHeight="1" x14ac:dyDescent="0.25">
      <c r="A40" s="204"/>
      <c r="B40" s="216"/>
      <c r="C40" s="204"/>
      <c r="D40" s="204"/>
      <c r="E40" s="204"/>
      <c r="F40" s="204"/>
      <c r="G40" s="216"/>
      <c r="H40" s="205"/>
      <c r="I40" s="205"/>
      <c r="J40" s="207"/>
      <c r="K40" s="207"/>
      <c r="L40" s="208"/>
      <c r="M40" s="204"/>
      <c r="N40" s="204"/>
      <c r="O40" s="171"/>
    </row>
    <row r="41" spans="1:15" ht="12.75" customHeight="1" x14ac:dyDescent="0.25">
      <c r="A41" s="204"/>
      <c r="B41" s="248" t="s">
        <v>392</v>
      </c>
      <c r="C41" s="249"/>
      <c r="D41" s="249"/>
      <c r="E41" s="249"/>
      <c r="F41" s="249"/>
      <c r="G41" s="250"/>
      <c r="H41" s="251"/>
      <c r="I41" s="252" t="s">
        <v>393</v>
      </c>
      <c r="J41" s="252" t="s">
        <v>394</v>
      </c>
      <c r="K41" s="252" t="s">
        <v>395</v>
      </c>
      <c r="L41" s="253" t="s">
        <v>396</v>
      </c>
      <c r="M41" s="254"/>
      <c r="N41" s="204"/>
      <c r="O41" s="171"/>
    </row>
    <row r="42" spans="1:15" ht="12.75" customHeight="1" x14ac:dyDescent="0.25">
      <c r="A42" s="204"/>
      <c r="B42" s="255"/>
      <c r="C42" s="255" t="s">
        <v>330</v>
      </c>
      <c r="D42" s="255"/>
      <c r="E42" s="255"/>
      <c r="F42" s="255"/>
      <c r="G42" s="255"/>
      <c r="H42" s="255"/>
      <c r="I42" s="256">
        <f>1.26*Kow^0.81</f>
        <v>66.937662905861202</v>
      </c>
      <c r="J42" s="256">
        <f>1.26*Kow^0.81</f>
        <v>66.937662905861202</v>
      </c>
      <c r="K42" s="257">
        <f>MAX(IF(Pvap25&gt;100000,(100000/_Sol25)/(8.314*298),(Pvap25/_Sol25)/(8.314*298)),1E-20)</f>
        <v>0.22462186928677924</v>
      </c>
      <c r="L42" s="258">
        <f>MAX(IF(Pvap25&gt;100000,(100000/_Sol25)/(8.314*298),(Pvap25/_Sol25)/(8.314*298)),1E-20)</f>
        <v>0.22462186928677924</v>
      </c>
      <c r="M42" s="255" t="s">
        <v>17</v>
      </c>
      <c r="N42" s="204"/>
      <c r="O42" s="171"/>
    </row>
    <row r="43" spans="1:15" ht="12.75" customHeight="1" x14ac:dyDescent="0.25">
      <c r="A43" s="204"/>
      <c r="B43" s="255"/>
      <c r="C43" s="255" t="s">
        <v>397</v>
      </c>
      <c r="D43" s="255"/>
      <c r="E43" s="255"/>
      <c r="F43" s="255"/>
      <c r="G43" s="255"/>
      <c r="H43" s="255"/>
      <c r="I43" s="256">
        <f>10^(0.54*LOG(Kow)+1.11)</f>
        <v>182.05390548111279</v>
      </c>
      <c r="J43" s="256">
        <f>10^(0.11*LOG(Kow)+1.54)</f>
        <v>59.470282291726143</v>
      </c>
      <c r="K43" s="257">
        <f>MAX(IF(Pvap25&gt;100000,(100000/_Sol25)/(8.314*298),(Pvap25/_Sol25)/(8.314*298)),1E-20)</f>
        <v>0.22462186928677924</v>
      </c>
      <c r="L43" s="258">
        <v>9.9999999999999995E-21</v>
      </c>
      <c r="M43" s="255" t="s">
        <v>17</v>
      </c>
      <c r="N43" s="204"/>
      <c r="O43" s="171"/>
    </row>
    <row r="44" spans="1:15" ht="12.75" customHeight="1" x14ac:dyDescent="0.25">
      <c r="A44" s="204"/>
      <c r="B44" s="255"/>
      <c r="C44" s="255" t="s">
        <v>398</v>
      </c>
      <c r="D44" s="255"/>
      <c r="E44" s="255"/>
      <c r="F44" s="255"/>
      <c r="G44" s="255"/>
      <c r="H44" s="255"/>
      <c r="I44" s="256">
        <f>10^(0.37*LOG(Kow)+1.7)</f>
        <v>307.68051937597488</v>
      </c>
      <c r="J44" s="257">
        <f>IF(pKa&gt;0,10^(pKa^0.65*(Kow/(1+Kow))^0.14),1)</f>
        <v>3458.3618860307279</v>
      </c>
      <c r="K44" s="257">
        <f>MAX(IF(Pvap25&gt;100000,(100000/_Sol25)/(8.314*298),(Pvap25/_Sol25)/(8.314*298)),1E-20)</f>
        <v>0.22462186928677924</v>
      </c>
      <c r="L44" s="258">
        <v>9.9999999999999995E-21</v>
      </c>
      <c r="M44" s="255" t="s">
        <v>17</v>
      </c>
      <c r="N44" s="204"/>
      <c r="O44" s="171"/>
    </row>
    <row r="45" spans="1:15" ht="12.75" customHeight="1" x14ac:dyDescent="0.25">
      <c r="A45" s="204"/>
      <c r="B45" s="255"/>
      <c r="C45" s="255" t="s">
        <v>399</v>
      </c>
      <c r="D45" s="255"/>
      <c r="E45" s="255"/>
      <c r="F45" s="255"/>
      <c r="G45" s="255"/>
      <c r="H45" s="255"/>
      <c r="I45" s="256">
        <v>1000</v>
      </c>
      <c r="J45" s="256">
        <v>1000</v>
      </c>
      <c r="K45" s="256">
        <v>9.9999999999999995E-21</v>
      </c>
      <c r="L45" s="259">
        <v>9.9999999999999995E-21</v>
      </c>
      <c r="M45" s="255" t="s">
        <v>17</v>
      </c>
      <c r="N45" s="204"/>
      <c r="O45" s="171"/>
    </row>
    <row r="46" spans="1:15" ht="12.75" customHeight="1" x14ac:dyDescent="0.25">
      <c r="A46" s="204"/>
      <c r="B46" s="255"/>
      <c r="C46" s="255" t="s">
        <v>400</v>
      </c>
      <c r="D46" s="255"/>
      <c r="E46" s="255"/>
      <c r="F46" s="255"/>
      <c r="G46" s="255"/>
      <c r="H46" s="255"/>
      <c r="I46" s="256">
        <f>1.26*Kow^0.81</f>
        <v>66.937662905861202</v>
      </c>
      <c r="J46" s="256">
        <f>1.26*Kow^0.81</f>
        <v>66.937662905861202</v>
      </c>
      <c r="K46" s="257">
        <f t="shared" ref="K46:L64" si="2">MAX(IF(Pvap25&gt;100000,(100000/_Sol25)/(8.314*298),(Pvap25/_Sol25)/(8.314*298)),1E-20)</f>
        <v>0.22462186928677924</v>
      </c>
      <c r="L46" s="258">
        <f t="shared" si="2"/>
        <v>0.22462186928677924</v>
      </c>
      <c r="M46" s="255" t="s">
        <v>17</v>
      </c>
      <c r="N46" s="204"/>
      <c r="O46" s="171"/>
    </row>
    <row r="47" spans="1:15" ht="12.75" customHeight="1" x14ac:dyDescent="0.25">
      <c r="A47" s="204"/>
      <c r="B47" s="255"/>
      <c r="C47" s="255" t="s">
        <v>401</v>
      </c>
      <c r="D47" s="255"/>
      <c r="E47" s="255"/>
      <c r="F47" s="255"/>
      <c r="G47" s="255"/>
      <c r="H47" s="255"/>
      <c r="I47" s="256">
        <f>10.47*Kow^0.52</f>
        <v>134.13641089234824</v>
      </c>
      <c r="J47" s="256">
        <f>10.47*Kow^0.52</f>
        <v>134.13641089234824</v>
      </c>
      <c r="K47" s="257">
        <f t="shared" si="2"/>
        <v>0.22462186928677924</v>
      </c>
      <c r="L47" s="258">
        <f t="shared" si="2"/>
        <v>0.22462186928677924</v>
      </c>
      <c r="M47" s="255" t="s">
        <v>17</v>
      </c>
      <c r="N47" s="204"/>
      <c r="O47" s="171"/>
    </row>
    <row r="48" spans="1:15" ht="12.75" customHeight="1" x14ac:dyDescent="0.25">
      <c r="A48" s="204"/>
      <c r="B48" s="255"/>
      <c r="C48" s="255" t="s">
        <v>402</v>
      </c>
      <c r="D48" s="255"/>
      <c r="E48" s="255"/>
      <c r="F48" s="255"/>
      <c r="G48" s="255"/>
      <c r="H48" s="255"/>
      <c r="I48" s="256">
        <f>7.94*Kow^0.63</f>
        <v>174.46989609545946</v>
      </c>
      <c r="J48" s="256">
        <f>7.94*Kow^0.63</f>
        <v>174.46989609545946</v>
      </c>
      <c r="K48" s="257">
        <f t="shared" si="2"/>
        <v>0.22462186928677924</v>
      </c>
      <c r="L48" s="258">
        <f t="shared" si="2"/>
        <v>0.22462186928677924</v>
      </c>
      <c r="M48" s="255" t="s">
        <v>17</v>
      </c>
      <c r="N48" s="204"/>
      <c r="O48" s="171"/>
    </row>
    <row r="49" spans="1:15" ht="12.75" customHeight="1" x14ac:dyDescent="0.25">
      <c r="A49" s="204"/>
      <c r="B49" s="255"/>
      <c r="C49" s="255" t="s">
        <v>403</v>
      </c>
      <c r="D49" s="255"/>
      <c r="E49" s="255"/>
      <c r="F49" s="255"/>
      <c r="G49" s="255"/>
      <c r="H49" s="255"/>
      <c r="I49" s="256">
        <f>12.3*Kow^0.47</f>
        <v>123.31193463714436</v>
      </c>
      <c r="J49" s="256">
        <f>12.3*Kow^0.47</f>
        <v>123.31193463714436</v>
      </c>
      <c r="K49" s="257">
        <f t="shared" si="2"/>
        <v>0.22462186928677924</v>
      </c>
      <c r="L49" s="258">
        <f t="shared" si="2"/>
        <v>0.22462186928677924</v>
      </c>
      <c r="M49" s="255" t="s">
        <v>17</v>
      </c>
      <c r="N49" s="204"/>
      <c r="O49" s="171"/>
    </row>
    <row r="50" spans="1:15" ht="12.75" customHeight="1" x14ac:dyDescent="0.25">
      <c r="A50" s="204"/>
      <c r="B50" s="255"/>
      <c r="C50" s="255" t="s">
        <v>404</v>
      </c>
      <c r="D50" s="255"/>
      <c r="E50" s="255"/>
      <c r="F50" s="255"/>
      <c r="G50" s="255"/>
      <c r="H50" s="255"/>
      <c r="I50" s="256">
        <f>3.16*Kow^0.47</f>
        <v>31.680139305152537</v>
      </c>
      <c r="J50" s="256">
        <f>3.16*Kow^0.47</f>
        <v>31.680139305152537</v>
      </c>
      <c r="K50" s="257">
        <f t="shared" si="2"/>
        <v>0.22462186928677924</v>
      </c>
      <c r="L50" s="258">
        <f t="shared" si="2"/>
        <v>0.22462186928677924</v>
      </c>
      <c r="M50" s="255" t="s">
        <v>17</v>
      </c>
      <c r="N50" s="204"/>
      <c r="O50" s="171"/>
    </row>
    <row r="51" spans="1:15" ht="12.75" customHeight="1" x14ac:dyDescent="0.25">
      <c r="A51" s="204"/>
      <c r="B51" s="255"/>
      <c r="C51" s="255" t="s">
        <v>405</v>
      </c>
      <c r="D51" s="255"/>
      <c r="E51" s="255"/>
      <c r="F51" s="255"/>
      <c r="G51" s="255"/>
      <c r="H51" s="255"/>
      <c r="I51" s="256">
        <f>13.18*Kow^0.4</f>
        <v>93.737941099508788</v>
      </c>
      <c r="J51" s="256">
        <f>13.18*Kow^0.4</f>
        <v>93.737941099508788</v>
      </c>
      <c r="K51" s="257">
        <f t="shared" si="2"/>
        <v>0.22462186928677924</v>
      </c>
      <c r="L51" s="258">
        <f t="shared" si="2"/>
        <v>0.22462186928677924</v>
      </c>
      <c r="M51" s="255" t="s">
        <v>17</v>
      </c>
      <c r="N51" s="204"/>
      <c r="O51" s="171"/>
    </row>
    <row r="52" spans="1:15" ht="12.75" customHeight="1" x14ac:dyDescent="0.25">
      <c r="A52" s="204"/>
      <c r="B52" s="255"/>
      <c r="C52" s="255" t="s">
        <v>406</v>
      </c>
      <c r="D52" s="255"/>
      <c r="E52" s="255"/>
      <c r="F52" s="255"/>
      <c r="G52" s="255"/>
      <c r="H52" s="255"/>
      <c r="I52" s="256">
        <f>3.16*Kow^0.39</f>
        <v>21.398684846086582</v>
      </c>
      <c r="J52" s="256">
        <f>3.16*Kow^0.39</f>
        <v>21.398684846086582</v>
      </c>
      <c r="K52" s="257">
        <f t="shared" si="2"/>
        <v>0.22462186928677924</v>
      </c>
      <c r="L52" s="258">
        <f t="shared" si="2"/>
        <v>0.22462186928677924</v>
      </c>
      <c r="M52" s="255" t="s">
        <v>17</v>
      </c>
      <c r="N52" s="204"/>
      <c r="O52" s="171"/>
    </row>
    <row r="53" spans="1:15" ht="12.75" customHeight="1" x14ac:dyDescent="0.25">
      <c r="A53" s="204"/>
      <c r="B53" s="255"/>
      <c r="C53" s="255" t="s">
        <v>407</v>
      </c>
      <c r="D53" s="255"/>
      <c r="E53" s="255"/>
      <c r="F53" s="255"/>
      <c r="G53" s="255"/>
      <c r="H53" s="255"/>
      <c r="I53" s="256">
        <f>17.78*Kow^0.33</f>
        <v>89.708120270450721</v>
      </c>
      <c r="J53" s="256">
        <f>17.78*Kow^0.33</f>
        <v>89.708120270450721</v>
      </c>
      <c r="K53" s="257">
        <f t="shared" si="2"/>
        <v>0.22462186928677924</v>
      </c>
      <c r="L53" s="258">
        <f t="shared" si="2"/>
        <v>0.22462186928677924</v>
      </c>
      <c r="M53" s="255" t="s">
        <v>17</v>
      </c>
      <c r="N53" s="204"/>
      <c r="O53" s="171"/>
    </row>
    <row r="54" spans="1:15" ht="12.75" customHeight="1" x14ac:dyDescent="0.25">
      <c r="A54" s="204"/>
      <c r="B54" s="255"/>
      <c r="C54" s="255" t="s">
        <v>408</v>
      </c>
      <c r="D54" s="255"/>
      <c r="E54" s="255"/>
      <c r="F54" s="255"/>
      <c r="G54" s="255"/>
      <c r="H54" s="255"/>
      <c r="I54" s="256">
        <f>7.08*Kow^0.62</f>
        <v>148.12666932248644</v>
      </c>
      <c r="J54" s="256">
        <f>7.08*Kow^0.62</f>
        <v>148.12666932248644</v>
      </c>
      <c r="K54" s="257">
        <f t="shared" si="2"/>
        <v>0.22462186928677924</v>
      </c>
      <c r="L54" s="258">
        <f t="shared" si="2"/>
        <v>0.22462186928677924</v>
      </c>
      <c r="M54" s="255" t="s">
        <v>17</v>
      </c>
      <c r="N54" s="204"/>
      <c r="O54" s="171"/>
    </row>
    <row r="55" spans="1:15" ht="12.75" customHeight="1" x14ac:dyDescent="0.25">
      <c r="A55" s="204"/>
      <c r="B55" s="255"/>
      <c r="C55" s="255" t="s">
        <v>409</v>
      </c>
      <c r="D55" s="255"/>
      <c r="E55" s="255"/>
      <c r="F55" s="255"/>
      <c r="G55" s="255"/>
      <c r="H55" s="255"/>
      <c r="I55" s="256">
        <f>13.8*Kow^0.37</f>
        <v>84.718661659809044</v>
      </c>
      <c r="J55" s="256">
        <f>13.8*Kow^0.37</f>
        <v>84.718661659809044</v>
      </c>
      <c r="K55" s="257">
        <f t="shared" si="2"/>
        <v>0.22462186928677924</v>
      </c>
      <c r="L55" s="258">
        <f t="shared" si="2"/>
        <v>0.22462186928677924</v>
      </c>
      <c r="M55" s="255" t="s">
        <v>17</v>
      </c>
      <c r="N55" s="204"/>
      <c r="O55" s="171"/>
    </row>
    <row r="56" spans="1:15" ht="12.75" customHeight="1" x14ac:dyDescent="0.25">
      <c r="A56" s="204"/>
      <c r="B56" s="255"/>
      <c r="C56" s="255" t="s">
        <v>410</v>
      </c>
      <c r="D56" s="255"/>
      <c r="E56" s="255"/>
      <c r="F56" s="255"/>
      <c r="G56" s="255"/>
      <c r="H56" s="255"/>
      <c r="I56" s="256">
        <f>83.18*Kow^0.38</f>
        <v>536.31373084761356</v>
      </c>
      <c r="J56" s="256">
        <f>83.18*Kow^0.38</f>
        <v>536.31373084761356</v>
      </c>
      <c r="K56" s="257">
        <f t="shared" si="2"/>
        <v>0.22462186928677924</v>
      </c>
      <c r="L56" s="258">
        <f t="shared" si="2"/>
        <v>0.22462186928677924</v>
      </c>
      <c r="M56" s="255" t="s">
        <v>17</v>
      </c>
      <c r="N56" s="204"/>
      <c r="O56" s="171"/>
    </row>
    <row r="57" spans="1:15" ht="12.75" customHeight="1" x14ac:dyDescent="0.25">
      <c r="A57" s="204"/>
      <c r="B57" s="255"/>
      <c r="C57" s="255" t="s">
        <v>411</v>
      </c>
      <c r="D57" s="255"/>
      <c r="E57" s="255"/>
      <c r="F57" s="255"/>
      <c r="G57" s="255"/>
      <c r="H57" s="255"/>
      <c r="I57" s="256">
        <f>11.22*Kow^0.49</f>
        <v>124.07744928687552</v>
      </c>
      <c r="J57" s="256">
        <f>11.22*Kow^0.49</f>
        <v>124.07744928687552</v>
      </c>
      <c r="K57" s="257">
        <f t="shared" si="2"/>
        <v>0.22462186928677924</v>
      </c>
      <c r="L57" s="258">
        <f t="shared" si="2"/>
        <v>0.22462186928677924</v>
      </c>
      <c r="M57" s="255" t="s">
        <v>17</v>
      </c>
      <c r="N57" s="204"/>
      <c r="O57" s="171"/>
    </row>
    <row r="58" spans="1:15" ht="12.75" customHeight="1" x14ac:dyDescent="0.25">
      <c r="A58" s="204"/>
      <c r="B58" s="255"/>
      <c r="C58" s="255" t="s">
        <v>412</v>
      </c>
      <c r="D58" s="255"/>
      <c r="E58" s="255"/>
      <c r="F58" s="255"/>
      <c r="G58" s="255"/>
      <c r="H58" s="255"/>
      <c r="I58" s="256">
        <f>3.55*Kow^0.77</f>
        <v>154.99880613067771</v>
      </c>
      <c r="J58" s="256">
        <f>3.55*Kow^0.77</f>
        <v>154.99880613067771</v>
      </c>
      <c r="K58" s="257">
        <f t="shared" si="2"/>
        <v>0.22462186928677924</v>
      </c>
      <c r="L58" s="258">
        <f t="shared" si="2"/>
        <v>0.22462186928677924</v>
      </c>
      <c r="M58" s="255" t="s">
        <v>17</v>
      </c>
      <c r="N58" s="204"/>
      <c r="O58" s="171"/>
    </row>
    <row r="59" spans="1:15" ht="12.75" customHeight="1" x14ac:dyDescent="0.25">
      <c r="A59" s="204"/>
      <c r="B59" s="255"/>
      <c r="C59" s="255" t="s">
        <v>413</v>
      </c>
      <c r="D59" s="255"/>
      <c r="E59" s="255"/>
      <c r="F59" s="255"/>
      <c r="G59" s="255"/>
      <c r="H59" s="255"/>
      <c r="I59" s="256">
        <f>2.09*Kow^0.6</f>
        <v>39.641153753312956</v>
      </c>
      <c r="J59" s="256">
        <f>2.09*Kow^0.6</f>
        <v>39.641153753312956</v>
      </c>
      <c r="K59" s="257">
        <f t="shared" si="2"/>
        <v>0.22462186928677924</v>
      </c>
      <c r="L59" s="258">
        <f t="shared" si="2"/>
        <v>0.22462186928677924</v>
      </c>
      <c r="M59" s="255" t="s">
        <v>17</v>
      </c>
      <c r="N59" s="204"/>
      <c r="O59" s="171"/>
    </row>
    <row r="60" spans="1:15" ht="12.75" customHeight="1" x14ac:dyDescent="0.25">
      <c r="A60" s="204"/>
      <c r="B60" s="255"/>
      <c r="C60" s="255" t="s">
        <v>414</v>
      </c>
      <c r="D60" s="255"/>
      <c r="E60" s="255"/>
      <c r="F60" s="255"/>
      <c r="G60" s="255"/>
      <c r="H60" s="255"/>
      <c r="I60" s="256">
        <f>12.02*Kow^0.57</f>
        <v>196.79065338169468</v>
      </c>
      <c r="J60" s="256">
        <f>12.02*Kow^0.57</f>
        <v>196.79065338169468</v>
      </c>
      <c r="K60" s="257">
        <f t="shared" si="2"/>
        <v>0.22462186928677924</v>
      </c>
      <c r="L60" s="258">
        <f t="shared" si="2"/>
        <v>0.22462186928677924</v>
      </c>
      <c r="M60" s="255" t="s">
        <v>17</v>
      </c>
      <c r="N60" s="204"/>
      <c r="O60" s="171"/>
    </row>
    <row r="61" spans="1:15" ht="12.75" customHeight="1" x14ac:dyDescent="0.25">
      <c r="A61" s="204"/>
      <c r="B61" s="255"/>
      <c r="C61" s="255" t="s">
        <v>415</v>
      </c>
      <c r="D61" s="255"/>
      <c r="E61" s="255"/>
      <c r="F61" s="255"/>
      <c r="G61" s="255"/>
      <c r="H61" s="255"/>
      <c r="I61" s="256">
        <f>11.22*Kow^0.49</f>
        <v>124.07744928687552</v>
      </c>
      <c r="J61" s="256">
        <f>11.22*Kow^0.49</f>
        <v>124.07744928687552</v>
      </c>
      <c r="K61" s="257">
        <f t="shared" si="2"/>
        <v>0.22462186928677924</v>
      </c>
      <c r="L61" s="258">
        <f t="shared" si="2"/>
        <v>0.22462186928677924</v>
      </c>
      <c r="M61" s="255" t="s">
        <v>17</v>
      </c>
      <c r="N61" s="204"/>
      <c r="O61" s="171"/>
    </row>
    <row r="62" spans="1:15" ht="12.75" customHeight="1" x14ac:dyDescent="0.25">
      <c r="A62" s="204"/>
      <c r="B62" s="255"/>
      <c r="C62" s="255" t="s">
        <v>416</v>
      </c>
      <c r="D62" s="255"/>
      <c r="E62" s="255"/>
      <c r="F62" s="255"/>
      <c r="G62" s="255"/>
      <c r="H62" s="255"/>
      <c r="I62" s="256">
        <f>14.79*Kow^0.49</f>
        <v>163.55663769633588</v>
      </c>
      <c r="J62" s="256">
        <f>14.79*Kow^0.49</f>
        <v>163.55663769633588</v>
      </c>
      <c r="K62" s="257">
        <f t="shared" si="2"/>
        <v>0.22462186928677924</v>
      </c>
      <c r="L62" s="258">
        <f t="shared" si="2"/>
        <v>0.22462186928677924</v>
      </c>
      <c r="M62" s="255" t="s">
        <v>17</v>
      </c>
      <c r="N62" s="204"/>
      <c r="O62" s="171"/>
    </row>
    <row r="63" spans="1:15" ht="12.75" customHeight="1" x14ac:dyDescent="0.25">
      <c r="A63" s="204"/>
      <c r="B63" s="255"/>
      <c r="C63" s="255" t="s">
        <v>417</v>
      </c>
      <c r="D63" s="255"/>
      <c r="E63" s="255"/>
      <c r="F63" s="255"/>
      <c r="G63" s="255"/>
      <c r="H63" s="255"/>
      <c r="I63" s="256">
        <f>31.62*Kow^0.3</f>
        <v>137.70885445937679</v>
      </c>
      <c r="J63" s="256">
        <f>31.62*Kow^0.3</f>
        <v>137.70885445937679</v>
      </c>
      <c r="K63" s="257">
        <f t="shared" si="2"/>
        <v>0.22462186928677924</v>
      </c>
      <c r="L63" s="258">
        <f t="shared" si="2"/>
        <v>0.22462186928677924</v>
      </c>
      <c r="M63" s="255" t="s">
        <v>17</v>
      </c>
      <c r="N63" s="204"/>
      <c r="O63" s="171"/>
    </row>
    <row r="64" spans="1:15" ht="12.75" customHeight="1" x14ac:dyDescent="0.25">
      <c r="A64" s="204"/>
      <c r="B64" s="254"/>
      <c r="C64" s="254" t="s">
        <v>418</v>
      </c>
      <c r="D64" s="254"/>
      <c r="E64" s="254"/>
      <c r="F64" s="254"/>
      <c r="G64" s="254"/>
      <c r="H64" s="254"/>
      <c r="I64" s="260">
        <f>25.7*Kow^0.47</f>
        <v>257.65176586785446</v>
      </c>
      <c r="J64" s="260">
        <f>25.7*Kow^0.47</f>
        <v>257.65176586785446</v>
      </c>
      <c r="K64" s="261">
        <f t="shared" si="2"/>
        <v>0.22462186928677924</v>
      </c>
      <c r="L64" s="262">
        <f t="shared" si="2"/>
        <v>0.22462186928677924</v>
      </c>
      <c r="M64" s="254" t="s">
        <v>17</v>
      </c>
      <c r="N64" s="204"/>
      <c r="O64" s="171"/>
    </row>
    <row r="65" spans="1:15" ht="12.75" customHeight="1" x14ac:dyDescent="0.25">
      <c r="A65" s="204"/>
      <c r="B65" s="216"/>
      <c r="C65" s="204"/>
      <c r="D65" s="204"/>
      <c r="E65" s="204"/>
      <c r="F65" s="204"/>
      <c r="G65" s="216"/>
      <c r="H65" s="205"/>
      <c r="I65" s="231"/>
      <c r="J65" s="207"/>
      <c r="K65" s="207"/>
      <c r="L65" s="208"/>
      <c r="M65" s="204"/>
      <c r="N65" s="204"/>
      <c r="O65" s="171"/>
    </row>
    <row r="66" spans="1:15" ht="12.75" customHeight="1" x14ac:dyDescent="0.25">
      <c r="A66" s="204"/>
      <c r="B66" s="216" t="s">
        <v>419</v>
      </c>
      <c r="C66" s="204"/>
      <c r="D66" s="239"/>
      <c r="E66" s="204"/>
      <c r="F66" s="204"/>
      <c r="G66" s="238" t="s">
        <v>420</v>
      </c>
      <c r="H66" s="205" t="s">
        <v>421</v>
      </c>
      <c r="I66" s="200">
        <f>(LN(2)/17)/3600</f>
        <v>1.1325934322874923E-5</v>
      </c>
      <c r="J66" s="235">
        <f>IF(HLOOKUP(CaseName,CaseData,ROW()-2,FALSE)="",IF(ISBLANK(VLOOKUP(ChemName,ChemData,MATCH("kdeg(air)",[1]substances!$3:$3,FALSE)-1,FALSE)),"",VLOOKUP(ChemName,ChemData,MATCH("kdeg(air)",[1]substances!$3:$3,FALSE)-1,FALSE)),HLOOKUP(CaseName,CaseData,ROW()-2,FALSE))</f>
        <v>1.5E-6</v>
      </c>
      <c r="K66" s="236">
        <f>C.OHrad*k0.OHrad*EXP(-Ea.OHrad/(8.314*298))</f>
        <v>3.5063474584268925E-6</v>
      </c>
      <c r="L66" s="241">
        <f t="shared" ref="L66:L75" si="3">IF(ISBLANK(I66), IF(ISNUMBER(J66)=FALSE, K66, J66), I66)</f>
        <v>1.1325934322874923E-5</v>
      </c>
      <c r="M66" s="216" t="s">
        <v>422</v>
      </c>
      <c r="N66" s="204"/>
      <c r="O66" s="171"/>
    </row>
    <row r="67" spans="1:15" ht="12.75" customHeight="1" x14ac:dyDescent="0.25">
      <c r="A67" s="216"/>
      <c r="B67" s="204"/>
      <c r="C67" s="216" t="s">
        <v>423</v>
      </c>
      <c r="D67" s="204"/>
      <c r="E67" s="204"/>
      <c r="F67" s="204"/>
      <c r="G67" s="229" t="s">
        <v>424</v>
      </c>
      <c r="H67" s="216" t="s">
        <v>425</v>
      </c>
      <c r="I67" s="200"/>
      <c r="J67" s="235" t="str">
        <f>IF(HLOOKUP(CaseName,CaseData,ROW()-2,FALSE)="","",HLOOKUP(CaseName,CaseData,ROW()-2,FALSE))</f>
        <v/>
      </c>
      <c r="K67" s="236">
        <v>500000</v>
      </c>
      <c r="L67" s="227">
        <f t="shared" si="3"/>
        <v>500000</v>
      </c>
      <c r="M67" s="216" t="s">
        <v>426</v>
      </c>
      <c r="N67" s="204"/>
      <c r="O67" s="171"/>
    </row>
    <row r="68" spans="1:15" ht="12.75" customHeight="1" x14ac:dyDescent="0.25">
      <c r="A68" s="216"/>
      <c r="B68" s="204"/>
      <c r="C68" s="216" t="s">
        <v>427</v>
      </c>
      <c r="D68" s="204"/>
      <c r="E68" s="204"/>
      <c r="F68" s="204"/>
      <c r="G68" s="229" t="s">
        <v>428</v>
      </c>
      <c r="H68" s="216" t="s">
        <v>429</v>
      </c>
      <c r="I68" s="200"/>
      <c r="J68" s="235" t="str">
        <f>IF(HLOOKUP(CaseName,CaseData,ROW()-2,FALSE)="","",HLOOKUP(CaseName,CaseData,ROW()-2,FALSE))</f>
        <v/>
      </c>
      <c r="K68" s="236">
        <v>7.8999999999999999E-11</v>
      </c>
      <c r="L68" s="227">
        <f t="shared" si="3"/>
        <v>7.8999999999999999E-11</v>
      </c>
      <c r="M68" s="216" t="s">
        <v>430</v>
      </c>
      <c r="N68" s="204"/>
      <c r="O68" s="171"/>
    </row>
    <row r="69" spans="1:15" ht="12.75" customHeight="1" x14ac:dyDescent="0.25">
      <c r="A69" s="216"/>
      <c r="B69" s="204"/>
      <c r="C69" s="216" t="s">
        <v>431</v>
      </c>
      <c r="D69" s="204"/>
      <c r="E69" s="204"/>
      <c r="F69" s="204"/>
      <c r="G69" s="229" t="s">
        <v>432</v>
      </c>
      <c r="H69" s="216" t="s">
        <v>433</v>
      </c>
      <c r="I69" s="200"/>
      <c r="J69" s="235" t="str">
        <f>IF(HLOOKUP(CaseName,CaseData,ROW()-2,FALSE)="","",HLOOKUP(CaseName,CaseData,ROW()-2,FALSE))</f>
        <v/>
      </c>
      <c r="K69" s="236">
        <v>6</v>
      </c>
      <c r="L69" s="227">
        <f>IF(ISBLANK(I69),IF(ISNUMBER(J69)=FALSE,K69*1000,J69*1000),I69*1000)</f>
        <v>6000</v>
      </c>
      <c r="M69" s="216" t="s">
        <v>381</v>
      </c>
      <c r="N69" s="204"/>
      <c r="O69" s="171"/>
    </row>
    <row r="70" spans="1:15" ht="12.75" customHeight="1" x14ac:dyDescent="0.25">
      <c r="A70" s="204"/>
      <c r="B70" s="216" t="s">
        <v>434</v>
      </c>
      <c r="C70" s="204"/>
      <c r="D70" s="239"/>
      <c r="E70" s="204"/>
      <c r="F70" s="204"/>
      <c r="G70" s="238" t="s">
        <v>435</v>
      </c>
      <c r="H70" s="205" t="s">
        <v>421</v>
      </c>
      <c r="I70" s="200">
        <f>(LN(2)/170)/3600</f>
        <v>1.1325934322874922E-6</v>
      </c>
      <c r="J70" s="235">
        <f>IF(HLOOKUP(CaseName,CaseData,ROW()-2,FALSE)="",IF(ISBLANK(VLOOKUP(ChemName,ChemData,MATCH("kdeg(water)",[1]substances!$3:$3,FALSE)-1,FALSE)),"",VLOOKUP(ChemName,ChemData,MATCH("kdeg(water)",[1]substances!$3:$3,FALSE)-1,FALSE)),HLOOKUP(CaseName,CaseData,ROW()-2,FALSE))</f>
        <v>5.3000000000000001E-7</v>
      </c>
      <c r="K70" s="236">
        <f>IF(Biodeg="r",LN(2)/15*Q.10^(13/10),IF(Biodeg="r-",LN(2)/50*Q.10^(13/10),IF(Biodeg="i",LN(2)/150*Q.10^(13/10),1E-20)))/(3600*24)</f>
        <v>1.316920183599007E-7</v>
      </c>
      <c r="L70" s="241">
        <f t="shared" si="3"/>
        <v>1.1325934322874922E-6</v>
      </c>
      <c r="M70" s="216" t="s">
        <v>422</v>
      </c>
      <c r="N70" s="204"/>
      <c r="O70" s="171"/>
    </row>
    <row r="71" spans="1:15" ht="12.75" customHeight="1" x14ac:dyDescent="0.25">
      <c r="A71" s="204"/>
      <c r="B71" s="204"/>
      <c r="C71" s="216" t="s">
        <v>436</v>
      </c>
      <c r="D71" s="204"/>
      <c r="E71" s="204"/>
      <c r="F71" s="204"/>
      <c r="G71" s="229" t="s">
        <v>437</v>
      </c>
      <c r="H71" s="205" t="s">
        <v>438</v>
      </c>
      <c r="I71" s="200"/>
      <c r="J71" s="235" t="str">
        <f>IF(HLOOKUP(CaseName,CaseData,ROW()-2,FALSE)="","",HLOOKUP(CaseName,CaseData,ROW()-2,FALSE))</f>
        <v/>
      </c>
      <c r="K71" s="242" t="s">
        <v>439</v>
      </c>
      <c r="L71" s="227" t="str">
        <f t="shared" si="3"/>
        <v>i</v>
      </c>
      <c r="M71" s="204"/>
      <c r="N71" s="204"/>
      <c r="O71" s="171"/>
    </row>
    <row r="72" spans="1:15" ht="12.75" customHeight="1" x14ac:dyDescent="0.25">
      <c r="A72" s="204"/>
      <c r="B72" s="204"/>
      <c r="C72" s="216" t="s">
        <v>440</v>
      </c>
      <c r="D72" s="239"/>
      <c r="E72" s="204"/>
      <c r="F72" s="204"/>
      <c r="G72" s="205" t="s">
        <v>441</v>
      </c>
      <c r="H72" s="216" t="s">
        <v>442</v>
      </c>
      <c r="I72" s="200"/>
      <c r="J72" s="235" t="str">
        <f>IF(HLOOKUP(CaseName,CaseData,ROW()-2,FALSE)="","",HLOOKUP(CaseName,CaseData,ROW()-2,FALSE))</f>
        <v/>
      </c>
      <c r="K72" s="236">
        <v>40000</v>
      </c>
      <c r="L72" s="227">
        <f t="shared" si="3"/>
        <v>40000</v>
      </c>
      <c r="M72" s="216" t="s">
        <v>443</v>
      </c>
      <c r="N72" s="204"/>
      <c r="O72" s="171"/>
    </row>
    <row r="73" spans="1:15" ht="12.75" customHeight="1" x14ac:dyDescent="0.25">
      <c r="A73" s="204"/>
      <c r="B73" s="204"/>
      <c r="C73" s="204" t="s">
        <v>444</v>
      </c>
      <c r="D73" s="204"/>
      <c r="E73" s="204"/>
      <c r="F73" s="204"/>
      <c r="G73" s="205" t="s">
        <v>445</v>
      </c>
      <c r="H73" s="205" t="s">
        <v>337</v>
      </c>
      <c r="I73" s="200"/>
      <c r="J73" s="235" t="str">
        <f>IF(HLOOKUP(CaseName,CaseData,ROW()-2,FALSE)="","",HLOOKUP(CaseName,CaseData,ROW()-2,FALSE))</f>
        <v/>
      </c>
      <c r="K73" s="236">
        <v>2</v>
      </c>
      <c r="L73" s="227">
        <f t="shared" si="3"/>
        <v>2</v>
      </c>
      <c r="M73" s="216" t="s">
        <v>17</v>
      </c>
      <c r="N73" s="204"/>
      <c r="O73" s="171"/>
    </row>
    <row r="74" spans="1:15" ht="12.75" customHeight="1" x14ac:dyDescent="0.25">
      <c r="A74" s="204"/>
      <c r="B74" s="216" t="s">
        <v>446</v>
      </c>
      <c r="C74" s="239"/>
      <c r="D74" s="239"/>
      <c r="E74" s="204"/>
      <c r="F74" s="204"/>
      <c r="G74" s="238" t="s">
        <v>447</v>
      </c>
      <c r="H74" s="205" t="s">
        <v>421</v>
      </c>
      <c r="I74" s="200">
        <f>(LN(2)/1700)/3600</f>
        <v>1.1325934322874922E-7</v>
      </c>
      <c r="J74" s="235" t="str">
        <f>IF(HLOOKUP(CaseName,CaseData,ROW()-2,FALSE)="",IF(ISBLANK(VLOOKUP(ChemName,ChemData,MATCH("kdeg(sed)",[1]substances!$3:$3,FALSE)-1,FALSE)),"",VLOOKUP(ChemName,ChemData,MATCH("kdeg(sed)",[1]substances!$3:$3,FALSE)-1,FALSE)),HLOOKUP(CaseName,CaseData,ROW()-2,FALSE))</f>
        <v/>
      </c>
      <c r="K74" s="236">
        <f>0.1*Q.10^(13/10)*LN(2)/IF(Biodeg="r",IF(Ksw/(CORG*RHOsolid/1000)&lt;=100,30,IF(Ksw/(CORG*RHOsolid/1000)&lt;=1000,300,IF(Ksw/(CORG*RHOsolid/1000)&lt;=10000,3000,30000))),IF(Biodeg="r-",IF(Ksw/(CORG*RHOsolid/1000)&lt;=100,90,IF(Ksw/(CORG*RHOsolid/1000)&lt;=1000,900,IF(Ksw/(CORG*RHOsolid/1000)&lt;=10000,9000,90000))),IF(Ksw/(CORG*RHOsolid/1000)&lt;=100,300,IF(Ksw/(CORG*RHOsolid/1000)&lt;=1000,3000,30000))))/(3600*24)</f>
        <v>6.5846009179950364E-9</v>
      </c>
      <c r="L74" s="241">
        <f t="shared" si="3"/>
        <v>1.1325934322874922E-7</v>
      </c>
      <c r="M74" s="216" t="s">
        <v>422</v>
      </c>
      <c r="N74" s="204"/>
      <c r="O74" s="171"/>
    </row>
    <row r="75" spans="1:15" ht="12.75" customHeight="1" x14ac:dyDescent="0.25">
      <c r="A75" s="204"/>
      <c r="B75" s="216" t="s">
        <v>448</v>
      </c>
      <c r="C75" s="239"/>
      <c r="D75" s="239"/>
      <c r="E75" s="204"/>
      <c r="F75" s="204"/>
      <c r="G75" s="238" t="s">
        <v>449</v>
      </c>
      <c r="H75" s="205" t="s">
        <v>421</v>
      </c>
      <c r="I75" s="200">
        <f>(LN(2)/550)/3600</f>
        <v>3.5007433361613399E-7</v>
      </c>
      <c r="J75" s="235">
        <f>IF(HLOOKUP(CaseName,CaseData,ROW()-2,FALSE)="",IF(ISBLANK(VLOOKUP(ChemName,ChemData,MATCH("kdeg(soil)",[1]substances!$3:$3,FALSE)-1,FALSE)),"",VLOOKUP(ChemName,ChemData,MATCH("kdeg(soil)",[1]substances!$3:$3,FALSE)-1,FALSE)),HLOOKUP(CaseName,CaseData,ROW()-2,FALSE))</f>
        <v>5.6000000000000004E-7</v>
      </c>
      <c r="K75" s="236">
        <f>Q.10^(13/10)*LN(2)/IF(Biodeg="r",IF(Ksw/(CORG*RHOsolid/1000)&lt;=100,30,IF(Ksw/(CORG*RHOsolid/1000)&lt;=1000,300,IF(Ksw/(CORG*RHOsolid/1000)&lt;=10000,3000,30000))),IF(Biodeg="r-",IF(Ksw/(CORG*RHOsolid/1000)&lt;=100,90,IF(Ksw/(CORG*RHOsolid/1000)&lt;=1000,900,IF(Ksw/(CORG*RHOsolid/1000)&lt;=10000,9000,90000))),IF(Ksw/(CORG*RHOsolid/1000)&lt;=100,300,IF(Ksw/(CORG*RHOsolid/1000)&lt;=1000,3000,30000))))/(3600*24)</f>
        <v>6.5846009179950349E-8</v>
      </c>
      <c r="L75" s="241">
        <f t="shared" si="3"/>
        <v>3.5007433361613399E-7</v>
      </c>
      <c r="M75" s="216" t="s">
        <v>422</v>
      </c>
      <c r="N75" s="204"/>
      <c r="O75" s="171"/>
    </row>
    <row r="76" spans="1:15" ht="12.75" customHeight="1" x14ac:dyDescent="0.25">
      <c r="A76" s="204"/>
      <c r="B76" s="216"/>
      <c r="C76" s="204"/>
      <c r="D76" s="204"/>
      <c r="E76" s="204"/>
      <c r="F76" s="204"/>
      <c r="G76" s="216"/>
      <c r="H76" s="205"/>
      <c r="I76" s="231"/>
      <c r="J76" s="207"/>
      <c r="K76" s="207"/>
      <c r="L76" s="208"/>
      <c r="M76" s="204"/>
      <c r="N76" s="204"/>
      <c r="O76" s="171"/>
    </row>
    <row r="77" spans="1:15" s="162" customFormat="1" ht="12.75" customHeight="1" x14ac:dyDescent="0.25">
      <c r="A77" s="211" t="s">
        <v>450</v>
      </c>
      <c r="B77" s="211"/>
      <c r="C77" s="211"/>
      <c r="D77" s="211"/>
      <c r="E77" s="211"/>
      <c r="F77" s="211"/>
      <c r="G77" s="210" t="s">
        <v>311</v>
      </c>
      <c r="H77" s="212" t="s">
        <v>68</v>
      </c>
      <c r="I77" s="213" t="s">
        <v>312</v>
      </c>
      <c r="J77" s="213" t="s">
        <v>327</v>
      </c>
      <c r="K77" s="213" t="s">
        <v>313</v>
      </c>
      <c r="L77" s="215" t="s">
        <v>314</v>
      </c>
      <c r="M77" s="211"/>
      <c r="N77" s="212" t="s">
        <v>315</v>
      </c>
      <c r="O77" s="171"/>
    </row>
    <row r="78" spans="1:15" ht="12.75" customHeight="1" x14ac:dyDescent="0.25">
      <c r="A78" s="204"/>
      <c r="B78" s="216"/>
      <c r="C78" s="204"/>
      <c r="D78" s="204"/>
      <c r="E78" s="204"/>
      <c r="F78" s="204"/>
      <c r="G78" s="216"/>
      <c r="H78" s="205"/>
      <c r="I78" s="231"/>
      <c r="J78" s="207"/>
      <c r="K78" s="207"/>
      <c r="L78" s="208"/>
      <c r="M78" s="204"/>
      <c r="N78" s="204"/>
      <c r="O78" s="171"/>
    </row>
    <row r="79" spans="1:15" ht="12.75" customHeight="1" x14ac:dyDescent="0.25">
      <c r="A79" s="263" t="s">
        <v>451</v>
      </c>
      <c r="B79" s="204"/>
      <c r="C79" s="204"/>
      <c r="D79" s="204"/>
      <c r="E79" s="204"/>
      <c r="F79" s="204"/>
      <c r="G79" s="205"/>
      <c r="H79" s="205"/>
      <c r="I79" s="231"/>
      <c r="J79" s="207"/>
      <c r="K79" s="207"/>
      <c r="L79" s="208"/>
      <c r="M79" s="204"/>
      <c r="N79" s="204"/>
      <c r="O79" s="171"/>
    </row>
    <row r="80" spans="1:15" ht="12.75" customHeight="1" x14ac:dyDescent="0.25">
      <c r="A80" s="216"/>
      <c r="B80" s="216" t="s">
        <v>452</v>
      </c>
      <c r="C80" s="204"/>
      <c r="D80" s="204"/>
      <c r="E80" s="204"/>
      <c r="F80" s="204"/>
      <c r="G80" s="229" t="s">
        <v>453</v>
      </c>
      <c r="H80" s="216" t="s">
        <v>454</v>
      </c>
      <c r="I80" s="200">
        <v>0</v>
      </c>
      <c r="J80" s="264">
        <f t="shared" ref="J80:J86" si="4">IF(HLOOKUP(CaseName,CaseData,ROW()-2,FALSE)="",IF(HLOOKUP(ScenarioName,ScenarioData,ROW()-75,FALSE)="","",HLOOKUP(ScenarioName,ScenarioData,ROW()-75,FALSE)),HLOOKUP(CaseName,CaseData,ROW()-2,FALSE))</f>
        <v>10000</v>
      </c>
      <c r="K80" s="207">
        <v>10000</v>
      </c>
      <c r="L80" s="227">
        <f t="shared" ref="L80:L86" si="5">IF(ISBLANK(I80),IF(ISNUMBER(J80)=FALSE,K80*1000/(Molweight*3600*24*365),J80*1000/(Molweight*3600*24*365)),I80*1000/(Molweight*3600*24*365))</f>
        <v>0</v>
      </c>
      <c r="M80" s="216" t="s">
        <v>455</v>
      </c>
      <c r="N80" s="204"/>
      <c r="O80" s="171"/>
    </row>
    <row r="81" spans="1:15" ht="12.75" customHeight="1" x14ac:dyDescent="0.25">
      <c r="A81" s="216"/>
      <c r="B81" s="216" t="s">
        <v>456</v>
      </c>
      <c r="C81" s="204"/>
      <c r="D81" s="204"/>
      <c r="E81" s="204"/>
      <c r="F81" s="204"/>
      <c r="G81" s="229" t="s">
        <v>457</v>
      </c>
      <c r="H81" s="216" t="s">
        <v>454</v>
      </c>
      <c r="I81" s="200"/>
      <c r="J81" s="264">
        <f t="shared" si="4"/>
        <v>0</v>
      </c>
      <c r="K81" s="207">
        <v>0</v>
      </c>
      <c r="L81" s="227">
        <f>IF(ISBLANK(I81),IF(ISNUMBER(J81)=FALSE,K81*1000/(Molweight*3600*24*365),J81*1000/(Molweight*3600*24*365)),I81*1000/(Molweight*3600*24*365))</f>
        <v>0</v>
      </c>
      <c r="M81" s="216" t="s">
        <v>458</v>
      </c>
      <c r="N81" s="204"/>
      <c r="O81" s="171"/>
    </row>
    <row r="82" spans="1:15" ht="12.75" customHeight="1" x14ac:dyDescent="0.25">
      <c r="A82" s="216"/>
      <c r="B82" s="216" t="s">
        <v>459</v>
      </c>
      <c r="C82" s="204"/>
      <c r="D82" s="204"/>
      <c r="E82" s="204"/>
      <c r="F82" s="204"/>
      <c r="G82" s="229" t="s">
        <v>460</v>
      </c>
      <c r="H82" s="216" t="s">
        <v>454</v>
      </c>
      <c r="I82" s="200">
        <f>24*365</f>
        <v>8760</v>
      </c>
      <c r="J82" s="264">
        <f t="shared" si="4"/>
        <v>10000</v>
      </c>
      <c r="K82" s="207">
        <v>10000</v>
      </c>
      <c r="L82" s="227">
        <f t="shared" si="5"/>
        <v>3.5612535612535607</v>
      </c>
      <c r="M82" s="216" t="s">
        <v>455</v>
      </c>
      <c r="N82" s="204"/>
      <c r="O82" s="171"/>
    </row>
    <row r="83" spans="1:15" ht="12.75" customHeight="1" x14ac:dyDescent="0.25">
      <c r="A83" s="216"/>
      <c r="B83" s="216" t="s">
        <v>461</v>
      </c>
      <c r="C83" s="204"/>
      <c r="D83" s="204"/>
      <c r="E83" s="204"/>
      <c r="F83" s="204"/>
      <c r="G83" s="229" t="s">
        <v>462</v>
      </c>
      <c r="H83" s="216" t="s">
        <v>454</v>
      </c>
      <c r="I83" s="200"/>
      <c r="J83" s="264">
        <f t="shared" si="4"/>
        <v>0</v>
      </c>
      <c r="K83" s="207">
        <v>0</v>
      </c>
      <c r="L83" s="227">
        <f t="shared" si="5"/>
        <v>0</v>
      </c>
      <c r="M83" s="216" t="s">
        <v>455</v>
      </c>
      <c r="N83" s="204"/>
      <c r="O83" s="171"/>
    </row>
    <row r="84" spans="1:15" ht="12.75" customHeight="1" x14ac:dyDescent="0.25">
      <c r="A84" s="216"/>
      <c r="B84" s="216" t="s">
        <v>463</v>
      </c>
      <c r="C84" s="204"/>
      <c r="D84" s="204"/>
      <c r="E84" s="204"/>
      <c r="F84" s="204"/>
      <c r="G84" s="229" t="s">
        <v>464</v>
      </c>
      <c r="H84" s="216" t="s">
        <v>454</v>
      </c>
      <c r="I84" s="200"/>
      <c r="J84" s="264">
        <f t="shared" si="4"/>
        <v>0</v>
      </c>
      <c r="K84" s="207">
        <v>0</v>
      </c>
      <c r="L84" s="227">
        <f t="shared" si="5"/>
        <v>0</v>
      </c>
      <c r="M84" s="216" t="s">
        <v>455</v>
      </c>
      <c r="N84" s="204"/>
      <c r="O84" s="171"/>
    </row>
    <row r="85" spans="1:15" ht="12.75" customHeight="1" x14ac:dyDescent="0.25">
      <c r="A85" s="216"/>
      <c r="B85" s="216" t="s">
        <v>465</v>
      </c>
      <c r="C85" s="204"/>
      <c r="D85" s="204"/>
      <c r="E85" s="204"/>
      <c r="F85" s="204"/>
      <c r="G85" s="229" t="s">
        <v>466</v>
      </c>
      <c r="H85" s="216" t="s">
        <v>454</v>
      </c>
      <c r="I85" s="200">
        <v>0</v>
      </c>
      <c r="J85" s="264">
        <f t="shared" si="4"/>
        <v>10000</v>
      </c>
      <c r="K85" s="207">
        <v>10000</v>
      </c>
      <c r="L85" s="227">
        <f t="shared" si="5"/>
        <v>0</v>
      </c>
      <c r="M85" s="216" t="s">
        <v>458</v>
      </c>
      <c r="N85" s="204"/>
      <c r="O85" s="171"/>
    </row>
    <row r="86" spans="1:15" ht="12.75" customHeight="1" x14ac:dyDescent="0.25">
      <c r="A86" s="216"/>
      <c r="B86" s="216" t="s">
        <v>467</v>
      </c>
      <c r="C86" s="204"/>
      <c r="D86" s="204"/>
      <c r="E86" s="204"/>
      <c r="F86" s="204"/>
      <c r="G86" s="229" t="s">
        <v>468</v>
      </c>
      <c r="H86" s="216" t="s">
        <v>454</v>
      </c>
      <c r="I86" s="200"/>
      <c r="J86" s="264">
        <f t="shared" si="4"/>
        <v>0</v>
      </c>
      <c r="K86" s="207">
        <v>0</v>
      </c>
      <c r="L86" s="227">
        <f t="shared" si="5"/>
        <v>0</v>
      </c>
      <c r="M86" s="216" t="s">
        <v>455</v>
      </c>
      <c r="N86" s="204"/>
      <c r="O86" s="171"/>
    </row>
    <row r="87" spans="1:15" ht="12.75" customHeight="1" x14ac:dyDescent="0.25">
      <c r="A87" s="263" t="s">
        <v>469</v>
      </c>
      <c r="B87" s="204"/>
      <c r="C87" s="204"/>
      <c r="D87" s="204"/>
      <c r="E87" s="204"/>
      <c r="F87" s="204"/>
      <c r="G87" s="265"/>
      <c r="H87" s="205"/>
      <c r="I87" s="231"/>
      <c r="J87" s="264"/>
      <c r="K87" s="207"/>
      <c r="L87" s="208"/>
      <c r="M87" s="204"/>
      <c r="N87" s="204"/>
      <c r="O87" s="171"/>
    </row>
    <row r="88" spans="1:15" ht="12.75" customHeight="1" x14ac:dyDescent="0.25">
      <c r="A88" s="216"/>
      <c r="B88" s="216" t="s">
        <v>452</v>
      </c>
      <c r="C88" s="204"/>
      <c r="D88" s="204"/>
      <c r="E88" s="204"/>
      <c r="F88" s="204"/>
      <c r="G88" s="229" t="s">
        <v>470</v>
      </c>
      <c r="H88" s="216" t="s">
        <v>454</v>
      </c>
      <c r="I88" s="200"/>
      <c r="J88" s="264">
        <f t="shared" ref="J88:J94" si="6">IF(HLOOKUP(CaseName,CaseData,ROW()-2,FALSE)="",IF(HLOOKUP(ScenarioName,ScenarioData,ROW()-75,FALSE)="","",HLOOKUP(ScenarioName,ScenarioData,ROW()-75,FALSE)),HLOOKUP(CaseName,CaseData,ROW()-2,FALSE))</f>
        <v>0</v>
      </c>
      <c r="K88" s="207">
        <v>0</v>
      </c>
      <c r="L88" s="227">
        <f t="shared" ref="L88:L94" si="7">IF(ISBLANK(I88),IF(ISNUMBER(J88)=FALSE,K88*1000/(Molweight*3600*24*365),J88*1000/(Molweight*3600*24*365)),I88*1000/(Molweight*3600*24*365))</f>
        <v>0</v>
      </c>
      <c r="M88" s="216" t="s">
        <v>455</v>
      </c>
      <c r="N88" s="204"/>
      <c r="O88" s="171"/>
    </row>
    <row r="89" spans="1:15" ht="12.75" customHeight="1" x14ac:dyDescent="0.25">
      <c r="A89" s="216"/>
      <c r="B89" s="216" t="s">
        <v>456</v>
      </c>
      <c r="C89" s="204"/>
      <c r="D89" s="204"/>
      <c r="E89" s="204"/>
      <c r="F89" s="204"/>
      <c r="G89" s="229" t="s">
        <v>471</v>
      </c>
      <c r="H89" s="216" t="s">
        <v>454</v>
      </c>
      <c r="I89" s="200"/>
      <c r="J89" s="264">
        <f t="shared" si="6"/>
        <v>0</v>
      </c>
      <c r="K89" s="207">
        <v>0</v>
      </c>
      <c r="L89" s="227">
        <f>IF(ISBLANK(I89),IF(ISNUMBER(J89)=FALSE,K89*1000/(Molweight*3600*24*365),J89*1000/(Molweight*3600*24*365)),I89*1000/(Molweight*3600*24*365))</f>
        <v>0</v>
      </c>
      <c r="M89" s="216" t="s">
        <v>458</v>
      </c>
      <c r="N89" s="204"/>
      <c r="O89" s="171"/>
    </row>
    <row r="90" spans="1:15" ht="12.75" customHeight="1" x14ac:dyDescent="0.25">
      <c r="A90" s="216"/>
      <c r="B90" s="216" t="s">
        <v>459</v>
      </c>
      <c r="C90" s="204"/>
      <c r="D90" s="204"/>
      <c r="E90" s="204"/>
      <c r="F90" s="204"/>
      <c r="G90" s="229" t="s">
        <v>472</v>
      </c>
      <c r="H90" s="216" t="s">
        <v>454</v>
      </c>
      <c r="I90" s="200"/>
      <c r="J90" s="264">
        <f t="shared" si="6"/>
        <v>0</v>
      </c>
      <c r="K90" s="207">
        <v>0</v>
      </c>
      <c r="L90" s="227">
        <f t="shared" si="7"/>
        <v>0</v>
      </c>
      <c r="M90" s="216" t="s">
        <v>455</v>
      </c>
      <c r="N90" s="204"/>
      <c r="O90" s="171"/>
    </row>
    <row r="91" spans="1:15" ht="12.75" customHeight="1" x14ac:dyDescent="0.25">
      <c r="A91" s="216"/>
      <c r="B91" s="216" t="s">
        <v>461</v>
      </c>
      <c r="C91" s="204"/>
      <c r="D91" s="204"/>
      <c r="E91" s="204"/>
      <c r="F91" s="204"/>
      <c r="G91" s="229" t="s">
        <v>473</v>
      </c>
      <c r="H91" s="216" t="s">
        <v>454</v>
      </c>
      <c r="I91" s="200"/>
      <c r="J91" s="264">
        <f t="shared" si="6"/>
        <v>0</v>
      </c>
      <c r="K91" s="207">
        <v>0</v>
      </c>
      <c r="L91" s="227">
        <f t="shared" si="7"/>
        <v>0</v>
      </c>
      <c r="M91" s="216" t="s">
        <v>455</v>
      </c>
      <c r="N91" s="204"/>
      <c r="O91" s="171"/>
    </row>
    <row r="92" spans="1:15" ht="12.75" customHeight="1" x14ac:dyDescent="0.25">
      <c r="A92" s="216"/>
      <c r="B92" s="216" t="s">
        <v>463</v>
      </c>
      <c r="C92" s="204"/>
      <c r="D92" s="204"/>
      <c r="E92" s="204"/>
      <c r="F92" s="204"/>
      <c r="G92" s="229" t="s">
        <v>474</v>
      </c>
      <c r="H92" s="216" t="s">
        <v>454</v>
      </c>
      <c r="I92" s="200"/>
      <c r="J92" s="264">
        <f t="shared" si="6"/>
        <v>0</v>
      </c>
      <c r="K92" s="207">
        <v>0</v>
      </c>
      <c r="L92" s="227">
        <f t="shared" si="7"/>
        <v>0</v>
      </c>
      <c r="M92" s="216" t="s">
        <v>455</v>
      </c>
      <c r="N92" s="204"/>
      <c r="O92" s="171"/>
    </row>
    <row r="93" spans="1:15" ht="12.75" customHeight="1" x14ac:dyDescent="0.25">
      <c r="A93" s="216"/>
      <c r="B93" s="216" t="s">
        <v>465</v>
      </c>
      <c r="C93" s="204"/>
      <c r="D93" s="204"/>
      <c r="E93" s="204"/>
      <c r="F93" s="204"/>
      <c r="G93" s="229" t="s">
        <v>475</v>
      </c>
      <c r="H93" s="216" t="s">
        <v>454</v>
      </c>
      <c r="I93" s="200"/>
      <c r="J93" s="264">
        <f t="shared" si="6"/>
        <v>0</v>
      </c>
      <c r="K93" s="207">
        <v>0</v>
      </c>
      <c r="L93" s="227">
        <f t="shared" si="7"/>
        <v>0</v>
      </c>
      <c r="M93" s="216" t="s">
        <v>455</v>
      </c>
      <c r="N93" s="204"/>
      <c r="O93" s="171"/>
    </row>
    <row r="94" spans="1:15" ht="12.75" customHeight="1" x14ac:dyDescent="0.25">
      <c r="A94" s="216"/>
      <c r="B94" s="216" t="s">
        <v>467</v>
      </c>
      <c r="C94" s="204"/>
      <c r="D94" s="204"/>
      <c r="E94" s="204"/>
      <c r="F94" s="204"/>
      <c r="G94" s="229" t="s">
        <v>476</v>
      </c>
      <c r="H94" s="216" t="s">
        <v>454</v>
      </c>
      <c r="I94" s="200"/>
      <c r="J94" s="264">
        <f t="shared" si="6"/>
        <v>0</v>
      </c>
      <c r="K94" s="207">
        <v>0</v>
      </c>
      <c r="L94" s="227">
        <f t="shared" si="7"/>
        <v>0</v>
      </c>
      <c r="M94" s="216" t="s">
        <v>455</v>
      </c>
      <c r="N94" s="204"/>
      <c r="O94" s="171"/>
    </row>
    <row r="95" spans="1:15" ht="12.75" customHeight="1" x14ac:dyDescent="0.25">
      <c r="A95" s="263" t="s">
        <v>477</v>
      </c>
      <c r="B95" s="204"/>
      <c r="C95" s="204"/>
      <c r="D95" s="204"/>
      <c r="E95" s="204"/>
      <c r="F95" s="204"/>
      <c r="G95" s="265"/>
      <c r="H95" s="205"/>
      <c r="I95" s="231"/>
      <c r="J95" s="264" t="str">
        <f t="shared" ref="J95:J103" si="8">IF(HLOOKUP(CaseName,CaseData,ROW()-3,FALSE)="",IF(HLOOKUP(ScenarioName,ScenarioData,ROW()-75,FALSE)="","",HLOOKUP(ScenarioName,ScenarioData,ROW()-75,FALSE)),HLOOKUP(CaseName,CaseData,ROW()-3,FALSE))</f>
        <v/>
      </c>
      <c r="K95" s="207"/>
      <c r="L95" s="208"/>
      <c r="M95" s="204"/>
      <c r="N95" s="204"/>
      <c r="O95" s="171"/>
    </row>
    <row r="96" spans="1:15" ht="12.75" customHeight="1" x14ac:dyDescent="0.25">
      <c r="A96" s="216"/>
      <c r="B96" s="216" t="s">
        <v>452</v>
      </c>
      <c r="C96" s="204"/>
      <c r="D96" s="204"/>
      <c r="E96" s="204"/>
      <c r="F96" s="204"/>
      <c r="G96" s="229" t="s">
        <v>478</v>
      </c>
      <c r="H96" s="216" t="s">
        <v>454</v>
      </c>
      <c r="I96" s="200"/>
      <c r="J96" s="264">
        <f>IF(HLOOKUP(CaseName,CaseData,ROW()-2,FALSE)="",IF(HLOOKUP(ScenarioName,ScenarioData,ROW()-75,FALSE)="","",HLOOKUP(ScenarioName,ScenarioData,ROW()-75,FALSE)),HLOOKUP(CaseName,CaseData,ROW()-2,FALSE))</f>
        <v>0</v>
      </c>
      <c r="K96" s="207">
        <v>0</v>
      </c>
      <c r="L96" s="227">
        <f>IF(ISBLANK(I96),IF(ISNUMBER(J96)=FALSE,K96*1000/(Molweight*3600*24*365),J96*1000/(Molweight*3600*24*365)),I96*1000/(Molweight*3600*24*365))</f>
        <v>0</v>
      </c>
      <c r="M96" s="216" t="s">
        <v>455</v>
      </c>
      <c r="N96" s="204"/>
      <c r="O96" s="171"/>
    </row>
    <row r="97" spans="1:15" ht="12.75" customHeight="1" x14ac:dyDescent="0.25">
      <c r="A97" s="216"/>
      <c r="B97" s="216" t="s">
        <v>479</v>
      </c>
      <c r="C97" s="204"/>
      <c r="D97" s="204"/>
      <c r="E97" s="204"/>
      <c r="F97" s="204"/>
      <c r="G97" s="229" t="s">
        <v>480</v>
      </c>
      <c r="H97" s="216" t="s">
        <v>454</v>
      </c>
      <c r="I97" s="200"/>
      <c r="J97" s="264">
        <f>IF(HLOOKUP(CaseName,CaseData,ROW()-2,FALSE)="",IF(HLOOKUP(ScenarioName,ScenarioData,ROW()-75,FALSE)="","",HLOOKUP(ScenarioName,ScenarioData,ROW()-75,FALSE)),HLOOKUP(CaseName,CaseData,ROW()-2,FALSE))</f>
        <v>0</v>
      </c>
      <c r="K97" s="207">
        <v>0</v>
      </c>
      <c r="L97" s="227">
        <f>IF(ISBLANK(I97),IF(ISNUMBER(J97)=FALSE,K97*1000/(Molweight*3600*24*365),J97*1000/(Molweight*3600*24*365)),I97*1000/(Molweight*3600*24*365))</f>
        <v>0</v>
      </c>
      <c r="M97" s="216" t="s">
        <v>455</v>
      </c>
      <c r="N97" s="204"/>
      <c r="O97" s="171"/>
    </row>
    <row r="98" spans="1:15" ht="12.75" customHeight="1" x14ac:dyDescent="0.25">
      <c r="A98" s="216"/>
      <c r="B98" s="216" t="s">
        <v>481</v>
      </c>
      <c r="C98" s="204"/>
      <c r="D98" s="204"/>
      <c r="E98" s="204"/>
      <c r="F98" s="204"/>
      <c r="G98" s="229" t="s">
        <v>482</v>
      </c>
      <c r="H98" s="216" t="s">
        <v>454</v>
      </c>
      <c r="I98" s="200"/>
      <c r="J98" s="264">
        <f>IF(HLOOKUP(CaseName,CaseData,ROW()-2,FALSE)="",IF(HLOOKUP(ScenarioName,ScenarioData,ROW()-75,FALSE)="","",HLOOKUP(ScenarioName,ScenarioData,ROW()-75,FALSE)),HLOOKUP(CaseName,CaseData,ROW()-2,FALSE))</f>
        <v>0</v>
      </c>
      <c r="K98" s="207">
        <v>0</v>
      </c>
      <c r="L98" s="227">
        <f>IF(ISBLANK(I98),IF(ISNUMBER(J98)=FALSE,K98*1000/(Molweight*3600*24*365),J98*1000/(Molweight*3600*24*365)),I98*1000/(Molweight*3600*24*365))</f>
        <v>0</v>
      </c>
      <c r="M98" s="246" t="s">
        <v>455</v>
      </c>
      <c r="N98" s="204"/>
      <c r="O98" s="171"/>
    </row>
    <row r="99" spans="1:15" ht="12.75" customHeight="1" x14ac:dyDescent="0.25">
      <c r="A99" s="243" t="s">
        <v>483</v>
      </c>
      <c r="B99" s="216"/>
      <c r="C99" s="204"/>
      <c r="D99" s="204"/>
      <c r="E99" s="204"/>
      <c r="F99" s="204"/>
      <c r="G99" s="265"/>
      <c r="H99" s="205"/>
      <c r="I99" s="231"/>
      <c r="J99" s="264" t="str">
        <f t="shared" si="8"/>
        <v/>
      </c>
      <c r="K99" s="207"/>
      <c r="L99" s="208"/>
      <c r="M99" s="204"/>
      <c r="N99" s="204"/>
      <c r="O99" s="171"/>
    </row>
    <row r="100" spans="1:15" ht="12.75" customHeight="1" x14ac:dyDescent="0.25">
      <c r="A100" s="216"/>
      <c r="B100" s="216" t="s">
        <v>452</v>
      </c>
      <c r="C100" s="204"/>
      <c r="D100" s="204"/>
      <c r="E100" s="204"/>
      <c r="F100" s="204"/>
      <c r="G100" s="229" t="s">
        <v>484</v>
      </c>
      <c r="H100" s="216" t="s">
        <v>454</v>
      </c>
      <c r="I100" s="200"/>
      <c r="J100" s="264">
        <f>IF(HLOOKUP(CaseName,CaseData,ROW()-2,FALSE)="",IF(HLOOKUP(ScenarioName,ScenarioData,ROW()-75,FALSE)="","",HLOOKUP(ScenarioName,ScenarioData,ROW()-75,FALSE)),HLOOKUP(CaseName,CaseData,ROW()-2,FALSE))</f>
        <v>0</v>
      </c>
      <c r="K100" s="207">
        <v>0</v>
      </c>
      <c r="L100" s="227">
        <f>IF(ISBLANK(I100),IF(ISNUMBER(J100)=FALSE,K100*1000/(Molweight*3600*24*365),J100*1000/(Molweight*3600*24*365)),I100*1000/(Molweight*3600*24*365))</f>
        <v>0</v>
      </c>
      <c r="M100" s="216" t="s">
        <v>455</v>
      </c>
      <c r="N100" s="204"/>
      <c r="O100" s="171"/>
    </row>
    <row r="101" spans="1:15" ht="12.75" customHeight="1" x14ac:dyDescent="0.25">
      <c r="A101" s="216"/>
      <c r="B101" s="216" t="s">
        <v>479</v>
      </c>
      <c r="C101" s="204"/>
      <c r="D101" s="204"/>
      <c r="E101" s="204"/>
      <c r="F101" s="204"/>
      <c r="G101" s="229" t="s">
        <v>485</v>
      </c>
      <c r="H101" s="216" t="s">
        <v>454</v>
      </c>
      <c r="I101" s="200"/>
      <c r="J101" s="264">
        <f>IF(HLOOKUP(CaseName,CaseData,ROW()-2,FALSE)="",IF(HLOOKUP(ScenarioName,ScenarioData,ROW()-75,FALSE)="","",HLOOKUP(ScenarioName,ScenarioData,ROW()-75,FALSE)),HLOOKUP(CaseName,CaseData,ROW()-2,FALSE))</f>
        <v>0</v>
      </c>
      <c r="K101" s="207">
        <v>0</v>
      </c>
      <c r="L101" s="227">
        <f>IF(ISBLANK(I101),IF(ISNUMBER(J101)=FALSE,K101*1000/(Molweight*3600*24*365),J101*1000/(Molweight*3600*24*365)),I101*1000/(Molweight*3600*24*365))</f>
        <v>0</v>
      </c>
      <c r="M101" s="216" t="s">
        <v>455</v>
      </c>
      <c r="N101" s="204"/>
      <c r="O101" s="171"/>
    </row>
    <row r="102" spans="1:15" ht="12.75" customHeight="1" x14ac:dyDescent="0.25">
      <c r="A102" s="216"/>
      <c r="B102" s="216" t="s">
        <v>481</v>
      </c>
      <c r="C102" s="204"/>
      <c r="D102" s="204"/>
      <c r="E102" s="204"/>
      <c r="F102" s="204"/>
      <c r="G102" s="229" t="s">
        <v>486</v>
      </c>
      <c r="H102" s="216" t="s">
        <v>454</v>
      </c>
      <c r="I102" s="200"/>
      <c r="J102" s="264">
        <f>IF(HLOOKUP(CaseName,CaseData,ROW()-2,FALSE)="",IF(HLOOKUP(ScenarioName,ScenarioData,ROW()-75,FALSE)="","",HLOOKUP(ScenarioName,ScenarioData,ROW()-75,FALSE)),HLOOKUP(CaseName,CaseData,ROW()-2,FALSE))</f>
        <v>0</v>
      </c>
      <c r="K102" s="207">
        <v>0</v>
      </c>
      <c r="L102" s="227">
        <f>IF(ISBLANK(I102),IF(ISNUMBER(J102)=FALSE,K102*1000/(Molweight*3600*24*365),J102*1000/(Molweight*3600*24*365)),I102*1000/(Molweight*3600*24*365))</f>
        <v>0</v>
      </c>
      <c r="M102" s="246" t="s">
        <v>455</v>
      </c>
      <c r="N102" s="204"/>
      <c r="O102" s="171"/>
    </row>
    <row r="103" spans="1:15" ht="12.75" customHeight="1" x14ac:dyDescent="0.25">
      <c r="A103" s="263" t="s">
        <v>487</v>
      </c>
      <c r="B103" s="204"/>
      <c r="C103" s="204"/>
      <c r="D103" s="204"/>
      <c r="E103" s="204"/>
      <c r="F103" s="204"/>
      <c r="G103" s="265"/>
      <c r="H103" s="205"/>
      <c r="I103" s="205"/>
      <c r="J103" s="264" t="str">
        <f t="shared" si="8"/>
        <v/>
      </c>
      <c r="K103" s="207"/>
      <c r="L103" s="208"/>
      <c r="M103" s="204"/>
      <c r="N103" s="204"/>
      <c r="O103" s="171"/>
    </row>
    <row r="104" spans="1:15" ht="12.75" customHeight="1" x14ac:dyDescent="0.25">
      <c r="A104" s="216"/>
      <c r="B104" s="216" t="s">
        <v>452</v>
      </c>
      <c r="C104" s="204"/>
      <c r="D104" s="204"/>
      <c r="E104" s="204"/>
      <c r="F104" s="204"/>
      <c r="G104" s="229" t="s">
        <v>488</v>
      </c>
      <c r="H104" s="216" t="s">
        <v>454</v>
      </c>
      <c r="I104" s="200"/>
      <c r="J104" s="264">
        <f>IF(HLOOKUP(CaseName,CaseData,ROW()-2,FALSE)="",IF(HLOOKUP(ScenarioName,ScenarioData,ROW()-75,FALSE)="","",HLOOKUP(ScenarioName,ScenarioData,ROW()-75,FALSE)),HLOOKUP(CaseName,CaseData,ROW()-2,FALSE))</f>
        <v>0</v>
      </c>
      <c r="K104" s="207">
        <v>0</v>
      </c>
      <c r="L104" s="227">
        <f>IF(ISBLANK(I104),IF(ISNUMBER(J104)=FALSE,K104*1000/(Molweight*3600*24*365),J104*1000/(Molweight*3600*24*365)),I104*1000/(Molweight*3600*24*365))</f>
        <v>0</v>
      </c>
      <c r="M104" s="216" t="s">
        <v>455</v>
      </c>
      <c r="N104" s="204"/>
      <c r="O104" s="171"/>
    </row>
    <row r="105" spans="1:15" ht="12.75" customHeight="1" x14ac:dyDescent="0.25">
      <c r="A105" s="216"/>
      <c r="B105" s="216" t="s">
        <v>479</v>
      </c>
      <c r="C105" s="204"/>
      <c r="D105" s="204"/>
      <c r="E105" s="204"/>
      <c r="F105" s="204"/>
      <c r="G105" s="229" t="s">
        <v>489</v>
      </c>
      <c r="H105" s="216" t="s">
        <v>454</v>
      </c>
      <c r="I105" s="200"/>
      <c r="J105" s="264">
        <f>IF(HLOOKUP(CaseName,CaseData,ROW()-2,FALSE)="",IF(HLOOKUP(ScenarioName,ScenarioData,ROW()-75,FALSE)="","",HLOOKUP(ScenarioName,ScenarioData,ROW()-75,FALSE)),HLOOKUP(CaseName,CaseData,ROW()-2,FALSE))</f>
        <v>0</v>
      </c>
      <c r="K105" s="207">
        <v>0</v>
      </c>
      <c r="L105" s="227">
        <f>IF(ISBLANK(I105),IF(ISNUMBER(J105)=FALSE,K105*1000/(Molweight*3600*24*365),J105*1000/(Molweight*3600*24*365)),I105*1000/(Molweight*3600*24*365))</f>
        <v>0</v>
      </c>
      <c r="M105" s="216" t="s">
        <v>455</v>
      </c>
      <c r="N105" s="204"/>
      <c r="O105" s="171"/>
    </row>
    <row r="106" spans="1:15" ht="12.75" customHeight="1" x14ac:dyDescent="0.25">
      <c r="A106" s="216"/>
      <c r="B106" s="216" t="s">
        <v>481</v>
      </c>
      <c r="C106" s="204"/>
      <c r="D106" s="204"/>
      <c r="E106" s="204"/>
      <c r="F106" s="204"/>
      <c r="G106" s="229" t="s">
        <v>490</v>
      </c>
      <c r="H106" s="216" t="s">
        <v>454</v>
      </c>
      <c r="I106" s="200"/>
      <c r="J106" s="264">
        <f>IF(HLOOKUP(CaseName,CaseData,ROW()-2,FALSE)="",IF(HLOOKUP(ScenarioName,ScenarioData,ROW()-75,FALSE)="","",HLOOKUP(ScenarioName,ScenarioData,ROW()-75,FALSE)),HLOOKUP(CaseName,CaseData,ROW()-2,FALSE))</f>
        <v>0</v>
      </c>
      <c r="K106" s="207">
        <v>0</v>
      </c>
      <c r="L106" s="227">
        <f>IF(ISBLANK(I106),IF(ISNUMBER(J106)=FALSE,K106*1000/(Molweight*3600*24*365),J106*1000/(Molweight*3600*24*365)),I106*1000/(Molweight*3600*24*365))</f>
        <v>0</v>
      </c>
      <c r="M106" s="246" t="s">
        <v>455</v>
      </c>
      <c r="N106" s="204"/>
      <c r="O106" s="171"/>
    </row>
    <row r="107" spans="1:15" ht="12.75" customHeight="1" x14ac:dyDescent="0.25">
      <c r="A107" s="204"/>
      <c r="B107" s="204"/>
      <c r="C107" s="204"/>
      <c r="D107" s="204"/>
      <c r="E107" s="204"/>
      <c r="F107" s="204"/>
      <c r="G107" s="205"/>
      <c r="H107" s="205"/>
      <c r="I107" s="231"/>
      <c r="J107" s="207"/>
      <c r="K107" s="207"/>
      <c r="L107" s="208"/>
      <c r="M107" s="204"/>
      <c r="N107" s="204"/>
      <c r="O107" s="171"/>
    </row>
    <row r="108" spans="1:15" s="162" customFormat="1" ht="12.75" customHeight="1" x14ac:dyDescent="0.25">
      <c r="A108" s="210" t="s">
        <v>491</v>
      </c>
      <c r="B108" s="211"/>
      <c r="C108" s="211"/>
      <c r="D108" s="211"/>
      <c r="E108" s="211"/>
      <c r="F108" s="211"/>
      <c r="G108" s="210" t="s">
        <v>311</v>
      </c>
      <c r="H108" s="212" t="s">
        <v>68</v>
      </c>
      <c r="I108" s="213" t="s">
        <v>312</v>
      </c>
      <c r="J108" s="213" t="s">
        <v>327</v>
      </c>
      <c r="K108" s="213" t="s">
        <v>313</v>
      </c>
      <c r="L108" s="215" t="s">
        <v>314</v>
      </c>
      <c r="M108" s="211"/>
      <c r="N108" s="212" t="s">
        <v>315</v>
      </c>
      <c r="O108" s="171"/>
    </row>
    <row r="109" spans="1:15" ht="12.75" customHeight="1" x14ac:dyDescent="0.25">
      <c r="A109" s="216"/>
      <c r="B109" s="204"/>
      <c r="C109" s="204"/>
      <c r="D109" s="204"/>
      <c r="E109" s="204"/>
      <c r="F109" s="204"/>
      <c r="G109" s="216"/>
      <c r="H109" s="205"/>
      <c r="I109" s="217"/>
      <c r="J109" s="218"/>
      <c r="K109" s="218"/>
      <c r="L109" s="219"/>
      <c r="M109" s="204"/>
      <c r="N109" s="205"/>
      <c r="O109" s="171"/>
    </row>
    <row r="110" spans="1:15" ht="12.75" customHeight="1" x14ac:dyDescent="0.25">
      <c r="A110" s="243" t="s">
        <v>451</v>
      </c>
      <c r="B110" s="204"/>
      <c r="C110" s="204"/>
      <c r="D110" s="204"/>
      <c r="E110" s="204"/>
      <c r="F110" s="204"/>
      <c r="G110" s="204"/>
      <c r="H110" s="204"/>
      <c r="I110" s="204"/>
      <c r="J110" s="204"/>
      <c r="K110" s="204"/>
      <c r="L110" s="208"/>
      <c r="M110" s="204"/>
      <c r="N110" s="204"/>
      <c r="O110" s="171"/>
    </row>
    <row r="111" spans="1:15" ht="12.75" customHeight="1" x14ac:dyDescent="0.25">
      <c r="A111" s="204"/>
      <c r="B111" s="204" t="s">
        <v>492</v>
      </c>
      <c r="C111" s="204"/>
      <c r="D111" s="204"/>
      <c r="E111" s="204"/>
      <c r="F111" s="204"/>
      <c r="G111" s="204" t="s">
        <v>493</v>
      </c>
      <c r="H111" s="266" t="s">
        <v>494</v>
      </c>
      <c r="I111" s="199">
        <f>40000000000/1000000</f>
        <v>40000</v>
      </c>
      <c r="J111" s="264">
        <f t="shared" ref="J111:J126" si="9">IF(HLOOKUP(CaseName,CaseData,ROW()-2,FALSE)="",IF(HLOOKUP(ScenarioName,ScenarioData,ROW()-76,FALSE)="","",HLOOKUP(ScenarioName,ScenarioData,ROW()-76,FALSE)),HLOOKUP(CaseName,CaseData,ROW()-2,FALSE))</f>
        <v>228570</v>
      </c>
      <c r="K111" s="236">
        <v>228570</v>
      </c>
      <c r="L111" s="241">
        <f>IF(ISBLANK(I111), IF(ISNUMBER(J111)=FALSE,K111*1000000,J111*1000000),I111*1000000)</f>
        <v>40000000000</v>
      </c>
      <c r="M111" s="216" t="s">
        <v>495</v>
      </c>
      <c r="N111" s="267">
        <v>1139633000000</v>
      </c>
      <c r="O111" s="171"/>
    </row>
    <row r="112" spans="1:15" ht="12.75" customHeight="1" x14ac:dyDescent="0.25">
      <c r="A112" s="204"/>
      <c r="B112" s="204" t="s">
        <v>496</v>
      </c>
      <c r="C112" s="204"/>
      <c r="D112" s="204"/>
      <c r="E112" s="204"/>
      <c r="F112" s="204"/>
      <c r="G112" s="204" t="s">
        <v>497</v>
      </c>
      <c r="H112" s="266" t="s">
        <v>494</v>
      </c>
      <c r="I112" s="199">
        <f>4000000000/1000000</f>
        <v>4000</v>
      </c>
      <c r="J112" s="264">
        <f t="shared" si="9"/>
        <v>1000</v>
      </c>
      <c r="K112" s="236">
        <v>1000</v>
      </c>
      <c r="L112" s="241">
        <f>IF(ISBLANK(I112), IF(ISNUMBER(J112)=FALSE,K112*1000000,J112*1000000),I112*1000000)</f>
        <v>4000000000</v>
      </c>
      <c r="M112" s="216" t="s">
        <v>495</v>
      </c>
      <c r="N112" s="204">
        <v>12482598298.2358</v>
      </c>
      <c r="O112" s="171"/>
    </row>
    <row r="113" spans="1:15" ht="12.75" customHeight="1" x14ac:dyDescent="0.25">
      <c r="A113" s="204"/>
      <c r="B113" s="204" t="s">
        <v>498</v>
      </c>
      <c r="C113" s="204"/>
      <c r="D113" s="204"/>
      <c r="E113" s="204"/>
      <c r="F113" s="204"/>
      <c r="G113" s="204" t="s">
        <v>499</v>
      </c>
      <c r="H113" s="204" t="s">
        <v>17</v>
      </c>
      <c r="I113" s="199">
        <v>9.9999999999999995E-21</v>
      </c>
      <c r="J113" s="264">
        <f t="shared" si="9"/>
        <v>2.5000000000000001E-3</v>
      </c>
      <c r="K113" s="236">
        <v>2.5000000000000001E-3</v>
      </c>
      <c r="L113" s="241">
        <f>IF(ISBLANK(I113), IF(ISNUMBER(J113)=FALSE,K113,J113),I113)</f>
        <v>9.9999999999999995E-21</v>
      </c>
      <c r="M113" s="216" t="s">
        <v>17</v>
      </c>
      <c r="N113" s="204"/>
      <c r="O113" s="171"/>
    </row>
    <row r="114" spans="1:15" ht="12.75" customHeight="1" x14ac:dyDescent="0.25">
      <c r="A114" s="204"/>
      <c r="B114" s="204" t="s">
        <v>500</v>
      </c>
      <c r="C114" s="204"/>
      <c r="D114" s="204"/>
      <c r="E114" s="204"/>
      <c r="F114" s="204"/>
      <c r="G114" s="204" t="s">
        <v>501</v>
      </c>
      <c r="H114" s="204" t="s">
        <v>17</v>
      </c>
      <c r="I114" s="199">
        <v>0.03</v>
      </c>
      <c r="J114" s="264">
        <f t="shared" si="9"/>
        <v>2.75E-2</v>
      </c>
      <c r="K114" s="236">
        <v>2.75E-2</v>
      </c>
      <c r="L114" s="241">
        <f>IF(ISBLANK(I114), IF(ISNUMBER(J114)=FALSE,K114,J114),I114)</f>
        <v>0.03</v>
      </c>
      <c r="M114" s="216" t="s">
        <v>17</v>
      </c>
      <c r="N114" s="268">
        <v>3.1314467025788127E-2</v>
      </c>
      <c r="O114" s="171"/>
    </row>
    <row r="115" spans="1:15" ht="12.75" customHeight="1" x14ac:dyDescent="0.25">
      <c r="A115" s="204"/>
      <c r="B115" s="204" t="s">
        <v>502</v>
      </c>
      <c r="C115" s="204"/>
      <c r="D115" s="204"/>
      <c r="E115" s="204"/>
      <c r="F115" s="204"/>
      <c r="G115" s="204" t="s">
        <v>503</v>
      </c>
      <c r="H115" s="204" t="s">
        <v>17</v>
      </c>
      <c r="I115" s="199">
        <v>0.6</v>
      </c>
      <c r="J115" s="264">
        <f t="shared" si="9"/>
        <v>0.27</v>
      </c>
      <c r="K115" s="236">
        <v>0.27</v>
      </c>
      <c r="L115" s="241">
        <f t="shared" ref="L115:L125" si="10">IF(ISBLANK(I115), IF(ISNUMBER(J115)=FALSE,K115,J115),I115)</f>
        <v>0.6</v>
      </c>
      <c r="M115" s="216" t="s">
        <v>17</v>
      </c>
      <c r="N115" s="204">
        <v>3.1314467025788127E-2</v>
      </c>
      <c r="O115" s="171"/>
    </row>
    <row r="116" spans="1:15" ht="12.75" customHeight="1" x14ac:dyDescent="0.25">
      <c r="A116" s="204"/>
      <c r="B116" s="204" t="s">
        <v>504</v>
      </c>
      <c r="C116" s="204"/>
      <c r="D116" s="204"/>
      <c r="E116" s="204"/>
      <c r="F116" s="204"/>
      <c r="G116" s="204" t="s">
        <v>505</v>
      </c>
      <c r="H116" s="204" t="s">
        <v>17</v>
      </c>
      <c r="I116" s="199">
        <v>0.27</v>
      </c>
      <c r="J116" s="264">
        <f t="shared" si="9"/>
        <v>0.6</v>
      </c>
      <c r="K116" s="236">
        <v>0.6</v>
      </c>
      <c r="L116" s="241">
        <f t="shared" si="10"/>
        <v>0.27</v>
      </c>
      <c r="M116" s="216" t="s">
        <v>17</v>
      </c>
      <c r="N116" s="204">
        <v>0.28470275990867239</v>
      </c>
      <c r="O116" s="171"/>
    </row>
    <row r="117" spans="1:15" ht="12.75" customHeight="1" x14ac:dyDescent="0.25">
      <c r="A117" s="204"/>
      <c r="B117" s="204" t="s">
        <v>506</v>
      </c>
      <c r="C117" s="204"/>
      <c r="D117" s="204"/>
      <c r="E117" s="204"/>
      <c r="F117" s="204"/>
      <c r="G117" s="204" t="s">
        <v>507</v>
      </c>
      <c r="H117" s="204" t="s">
        <v>17</v>
      </c>
      <c r="I117" s="199">
        <v>0.1</v>
      </c>
      <c r="J117" s="264">
        <f t="shared" si="9"/>
        <v>0.1</v>
      </c>
      <c r="K117" s="236">
        <v>0.1</v>
      </c>
      <c r="L117" s="241">
        <f t="shared" si="10"/>
        <v>0.1</v>
      </c>
      <c r="M117" s="216" t="s">
        <v>17</v>
      </c>
      <c r="N117" s="267">
        <v>0.65942660145853971</v>
      </c>
      <c r="O117" s="171"/>
    </row>
    <row r="118" spans="1:15" ht="12.75" customHeight="1" x14ac:dyDescent="0.25">
      <c r="A118" s="204"/>
      <c r="B118" s="204" t="s">
        <v>508</v>
      </c>
      <c r="C118" s="204"/>
      <c r="D118" s="204"/>
      <c r="E118" s="204"/>
      <c r="F118" s="204"/>
      <c r="G118" s="204" t="s">
        <v>509</v>
      </c>
      <c r="H118" s="246" t="s">
        <v>390</v>
      </c>
      <c r="I118" s="199">
        <v>11.85</v>
      </c>
      <c r="J118" s="264">
        <f t="shared" si="9"/>
        <v>12</v>
      </c>
      <c r="K118" s="236">
        <v>12</v>
      </c>
      <c r="L118" s="241">
        <f>IF(ISBLANK(I118), IF(ISNUMBER(J118)=FALSE,K118+273,J118+273),I118+273)</f>
        <v>284.85000000000002</v>
      </c>
      <c r="M118" s="216" t="s">
        <v>391</v>
      </c>
      <c r="N118" s="204">
        <v>2.4626369644438199E-2</v>
      </c>
      <c r="O118" s="171"/>
    </row>
    <row r="119" spans="1:15" ht="12.75" customHeight="1" x14ac:dyDescent="0.25">
      <c r="A119" s="204"/>
      <c r="B119" s="204" t="s">
        <v>510</v>
      </c>
      <c r="C119" s="204"/>
      <c r="D119" s="204"/>
      <c r="E119" s="204"/>
      <c r="F119" s="204"/>
      <c r="G119" s="204" t="s">
        <v>511</v>
      </c>
      <c r="H119" s="204" t="s">
        <v>512</v>
      </c>
      <c r="I119" s="199">
        <v>3</v>
      </c>
      <c r="J119" s="264">
        <f t="shared" si="9"/>
        <v>3</v>
      </c>
      <c r="K119" s="236">
        <v>3</v>
      </c>
      <c r="L119" s="241">
        <f t="shared" si="10"/>
        <v>3</v>
      </c>
      <c r="M119" s="216" t="s">
        <v>512</v>
      </c>
      <c r="N119" s="204"/>
      <c r="O119" s="171"/>
    </row>
    <row r="120" spans="1:15" ht="12.75" customHeight="1" x14ac:dyDescent="0.25">
      <c r="A120" s="204"/>
      <c r="B120" s="204" t="s">
        <v>513</v>
      </c>
      <c r="C120" s="204"/>
      <c r="D120" s="204"/>
      <c r="E120" s="204"/>
      <c r="F120" s="204"/>
      <c r="G120" s="204" t="s">
        <v>514</v>
      </c>
      <c r="H120" s="204" t="s">
        <v>515</v>
      </c>
      <c r="I120" s="199">
        <f>1.92*365</f>
        <v>700.8</v>
      </c>
      <c r="J120" s="264">
        <f t="shared" si="9"/>
        <v>700</v>
      </c>
      <c r="K120" s="236">
        <v>700</v>
      </c>
      <c r="L120" s="241">
        <f>IF(ISBLANK(I120),IF(ISNUMBER(J120)=FALSE,K120/1000/(3600*24*365),J120/1000/(3600*24*365)),I120/1000/(3600*24*365))</f>
        <v>2.222222222222222E-8</v>
      </c>
      <c r="M120" s="216" t="s">
        <v>512</v>
      </c>
      <c r="N120" s="204"/>
      <c r="O120" s="171"/>
    </row>
    <row r="121" spans="1:15" ht="12.75" customHeight="1" x14ac:dyDescent="0.25">
      <c r="A121" s="204"/>
      <c r="B121" s="204" t="s">
        <v>516</v>
      </c>
      <c r="C121" s="204"/>
      <c r="D121" s="204"/>
      <c r="E121" s="204"/>
      <c r="F121" s="204"/>
      <c r="G121" s="204" t="s">
        <v>517</v>
      </c>
      <c r="H121" s="204" t="s">
        <v>92</v>
      </c>
      <c r="I121" s="199">
        <v>9.9999999999999995E-21</v>
      </c>
      <c r="J121" s="264">
        <f t="shared" si="9"/>
        <v>100</v>
      </c>
      <c r="K121" s="236">
        <v>100</v>
      </c>
      <c r="L121" s="227">
        <f>IF(ISBLANK(I121), IF(ISNUMBER(J121)=FALSE,K121,J121),I121)</f>
        <v>9.9999999999999995E-21</v>
      </c>
      <c r="M121" s="216" t="s">
        <v>92</v>
      </c>
      <c r="N121" s="204"/>
      <c r="O121" s="171"/>
    </row>
    <row r="122" spans="1:15" ht="12.75" customHeight="1" x14ac:dyDescent="0.25">
      <c r="A122" s="204"/>
      <c r="B122" s="204" t="s">
        <v>518</v>
      </c>
      <c r="C122" s="204"/>
      <c r="D122" s="204"/>
      <c r="E122" s="204"/>
      <c r="F122" s="204"/>
      <c r="G122" s="204" t="s">
        <v>519</v>
      </c>
      <c r="H122" s="204" t="s">
        <v>92</v>
      </c>
      <c r="I122" s="199">
        <v>3</v>
      </c>
      <c r="J122" s="264">
        <f t="shared" si="9"/>
        <v>3</v>
      </c>
      <c r="K122" s="236">
        <v>3</v>
      </c>
      <c r="L122" s="227">
        <f t="shared" si="10"/>
        <v>3</v>
      </c>
      <c r="M122" s="216" t="s">
        <v>92</v>
      </c>
      <c r="N122" s="204"/>
      <c r="O122" s="171"/>
    </row>
    <row r="123" spans="1:15" ht="12.75" customHeight="1" x14ac:dyDescent="0.25">
      <c r="A123" s="204"/>
      <c r="B123" s="204" t="s">
        <v>520</v>
      </c>
      <c r="C123" s="204"/>
      <c r="D123" s="204"/>
      <c r="E123" s="204"/>
      <c r="F123" s="204"/>
      <c r="G123" s="204" t="s">
        <v>521</v>
      </c>
      <c r="H123" s="204" t="s">
        <v>17</v>
      </c>
      <c r="I123" s="199"/>
      <c r="J123" s="264">
        <f t="shared" si="9"/>
        <v>0</v>
      </c>
      <c r="K123" s="236">
        <v>0</v>
      </c>
      <c r="L123" s="227">
        <f t="shared" si="10"/>
        <v>0</v>
      </c>
      <c r="M123" s="216" t="s">
        <v>17</v>
      </c>
      <c r="N123" s="204"/>
      <c r="O123" s="171"/>
    </row>
    <row r="124" spans="1:15" ht="12.75" customHeight="1" x14ac:dyDescent="0.25">
      <c r="A124" s="204"/>
      <c r="B124" s="204" t="s">
        <v>522</v>
      </c>
      <c r="C124" s="204"/>
      <c r="D124" s="204"/>
      <c r="E124" s="204"/>
      <c r="F124" s="204"/>
      <c r="G124" s="204" t="s">
        <v>523</v>
      </c>
      <c r="H124" s="204" t="s">
        <v>17</v>
      </c>
      <c r="I124" s="199"/>
      <c r="J124" s="264">
        <f t="shared" si="9"/>
        <v>0.25</v>
      </c>
      <c r="K124" s="236">
        <v>0.25</v>
      </c>
      <c r="L124" s="241">
        <f t="shared" si="10"/>
        <v>0.25</v>
      </c>
      <c r="M124" s="216" t="s">
        <v>17</v>
      </c>
      <c r="N124" s="204"/>
      <c r="O124" s="171"/>
    </row>
    <row r="125" spans="1:15" ht="12.75" customHeight="1" x14ac:dyDescent="0.25">
      <c r="A125" s="204"/>
      <c r="B125" s="204" t="s">
        <v>524</v>
      </c>
      <c r="C125" s="204"/>
      <c r="D125" s="204"/>
      <c r="E125" s="204"/>
      <c r="F125" s="204"/>
      <c r="G125" s="204" t="s">
        <v>525</v>
      </c>
      <c r="H125" s="204" t="s">
        <v>17</v>
      </c>
      <c r="I125" s="199"/>
      <c r="J125" s="264">
        <f t="shared" si="9"/>
        <v>0.25</v>
      </c>
      <c r="K125" s="236">
        <v>0.25</v>
      </c>
      <c r="L125" s="241">
        <f t="shared" si="10"/>
        <v>0.25</v>
      </c>
      <c r="M125" s="216" t="s">
        <v>17</v>
      </c>
      <c r="N125" s="225"/>
      <c r="O125" s="171"/>
    </row>
    <row r="126" spans="1:15" ht="12.75" customHeight="1" x14ac:dyDescent="0.25">
      <c r="A126" s="204"/>
      <c r="B126" s="204" t="s">
        <v>526</v>
      </c>
      <c r="C126" s="204"/>
      <c r="D126" s="204"/>
      <c r="E126" s="204"/>
      <c r="F126" s="204"/>
      <c r="G126" s="204" t="s">
        <v>527</v>
      </c>
      <c r="H126" s="204" t="s">
        <v>515</v>
      </c>
      <c r="I126" s="199"/>
      <c r="J126" s="264">
        <f t="shared" si="9"/>
        <v>0.03</v>
      </c>
      <c r="K126" s="236">
        <v>0.03</v>
      </c>
      <c r="L126" s="241">
        <f>IF(ISBLANK(I126),IF(ISNUMBER(J126)=FALSE,K126/1000/(3600*24*365),J126/1000/(3600*24*365)),I126/1000/(3600*24*365))</f>
        <v>9.5129375951293754E-13</v>
      </c>
      <c r="M126" s="216" t="s">
        <v>512</v>
      </c>
      <c r="N126" s="204"/>
      <c r="O126" s="171"/>
    </row>
    <row r="127" spans="1:15" ht="12.75" customHeight="1" x14ac:dyDescent="0.25">
      <c r="A127" s="204"/>
      <c r="B127" s="204"/>
      <c r="C127" s="204"/>
      <c r="D127" s="204"/>
      <c r="E127" s="204"/>
      <c r="F127" s="204"/>
      <c r="G127" s="204"/>
      <c r="H127" s="204"/>
      <c r="I127" s="231"/>
      <c r="J127" s="207"/>
      <c r="K127" s="207"/>
      <c r="L127" s="208"/>
      <c r="M127" s="204"/>
      <c r="N127" s="204"/>
      <c r="O127" s="171"/>
    </row>
    <row r="128" spans="1:15" ht="12.75" customHeight="1" x14ac:dyDescent="0.25">
      <c r="A128" s="243" t="s">
        <v>469</v>
      </c>
      <c r="B128" s="204"/>
      <c r="C128" s="204"/>
      <c r="D128" s="204"/>
      <c r="E128" s="204"/>
      <c r="F128" s="204"/>
      <c r="G128" s="204"/>
      <c r="H128" s="204"/>
      <c r="I128" s="231"/>
      <c r="J128" s="207"/>
      <c r="K128" s="207"/>
      <c r="L128" s="208"/>
      <c r="M128" s="204"/>
      <c r="N128" s="204"/>
      <c r="O128" s="171"/>
    </row>
    <row r="129" spans="1:15" ht="12.75" customHeight="1" x14ac:dyDescent="0.25">
      <c r="A129" s="204"/>
      <c r="B129" s="204" t="s">
        <v>492</v>
      </c>
      <c r="C129" s="204"/>
      <c r="D129" s="204"/>
      <c r="E129" s="204"/>
      <c r="F129" s="204"/>
      <c r="G129" s="204" t="s">
        <v>528</v>
      </c>
      <c r="H129" s="266" t="s">
        <v>494</v>
      </c>
      <c r="I129" s="199"/>
      <c r="J129" s="264">
        <f t="shared" ref="J129:J144" si="11">IF(HLOOKUP(CaseName,CaseData,ROW()-2,FALSE)="",IF(HLOOKUP(ScenarioName,ScenarioData,ROW()-76,FALSE)="","",HLOOKUP(ScenarioName,ScenarioData,ROW()-76,FALSE)),HLOOKUP(CaseName,CaseData,ROW()-2,FALSE))</f>
        <v>3714410</v>
      </c>
      <c r="K129" s="236">
        <v>3714410</v>
      </c>
      <c r="L129" s="227">
        <f>IF(ISBLANK(I129), IF(ISNUMBER(J129)=FALSE,K129*1000000,J129*1000000),I129*1000000)</f>
        <v>3714410000000</v>
      </c>
      <c r="M129" s="216" t="s">
        <v>495</v>
      </c>
      <c r="N129" s="204"/>
      <c r="O129" s="171"/>
    </row>
    <row r="130" spans="1:15" ht="12.75" customHeight="1" x14ac:dyDescent="0.25">
      <c r="A130" s="204"/>
      <c r="B130" s="204" t="s">
        <v>496</v>
      </c>
      <c r="C130" s="204"/>
      <c r="D130" s="204"/>
      <c r="E130" s="204"/>
      <c r="F130" s="204"/>
      <c r="G130" s="204" t="s">
        <v>529</v>
      </c>
      <c r="H130" s="266" t="s">
        <v>494</v>
      </c>
      <c r="I130" s="199"/>
      <c r="J130" s="264">
        <f t="shared" si="11"/>
        <v>3714410</v>
      </c>
      <c r="K130" s="236">
        <v>3714410</v>
      </c>
      <c r="L130" s="227">
        <f>IF(ISBLANK(I130), IF(ISNUMBER(J130)=FALSE,K130*1000000,J130*1000000),I130*1000000)</f>
        <v>3714410000000</v>
      </c>
      <c r="M130" s="216" t="s">
        <v>495</v>
      </c>
      <c r="N130" s="204"/>
      <c r="O130" s="171"/>
    </row>
    <row r="131" spans="1:15" ht="12.75" customHeight="1" x14ac:dyDescent="0.25">
      <c r="A131" s="204"/>
      <c r="B131" s="204" t="s">
        <v>500</v>
      </c>
      <c r="C131" s="204"/>
      <c r="D131" s="204"/>
      <c r="E131" s="204"/>
      <c r="F131" s="204"/>
      <c r="G131" s="204" t="s">
        <v>530</v>
      </c>
      <c r="H131" s="204" t="s">
        <v>17</v>
      </c>
      <c r="I131" s="199"/>
      <c r="J131" s="264">
        <f t="shared" si="11"/>
        <v>2.5000000000000001E-3</v>
      </c>
      <c r="K131" s="236">
        <v>2.5000000000000001E-3</v>
      </c>
      <c r="L131" s="227">
        <f>IF(ISBLANK(I131), IF(ISNUMBER(J131)=FALSE,K131,J131),I131)</f>
        <v>2.5000000000000001E-3</v>
      </c>
      <c r="M131" s="216" t="s">
        <v>17</v>
      </c>
      <c r="N131" s="204"/>
      <c r="O131" s="171"/>
    </row>
    <row r="132" spans="1:15" ht="12.75" customHeight="1" x14ac:dyDescent="0.25">
      <c r="A132" s="204"/>
      <c r="B132" s="204" t="s">
        <v>500</v>
      </c>
      <c r="C132" s="204"/>
      <c r="D132" s="204"/>
      <c r="E132" s="204"/>
      <c r="F132" s="204"/>
      <c r="G132" s="204" t="s">
        <v>531</v>
      </c>
      <c r="H132" s="204" t="s">
        <v>17</v>
      </c>
      <c r="I132" s="199"/>
      <c r="J132" s="264">
        <f t="shared" si="11"/>
        <v>2.75E-2</v>
      </c>
      <c r="K132" s="236">
        <v>2.75E-2</v>
      </c>
      <c r="L132" s="227">
        <f>IF(ISBLANK(I132), IF(ISNUMBER(J132)=FALSE,K132,J132),I132)</f>
        <v>2.75E-2</v>
      </c>
      <c r="M132" s="216" t="s">
        <v>17</v>
      </c>
      <c r="N132" s="204"/>
      <c r="O132" s="171"/>
    </row>
    <row r="133" spans="1:15" ht="12.75" customHeight="1" x14ac:dyDescent="0.25">
      <c r="A133" s="204"/>
      <c r="B133" s="204" t="s">
        <v>502</v>
      </c>
      <c r="C133" s="204"/>
      <c r="D133" s="204"/>
      <c r="E133" s="204"/>
      <c r="F133" s="204"/>
      <c r="G133" s="204" t="s">
        <v>532</v>
      </c>
      <c r="H133" s="204" t="s">
        <v>17</v>
      </c>
      <c r="I133" s="199"/>
      <c r="J133" s="264">
        <f t="shared" si="11"/>
        <v>0.27</v>
      </c>
      <c r="K133" s="236">
        <v>0.27</v>
      </c>
      <c r="L133" s="227">
        <f>IF(ISBLANK(I133), IF(ISNUMBER(J133)=FALSE,K133,J133),I133)</f>
        <v>0.27</v>
      </c>
      <c r="M133" s="216" t="s">
        <v>17</v>
      </c>
      <c r="N133" s="204"/>
      <c r="O133" s="171"/>
    </row>
    <row r="134" spans="1:15" ht="12.75" customHeight="1" x14ac:dyDescent="0.25">
      <c r="A134" s="204"/>
      <c r="B134" s="204" t="s">
        <v>504</v>
      </c>
      <c r="C134" s="204"/>
      <c r="D134" s="204"/>
      <c r="E134" s="204"/>
      <c r="F134" s="204"/>
      <c r="G134" s="204" t="s">
        <v>533</v>
      </c>
      <c r="H134" s="204" t="s">
        <v>17</v>
      </c>
      <c r="I134" s="199"/>
      <c r="J134" s="264">
        <f t="shared" si="11"/>
        <v>0.6</v>
      </c>
      <c r="K134" s="236">
        <v>0.6</v>
      </c>
      <c r="L134" s="227">
        <f>IF(ISBLANK(I134), IF(ISNUMBER(J134)=FALSE,K134,J134),I134)</f>
        <v>0.6</v>
      </c>
      <c r="M134" s="216" t="s">
        <v>17</v>
      </c>
      <c r="N134" s="204"/>
      <c r="O134" s="171"/>
    </row>
    <row r="135" spans="1:15" ht="12.75" customHeight="1" x14ac:dyDescent="0.25">
      <c r="A135" s="204"/>
      <c r="B135" s="204" t="s">
        <v>506</v>
      </c>
      <c r="C135" s="204"/>
      <c r="D135" s="204"/>
      <c r="E135" s="204"/>
      <c r="F135" s="204"/>
      <c r="G135" s="204" t="s">
        <v>534</v>
      </c>
      <c r="H135" s="204" t="s">
        <v>17</v>
      </c>
      <c r="I135" s="199"/>
      <c r="J135" s="264">
        <f t="shared" si="11"/>
        <v>0.1</v>
      </c>
      <c r="K135" s="236">
        <v>0.1</v>
      </c>
      <c r="L135" s="227">
        <f>IF(ISBLANK(I135), IF(ISNUMBER(J135)=FALSE,K135,J135),I135)</f>
        <v>0.1</v>
      </c>
      <c r="M135" s="216" t="s">
        <v>17</v>
      </c>
      <c r="N135" s="204"/>
      <c r="O135" s="171"/>
    </row>
    <row r="136" spans="1:15" ht="12.75" customHeight="1" x14ac:dyDescent="0.25">
      <c r="A136" s="204"/>
      <c r="B136" s="204" t="s">
        <v>508</v>
      </c>
      <c r="C136" s="204"/>
      <c r="D136" s="204"/>
      <c r="E136" s="204"/>
      <c r="F136" s="204"/>
      <c r="G136" s="204" t="s">
        <v>535</v>
      </c>
      <c r="H136" s="246" t="s">
        <v>390</v>
      </c>
      <c r="I136" s="199"/>
      <c r="J136" s="264">
        <f t="shared" si="11"/>
        <v>12</v>
      </c>
      <c r="K136" s="236">
        <v>12</v>
      </c>
      <c r="L136" s="227">
        <f>IF(ISBLANK(I136), IF(ISNUMBER(J136)=FALSE,K136+273,J136+273),I136+273)</f>
        <v>285</v>
      </c>
      <c r="M136" s="216" t="s">
        <v>391</v>
      </c>
      <c r="N136" s="204"/>
      <c r="O136" s="171"/>
    </row>
    <row r="137" spans="1:15" ht="12.75" customHeight="1" x14ac:dyDescent="0.25">
      <c r="A137" s="204"/>
      <c r="B137" s="204" t="s">
        <v>510</v>
      </c>
      <c r="C137" s="204"/>
      <c r="D137" s="204"/>
      <c r="E137" s="204"/>
      <c r="F137" s="204"/>
      <c r="G137" s="204" t="s">
        <v>536</v>
      </c>
      <c r="H137" s="204" t="s">
        <v>512</v>
      </c>
      <c r="I137" s="199"/>
      <c r="J137" s="264">
        <f t="shared" si="11"/>
        <v>3</v>
      </c>
      <c r="K137" s="236">
        <v>3</v>
      </c>
      <c r="L137" s="227">
        <f t="shared" ref="L137:L143" si="12">IF(ISBLANK(I137), IF(ISNUMBER(J137)=FALSE,K137,J137),I137)</f>
        <v>3</v>
      </c>
      <c r="M137" s="216" t="s">
        <v>512</v>
      </c>
      <c r="N137" s="204"/>
      <c r="O137" s="171"/>
    </row>
    <row r="138" spans="1:15" ht="12.75" customHeight="1" x14ac:dyDescent="0.25">
      <c r="A138" s="204"/>
      <c r="B138" s="204" t="s">
        <v>513</v>
      </c>
      <c r="C138" s="204"/>
      <c r="D138" s="204"/>
      <c r="E138" s="204"/>
      <c r="F138" s="204"/>
      <c r="G138" s="204" t="s">
        <v>537</v>
      </c>
      <c r="H138" s="204" t="s">
        <v>515</v>
      </c>
      <c r="I138" s="199"/>
      <c r="J138" s="264">
        <f t="shared" si="11"/>
        <v>700</v>
      </c>
      <c r="K138" s="236">
        <v>700</v>
      </c>
      <c r="L138" s="227">
        <f>IF(ISBLANK(I138),IF(ISNUMBER(J138)=FALSE,K138/1000/(3600*24*365),J138/1000/(3600*24*365)),I138/1000/(3600*24*365))</f>
        <v>2.219685438863521E-8</v>
      </c>
      <c r="M138" s="216" t="s">
        <v>512</v>
      </c>
      <c r="N138" s="204"/>
      <c r="O138" s="171"/>
    </row>
    <row r="139" spans="1:15" ht="12.75" customHeight="1" x14ac:dyDescent="0.25">
      <c r="A139" s="204"/>
      <c r="B139" s="204" t="s">
        <v>518</v>
      </c>
      <c r="C139" s="204"/>
      <c r="D139" s="204"/>
      <c r="E139" s="204"/>
      <c r="F139" s="204"/>
      <c r="G139" s="204" t="s">
        <v>538</v>
      </c>
      <c r="H139" s="204" t="s">
        <v>92</v>
      </c>
      <c r="I139" s="199"/>
      <c r="J139" s="264">
        <f t="shared" si="11"/>
        <v>100</v>
      </c>
      <c r="K139" s="236">
        <v>100</v>
      </c>
      <c r="L139" s="227">
        <f>IF(ISBLANK(I139), IF(ISNUMBER(J139)=FALSE,K139,J139),I139)</f>
        <v>100</v>
      </c>
      <c r="M139" s="216" t="s">
        <v>92</v>
      </c>
      <c r="N139" s="204"/>
      <c r="O139" s="171"/>
    </row>
    <row r="140" spans="1:15" ht="12.75" customHeight="1" x14ac:dyDescent="0.25">
      <c r="A140" s="204"/>
      <c r="B140" s="204" t="s">
        <v>518</v>
      </c>
      <c r="C140" s="204"/>
      <c r="D140" s="204"/>
      <c r="E140" s="204"/>
      <c r="F140" s="204"/>
      <c r="G140" s="204" t="s">
        <v>539</v>
      </c>
      <c r="H140" s="204" t="s">
        <v>92</v>
      </c>
      <c r="I140" s="199"/>
      <c r="J140" s="264">
        <f t="shared" si="11"/>
        <v>3</v>
      </c>
      <c r="K140" s="236">
        <v>3</v>
      </c>
      <c r="L140" s="227">
        <f t="shared" si="12"/>
        <v>3</v>
      </c>
      <c r="M140" s="216" t="s">
        <v>92</v>
      </c>
      <c r="N140" s="204"/>
      <c r="O140" s="171"/>
    </row>
    <row r="141" spans="1:15" ht="12.75" customHeight="1" x14ac:dyDescent="0.25">
      <c r="A141" s="204"/>
      <c r="B141" s="204" t="s">
        <v>540</v>
      </c>
      <c r="C141" s="204"/>
      <c r="D141" s="204"/>
      <c r="E141" s="204"/>
      <c r="F141" s="204"/>
      <c r="G141" s="204" t="s">
        <v>541</v>
      </c>
      <c r="H141" s="204" t="s">
        <v>17</v>
      </c>
      <c r="I141" s="199"/>
      <c r="J141" s="264">
        <f t="shared" si="11"/>
        <v>0</v>
      </c>
      <c r="K141" s="236">
        <v>0</v>
      </c>
      <c r="L141" s="227">
        <f t="shared" si="12"/>
        <v>0</v>
      </c>
      <c r="M141" s="216" t="s">
        <v>17</v>
      </c>
      <c r="N141" s="204"/>
      <c r="O141" s="171"/>
    </row>
    <row r="142" spans="1:15" ht="12.75" customHeight="1" x14ac:dyDescent="0.25">
      <c r="A142" s="204"/>
      <c r="B142" s="204" t="s">
        <v>524</v>
      </c>
      <c r="C142" s="204"/>
      <c r="D142" s="204"/>
      <c r="E142" s="204"/>
      <c r="F142" s="204"/>
      <c r="G142" s="204" t="s">
        <v>542</v>
      </c>
      <c r="H142" s="204" t="s">
        <v>17</v>
      </c>
      <c r="I142" s="199"/>
      <c r="J142" s="264">
        <f t="shared" si="11"/>
        <v>0.25</v>
      </c>
      <c r="K142" s="236">
        <v>0.25</v>
      </c>
      <c r="L142" s="227">
        <f t="shared" si="12"/>
        <v>0.25</v>
      </c>
      <c r="M142" s="216" t="s">
        <v>17</v>
      </c>
      <c r="N142" s="204"/>
      <c r="O142" s="171"/>
    </row>
    <row r="143" spans="1:15" ht="12.75" customHeight="1" x14ac:dyDescent="0.25">
      <c r="A143" s="204"/>
      <c r="B143" s="204" t="s">
        <v>522</v>
      </c>
      <c r="C143" s="204"/>
      <c r="D143" s="204"/>
      <c r="E143" s="204"/>
      <c r="F143" s="204"/>
      <c r="G143" s="204" t="s">
        <v>543</v>
      </c>
      <c r="H143" s="204" t="s">
        <v>17</v>
      </c>
      <c r="I143" s="199"/>
      <c r="J143" s="264">
        <f t="shared" si="11"/>
        <v>0.25</v>
      </c>
      <c r="K143" s="236">
        <v>0.25</v>
      </c>
      <c r="L143" s="227">
        <f t="shared" si="12"/>
        <v>0.25</v>
      </c>
      <c r="M143" s="216" t="s">
        <v>17</v>
      </c>
      <c r="N143" s="204"/>
      <c r="O143" s="171"/>
    </row>
    <row r="144" spans="1:15" ht="12.75" customHeight="1" x14ac:dyDescent="0.25">
      <c r="A144" s="204"/>
      <c r="B144" s="204" t="s">
        <v>526</v>
      </c>
      <c r="C144" s="204"/>
      <c r="D144" s="204"/>
      <c r="E144" s="204"/>
      <c r="F144" s="204"/>
      <c r="G144" s="204" t="s">
        <v>544</v>
      </c>
      <c r="H144" s="204" t="s">
        <v>515</v>
      </c>
      <c r="I144" s="199"/>
      <c r="J144" s="264">
        <f t="shared" si="11"/>
        <v>0.03</v>
      </c>
      <c r="K144" s="236">
        <v>0.03</v>
      </c>
      <c r="L144" s="227">
        <f>IF(ISBLANK(I144),IF(ISNUMBER(J144)=FALSE,K144/1000/(3600*24*365),J144/1000/(3600*24*365)),I144/1000/(3600*24*365))</f>
        <v>9.5129375951293754E-13</v>
      </c>
      <c r="M144" s="216" t="s">
        <v>512</v>
      </c>
      <c r="N144" s="204"/>
      <c r="O144" s="171"/>
    </row>
    <row r="145" spans="1:15" ht="12.75" customHeight="1" x14ac:dyDescent="0.25">
      <c r="A145" s="204"/>
      <c r="B145" s="204"/>
      <c r="C145" s="204"/>
      <c r="D145" s="204"/>
      <c r="E145" s="204"/>
      <c r="F145" s="204"/>
      <c r="G145" s="204"/>
      <c r="H145" s="204"/>
      <c r="I145" s="231"/>
      <c r="J145" s="207"/>
      <c r="K145" s="207"/>
      <c r="L145" s="208"/>
      <c r="M145" s="204"/>
      <c r="N145" s="204"/>
      <c r="O145" s="171"/>
    </row>
    <row r="146" spans="1:15" ht="12.75" customHeight="1" x14ac:dyDescent="0.25">
      <c r="A146" s="204" t="s">
        <v>545</v>
      </c>
      <c r="B146" s="204"/>
      <c r="C146" s="204"/>
      <c r="D146" s="204"/>
      <c r="E146" s="204"/>
      <c r="F146" s="204"/>
      <c r="G146" s="204"/>
      <c r="H146" s="204"/>
      <c r="I146" s="199"/>
      <c r="J146" s="269" t="str">
        <f t="shared" ref="J146:J157" si="13">IF(HLOOKUP(CaseName,CaseData,ROW()-2,FALSE)="","",HLOOKUP(CaseName,CaseData,ROW()-2,FALSE))</f>
        <v/>
      </c>
      <c r="K146" s="236"/>
      <c r="L146" s="227"/>
      <c r="M146" s="216"/>
      <c r="N146" s="204"/>
      <c r="O146" s="171"/>
    </row>
    <row r="147" spans="1:15" ht="12.75" customHeight="1" x14ac:dyDescent="0.25">
      <c r="A147" s="204"/>
      <c r="B147" s="204" t="s">
        <v>546</v>
      </c>
      <c r="C147" s="204"/>
      <c r="D147" s="204"/>
      <c r="E147" s="204"/>
      <c r="F147" s="204"/>
      <c r="G147" s="205" t="s">
        <v>547</v>
      </c>
      <c r="H147" s="205" t="s">
        <v>337</v>
      </c>
      <c r="I147" s="202"/>
      <c r="J147" s="269" t="str">
        <f t="shared" si="13"/>
        <v/>
      </c>
      <c r="K147" s="242">
        <v>3</v>
      </c>
      <c r="L147" s="270">
        <f t="shared" ref="L147:L158" si="14">IF(ISBLANK(I147), IF(ISNUMBER(J147)=FALSE, K147, J147), I147)</f>
        <v>3</v>
      </c>
      <c r="M147" s="245" t="s">
        <v>17</v>
      </c>
      <c r="N147" s="204" t="s">
        <v>548</v>
      </c>
      <c r="O147" s="171"/>
    </row>
    <row r="148" spans="1:15" ht="12.75" customHeight="1" x14ac:dyDescent="0.25">
      <c r="A148" s="204"/>
      <c r="B148" s="204" t="s">
        <v>549</v>
      </c>
      <c r="C148" s="204"/>
      <c r="D148" s="204"/>
      <c r="E148" s="204"/>
      <c r="F148" s="204"/>
      <c r="G148" s="205" t="s">
        <v>550</v>
      </c>
      <c r="H148" s="205" t="s">
        <v>337</v>
      </c>
      <c r="I148" s="202">
        <v>7.5</v>
      </c>
      <c r="J148" s="269" t="str">
        <f t="shared" si="13"/>
        <v/>
      </c>
      <c r="K148" s="242">
        <v>7</v>
      </c>
      <c r="L148" s="270">
        <f t="shared" si="14"/>
        <v>7.5</v>
      </c>
      <c r="M148" s="245" t="s">
        <v>17</v>
      </c>
      <c r="N148" s="204"/>
      <c r="O148" s="171"/>
    </row>
    <row r="149" spans="1:15" ht="12.75" customHeight="1" x14ac:dyDescent="0.25">
      <c r="A149" s="204"/>
      <c r="B149" s="204" t="s">
        <v>551</v>
      </c>
      <c r="C149" s="204"/>
      <c r="D149" s="204"/>
      <c r="E149" s="204"/>
      <c r="F149" s="204"/>
      <c r="G149" s="205" t="s">
        <v>552</v>
      </c>
      <c r="H149" s="205" t="s">
        <v>337</v>
      </c>
      <c r="I149" s="202" t="str">
        <f t="shared" ref="I149:J158" si="15">IF(HLOOKUP(CaseName,CaseData,ROW()-2,FALSE)="","",HLOOKUP(CaseName,CaseData,ROW()-2,FALSE))</f>
        <v/>
      </c>
      <c r="J149" s="269" t="str">
        <f t="shared" si="13"/>
        <v/>
      </c>
      <c r="K149" s="242">
        <v>8</v>
      </c>
      <c r="L149" s="270" t="str">
        <f t="shared" si="14"/>
        <v/>
      </c>
      <c r="M149" s="245" t="s">
        <v>17</v>
      </c>
      <c r="N149" s="204"/>
      <c r="O149" s="171"/>
    </row>
    <row r="150" spans="1:15" ht="12.75" customHeight="1" x14ac:dyDescent="0.25">
      <c r="A150" s="204"/>
      <c r="B150" s="204" t="s">
        <v>553</v>
      </c>
      <c r="C150" s="204"/>
      <c r="D150" s="204"/>
      <c r="E150" s="204"/>
      <c r="F150" s="204"/>
      <c r="G150" s="205" t="s">
        <v>554</v>
      </c>
      <c r="H150" s="205" t="s">
        <v>337</v>
      </c>
      <c r="I150" s="202" t="str">
        <f t="shared" si="15"/>
        <v/>
      </c>
      <c r="J150" s="269" t="str">
        <f t="shared" si="13"/>
        <v/>
      </c>
      <c r="K150" s="242">
        <v>5</v>
      </c>
      <c r="L150" s="270" t="str">
        <f t="shared" si="14"/>
        <v/>
      </c>
      <c r="M150" s="245" t="s">
        <v>17</v>
      </c>
      <c r="N150" s="204"/>
      <c r="O150" s="171"/>
    </row>
    <row r="151" spans="1:15" ht="12.75" customHeight="1" x14ac:dyDescent="0.25">
      <c r="A151" s="204"/>
      <c r="B151" s="204" t="s">
        <v>555</v>
      </c>
      <c r="C151" s="204"/>
      <c r="D151" s="204"/>
      <c r="E151" s="204"/>
      <c r="F151" s="204"/>
      <c r="G151" s="205" t="s">
        <v>556</v>
      </c>
      <c r="H151" s="205" t="s">
        <v>337</v>
      </c>
      <c r="I151" s="202">
        <v>6.8</v>
      </c>
      <c r="J151" s="269" t="str">
        <f t="shared" si="13"/>
        <v/>
      </c>
      <c r="K151" s="242">
        <v>7</v>
      </c>
      <c r="L151" s="270">
        <f t="shared" si="14"/>
        <v>6.8</v>
      </c>
      <c r="M151" s="245" t="s">
        <v>17</v>
      </c>
      <c r="N151" s="204"/>
      <c r="O151" s="171"/>
    </row>
    <row r="152" spans="1:15" ht="12.75" customHeight="1" x14ac:dyDescent="0.25">
      <c r="A152" s="204"/>
      <c r="B152" s="204" t="s">
        <v>557</v>
      </c>
      <c r="C152" s="204"/>
      <c r="D152" s="204"/>
      <c r="E152" s="204"/>
      <c r="F152" s="204"/>
      <c r="G152" s="205" t="s">
        <v>558</v>
      </c>
      <c r="H152" s="205" t="s">
        <v>337</v>
      </c>
      <c r="I152" s="202">
        <v>6.3</v>
      </c>
      <c r="J152" s="269" t="str">
        <f t="shared" si="13"/>
        <v/>
      </c>
      <c r="K152" s="242">
        <v>7</v>
      </c>
      <c r="L152" s="270">
        <f t="shared" si="14"/>
        <v>6.3</v>
      </c>
      <c r="M152" s="245" t="s">
        <v>17</v>
      </c>
      <c r="N152" s="204"/>
      <c r="O152" s="171"/>
    </row>
    <row r="153" spans="1:15" ht="12.75" customHeight="1" x14ac:dyDescent="0.25">
      <c r="A153" s="204"/>
      <c r="B153" s="204" t="s">
        <v>559</v>
      </c>
      <c r="C153" s="204"/>
      <c r="D153" s="204"/>
      <c r="E153" s="204"/>
      <c r="F153" s="204"/>
      <c r="G153" s="205" t="s">
        <v>560</v>
      </c>
      <c r="H153" s="266" t="s">
        <v>561</v>
      </c>
      <c r="I153" s="199"/>
      <c r="J153" s="269" t="str">
        <f t="shared" si="13"/>
        <v/>
      </c>
      <c r="K153" s="236">
        <f>0.0000257*SQRT(18)/SQRT(Molweight*1000)</f>
        <v>1.2345880658372217E-5</v>
      </c>
      <c r="L153" s="271">
        <f t="shared" si="14"/>
        <v>1.2345880658372217E-5</v>
      </c>
      <c r="M153" s="216" t="s">
        <v>562</v>
      </c>
      <c r="N153" s="204"/>
      <c r="O153" s="171"/>
    </row>
    <row r="154" spans="1:15" ht="12.75" customHeight="1" x14ac:dyDescent="0.25">
      <c r="A154" s="204"/>
      <c r="B154" s="204" t="s">
        <v>563</v>
      </c>
      <c r="C154" s="204"/>
      <c r="D154" s="204"/>
      <c r="E154" s="204"/>
      <c r="F154" s="204"/>
      <c r="G154" s="205" t="s">
        <v>564</v>
      </c>
      <c r="H154" s="266" t="s">
        <v>561</v>
      </c>
      <c r="I154" s="199"/>
      <c r="J154" s="269" t="str">
        <f t="shared" si="13"/>
        <v/>
      </c>
      <c r="K154" s="236">
        <f>0.000000002*SQRT(32)/SQRT(Molweight*1000)</f>
        <v>1.2810252304406971E-9</v>
      </c>
      <c r="L154" s="271">
        <f t="shared" si="14"/>
        <v>1.2810252304406971E-9</v>
      </c>
      <c r="M154" s="216" t="s">
        <v>562</v>
      </c>
      <c r="N154" s="204"/>
      <c r="O154" s="171"/>
    </row>
    <row r="155" spans="1:15" ht="12.75" customHeight="1" x14ac:dyDescent="0.25">
      <c r="A155" s="204"/>
      <c r="B155" s="204" t="s">
        <v>565</v>
      </c>
      <c r="C155" s="204"/>
      <c r="D155" s="204"/>
      <c r="E155" s="204"/>
      <c r="F155" s="204"/>
      <c r="G155" s="204" t="s">
        <v>566</v>
      </c>
      <c r="H155" s="204" t="s">
        <v>337</v>
      </c>
      <c r="I155" s="202"/>
      <c r="J155" s="269" t="str">
        <f t="shared" si="13"/>
        <v/>
      </c>
      <c r="K155" s="242">
        <v>0.1</v>
      </c>
      <c r="L155" s="270">
        <f t="shared" si="14"/>
        <v>0.1</v>
      </c>
      <c r="M155" s="216" t="s">
        <v>17</v>
      </c>
      <c r="N155" s="204"/>
      <c r="O155" s="171"/>
    </row>
    <row r="156" spans="1:15" ht="12.75" customHeight="1" x14ac:dyDescent="0.25">
      <c r="A156" s="216"/>
      <c r="B156" s="216" t="s">
        <v>567</v>
      </c>
      <c r="C156" s="204"/>
      <c r="D156" s="204"/>
      <c r="E156" s="238"/>
      <c r="F156" s="238"/>
      <c r="G156" s="238" t="s">
        <v>568</v>
      </c>
      <c r="H156" s="216" t="s">
        <v>337</v>
      </c>
      <c r="I156" s="200"/>
      <c r="J156" s="269" t="str">
        <f t="shared" si="13"/>
        <v/>
      </c>
      <c r="K156" s="236">
        <v>0.02</v>
      </c>
      <c r="L156" s="271">
        <f t="shared" si="14"/>
        <v>0.02</v>
      </c>
      <c r="M156" s="216" t="s">
        <v>17</v>
      </c>
      <c r="N156" s="204"/>
      <c r="O156" s="171"/>
    </row>
    <row r="157" spans="1:15" ht="12.75" customHeight="1" x14ac:dyDescent="0.25">
      <c r="A157" s="204"/>
      <c r="B157" s="204" t="s">
        <v>569</v>
      </c>
      <c r="C157" s="204"/>
      <c r="D157" s="204"/>
      <c r="E157" s="204"/>
      <c r="F157" s="204"/>
      <c r="G157" s="204" t="s">
        <v>570</v>
      </c>
      <c r="H157" s="216" t="s">
        <v>571</v>
      </c>
      <c r="I157" s="202"/>
      <c r="J157" s="269" t="str">
        <f t="shared" si="13"/>
        <v/>
      </c>
      <c r="K157" s="242">
        <v>2000</v>
      </c>
      <c r="L157" s="270">
        <f t="shared" si="14"/>
        <v>2000</v>
      </c>
      <c r="M157" s="216" t="s">
        <v>572</v>
      </c>
      <c r="N157" s="204"/>
      <c r="O157" s="171"/>
    </row>
    <row r="158" spans="1:15" ht="12.75" customHeight="1" x14ac:dyDescent="0.25">
      <c r="A158" s="216"/>
      <c r="B158" s="216" t="s">
        <v>573</v>
      </c>
      <c r="C158" s="239"/>
      <c r="D158" s="239"/>
      <c r="E158" s="204"/>
      <c r="F158" s="204"/>
      <c r="G158" s="238" t="s">
        <v>574</v>
      </c>
      <c r="H158" s="216" t="s">
        <v>571</v>
      </c>
      <c r="I158" s="200"/>
      <c r="J158" s="269" t="str">
        <f t="shared" si="15"/>
        <v/>
      </c>
      <c r="K158" s="236">
        <v>2500</v>
      </c>
      <c r="L158" s="271">
        <f t="shared" si="14"/>
        <v>2500</v>
      </c>
      <c r="M158" s="216" t="s">
        <v>572</v>
      </c>
      <c r="N158" s="204"/>
      <c r="O158" s="171"/>
    </row>
    <row r="159" spans="1:15" ht="12.75" customHeight="1" x14ac:dyDescent="0.25">
      <c r="A159" s="272"/>
      <c r="B159" s="273"/>
      <c r="C159" s="273"/>
      <c r="D159" s="273"/>
      <c r="E159" s="273"/>
      <c r="F159" s="273"/>
      <c r="G159" s="272"/>
      <c r="H159" s="274"/>
      <c r="I159" s="275"/>
      <c r="J159" s="276"/>
      <c r="K159" s="276"/>
      <c r="L159" s="277"/>
      <c r="M159" s="278"/>
      <c r="N159" s="273"/>
      <c r="O159" s="171"/>
    </row>
    <row r="160" spans="1:15" ht="12.75" customHeight="1" x14ac:dyDescent="0.25">
      <c r="I160" s="172"/>
      <c r="J160" s="165"/>
      <c r="O160" s="171"/>
    </row>
    <row r="162" spans="6:6" ht="12.75" customHeight="1" x14ac:dyDescent="0.25"/>
    <row r="163" spans="6:6" ht="12.75" customHeight="1" x14ac:dyDescent="0.25">
      <c r="F163" s="174"/>
    </row>
    <row r="168" spans="6:6" ht="12.75" customHeight="1" x14ac:dyDescent="0.25"/>
    <row r="169" spans="6:6" ht="12.75" customHeight="1" x14ac:dyDescent="0.25"/>
    <row r="170" spans="6:6" ht="12.75" customHeight="1" x14ac:dyDescent="0.25"/>
  </sheetData>
  <conditionalFormatting sqref="I160:I1048576">
    <cfRule type="cellIs" dxfId="10" priority="8" operator="equal">
      <formula>0</formula>
    </cfRule>
  </conditionalFormatting>
  <conditionalFormatting sqref="J160:J1048576">
    <cfRule type="expression" dxfId="9" priority="7">
      <formula>HLOOKUP(CaseName,CaseData,ROW()-2,FALSE)&lt;&gt;""</formula>
    </cfRule>
  </conditionalFormatting>
  <conditionalFormatting sqref="I1:I6 I8 I10:I15 I17:I39 I104:I145 I159 I41:I102">
    <cfRule type="cellIs" dxfId="2" priority="3" operator="equal">
      <formula>0</formula>
    </cfRule>
  </conditionalFormatting>
  <conditionalFormatting sqref="I146">
    <cfRule type="cellIs" dxfId="1" priority="2" operator="equal">
      <formula>0</formula>
    </cfRule>
  </conditionalFormatting>
  <conditionalFormatting sqref="I147:I158">
    <cfRule type="cellIs" dxfId="0" priority="1" operator="equal">
      <formula>0</formula>
    </cfRule>
  </conditionalFormatting>
  <dataValidations count="4">
    <dataValidation type="list" allowBlank="1" showInputMessage="1" showErrorMessage="1" sqref="I14" xr:uid="{4B8E66A1-9B69-478B-9C53-EB178D8C918E}">
      <formula1>$C$41:$C$64</formula1>
    </dataValidation>
    <dataValidation type="list" allowBlank="1" showInputMessage="1" showErrorMessage="1" sqref="I10" xr:uid="{221643F0-D6C5-47E1-B130-29797C42724C}">
      <formula1>CaseNames</formula1>
    </dataValidation>
    <dataValidation type="list" allowBlank="1" showInputMessage="1" showErrorMessage="1" sqref="I8" xr:uid="{F02F03B0-DE45-4335-8C6A-1C82A43811C4}">
      <formula1>ScenarioNames</formula1>
    </dataValidation>
    <dataValidation type="list" allowBlank="1" showInputMessage="1" showErrorMessage="1" sqref="I5" xr:uid="{CCF18861-5F17-408A-AB98-CF709D438A07}">
      <formula1>ChemNames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28</vt:i4>
      </vt:variant>
    </vt:vector>
  </HeadingPairs>
  <TitlesOfParts>
    <vt:vector size="33" baseType="lpstr">
      <vt:lpstr>MAMI_24D</vt:lpstr>
      <vt:lpstr>Simplebox_24D</vt:lpstr>
      <vt:lpstr>EQC_Benzene</vt:lpstr>
      <vt:lpstr>MAMI_Benzene</vt:lpstr>
      <vt:lpstr>Simplebox_Benzene</vt:lpstr>
      <vt:lpstr>_Sol25</vt:lpstr>
      <vt:lpstr>Biodeg</vt:lpstr>
      <vt:lpstr>C.OHrad</vt:lpstr>
      <vt:lpstr>ChemClass</vt:lpstr>
      <vt:lpstr>ChemName</vt:lpstr>
      <vt:lpstr>ChemRowNr</vt:lpstr>
      <vt:lpstr>CORG</vt:lpstr>
      <vt:lpstr>Ea.OHrad</vt:lpstr>
      <vt:lpstr>k0.OHrad</vt:lpstr>
      <vt:lpstr>Kow</vt:lpstr>
      <vt:lpstr>Kow.alt</vt:lpstr>
      <vt:lpstr>Ksw</vt:lpstr>
      <vt:lpstr>MatI</vt:lpstr>
      <vt:lpstr>Molweight</vt:lpstr>
      <vt:lpstr>MT</vt:lpstr>
      <vt:lpstr>pH.aerw</vt:lpstr>
      <vt:lpstr>pH.s1</vt:lpstr>
      <vt:lpstr>pH.s2</vt:lpstr>
      <vt:lpstr>pH.s3</vt:lpstr>
      <vt:lpstr>pH.w1</vt:lpstr>
      <vt:lpstr>pH.w2</vt:lpstr>
      <vt:lpstr>pKa</vt:lpstr>
      <vt:lpstr>Pvap25</vt:lpstr>
      <vt:lpstr>Q.10</vt:lpstr>
      <vt:lpstr>QSARtable</vt:lpstr>
      <vt:lpstr>RHOsolid</vt:lpstr>
      <vt:lpstr>ScenarioName</vt:lpstr>
      <vt:lpstr>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Zhitong Zheng</dc:creator>
  <cp:lastModifiedBy>Zhitong Zheng</cp:lastModifiedBy>
  <dcterms:created xsi:type="dcterms:W3CDTF">2015-06-05T18:17:20Z</dcterms:created>
  <dcterms:modified xsi:type="dcterms:W3CDTF">2020-04-12T21:09:11Z</dcterms:modified>
</cp:coreProperties>
</file>