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jansen/src/Jansen_Excel_HW/"/>
    </mc:Choice>
  </mc:AlternateContent>
  <xr:revisionPtr revIDLastSave="0" documentId="13_ncr:1_{D69623C0-B42C-CB46-AD6A-0C882CA946EA}" xr6:coauthVersionLast="45" xr6:coauthVersionMax="45" xr10:uidLastSave="{00000000-0000-0000-0000-000000000000}"/>
  <bookViews>
    <workbookView xWindow="0" yWindow="460" windowWidth="33600" windowHeight="20540" xr2:uid="{00000000-000D-0000-FFFF-FFFF00000000}"/>
  </bookViews>
  <sheets>
    <sheet name="Sheet1" sheetId="6" r:id="rId1"/>
    <sheet name="Kickstarter Table" sheetId="1" r:id="rId2"/>
    <sheet name="Category Stats" sheetId="3" r:id="rId3"/>
    <sheet name="Sub-Category Stats" sheetId="4" r:id="rId4"/>
    <sheet name="Goal Outcomes" sheetId="5" r:id="rId5"/>
  </sheets>
  <calcPr calcId="191029"/>
  <pivotCaches>
    <pivotCache cacheId="1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1" i="5"/>
  <c r="B10" i="5"/>
  <c r="B9" i="5"/>
  <c r="B8" i="5"/>
  <c r="B7" i="5"/>
  <c r="B6" i="5"/>
  <c r="B5" i="5"/>
  <c r="B4" i="5"/>
  <c r="B3" i="5"/>
  <c r="B2" i="5"/>
  <c r="B12" i="5"/>
  <c r="B13" i="5"/>
  <c r="E2" i="5" l="1"/>
  <c r="H2" i="5" s="1"/>
  <c r="E13" i="5"/>
  <c r="E12" i="5"/>
  <c r="E11" i="5"/>
  <c r="E10" i="5"/>
  <c r="E9" i="5"/>
  <c r="E8" i="5"/>
  <c r="E7" i="5"/>
  <c r="E6" i="5"/>
  <c r="E5" i="5"/>
  <c r="E4" i="5"/>
  <c r="E3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R2" i="1"/>
  <c r="Q2" i="1"/>
  <c r="P2" i="1"/>
  <c r="O2" i="1"/>
  <c r="F2" i="5" l="1"/>
  <c r="G2" i="5"/>
  <c r="H11" i="5"/>
  <c r="G11" i="5"/>
  <c r="F11" i="5"/>
  <c r="G10" i="5"/>
  <c r="H10" i="5"/>
  <c r="F10" i="5"/>
  <c r="G9" i="5"/>
  <c r="H9" i="5"/>
  <c r="F9" i="5"/>
  <c r="G8" i="5"/>
  <c r="H8" i="5"/>
  <c r="F8" i="5"/>
  <c r="G7" i="5"/>
  <c r="H7" i="5"/>
  <c r="F7" i="5"/>
  <c r="G6" i="5"/>
  <c r="H6" i="5"/>
  <c r="F6" i="5"/>
  <c r="H5" i="5"/>
  <c r="G5" i="5"/>
  <c r="F5" i="5"/>
  <c r="G4" i="5"/>
  <c r="H4" i="5"/>
  <c r="F4" i="5"/>
  <c r="G3" i="5"/>
  <c r="H3" i="5"/>
  <c r="F3" i="5"/>
  <c r="H12" i="5"/>
  <c r="G12" i="5"/>
  <c r="F12" i="5"/>
  <c r="G13" i="5"/>
  <c r="H13" i="5"/>
  <c r="F13" i="5"/>
</calcChain>
</file>

<file path=xl/sharedStrings.xml><?xml version="1.0" encoding="utf-8"?>
<sst xmlns="http://schemas.openxmlformats.org/spreadsheetml/2006/main" count="24823" uniqueCount="8396">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</sst>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[StarterBook.xlsx]Sheet1!PivotTable1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Sheet1!$B$6:$B$15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30-BA45-B95E-DE0711A8C59C}"/>
            </c:ext>
          </c:extLst>
        </c:ser>
        <c:ser>
          <c:idx val="1"/>
          <c:order val="1"/>
          <c:tx>
            <c:strRef>
              <c:f>Sheet1!$C$4:$C$5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Sheet1!$C$6:$C$15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30-BA45-B95E-DE0711A8C59C}"/>
            </c:ext>
          </c:extLst>
        </c:ser>
        <c:ser>
          <c:idx val="2"/>
          <c:order val="2"/>
          <c:tx>
            <c:strRef>
              <c:f>Sheet1!$D$4:$D$5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Sheet1!$D$6:$D$15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30-BA45-B95E-DE0711A8C59C}"/>
            </c:ext>
          </c:extLst>
        </c:ser>
        <c:ser>
          <c:idx val="3"/>
          <c:order val="3"/>
          <c:tx>
            <c:strRef>
              <c:f>Sheet1!$E$4:$E$5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Sheet1!$E$6:$E$15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30-BA45-B95E-DE0711A8C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3042432"/>
        <c:axId val="503044064"/>
      </c:lineChart>
      <c:catAx>
        <c:axId val="50304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044064"/>
        <c:crosses val="autoZero"/>
        <c:auto val="1"/>
        <c:lblAlgn val="ctr"/>
        <c:lblOffset val="100"/>
        <c:noMultiLvlLbl val="0"/>
      </c:catAx>
      <c:valAx>
        <c:axId val="50304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04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journalism</c:v>
                </c:pt>
                <c:pt idx="5">
                  <c:v>food</c:v>
                </c:pt>
                <c:pt idx="6">
                  <c:v>music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209</c:v>
                </c:pt>
                <c:pt idx="1">
                  <c:v>300</c:v>
                </c:pt>
                <c:pt idx="2">
                  <c:v>839</c:v>
                </c:pt>
                <c:pt idx="3">
                  <c:v>80</c:v>
                </c:pt>
                <c:pt idx="5">
                  <c:v>34</c:v>
                </c:pt>
                <c:pt idx="6">
                  <c:v>540</c:v>
                </c:pt>
                <c:pt idx="7">
                  <c:v>80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EC-BB4A-8B42-23C6C1BA9155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journalism</c:v>
                </c:pt>
                <c:pt idx="5">
                  <c:v>food</c:v>
                </c:pt>
                <c:pt idx="6">
                  <c:v>music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2">
                  <c:v>24</c:v>
                </c:pt>
                <c:pt idx="5">
                  <c:v>6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EC-BB4A-8B42-23C6C1BA9155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journalism</c:v>
                </c:pt>
                <c:pt idx="5">
                  <c:v>food</c:v>
                </c:pt>
                <c:pt idx="6">
                  <c:v>music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213</c:v>
                </c:pt>
                <c:pt idx="1">
                  <c:v>180</c:v>
                </c:pt>
                <c:pt idx="2">
                  <c:v>493</c:v>
                </c:pt>
                <c:pt idx="3">
                  <c:v>127</c:v>
                </c:pt>
                <c:pt idx="5">
                  <c:v>140</c:v>
                </c:pt>
                <c:pt idx="6">
                  <c:v>120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EC-BB4A-8B42-23C6C1BA9155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journalism</c:v>
                </c:pt>
                <c:pt idx="5">
                  <c:v>food</c:v>
                </c:pt>
                <c:pt idx="6">
                  <c:v>music</c:v>
                </c:pt>
                <c:pt idx="7">
                  <c:v>games</c:v>
                </c:pt>
                <c:pt idx="8">
                  <c:v>photography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178</c:v>
                </c:pt>
                <c:pt idx="1">
                  <c:v>40</c:v>
                </c:pt>
                <c:pt idx="2">
                  <c:v>37</c:v>
                </c:pt>
                <c:pt idx="3">
                  <c:v>30</c:v>
                </c:pt>
                <c:pt idx="4">
                  <c:v>24</c:v>
                </c:pt>
                <c:pt idx="5">
                  <c:v>20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EC-BB4A-8B42-23C6C1BA9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2639056"/>
        <c:axId val="1722640688"/>
      </c:barChart>
      <c:catAx>
        <c:axId val="172263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640688"/>
        <c:crosses val="autoZero"/>
        <c:auto val="1"/>
        <c:lblAlgn val="ctr"/>
        <c:lblOffset val="100"/>
        <c:noMultiLvlLbl val="0"/>
      </c:catAx>
      <c:valAx>
        <c:axId val="172264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63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'Sub-Category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'Sub-Category Stats'!$B$6:$B$56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2E-124C-9660-B8DF6C75E358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'Sub-Category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'Sub-Category Stats'!$C$6:$C$56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C70-B34A-BFF7-8E64CCBCD16A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'Sub-Category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'Sub-Category Stats'!$D$6:$D$56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C70-B34A-BFF7-8E64CCBCD16A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'Sub-Category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'Sub-Category Stats'!$E$6:$E$56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C70-B34A-BFF7-8E64CCBCD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0549248"/>
        <c:axId val="1917093600"/>
      </c:barChart>
      <c:catAx>
        <c:axId val="190054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093600"/>
        <c:crosses val="autoZero"/>
        <c:auto val="1"/>
        <c:lblAlgn val="ctr"/>
        <c:lblOffset val="100"/>
        <c:noMultiLvlLbl val="0"/>
      </c:catAx>
      <c:valAx>
        <c:axId val="191709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54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Outcomes'!$F$2:$F$13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72-0646-822D-9BD06BEAB440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Outcomes'!$G$2:$G$13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72-0646-822D-9BD06BEAB440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Outcomes'!$H$2:$H$13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72-0646-822D-9BD06BEAB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1896128"/>
        <c:axId val="497650288"/>
      </c:lineChart>
      <c:catAx>
        <c:axId val="46189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650288"/>
        <c:crosses val="autoZero"/>
        <c:auto val="1"/>
        <c:lblAlgn val="ctr"/>
        <c:lblOffset val="100"/>
        <c:noMultiLvlLbl val="0"/>
      </c:catAx>
      <c:valAx>
        <c:axId val="49765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89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5</xdr:row>
      <xdr:rowOff>165100</xdr:rowOff>
    </xdr:from>
    <xdr:to>
      <xdr:col>19</xdr:col>
      <xdr:colOff>444500</xdr:colOff>
      <xdr:row>26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DFB9EE-2EA7-2040-BEB0-8C88F7965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177800</xdr:rowOff>
    </xdr:from>
    <xdr:to>
      <xdr:col>17</xdr:col>
      <xdr:colOff>520700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FE17AD-FE9B-904E-81B4-99DD94430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20</xdr:col>
      <xdr:colOff>431800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B9BD78-FFA8-1B4B-8AEB-5874DBA5C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2457450</xdr:colOff>
      <xdr:row>15</xdr:row>
      <xdr:rowOff>177800</xdr:rowOff>
    </xdr:from>
    <xdr:to>
      <xdr:col>7</xdr:col>
      <xdr:colOff>825500</xdr:colOff>
      <xdr:row>39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22E8E0-8F6E-1E48-B321-D1C0BE4E8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 jansen" refreshedDate="43779.82592314815" createdVersion="6" refreshedVersion="6" minRefreshableVersion="3" recordCount="4114" xr:uid="{876EDC85-5BD2-0541-ADF3-7CA4CFADD7C4}">
  <cacheSource type="worksheet">
    <worksheetSource ref="A1:T4115" sheet="Kickstarter Table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 u="1"/>
      </sharedItems>
      <fieldGroup base="18">
        <rangePr groupBy="years" startDate="2009-05-17T03:55:13" endDate="2017-03-15T15:30:07"/>
        <groupItems count="11">
          <s v="(blank)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00967-0790-4049-A083-9AD58D4B0D74}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</pivotFields>
  <rowFields count="1"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E1F27F-0F11-2346-953B-603BB1BB22E6}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</pivotFields>
  <rowFields count="1">
    <field x="16"/>
  </rowFields>
  <rowItems count="10">
    <i>
      <x v="7"/>
    </i>
    <i>
      <x/>
    </i>
    <i>
      <x v="8"/>
    </i>
    <i>
      <x v="6"/>
    </i>
    <i>
      <x v="3"/>
    </i>
    <i>
      <x v="1"/>
    </i>
    <i>
      <x v="4"/>
    </i>
    <i>
      <x v="2"/>
    </i>
    <i>
      <x v="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5580D1-0E30-724B-BE20-75244167B5F4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56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9C60A-3026-F946-8F7B-3C93C12F60A6}">
  <dimension ref="A2:F15"/>
  <sheetViews>
    <sheetView tabSelected="1" zoomScaleNormal="100" workbookViewId="0">
      <selection activeCell="F28" sqref="F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2" spans="1:6" x14ac:dyDescent="0.2">
      <c r="A2" s="6" t="s">
        <v>8308</v>
      </c>
      <c r="B2" t="s">
        <v>8325</v>
      </c>
    </row>
    <row r="4" spans="1:6" x14ac:dyDescent="0.2">
      <c r="A4" s="6" t="s">
        <v>8324</v>
      </c>
      <c r="B4" s="6" t="s">
        <v>8312</v>
      </c>
    </row>
    <row r="5" spans="1:6" x14ac:dyDescent="0.2">
      <c r="A5" s="6" t="s">
        <v>8314</v>
      </c>
      <c r="B5" t="s">
        <v>8219</v>
      </c>
      <c r="C5" t="s">
        <v>8222</v>
      </c>
      <c r="D5" t="s">
        <v>8221</v>
      </c>
      <c r="E5" t="s">
        <v>8220</v>
      </c>
      <c r="F5" t="s">
        <v>8313</v>
      </c>
    </row>
    <row r="6" spans="1:6" x14ac:dyDescent="0.2">
      <c r="A6" s="7" t="s">
        <v>8387</v>
      </c>
      <c r="B6" s="8">
        <v>9</v>
      </c>
      <c r="C6" s="8"/>
      <c r="D6" s="8">
        <v>4</v>
      </c>
      <c r="E6" s="8">
        <v>1</v>
      </c>
      <c r="F6" s="8">
        <v>14</v>
      </c>
    </row>
    <row r="7" spans="1:6" x14ac:dyDescent="0.2">
      <c r="A7" s="7" t="s">
        <v>8388</v>
      </c>
      <c r="B7" s="8">
        <v>49</v>
      </c>
      <c r="C7" s="8"/>
      <c r="D7" s="8">
        <v>15</v>
      </c>
      <c r="E7" s="8">
        <v>1</v>
      </c>
      <c r="F7" s="8">
        <v>65</v>
      </c>
    </row>
    <row r="8" spans="1:6" x14ac:dyDescent="0.2">
      <c r="A8" s="7" t="s">
        <v>8389</v>
      </c>
      <c r="B8" s="8">
        <v>136</v>
      </c>
      <c r="C8" s="8"/>
      <c r="D8" s="8">
        <v>28</v>
      </c>
      <c r="E8" s="8">
        <v>7</v>
      </c>
      <c r="F8" s="8">
        <v>171</v>
      </c>
    </row>
    <row r="9" spans="1:6" x14ac:dyDescent="0.2">
      <c r="A9" s="7" t="s">
        <v>8390</v>
      </c>
      <c r="B9" s="8">
        <v>216</v>
      </c>
      <c r="C9" s="8"/>
      <c r="D9" s="8">
        <v>60</v>
      </c>
      <c r="E9" s="8">
        <v>6</v>
      </c>
      <c r="F9" s="8">
        <v>282</v>
      </c>
    </row>
    <row r="10" spans="1:6" x14ac:dyDescent="0.2">
      <c r="A10" s="7" t="s">
        <v>8391</v>
      </c>
      <c r="B10" s="8">
        <v>200</v>
      </c>
      <c r="C10" s="8"/>
      <c r="D10" s="8">
        <v>67</v>
      </c>
      <c r="E10" s="8">
        <v>7</v>
      </c>
      <c r="F10" s="8">
        <v>274</v>
      </c>
    </row>
    <row r="11" spans="1:6" x14ac:dyDescent="0.2">
      <c r="A11" s="7" t="s">
        <v>8392</v>
      </c>
      <c r="B11" s="8">
        <v>474</v>
      </c>
      <c r="C11" s="8"/>
      <c r="D11" s="8">
        <v>422</v>
      </c>
      <c r="E11" s="8">
        <v>80</v>
      </c>
      <c r="F11" s="8">
        <v>976</v>
      </c>
    </row>
    <row r="12" spans="1:6" x14ac:dyDescent="0.2">
      <c r="A12" s="7" t="s">
        <v>8393</v>
      </c>
      <c r="B12" s="8">
        <v>567</v>
      </c>
      <c r="C12" s="8"/>
      <c r="D12" s="8">
        <v>527</v>
      </c>
      <c r="E12" s="8">
        <v>131</v>
      </c>
      <c r="F12" s="8">
        <v>1225</v>
      </c>
    </row>
    <row r="13" spans="1:6" x14ac:dyDescent="0.2">
      <c r="A13" s="7" t="s">
        <v>8394</v>
      </c>
      <c r="B13" s="8">
        <v>475</v>
      </c>
      <c r="C13" s="8"/>
      <c r="D13" s="8">
        <v>376</v>
      </c>
      <c r="E13" s="8">
        <v>99</v>
      </c>
      <c r="F13" s="8">
        <v>950</v>
      </c>
    </row>
    <row r="14" spans="1:6" x14ac:dyDescent="0.2">
      <c r="A14" s="7" t="s">
        <v>8395</v>
      </c>
      <c r="B14" s="8">
        <v>59</v>
      </c>
      <c r="C14" s="8">
        <v>50</v>
      </c>
      <c r="D14" s="8">
        <v>31</v>
      </c>
      <c r="E14" s="8">
        <v>17</v>
      </c>
      <c r="F14" s="8">
        <v>157</v>
      </c>
    </row>
    <row r="15" spans="1:6" x14ac:dyDescent="0.2">
      <c r="A15" s="7" t="s">
        <v>8313</v>
      </c>
      <c r="B15" s="8">
        <v>2185</v>
      </c>
      <c r="C15" s="8">
        <v>50</v>
      </c>
      <c r="D15" s="8">
        <v>1530</v>
      </c>
      <c r="E15" s="8">
        <v>349</v>
      </c>
      <c r="F15" s="8">
        <v>4114</v>
      </c>
    </row>
  </sheetData>
  <sortState columnSort="1" ref="A4:F15">
    <sortCondition descending="1" ref="B5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L1" zoomScale="80" zoomScaleNormal="80" workbookViewId="0">
      <selection activeCell="L3903" sqref="L390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1640625" customWidth="1"/>
    <col min="16" max="16" width="24.83203125" customWidth="1"/>
    <col min="17" max="17" width="16.33203125" customWidth="1"/>
    <col min="18" max="18" width="18.1640625" customWidth="1"/>
    <col min="19" max="19" width="30.83203125" style="10" customWidth="1"/>
    <col min="20" max="20" width="29" style="10" customWidth="1"/>
  </cols>
  <sheetData>
    <row r="1" spans="1:20" ht="17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9" t="s">
        <v>8310</v>
      </c>
      <c r="T1" s="9" t="s">
        <v>8311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E67/D67*100</f>
        <v>107.52857142857141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E131/D131*100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E195/D195*100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E259/D259*100</f>
        <v>106.72648571428572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E323/D323*100</f>
        <v>102.66285714285715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E387/D387*100</f>
        <v>105.982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E451/D451*100</f>
        <v>2.25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E515/D515*100</f>
        <v>13.923999999999999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E579/D579*100</f>
        <v>0.2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E643/D643*100</f>
        <v>119.16249999999999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E707/D707*100</f>
        <v>0.97699999999999987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E771/D771*100</f>
        <v>41.4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E835/D835*100</f>
        <v>101.66666666666666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E899/D899*100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E963/D963*100</f>
        <v>42.188421052631583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E1027/D1027*100</f>
        <v>109.92831428571431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E1091/D1091*100</f>
        <v>7.8266666666666662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E1155/D1155*100</f>
        <v>0.625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E1219/D1219*100</f>
        <v>102.60000000000001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E1283/D1283*100</f>
        <v>110.71428571428572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E1347/D1347*100</f>
        <v>125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E1411/D1411*100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E1475/D1475*100</f>
        <v>120.51600000000001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E1539/D1539*100</f>
        <v>179.9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E1603/D1603*100</f>
        <v>108.2492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E1667/D1667*100</f>
        <v>119.45714285714286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E1731/D1731*100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E1795/D1795*100</f>
        <v>1.3333333333333335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E1859/D1859*100</f>
        <v>100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E1923/D1923*100</f>
        <v>136.80000000000001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E1987/D1987*100</f>
        <v>3.1875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E2051/D2051*100</f>
        <v>120.19070000000001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E2115/D2115*100</f>
        <v>104.85714285714285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E2179/D2179*100</f>
        <v>100.12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E2243/D2243*100</f>
        <v>806.4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E2307/D2307*100</f>
        <v>101.22777777777779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E2371/D2371*100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E2435/D2435*100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E2499/D2499*100</f>
        <v>112.7715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E2563/D2563*100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E2627/D2627*100</f>
        <v>956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E2691/D2691*100</f>
        <v>2.8571428571428571E-3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E2755/D2755*100</f>
        <v>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E2819/D2819*100</f>
        <v>130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E2883/D2883*100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E2947/D2947*100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E3011/D3011*100</f>
        <v>119.756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E3075/D3075*100</f>
        <v>2.3035714285714284E-2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E3139/D3139*100</f>
        <v>3.3333333333333335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E3203/D3203*100</f>
        <v>1.25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E3267/D3267*100</f>
        <v>164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E3331/D3331*100</f>
        <v>116.8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E3395/D3395*100</f>
        <v>105.80000000000001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E3459/D3459*100</f>
        <v>140.19999999999999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E3523/D3523*100</f>
        <v>169.42857142857144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E3587/D3587*100</f>
        <v>119.11764705882352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E3651/D3651*100</f>
        <v>104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E3715/D3715*100</f>
        <v>101.49999999999999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E3779/D3779*100</f>
        <v>143.19999999999999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E3843/D3843*100</f>
        <v>8.7200000000000006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E3907/D3907*100</f>
        <v>11.533333333333333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E3971/D3971*100</f>
        <v>7.4690265486725664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E4035/D4035*100</f>
        <v>25.698702928870294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E4099/D4099*100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40EA8-77DB-7B41-9612-E583835E29A0}">
  <dimension ref="A1:F14"/>
  <sheetViews>
    <sheetView workbookViewId="0">
      <selection activeCell="B4" sqref="B4:E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6" t="s">
        <v>8223</v>
      </c>
      <c r="B1" t="s">
        <v>8325</v>
      </c>
    </row>
    <row r="3" spans="1:6" x14ac:dyDescent="0.2">
      <c r="A3" s="6" t="s">
        <v>8324</v>
      </c>
      <c r="B3" s="6" t="s">
        <v>8312</v>
      </c>
    </row>
    <row r="4" spans="1:6" x14ac:dyDescent="0.2">
      <c r="A4" s="6" t="s">
        <v>8314</v>
      </c>
      <c r="B4" t="s">
        <v>8219</v>
      </c>
      <c r="C4" t="s">
        <v>8222</v>
      </c>
      <c r="D4" t="s">
        <v>8221</v>
      </c>
      <c r="E4" t="s">
        <v>8220</v>
      </c>
      <c r="F4" t="s">
        <v>8313</v>
      </c>
    </row>
    <row r="5" spans="1:6" x14ac:dyDescent="0.2">
      <c r="A5" s="7" t="s">
        <v>8322</v>
      </c>
      <c r="B5" s="8">
        <v>209</v>
      </c>
      <c r="C5" s="8"/>
      <c r="D5" s="8">
        <v>213</v>
      </c>
      <c r="E5" s="8">
        <v>178</v>
      </c>
      <c r="F5" s="8">
        <v>600</v>
      </c>
    </row>
    <row r="6" spans="1:6" x14ac:dyDescent="0.2">
      <c r="A6" s="7" t="s">
        <v>8315</v>
      </c>
      <c r="B6" s="8">
        <v>300</v>
      </c>
      <c r="C6" s="8"/>
      <c r="D6" s="8">
        <v>180</v>
      </c>
      <c r="E6" s="8">
        <v>40</v>
      </c>
      <c r="F6" s="8">
        <v>520</v>
      </c>
    </row>
    <row r="7" spans="1:6" x14ac:dyDescent="0.2">
      <c r="A7" s="7" t="s">
        <v>8323</v>
      </c>
      <c r="B7" s="8">
        <v>839</v>
      </c>
      <c r="C7" s="8">
        <v>24</v>
      </c>
      <c r="D7" s="8">
        <v>493</v>
      </c>
      <c r="E7" s="8">
        <v>37</v>
      </c>
      <c r="F7" s="8">
        <v>1393</v>
      </c>
    </row>
    <row r="8" spans="1:6" x14ac:dyDescent="0.2">
      <c r="A8" s="7" t="s">
        <v>8321</v>
      </c>
      <c r="B8" s="8">
        <v>80</v>
      </c>
      <c r="C8" s="8"/>
      <c r="D8" s="8">
        <v>127</v>
      </c>
      <c r="E8" s="8">
        <v>30</v>
      </c>
      <c r="F8" s="8">
        <v>237</v>
      </c>
    </row>
    <row r="9" spans="1:6" x14ac:dyDescent="0.2">
      <c r="A9" s="7" t="s">
        <v>8318</v>
      </c>
      <c r="B9" s="8"/>
      <c r="C9" s="8"/>
      <c r="D9" s="8"/>
      <c r="E9" s="8">
        <v>24</v>
      </c>
      <c r="F9" s="8">
        <v>24</v>
      </c>
    </row>
    <row r="10" spans="1:6" x14ac:dyDescent="0.2">
      <c r="A10" s="7" t="s">
        <v>8316</v>
      </c>
      <c r="B10" s="8">
        <v>34</v>
      </c>
      <c r="C10" s="8">
        <v>6</v>
      </c>
      <c r="D10" s="8">
        <v>140</v>
      </c>
      <c r="E10" s="8">
        <v>20</v>
      </c>
      <c r="F10" s="8">
        <v>200</v>
      </c>
    </row>
    <row r="11" spans="1:6" x14ac:dyDescent="0.2">
      <c r="A11" s="7" t="s">
        <v>8319</v>
      </c>
      <c r="B11" s="8">
        <v>540</v>
      </c>
      <c r="C11" s="8">
        <v>20</v>
      </c>
      <c r="D11" s="8">
        <v>120</v>
      </c>
      <c r="E11" s="8">
        <v>20</v>
      </c>
      <c r="F11" s="8">
        <v>700</v>
      </c>
    </row>
    <row r="12" spans="1:6" x14ac:dyDescent="0.2">
      <c r="A12" s="7" t="s">
        <v>8317</v>
      </c>
      <c r="B12" s="8">
        <v>80</v>
      </c>
      <c r="C12" s="8"/>
      <c r="D12" s="8">
        <v>140</v>
      </c>
      <c r="E12" s="8"/>
      <c r="F12" s="8">
        <v>220</v>
      </c>
    </row>
    <row r="13" spans="1:6" x14ac:dyDescent="0.2">
      <c r="A13" s="7" t="s">
        <v>8320</v>
      </c>
      <c r="B13" s="8">
        <v>103</v>
      </c>
      <c r="C13" s="8"/>
      <c r="D13" s="8">
        <v>117</v>
      </c>
      <c r="E13" s="8"/>
      <c r="F13" s="8">
        <v>220</v>
      </c>
    </row>
    <row r="14" spans="1:6" x14ac:dyDescent="0.2">
      <c r="A14" s="7" t="s">
        <v>8313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sortState columnSort="1" ref="A3:F14">
    <sortCondition descending="1" ref="B4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556AD-BDED-E649-A43F-15D13BA197A7}">
  <dimension ref="A2:F56"/>
  <sheetViews>
    <sheetView topLeftCell="D1" workbookViewId="0">
      <selection activeCell="B5" sqref="B5:E5"/>
    </sheetView>
  </sheetViews>
  <sheetFormatPr baseColWidth="10" defaultRowHeight="15" x14ac:dyDescent="0.2"/>
  <cols>
    <col min="1" max="1" width="17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5.1640625" bestFit="1" customWidth="1"/>
    <col min="8" max="8" width="11.83203125" bestFit="1" customWidth="1"/>
    <col min="9" max="9" width="15.1640625" bestFit="1" customWidth="1"/>
    <col min="10" max="10" width="16" bestFit="1" customWidth="1"/>
    <col min="11" max="11" width="19.5" bestFit="1" customWidth="1"/>
  </cols>
  <sheetData>
    <row r="2" spans="1:6" x14ac:dyDescent="0.2">
      <c r="A2" s="6" t="s">
        <v>8223</v>
      </c>
      <c r="B2" t="s">
        <v>8325</v>
      </c>
    </row>
    <row r="4" spans="1:6" x14ac:dyDescent="0.2">
      <c r="A4" s="6" t="s">
        <v>8324</v>
      </c>
      <c r="B4" s="6" t="s">
        <v>8312</v>
      </c>
    </row>
    <row r="5" spans="1:6" x14ac:dyDescent="0.2">
      <c r="A5" s="6" t="s">
        <v>8314</v>
      </c>
      <c r="B5" t="s">
        <v>8219</v>
      </c>
      <c r="C5" t="s">
        <v>8222</v>
      </c>
      <c r="D5" t="s">
        <v>8221</v>
      </c>
      <c r="E5" t="s">
        <v>8220</v>
      </c>
      <c r="F5" t="s">
        <v>8313</v>
      </c>
    </row>
    <row r="6" spans="1:6" x14ac:dyDescent="0.2">
      <c r="A6" s="7" t="s">
        <v>8315</v>
      </c>
      <c r="B6" s="8">
        <v>300</v>
      </c>
      <c r="C6" s="8"/>
      <c r="D6" s="8">
        <v>180</v>
      </c>
      <c r="E6" s="8">
        <v>40</v>
      </c>
      <c r="F6" s="8">
        <v>520</v>
      </c>
    </row>
    <row r="7" spans="1:6" x14ac:dyDescent="0.2">
      <c r="A7" s="11" t="s">
        <v>8326</v>
      </c>
      <c r="B7" s="8"/>
      <c r="C7" s="8"/>
      <c r="D7" s="8">
        <v>100</v>
      </c>
      <c r="E7" s="8"/>
      <c r="F7" s="8">
        <v>100</v>
      </c>
    </row>
    <row r="8" spans="1:6" x14ac:dyDescent="0.2">
      <c r="A8" s="11" t="s">
        <v>8331</v>
      </c>
      <c r="B8" s="8">
        <v>180</v>
      </c>
      <c r="C8" s="8"/>
      <c r="D8" s="8"/>
      <c r="E8" s="8"/>
      <c r="F8" s="8">
        <v>180</v>
      </c>
    </row>
    <row r="9" spans="1:6" x14ac:dyDescent="0.2">
      <c r="A9" s="11" t="s">
        <v>8332</v>
      </c>
      <c r="B9" s="8"/>
      <c r="C9" s="8"/>
      <c r="D9" s="8">
        <v>80</v>
      </c>
      <c r="E9" s="8"/>
      <c r="F9" s="8">
        <v>80</v>
      </c>
    </row>
    <row r="10" spans="1:6" x14ac:dyDescent="0.2">
      <c r="A10" s="11" t="s">
        <v>8355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1" t="s">
        <v>8356</v>
      </c>
      <c r="B11" s="8">
        <v>60</v>
      </c>
      <c r="C11" s="8"/>
      <c r="D11" s="8"/>
      <c r="E11" s="8"/>
      <c r="F11" s="8">
        <v>60</v>
      </c>
    </row>
    <row r="12" spans="1:6" x14ac:dyDescent="0.2">
      <c r="A12" s="11" t="s">
        <v>8361</v>
      </c>
      <c r="B12" s="8">
        <v>60</v>
      </c>
      <c r="C12" s="8"/>
      <c r="D12" s="8"/>
      <c r="E12" s="8"/>
      <c r="F12" s="8">
        <v>60</v>
      </c>
    </row>
    <row r="13" spans="1:6" x14ac:dyDescent="0.2">
      <c r="A13" s="7" t="s">
        <v>8316</v>
      </c>
      <c r="B13" s="8">
        <v>34</v>
      </c>
      <c r="C13" s="8">
        <v>6</v>
      </c>
      <c r="D13" s="8">
        <v>140</v>
      </c>
      <c r="E13" s="8">
        <v>20</v>
      </c>
      <c r="F13" s="8">
        <v>200</v>
      </c>
    </row>
    <row r="14" spans="1:6" x14ac:dyDescent="0.2">
      <c r="A14" s="11" t="s">
        <v>8336</v>
      </c>
      <c r="B14" s="8"/>
      <c r="C14" s="8"/>
      <c r="D14" s="8">
        <v>120</v>
      </c>
      <c r="E14" s="8">
        <v>20</v>
      </c>
      <c r="F14" s="8">
        <v>140</v>
      </c>
    </row>
    <row r="15" spans="1:6" x14ac:dyDescent="0.2">
      <c r="A15" s="11" t="s">
        <v>8353</v>
      </c>
      <c r="B15" s="8"/>
      <c r="C15" s="8"/>
      <c r="D15" s="8">
        <v>20</v>
      </c>
      <c r="E15" s="8"/>
      <c r="F15" s="8">
        <v>20</v>
      </c>
    </row>
    <row r="16" spans="1:6" x14ac:dyDescent="0.2">
      <c r="A16" s="11" t="s">
        <v>8357</v>
      </c>
      <c r="B16" s="8">
        <v>34</v>
      </c>
      <c r="C16" s="8">
        <v>6</v>
      </c>
      <c r="D16" s="8"/>
      <c r="E16" s="8"/>
      <c r="F16" s="8">
        <v>40</v>
      </c>
    </row>
    <row r="17" spans="1:6" x14ac:dyDescent="0.2">
      <c r="A17" s="7" t="s">
        <v>8317</v>
      </c>
      <c r="B17" s="8">
        <v>80</v>
      </c>
      <c r="C17" s="8"/>
      <c r="D17" s="8">
        <v>140</v>
      </c>
      <c r="E17" s="8"/>
      <c r="F17" s="8">
        <v>220</v>
      </c>
    </row>
    <row r="18" spans="1:6" x14ac:dyDescent="0.2">
      <c r="A18" s="11" t="s">
        <v>8343</v>
      </c>
      <c r="B18" s="8"/>
      <c r="C18" s="8"/>
      <c r="D18" s="8">
        <v>40</v>
      </c>
      <c r="E18" s="8"/>
      <c r="F18" s="8">
        <v>40</v>
      </c>
    </row>
    <row r="19" spans="1:6" x14ac:dyDescent="0.2">
      <c r="A19" s="11" t="s">
        <v>8360</v>
      </c>
      <c r="B19" s="8">
        <v>80</v>
      </c>
      <c r="C19" s="8"/>
      <c r="D19" s="8"/>
      <c r="E19" s="8"/>
      <c r="F19" s="8">
        <v>80</v>
      </c>
    </row>
    <row r="20" spans="1:6" x14ac:dyDescent="0.2">
      <c r="A20" s="11" t="s">
        <v>8363</v>
      </c>
      <c r="B20" s="8"/>
      <c r="C20" s="8"/>
      <c r="D20" s="8">
        <v>100</v>
      </c>
      <c r="E20" s="8"/>
      <c r="F20" s="8">
        <v>100</v>
      </c>
    </row>
    <row r="21" spans="1:6" x14ac:dyDescent="0.2">
      <c r="A21" s="7" t="s">
        <v>8318</v>
      </c>
      <c r="B21" s="8"/>
      <c r="C21" s="8"/>
      <c r="D21" s="8"/>
      <c r="E21" s="8">
        <v>24</v>
      </c>
      <c r="F21" s="8">
        <v>24</v>
      </c>
    </row>
    <row r="22" spans="1:6" x14ac:dyDescent="0.2">
      <c r="A22" s="11" t="s">
        <v>8328</v>
      </c>
      <c r="B22" s="8"/>
      <c r="C22" s="8"/>
      <c r="D22" s="8"/>
      <c r="E22" s="8">
        <v>24</v>
      </c>
      <c r="F22" s="8">
        <v>24</v>
      </c>
    </row>
    <row r="23" spans="1:6" x14ac:dyDescent="0.2">
      <c r="A23" s="7" t="s">
        <v>8319</v>
      </c>
      <c r="B23" s="8">
        <v>540</v>
      </c>
      <c r="C23" s="8">
        <v>20</v>
      </c>
      <c r="D23" s="8">
        <v>120</v>
      </c>
      <c r="E23" s="8">
        <v>20</v>
      </c>
      <c r="F23" s="8">
        <v>700</v>
      </c>
    </row>
    <row r="24" spans="1:6" x14ac:dyDescent="0.2">
      <c r="A24" s="11" t="s">
        <v>8330</v>
      </c>
      <c r="B24" s="8">
        <v>40</v>
      </c>
      <c r="C24" s="8"/>
      <c r="D24" s="8"/>
      <c r="E24" s="8"/>
      <c r="F24" s="8">
        <v>40</v>
      </c>
    </row>
    <row r="25" spans="1:6" x14ac:dyDescent="0.2">
      <c r="A25" s="11" t="s">
        <v>8333</v>
      </c>
      <c r="B25" s="8">
        <v>40</v>
      </c>
      <c r="C25" s="8"/>
      <c r="D25" s="8"/>
      <c r="E25" s="8"/>
      <c r="F25" s="8">
        <v>40</v>
      </c>
    </row>
    <row r="26" spans="1:6" x14ac:dyDescent="0.2">
      <c r="A26" s="11" t="s">
        <v>8334</v>
      </c>
      <c r="B26" s="8"/>
      <c r="C26" s="8">
        <v>20</v>
      </c>
      <c r="D26" s="8">
        <v>40</v>
      </c>
      <c r="E26" s="8"/>
      <c r="F26" s="8">
        <v>60</v>
      </c>
    </row>
    <row r="27" spans="1:6" x14ac:dyDescent="0.2">
      <c r="A27" s="11" t="s">
        <v>8339</v>
      </c>
      <c r="B27" s="8">
        <v>140</v>
      </c>
      <c r="C27" s="8"/>
      <c r="D27" s="8">
        <v>20</v>
      </c>
      <c r="E27" s="8"/>
      <c r="F27" s="8">
        <v>160</v>
      </c>
    </row>
    <row r="28" spans="1:6" x14ac:dyDescent="0.2">
      <c r="A28" s="11" t="s">
        <v>8340</v>
      </c>
      <c r="B28" s="8"/>
      <c r="C28" s="8"/>
      <c r="D28" s="8">
        <v>60</v>
      </c>
      <c r="E28" s="8"/>
      <c r="F28" s="8">
        <v>60</v>
      </c>
    </row>
    <row r="29" spans="1:6" x14ac:dyDescent="0.2">
      <c r="A29" s="11" t="s">
        <v>8342</v>
      </c>
      <c r="B29" s="8">
        <v>20</v>
      </c>
      <c r="C29" s="8"/>
      <c r="D29" s="8"/>
      <c r="E29" s="8"/>
      <c r="F29" s="8">
        <v>20</v>
      </c>
    </row>
    <row r="30" spans="1:6" x14ac:dyDescent="0.2">
      <c r="A30" s="11" t="s">
        <v>8351</v>
      </c>
      <c r="B30" s="8">
        <v>40</v>
      </c>
      <c r="C30" s="8"/>
      <c r="D30" s="8"/>
      <c r="E30" s="8"/>
      <c r="F30" s="8">
        <v>40</v>
      </c>
    </row>
    <row r="31" spans="1:6" x14ac:dyDescent="0.2">
      <c r="A31" s="11" t="s">
        <v>8354</v>
      </c>
      <c r="B31" s="8">
        <v>260</v>
      </c>
      <c r="C31" s="8"/>
      <c r="D31" s="8"/>
      <c r="E31" s="8"/>
      <c r="F31" s="8">
        <v>260</v>
      </c>
    </row>
    <row r="32" spans="1:6" x14ac:dyDescent="0.2">
      <c r="A32" s="11" t="s">
        <v>8366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8320</v>
      </c>
      <c r="B33" s="8">
        <v>103</v>
      </c>
      <c r="C33" s="8"/>
      <c r="D33" s="8">
        <v>117</v>
      </c>
      <c r="E33" s="8"/>
      <c r="F33" s="8">
        <v>220</v>
      </c>
    </row>
    <row r="34" spans="1:6" x14ac:dyDescent="0.2">
      <c r="A34" s="11" t="s">
        <v>8345</v>
      </c>
      <c r="B34" s="8"/>
      <c r="C34" s="8"/>
      <c r="D34" s="8">
        <v>20</v>
      </c>
      <c r="E34" s="8"/>
      <c r="F34" s="8">
        <v>20</v>
      </c>
    </row>
    <row r="35" spans="1:6" x14ac:dyDescent="0.2">
      <c r="A35" s="11" t="s">
        <v>8347</v>
      </c>
      <c r="B35" s="8"/>
      <c r="C35" s="8"/>
      <c r="D35" s="8">
        <v>20</v>
      </c>
      <c r="E35" s="8"/>
      <c r="F35" s="8">
        <v>20</v>
      </c>
    </row>
    <row r="36" spans="1:6" x14ac:dyDescent="0.2">
      <c r="A36" s="11" t="s">
        <v>8348</v>
      </c>
      <c r="B36" s="8">
        <v>103</v>
      </c>
      <c r="C36" s="8"/>
      <c r="D36" s="8">
        <v>57</v>
      </c>
      <c r="E36" s="8"/>
      <c r="F36" s="8">
        <v>160</v>
      </c>
    </row>
    <row r="37" spans="1:6" x14ac:dyDescent="0.2">
      <c r="A37" s="11" t="s">
        <v>8349</v>
      </c>
      <c r="B37" s="8"/>
      <c r="C37" s="8"/>
      <c r="D37" s="8">
        <v>20</v>
      </c>
      <c r="E37" s="8"/>
      <c r="F37" s="8">
        <v>20</v>
      </c>
    </row>
    <row r="38" spans="1:6" x14ac:dyDescent="0.2">
      <c r="A38" s="7" t="s">
        <v>8321</v>
      </c>
      <c r="B38" s="8">
        <v>80</v>
      </c>
      <c r="C38" s="8"/>
      <c r="D38" s="8">
        <v>127</v>
      </c>
      <c r="E38" s="8">
        <v>30</v>
      </c>
      <c r="F38" s="8">
        <v>237</v>
      </c>
    </row>
    <row r="39" spans="1:6" x14ac:dyDescent="0.2">
      <c r="A39" s="11" t="s">
        <v>8327</v>
      </c>
      <c r="B39" s="8"/>
      <c r="C39" s="8"/>
      <c r="D39" s="8"/>
      <c r="E39" s="8">
        <v>20</v>
      </c>
      <c r="F39" s="8">
        <v>20</v>
      </c>
    </row>
    <row r="40" spans="1:6" x14ac:dyDescent="0.2">
      <c r="A40" s="11" t="s">
        <v>8329</v>
      </c>
      <c r="B40" s="8"/>
      <c r="C40" s="8"/>
      <c r="D40" s="8">
        <v>40</v>
      </c>
      <c r="E40" s="8"/>
      <c r="F40" s="8">
        <v>40</v>
      </c>
    </row>
    <row r="41" spans="1:6" x14ac:dyDescent="0.2">
      <c r="A41" s="11" t="s">
        <v>8335</v>
      </c>
      <c r="B41" s="8"/>
      <c r="C41" s="8"/>
      <c r="D41" s="8">
        <v>40</v>
      </c>
      <c r="E41" s="8"/>
      <c r="F41" s="8">
        <v>40</v>
      </c>
    </row>
    <row r="42" spans="1:6" x14ac:dyDescent="0.2">
      <c r="A42" s="11" t="s">
        <v>8346</v>
      </c>
      <c r="B42" s="8">
        <v>60</v>
      </c>
      <c r="C42" s="8"/>
      <c r="D42" s="8"/>
      <c r="E42" s="8"/>
      <c r="F42" s="8">
        <v>60</v>
      </c>
    </row>
    <row r="43" spans="1:6" x14ac:dyDescent="0.2">
      <c r="A43" s="11" t="s">
        <v>8352</v>
      </c>
      <c r="B43" s="8">
        <v>20</v>
      </c>
      <c r="C43" s="8"/>
      <c r="D43" s="8"/>
      <c r="E43" s="8"/>
      <c r="F43" s="8">
        <v>20</v>
      </c>
    </row>
    <row r="44" spans="1:6" x14ac:dyDescent="0.2">
      <c r="A44" s="11" t="s">
        <v>8362</v>
      </c>
      <c r="B44" s="8"/>
      <c r="C44" s="8"/>
      <c r="D44" s="8">
        <v>47</v>
      </c>
      <c r="E44" s="8">
        <v>10</v>
      </c>
      <c r="F44" s="8">
        <v>57</v>
      </c>
    </row>
    <row r="45" spans="1:6" x14ac:dyDescent="0.2">
      <c r="A45" s="7" t="s">
        <v>8322</v>
      </c>
      <c r="B45" s="8">
        <v>209</v>
      </c>
      <c r="C45" s="8"/>
      <c r="D45" s="8">
        <v>213</v>
      </c>
      <c r="E45" s="8">
        <v>178</v>
      </c>
      <c r="F45" s="8">
        <v>600</v>
      </c>
    </row>
    <row r="46" spans="1:6" x14ac:dyDescent="0.2">
      <c r="A46" s="11" t="s">
        <v>8337</v>
      </c>
      <c r="B46" s="8"/>
      <c r="C46" s="8"/>
      <c r="D46" s="8">
        <v>20</v>
      </c>
      <c r="E46" s="8"/>
      <c r="F46" s="8">
        <v>20</v>
      </c>
    </row>
    <row r="47" spans="1:6" x14ac:dyDescent="0.2">
      <c r="A47" s="11" t="s">
        <v>8338</v>
      </c>
      <c r="B47" s="8">
        <v>140</v>
      </c>
      <c r="C47" s="8"/>
      <c r="D47" s="8"/>
      <c r="E47" s="8"/>
      <c r="F47" s="8">
        <v>140</v>
      </c>
    </row>
    <row r="48" spans="1:6" x14ac:dyDescent="0.2">
      <c r="A48" s="11" t="s">
        <v>8341</v>
      </c>
      <c r="B48" s="8">
        <v>9</v>
      </c>
      <c r="C48" s="8"/>
      <c r="D48" s="8">
        <v>11</v>
      </c>
      <c r="E48" s="8"/>
      <c r="F48" s="8">
        <v>20</v>
      </c>
    </row>
    <row r="49" spans="1:6" x14ac:dyDescent="0.2">
      <c r="A49" s="11" t="s">
        <v>8358</v>
      </c>
      <c r="B49" s="8">
        <v>40</v>
      </c>
      <c r="C49" s="8"/>
      <c r="D49" s="8">
        <v>2</v>
      </c>
      <c r="E49" s="8">
        <v>18</v>
      </c>
      <c r="F49" s="8">
        <v>60</v>
      </c>
    </row>
    <row r="50" spans="1:6" x14ac:dyDescent="0.2">
      <c r="A50" s="11" t="s">
        <v>8364</v>
      </c>
      <c r="B50" s="8">
        <v>20</v>
      </c>
      <c r="C50" s="8"/>
      <c r="D50" s="8">
        <v>120</v>
      </c>
      <c r="E50" s="8">
        <v>60</v>
      </c>
      <c r="F50" s="8">
        <v>200</v>
      </c>
    </row>
    <row r="51" spans="1:6" x14ac:dyDescent="0.2">
      <c r="A51" s="11" t="s">
        <v>8365</v>
      </c>
      <c r="B51" s="8"/>
      <c r="C51" s="8"/>
      <c r="D51" s="8">
        <v>60</v>
      </c>
      <c r="E51" s="8">
        <v>100</v>
      </c>
      <c r="F51" s="8">
        <v>160</v>
      </c>
    </row>
    <row r="52" spans="1:6" x14ac:dyDescent="0.2">
      <c r="A52" s="7" t="s">
        <v>8323</v>
      </c>
      <c r="B52" s="8">
        <v>839</v>
      </c>
      <c r="C52" s="8">
        <v>24</v>
      </c>
      <c r="D52" s="8">
        <v>493</v>
      </c>
      <c r="E52" s="8">
        <v>37</v>
      </c>
      <c r="F52" s="8">
        <v>1393</v>
      </c>
    </row>
    <row r="53" spans="1:6" x14ac:dyDescent="0.2">
      <c r="A53" s="11" t="s">
        <v>8344</v>
      </c>
      <c r="B53" s="8">
        <v>60</v>
      </c>
      <c r="C53" s="8"/>
      <c r="D53" s="8">
        <v>60</v>
      </c>
      <c r="E53" s="8">
        <v>20</v>
      </c>
      <c r="F53" s="8">
        <v>140</v>
      </c>
    </row>
    <row r="54" spans="1:6" x14ac:dyDescent="0.2">
      <c r="A54" s="11" t="s">
        <v>8350</v>
      </c>
      <c r="B54" s="8">
        <v>694</v>
      </c>
      <c r="C54" s="8">
        <v>19</v>
      </c>
      <c r="D54" s="8">
        <v>353</v>
      </c>
      <c r="E54" s="8"/>
      <c r="F54" s="8">
        <v>1066</v>
      </c>
    </row>
    <row r="55" spans="1:6" x14ac:dyDescent="0.2">
      <c r="A55" s="11" t="s">
        <v>8359</v>
      </c>
      <c r="B55" s="8">
        <v>85</v>
      </c>
      <c r="C55" s="8">
        <v>5</v>
      </c>
      <c r="D55" s="8">
        <v>80</v>
      </c>
      <c r="E55" s="8">
        <v>17</v>
      </c>
      <c r="F55" s="8">
        <v>187</v>
      </c>
    </row>
    <row r="56" spans="1:6" x14ac:dyDescent="0.2">
      <c r="A56" s="7" t="s">
        <v>8313</v>
      </c>
      <c r="B56" s="8">
        <v>2185</v>
      </c>
      <c r="C56" s="8">
        <v>50</v>
      </c>
      <c r="D56" s="8">
        <v>1530</v>
      </c>
      <c r="E56" s="8">
        <v>349</v>
      </c>
      <c r="F56" s="8">
        <v>4114</v>
      </c>
    </row>
  </sheetData>
  <sortState columnSort="1" ref="A4:F47">
    <sortCondition descending="1" ref="B5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8AD74-DFFC-5141-A60F-9499886D913E}">
  <dimension ref="A1:H13"/>
  <sheetViews>
    <sheetView workbookViewId="0">
      <selection activeCell="D14" sqref="D14"/>
    </sheetView>
  </sheetViews>
  <sheetFormatPr baseColWidth="10" defaultRowHeight="15" x14ac:dyDescent="0.2"/>
  <cols>
    <col min="1" max="1" width="36.5" customWidth="1"/>
    <col min="2" max="2" width="22" customWidth="1"/>
    <col min="3" max="3" width="15.6640625" customWidth="1"/>
    <col min="4" max="4" width="12.83203125" customWidth="1"/>
    <col min="5" max="5" width="15.1640625" customWidth="1"/>
    <col min="6" max="6" width="12.33203125" customWidth="1"/>
    <col min="7" max="7" width="18" customWidth="1"/>
    <col min="8" max="8" width="14.5" customWidth="1"/>
    <col min="9" max="9" width="16.83203125" customWidth="1"/>
  </cols>
  <sheetData>
    <row r="1" spans="1:8" x14ac:dyDescent="0.2">
      <c r="A1" t="s">
        <v>8367</v>
      </c>
      <c r="B1" t="s">
        <v>8368</v>
      </c>
      <c r="C1" t="s">
        <v>8369</v>
      </c>
      <c r="D1" t="s">
        <v>8370</v>
      </c>
      <c r="E1" t="s">
        <v>8371</v>
      </c>
      <c r="F1" t="s">
        <v>8372</v>
      </c>
      <c r="G1" t="s">
        <v>8373</v>
      </c>
      <c r="H1" t="s">
        <v>8374</v>
      </c>
    </row>
    <row r="2" spans="1:8" x14ac:dyDescent="0.2">
      <c r="A2" t="s">
        <v>8375</v>
      </c>
      <c r="B2">
        <f>COUNTIFS('Kickstarter Table'!$F$2:$F$4115,"Successful",'Kickstarter Table'!$D$2:$D$4115,"&lt;1000",'Kickstarter Table'!$D$2:$D$4115,"&gt;=0000")</f>
        <v>322</v>
      </c>
      <c r="C2">
        <f>COUNTIFS('Kickstarter Table'!$F$2:$F$4115,"failed",'Kickstarter Table'!$D$2:$D$4115,"&lt;1000",'Kickstarter Table'!$D$2:$D$4115,"&gt;=0000")</f>
        <v>113</v>
      </c>
      <c r="D2">
        <f>COUNTIFS('Kickstarter Table'!$F$2:$F$4115,"canceled",'Kickstarter Table'!$D$2:$D$4115,"&lt;1000",'Kickstarter Table'!$D$2:$D$4115,"&gt;=0000")</f>
        <v>18</v>
      </c>
      <c r="E2">
        <f>SUM(B2:D2)</f>
        <v>453</v>
      </c>
      <c r="F2">
        <f>B2/$E2*100</f>
        <v>71.081677704194263</v>
      </c>
      <c r="G2">
        <f t="shared" ref="G2:H13" si="0">C2/$E2*100</f>
        <v>24.944812362030905</v>
      </c>
      <c r="H2">
        <f t="shared" si="0"/>
        <v>3.9735099337748347</v>
      </c>
    </row>
    <row r="3" spans="1:8" x14ac:dyDescent="0.2">
      <c r="A3" t="s">
        <v>8376</v>
      </c>
      <c r="B3">
        <f>COUNTIFS('Kickstarter Table'!$F$2:$F$4115,"Successful",'Kickstarter Table'!$D$2:$D$4115,"&lt;5000",'Kickstarter Table'!$D$2:$D$4115,"&gt;=1000")</f>
        <v>932</v>
      </c>
      <c r="C3">
        <f>COUNTIFS('Kickstarter Table'!$F$2:$F$4115,"failed",'Kickstarter Table'!$D$2:$D$4115,"&lt;5000",'Kickstarter Table'!$D$2:$D$4115,"&gt;=1000")</f>
        <v>420</v>
      </c>
      <c r="D3">
        <f>COUNTIFS('Kickstarter Table'!$F$2:$F$4115,"canceled",'Kickstarter Table'!$D$2:$D$4115,"&lt;5000",'Kickstarter Table'!$D$2:$D$4115,"&gt;=1000")</f>
        <v>60</v>
      </c>
      <c r="E3">
        <f t="shared" ref="E3:E13" si="1">SUM(B3:D3)</f>
        <v>1412</v>
      </c>
      <c r="F3">
        <f t="shared" ref="F3:F13" si="2">B3/$E3*100</f>
        <v>66.005665722379604</v>
      </c>
      <c r="G3">
        <f t="shared" si="0"/>
        <v>29.745042492917843</v>
      </c>
      <c r="H3">
        <f t="shared" si="0"/>
        <v>4.2492917847025495</v>
      </c>
    </row>
    <row r="4" spans="1:8" x14ac:dyDescent="0.2">
      <c r="A4" t="s">
        <v>8377</v>
      </c>
      <c r="B4">
        <f>COUNTIFS('Kickstarter Table'!$F$2:$F$4115,"Successful",'Kickstarter Table'!$D$2:$D$4115,"&lt;10000",'Kickstarter Table'!$D$2:$D$4115,"&gt;=5000")</f>
        <v>381</v>
      </c>
      <c r="C4">
        <f>COUNTIFS('Kickstarter Table'!$F$2:$F$4115,"failed",'Kickstarter Table'!$D$2:$D$4115,"&lt;10000",'Kickstarter Table'!$D$2:$D$4115,"&gt;=5000")</f>
        <v>283</v>
      </c>
      <c r="D4">
        <f>COUNTIFS('Kickstarter Table'!$F$2:$F$4115,"canceled",'Kickstarter Table'!$D$2:$D$4115,"&lt;10000",'Kickstarter Table'!$D$2:$D$4115,"&gt;=5000")</f>
        <v>52</v>
      </c>
      <c r="E4">
        <f t="shared" si="1"/>
        <v>716</v>
      </c>
      <c r="F4">
        <f t="shared" si="2"/>
        <v>53.212290502793294</v>
      </c>
      <c r="G4">
        <f t="shared" si="0"/>
        <v>39.52513966480447</v>
      </c>
      <c r="H4">
        <f t="shared" si="0"/>
        <v>7.2625698324022352</v>
      </c>
    </row>
    <row r="5" spans="1:8" x14ac:dyDescent="0.2">
      <c r="A5" t="s">
        <v>8378</v>
      </c>
      <c r="B5">
        <f>COUNTIFS('Kickstarter Table'!$F$2:$F$4115,"Successful",'Kickstarter Table'!$D$2:$D$4115,"&lt;15000",'Kickstarter Table'!$D$2:$D$4115,"&gt;=10000")</f>
        <v>168</v>
      </c>
      <c r="C5">
        <f>COUNTIFS('Kickstarter Table'!$F$2:$F$4115,"failed",'Kickstarter Table'!$D$2:$D$4115,"&lt;15000",'Kickstarter Table'!$D$2:$D$4115,"&gt;=10000")</f>
        <v>144</v>
      </c>
      <c r="D5">
        <f>COUNTIFS('Kickstarter Table'!$F$2:$F$4115,"canceled",'Kickstarter Table'!$D$2:$D$4115,"&lt;15000",'Kickstarter Table'!$D$2:$D$4115,"&gt;=10000")</f>
        <v>40</v>
      </c>
      <c r="E5">
        <f t="shared" si="1"/>
        <v>352</v>
      </c>
      <c r="F5">
        <f t="shared" si="2"/>
        <v>47.727272727272727</v>
      </c>
      <c r="G5">
        <f t="shared" si="0"/>
        <v>40.909090909090914</v>
      </c>
      <c r="H5">
        <f t="shared" si="0"/>
        <v>11.363636363636363</v>
      </c>
    </row>
    <row r="6" spans="1:8" x14ac:dyDescent="0.2">
      <c r="A6" t="s">
        <v>8379</v>
      </c>
      <c r="B6">
        <f>COUNTIFS('Kickstarter Table'!$F$2:$F$4115,"Successful",'Kickstarter Table'!$D$2:$D$4115,"&lt;20000",'Kickstarter Table'!$D$2:$D$4115,"&gt;=15000")</f>
        <v>94</v>
      </c>
      <c r="C6">
        <f>COUNTIFS('Kickstarter Table'!$F$2:$F$4115,"failed",'Kickstarter Table'!$D$2:$D$4115,"&lt;20000",'Kickstarter Table'!$D$2:$D$4115,"&gt;=15000")</f>
        <v>90</v>
      </c>
      <c r="D6">
        <f>COUNTIFS('Kickstarter Table'!$F$2:$F$4115,"canceled",'Kickstarter Table'!$D$2:$D$4115,"&lt;20000",'Kickstarter Table'!$D$2:$D$4115,"&gt;=15000")</f>
        <v>17</v>
      </c>
      <c r="E6">
        <f t="shared" si="1"/>
        <v>201</v>
      </c>
      <c r="F6">
        <f t="shared" si="2"/>
        <v>46.766169154228855</v>
      </c>
      <c r="G6">
        <f t="shared" si="0"/>
        <v>44.776119402985074</v>
      </c>
      <c r="H6">
        <f t="shared" si="0"/>
        <v>8.4577114427860707</v>
      </c>
    </row>
    <row r="7" spans="1:8" x14ac:dyDescent="0.2">
      <c r="A7" t="s">
        <v>8380</v>
      </c>
      <c r="B7">
        <f>COUNTIFS('Kickstarter Table'!$F$2:$F$4115,"Successful",'Kickstarter Table'!$D$2:$D$4115,"&lt;25000",'Kickstarter Table'!$D$2:$D$4115,"&gt;=20000")</f>
        <v>62</v>
      </c>
      <c r="C7">
        <f>COUNTIFS('Kickstarter Table'!$F$2:$F$4115,"failed",'Kickstarter Table'!$D$2:$D$4115,"&lt;25000",'Kickstarter Table'!$D$2:$D$4115,"&gt;=20000")</f>
        <v>72</v>
      </c>
      <c r="D7">
        <f>COUNTIFS('Kickstarter Table'!$F$2:$F$4115,"canceled",'Kickstarter Table'!$D$2:$D$4115,"&lt;25000",'Kickstarter Table'!$D$2:$D$4115,"&gt;=20000")</f>
        <v>14</v>
      </c>
      <c r="E7">
        <f t="shared" si="1"/>
        <v>148</v>
      </c>
      <c r="F7">
        <f t="shared" si="2"/>
        <v>41.891891891891895</v>
      </c>
      <c r="G7">
        <f t="shared" si="0"/>
        <v>48.648648648648653</v>
      </c>
      <c r="H7">
        <f t="shared" si="0"/>
        <v>9.4594594594594597</v>
      </c>
    </row>
    <row r="8" spans="1:8" x14ac:dyDescent="0.2">
      <c r="A8" t="s">
        <v>8381</v>
      </c>
      <c r="B8">
        <f>COUNTIFS('Kickstarter Table'!$F$2:$F$4115,"Successful",'Kickstarter Table'!$D$2:$D$4115,"&lt;30000",'Kickstarter Table'!$D$2:$D$4115,"&gt;=25000")</f>
        <v>55</v>
      </c>
      <c r="C8">
        <f>COUNTIFS('Kickstarter Table'!$F$2:$F$4115,"failed",'Kickstarter Table'!$D$2:$D$4115,"&lt;30000",'Kickstarter Table'!$D$2:$D$4115,"&gt;=25000")</f>
        <v>64</v>
      </c>
      <c r="D8">
        <f>COUNTIFS('Kickstarter Table'!$F$2:$F$4115,"canceled",'Kickstarter Table'!$D$2:$D$4115,"&lt;30000",'Kickstarter Table'!$D$2:$D$4115,"&gt;=25000")</f>
        <v>18</v>
      </c>
      <c r="E8">
        <f t="shared" si="1"/>
        <v>137</v>
      </c>
      <c r="F8">
        <f t="shared" si="2"/>
        <v>40.145985401459853</v>
      </c>
      <c r="G8">
        <f t="shared" si="0"/>
        <v>46.715328467153284</v>
      </c>
      <c r="H8">
        <f t="shared" si="0"/>
        <v>13.138686131386862</v>
      </c>
    </row>
    <row r="9" spans="1:8" x14ac:dyDescent="0.2">
      <c r="A9" t="s">
        <v>8382</v>
      </c>
      <c r="B9">
        <f>COUNTIFS('Kickstarter Table'!$F$2:$F$4115,"Successful",'Kickstarter Table'!$D$2:$D$4115,"&lt;35000",'Kickstarter Table'!$D$2:$D$4115,"&gt;=30000")</f>
        <v>32</v>
      </c>
      <c r="C9">
        <f>COUNTIFS('Kickstarter Table'!$F$2:$F$4115,"failed",'Kickstarter Table'!$D$2:$D$4115,"&lt;35000",'Kickstarter Table'!$D$2:$D$4115,"&gt;=30000")</f>
        <v>37</v>
      </c>
      <c r="D9">
        <f>COUNTIFS('Kickstarter Table'!$F$2:$F$4115,"canceled",'Kickstarter Table'!$D$2:$D$4115,"&lt;35000",'Kickstarter Table'!$D$2:$D$4115,"&gt;=30000")</f>
        <v>13</v>
      </c>
      <c r="E9">
        <f t="shared" si="1"/>
        <v>82</v>
      </c>
      <c r="F9">
        <f t="shared" si="2"/>
        <v>39.024390243902438</v>
      </c>
      <c r="G9">
        <f t="shared" si="0"/>
        <v>45.121951219512198</v>
      </c>
      <c r="H9">
        <f t="shared" si="0"/>
        <v>15.853658536585366</v>
      </c>
    </row>
    <row r="10" spans="1:8" x14ac:dyDescent="0.2">
      <c r="A10" t="s">
        <v>8383</v>
      </c>
      <c r="B10">
        <f>COUNTIFS('Kickstarter Table'!$F$2:$F$4115,"Successful",'Kickstarter Table'!$D$2:$D$4115,"&lt;40000",'Kickstarter Table'!$D$2:$D$4115,"&gt;=35000")</f>
        <v>26</v>
      </c>
      <c r="C10">
        <f>COUNTIFS('Kickstarter Table'!$F$2:$F$4115,"failed",'Kickstarter Table'!$D$2:$D$4115,"&lt;40000",'Kickstarter Table'!$D$2:$D$4115,"&gt;=35000")</f>
        <v>22</v>
      </c>
      <c r="D10">
        <f>COUNTIFS('Kickstarter Table'!$F$2:$F$4115,"canceled",'Kickstarter Table'!$D$2:$D$4115,"&lt;40000",'Kickstarter Table'!$D$2:$D$4115,"&gt;=35000")</f>
        <v>7</v>
      </c>
      <c r="E10">
        <f t="shared" si="1"/>
        <v>55</v>
      </c>
      <c r="F10">
        <f t="shared" si="2"/>
        <v>47.272727272727273</v>
      </c>
      <c r="G10">
        <f t="shared" si="0"/>
        <v>40</v>
      </c>
      <c r="H10">
        <f t="shared" si="0"/>
        <v>12.727272727272727</v>
      </c>
    </row>
    <row r="11" spans="1:8" x14ac:dyDescent="0.2">
      <c r="A11" t="s">
        <v>8384</v>
      </c>
      <c r="B11">
        <f>COUNTIFS('Kickstarter Table'!$F$2:$F$4115,"Successful",'Kickstarter Table'!$D$2:$D$4115,"&lt;45000",'Kickstarter Table'!$D$2:$D$4115,"&gt;=40000")</f>
        <v>21</v>
      </c>
      <c r="C11">
        <f>COUNTIFS('Kickstarter Table'!$F$2:$F$4115,"failed",'Kickstarter Table'!$D$2:$D$4115,"&lt;45000",'Kickstarter Table'!$D$2:$D$4115,"&gt;=40000")</f>
        <v>16</v>
      </c>
      <c r="D11">
        <f>COUNTIFS('Kickstarter Table'!$F$2:$F$4115,"canceled",'Kickstarter Table'!$D$2:$D$4115,"&lt;45000",'Kickstarter Table'!$D$2:$D$4115,"&gt;=40000")</f>
        <v>6</v>
      </c>
      <c r="E11">
        <f t="shared" si="1"/>
        <v>43</v>
      </c>
      <c r="F11">
        <f t="shared" si="2"/>
        <v>48.837209302325576</v>
      </c>
      <c r="G11">
        <f t="shared" si="0"/>
        <v>37.209302325581397</v>
      </c>
      <c r="H11">
        <f t="shared" si="0"/>
        <v>13.953488372093023</v>
      </c>
    </row>
    <row r="12" spans="1:8" x14ac:dyDescent="0.2">
      <c r="A12" t="s">
        <v>8385</v>
      </c>
      <c r="B12">
        <f>COUNTIFS('Kickstarter Table'!$F$2:$F$4115,"Successful",'Kickstarter Table'!$D$2:$D$4115,"&lt;50000",'Kickstarter Table'!$D$2:$D$4115,"&gt;=45000")</f>
        <v>6</v>
      </c>
      <c r="C12">
        <f>COUNTIFS('Kickstarter Table'!$F$2:$F$4115,"failed",'Kickstarter Table'!$D$2:$D$4115,"&lt;50000",'Kickstarter Table'!$D$2:$D$4115,"&gt;=45000")</f>
        <v>11</v>
      </c>
      <c r="D12">
        <f>COUNTIFS('Kickstarter Table'!$F$2:$F$4115,"canceled",'Kickstarter Table'!$D$2:$D$4115,"&lt;50000",'Kickstarter Table'!$D$2:$D$4115,"&gt;=45000")</f>
        <v>4</v>
      </c>
      <c r="E12">
        <f t="shared" si="1"/>
        <v>21</v>
      </c>
      <c r="F12">
        <f t="shared" si="2"/>
        <v>28.571428571428569</v>
      </c>
      <c r="G12">
        <f t="shared" si="0"/>
        <v>52.380952380952387</v>
      </c>
      <c r="H12">
        <f t="shared" si="0"/>
        <v>19.047619047619047</v>
      </c>
    </row>
    <row r="13" spans="1:8" x14ac:dyDescent="0.2">
      <c r="A13" t="s">
        <v>8386</v>
      </c>
      <c r="B13">
        <f>COUNTIFS('Kickstarter Table'!$F$2:$F$4115,"Successful",'Kickstarter Table'!$D$2:$D$4115,"&gt;=50000")</f>
        <v>86</v>
      </c>
      <c r="C13">
        <f>COUNTIFS('Kickstarter Table'!$F$2:$F$4115,"failed",'Kickstarter Table'!$D$2:$D$4115,"&gt;=50000")</f>
        <v>258</v>
      </c>
      <c r="D13">
        <f>COUNTIFS('Kickstarter Table'!$F$2:$F$4115,"canceled",'Kickstarter Table'!$D$2:$D$4115,"&gt;=50000")</f>
        <v>100</v>
      </c>
      <c r="E13">
        <f t="shared" si="1"/>
        <v>444</v>
      </c>
      <c r="F13">
        <f t="shared" si="2"/>
        <v>19.36936936936937</v>
      </c>
      <c r="G13">
        <f t="shared" si="0"/>
        <v>58.108108108108105</v>
      </c>
      <c r="H13">
        <f t="shared" si="0"/>
        <v>22.522522522522522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Kickstarter Table</vt:lpstr>
      <vt:lpstr>Category Stats</vt:lpstr>
      <vt:lpstr>Sub-Category Stats</vt:lpstr>
      <vt:lpstr>Goal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 jansen</cp:lastModifiedBy>
  <dcterms:created xsi:type="dcterms:W3CDTF">2017-04-20T15:17:24Z</dcterms:created>
  <dcterms:modified xsi:type="dcterms:W3CDTF">2019-11-11T02:01:18Z</dcterms:modified>
</cp:coreProperties>
</file>