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Januario Cipriano\Downloads\"/>
    </mc:Choice>
  </mc:AlternateContent>
  <xr:revisionPtr revIDLastSave="0" documentId="13_ncr:1_{AE091D17-3A6A-4606-8DD5-6A9422F4AC9F}" xr6:coauthVersionLast="45" xr6:coauthVersionMax="45" xr10:uidLastSave="{00000000-0000-0000-0000-000000000000}"/>
  <workbookProtection workbookPassword="DFAA" lockStructure="1"/>
  <bookViews>
    <workbookView xWindow="768" yWindow="768" windowWidth="17136" windowHeight="11772" firstSheet="1" activeTab="2" xr2:uid="{00000000-000D-0000-FFFF-FFFF00000000}"/>
  </bookViews>
  <sheets>
    <sheet name="List of Revisions" sheetId="7" r:id="rId1"/>
    <sheet name="Read Me" sheetId="4" r:id="rId2"/>
    <sheet name="PRDs-RBI Calculation" sheetId="5" r:id="rId3"/>
    <sheet name="API Tables" sheetId="6" r:id="rId4"/>
  </sheets>
  <definedNames>
    <definedName name="_xlnm._FilterDatabase" localSheetId="3" hidden="1">'API Tables'!$B$89:$C$99</definedName>
    <definedName name="_xlnm._FilterDatabase" localSheetId="2" hidden="1">'PRDs-RBI Calculation'!$B$2:$J$176</definedName>
    <definedName name="dd">#REF!</definedName>
    <definedName name="dept">#REF!</definedName>
    <definedName name="DF">#REF!</definedName>
    <definedName name="PRDType">#REF!</definedName>
    <definedName name="_xlnm.Print_Area" localSheetId="2">'PRDs-RBI Calculation'!$A$1:$K$135</definedName>
    <definedName name="_xlnm.Print_Titles" localSheetId="2">'PRDs-RBI Calculation'!$2:$4</definedName>
    <definedName name="Vk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5" l="1"/>
  <c r="Y7" i="5"/>
  <c r="R7" i="5"/>
  <c r="F160" i="5" l="1"/>
  <c r="F165" i="5"/>
  <c r="U53" i="5"/>
  <c r="U54" i="5"/>
  <c r="U52" i="5"/>
  <c r="F65" i="5" l="1"/>
  <c r="F56" i="5" l="1"/>
  <c r="F53" i="5"/>
  <c r="F71" i="5"/>
  <c r="F68" i="5"/>
  <c r="F50" i="5"/>
  <c r="O54" i="5"/>
  <c r="O53" i="5"/>
  <c r="O52" i="5"/>
  <c r="F72" i="5" l="1"/>
  <c r="R53" i="5" s="1"/>
  <c r="F57" i="5"/>
  <c r="R52" i="5" s="1"/>
  <c r="F62" i="5"/>
  <c r="F61" i="5"/>
  <c r="F63" i="5" l="1"/>
  <c r="F73" i="5" s="1"/>
  <c r="Y30" i="5"/>
  <c r="P7" i="5"/>
  <c r="O47" i="5"/>
  <c r="F99" i="5" l="1"/>
  <c r="T53" i="5"/>
  <c r="F159" i="5"/>
  <c r="O22" i="5"/>
  <c r="X7" i="5"/>
  <c r="F23" i="5" s="1"/>
  <c r="F110" i="5" l="1"/>
  <c r="F35" i="5" l="1"/>
  <c r="F36" i="5"/>
  <c r="F86" i="5" l="1"/>
  <c r="F19" i="5" l="1"/>
  <c r="F138" i="5" l="1"/>
  <c r="F127" i="5"/>
  <c r="F128" i="5" s="1"/>
  <c r="F129" i="5" s="1"/>
  <c r="F111" i="5" l="1"/>
  <c r="M84" i="5" s="1"/>
  <c r="F102" i="5"/>
  <c r="F95" i="5"/>
  <c r="F98" i="5" s="1"/>
  <c r="F83" i="5" l="1"/>
  <c r="F87" i="5" s="1"/>
  <c r="R54" i="5" s="1"/>
  <c r="F77" i="5"/>
  <c r="F76" i="5"/>
  <c r="F47" i="5"/>
  <c r="F46" i="5"/>
  <c r="F22" i="5"/>
  <c r="T3" i="5" s="1"/>
  <c r="O15" i="5" s="1"/>
  <c r="P15" i="5" s="1"/>
  <c r="Q15" i="5" s="1"/>
  <c r="R15" i="5" s="1"/>
  <c r="S15" i="5" s="1"/>
  <c r="F27" i="5"/>
  <c r="F90" i="5" l="1"/>
  <c r="O23" i="5"/>
  <c r="F40" i="5"/>
  <c r="F78" i="5"/>
  <c r="F88" i="5" s="1"/>
  <c r="F164" i="5" s="1"/>
  <c r="F166" i="5" s="1"/>
  <c r="V54" i="5" s="1"/>
  <c r="F48" i="5"/>
  <c r="M40" i="5"/>
  <c r="T54" i="5" l="1"/>
  <c r="F66" i="5"/>
  <c r="Q53" i="5" s="1"/>
  <c r="F41" i="5"/>
  <c r="F80" i="5" s="1"/>
  <c r="F81" i="5" s="1"/>
  <c r="Q54" i="5" s="1"/>
  <c r="F51" i="5"/>
  <c r="F155" i="5"/>
  <c r="F134" i="5"/>
  <c r="F136" i="5" s="1"/>
  <c r="F143" i="5" s="1"/>
  <c r="F149" i="5" s="1"/>
  <c r="F120" i="5"/>
  <c r="F103" i="5"/>
  <c r="U27" i="5" s="1"/>
  <c r="P39" i="5" s="1"/>
  <c r="F24" i="5"/>
  <c r="F28" i="5" s="1"/>
  <c r="F31" i="5" s="1"/>
  <c r="F32" i="5" s="1"/>
  <c r="Q52" i="5" l="1"/>
  <c r="F58" i="5"/>
  <c r="F154" i="5" s="1"/>
  <c r="F38" i="5"/>
  <c r="F39" i="5" s="1"/>
  <c r="F37" i="5"/>
  <c r="F106" i="5"/>
  <c r="R39" i="5"/>
  <c r="F135" i="5"/>
  <c r="F142" i="5" l="1"/>
  <c r="F148" i="5" s="1"/>
  <c r="F150" i="5" s="1"/>
  <c r="F161" i="5"/>
  <c r="V53" i="5" s="1"/>
  <c r="T52" i="5"/>
  <c r="T39" i="5"/>
  <c r="V39" i="5" s="1"/>
  <c r="X39" i="5" s="1"/>
  <c r="F107" i="5"/>
  <c r="F115" i="5" l="1"/>
  <c r="F116" i="5" s="1"/>
  <c r="O48" i="5"/>
  <c r="F113" i="5"/>
  <c r="F114" i="5" s="1"/>
  <c r="F112" i="5"/>
  <c r="F172" i="5"/>
  <c r="F171" i="5" l="1"/>
  <c r="F173" i="5" s="1"/>
  <c r="F156" i="5"/>
  <c r="V52" i="5" s="1"/>
  <c r="F168" i="5" l="1"/>
  <c r="F175" i="5" l="1"/>
  <c r="Q5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39" authorId="0" shapeId="0" xr:uid="{00000000-0006-0000-0200-000001000000}">
      <text>
        <r>
          <rPr>
            <b/>
            <sz val="9"/>
            <color indexed="81"/>
            <rFont val="Tahoma"/>
            <family val="2"/>
          </rPr>
          <t>Author:</t>
        </r>
        <r>
          <rPr>
            <sz val="9"/>
            <color indexed="81"/>
            <rFont val="Tahoma"/>
            <family val="2"/>
          </rPr>
          <t xml:space="preserve">
Using Modified Characteristics life</t>
        </r>
      </text>
    </comment>
    <comment ref="P40" authorId="0" shapeId="0" xr:uid="{00000000-0006-0000-0200-000002000000}">
      <text>
        <r>
          <rPr>
            <b/>
            <sz val="9"/>
            <color indexed="81"/>
            <rFont val="Tahoma"/>
            <family val="2"/>
          </rPr>
          <t>Author:</t>
        </r>
        <r>
          <rPr>
            <sz val="9"/>
            <color indexed="81"/>
            <rFont val="Tahoma"/>
            <family val="2"/>
          </rPr>
          <t xml:space="preserve">
Using updated Characteristic life after 1 inspection for calculation.</t>
        </r>
      </text>
    </comment>
    <comment ref="P41" authorId="0" shapeId="0" xr:uid="{00000000-0006-0000-0200-000003000000}">
      <text>
        <r>
          <rPr>
            <b/>
            <sz val="9"/>
            <color indexed="81"/>
            <rFont val="Tahoma"/>
            <family val="2"/>
          </rPr>
          <t>Author:</t>
        </r>
        <r>
          <rPr>
            <sz val="9"/>
            <color indexed="81"/>
            <rFont val="Tahoma"/>
            <family val="2"/>
          </rPr>
          <t xml:space="preserve">
Using updated Characteristic life after 2 inspection for calculation.</t>
        </r>
      </text>
    </comment>
    <comment ref="O42" authorId="0" shapeId="0" xr:uid="{00000000-0006-0000-0200-000004000000}">
      <text>
        <r>
          <rPr>
            <b/>
            <sz val="9"/>
            <color indexed="81"/>
            <rFont val="Tahoma"/>
            <family val="2"/>
          </rPr>
          <t>Author:</t>
        </r>
        <r>
          <rPr>
            <sz val="9"/>
            <color indexed="81"/>
            <rFont val="Tahoma"/>
            <family val="2"/>
          </rPr>
          <t xml:space="preserve">
Using updated Characteristic life after 3 inspection for calculation.</t>
        </r>
      </text>
    </comment>
    <comment ref="O43" authorId="0" shapeId="0" xr:uid="{00000000-0006-0000-0200-000005000000}">
      <text>
        <r>
          <rPr>
            <b/>
            <sz val="9"/>
            <color indexed="81"/>
            <rFont val="Tahoma"/>
            <family val="2"/>
          </rPr>
          <t>Author:</t>
        </r>
        <r>
          <rPr>
            <sz val="9"/>
            <color indexed="81"/>
            <rFont val="Tahoma"/>
            <family val="2"/>
          </rPr>
          <t xml:space="preserve">
Using updated Characteristic life after 4 inspection for calculation.</t>
        </r>
      </text>
    </comment>
    <comment ref="O44" authorId="0" shapeId="0" xr:uid="{00000000-0006-0000-0200-000006000000}">
      <text>
        <r>
          <rPr>
            <b/>
            <sz val="9"/>
            <color indexed="81"/>
            <rFont val="Tahoma"/>
            <family val="2"/>
          </rPr>
          <t>Author:</t>
        </r>
        <r>
          <rPr>
            <sz val="9"/>
            <color indexed="81"/>
            <rFont val="Tahoma"/>
            <family val="2"/>
          </rPr>
          <t xml:space="preserve">
Using updated Characteristic life after 5 inspection for calculation.</t>
        </r>
      </text>
    </comment>
    <comment ref="P45" authorId="0" shapeId="0" xr:uid="{00000000-0006-0000-0200-000007000000}">
      <text>
        <r>
          <rPr>
            <b/>
            <sz val="9"/>
            <color indexed="81"/>
            <rFont val="Tahoma"/>
            <family val="2"/>
          </rPr>
          <t>Author:</t>
        </r>
        <r>
          <rPr>
            <sz val="9"/>
            <color indexed="81"/>
            <rFont val="Tahoma"/>
            <family val="2"/>
          </rPr>
          <t xml:space="preserve">
Using updated Characteristic life after 6
inspection for calculation.</t>
        </r>
      </text>
    </comment>
  </commentList>
</comments>
</file>

<file path=xl/sharedStrings.xml><?xml version="1.0" encoding="utf-8"?>
<sst xmlns="http://schemas.openxmlformats.org/spreadsheetml/2006/main" count="1045" uniqueCount="511">
  <si>
    <t>Applicable Overpressure Demand Case</t>
  </si>
  <si>
    <t>Type of PRD</t>
  </si>
  <si>
    <t>Inspection Effectiveness</t>
  </si>
  <si>
    <t>Service Severity (Failure to Open Case)</t>
  </si>
  <si>
    <t>Overpressure Demand Case</t>
  </si>
  <si>
    <t xml:space="preserve">RISK FROM FAILURE TO OPEN </t>
  </si>
  <si>
    <t>RISK FROM LEAKAGE</t>
  </si>
  <si>
    <t>TOTAL RISK</t>
  </si>
  <si>
    <t>Client:</t>
  </si>
  <si>
    <t>Project:</t>
  </si>
  <si>
    <t>Unit Name</t>
  </si>
  <si>
    <t>P&amp;ID Ref#</t>
  </si>
  <si>
    <t>Make/Model</t>
  </si>
  <si>
    <t>PRD Type</t>
  </si>
  <si>
    <t>PRD Tag#</t>
  </si>
  <si>
    <t>Installation Date</t>
  </si>
  <si>
    <t>Construction Material</t>
  </si>
  <si>
    <t>Inlet Size (in)</t>
  </si>
  <si>
    <t>Process Fluid</t>
  </si>
  <si>
    <t>Capacity (kg/hr)</t>
  </si>
  <si>
    <t>Discharge Location</t>
  </si>
  <si>
    <t>Protected Eqpt.</t>
  </si>
  <si>
    <t>Protected Eqpt Tag#</t>
  </si>
  <si>
    <t>Single/Multiple PRDs Installation</t>
  </si>
  <si>
    <t>Downstream of Rotating Eqpt.</t>
  </si>
  <si>
    <t>Rupter Disk Upstream</t>
  </si>
  <si>
    <t>Overpressure Scenarios</t>
  </si>
  <si>
    <t>Protected Eqpt RBI Conducted</t>
  </si>
  <si>
    <t>History of Chatter</t>
  </si>
  <si>
    <t>History of Excessive Actuation</t>
  </si>
  <si>
    <t>Set Pressure (Psi)</t>
  </si>
  <si>
    <t>Back Pressure (Psi)</t>
  </si>
  <si>
    <t>Report#</t>
  </si>
  <si>
    <t>Date:</t>
  </si>
  <si>
    <t>β</t>
  </si>
  <si>
    <t>Years</t>
  </si>
  <si>
    <t>Default Weibull Shape Parameter (Failure to Open Case)</t>
  </si>
  <si>
    <r>
      <t xml:space="preserve">Adjustment Factor Conventional Valve Discharging to Closed System or to Flare </t>
    </r>
    <r>
      <rPr>
        <sz val="10"/>
        <rFont val="Arial"/>
        <family val="2"/>
      </rPr>
      <t/>
    </r>
  </si>
  <si>
    <t>MAWP</t>
  </si>
  <si>
    <t>Psig</t>
  </si>
  <si>
    <t xml:space="preserve">Maximum Allowable Working Pressure </t>
  </si>
  <si>
    <t>-</t>
  </si>
  <si>
    <r>
      <t xml:space="preserve">Environmental Adjustment Factor </t>
    </r>
    <r>
      <rPr>
        <sz val="10"/>
        <rFont val="Arial"/>
        <family val="2"/>
      </rPr>
      <t/>
    </r>
  </si>
  <si>
    <t xml:space="preserve">Modified Characteristic Life </t>
  </si>
  <si>
    <r>
      <t xml:space="preserve">Prior Probability of Failure to Open on Demand </t>
    </r>
    <r>
      <rPr>
        <sz val="10"/>
        <rFont val="Arial"/>
        <family val="2"/>
      </rPr>
      <t/>
    </r>
  </si>
  <si>
    <r>
      <t xml:space="preserve">Confidence Factor Pass </t>
    </r>
    <r>
      <rPr>
        <sz val="10"/>
        <rFont val="Arial"/>
        <family val="2"/>
      </rPr>
      <t/>
    </r>
  </si>
  <si>
    <r>
      <t xml:space="preserve">Confidence Factor Fail </t>
    </r>
    <r>
      <rPr>
        <sz val="10"/>
        <rFont val="Arial"/>
        <family val="2"/>
      </rPr>
      <t/>
    </r>
  </si>
  <si>
    <r>
      <t xml:space="preserve">Probability of PRD Failure to Open on Demand  </t>
    </r>
    <r>
      <rPr>
        <sz val="10"/>
        <rFont val="Arial"/>
        <family val="2"/>
      </rPr>
      <t/>
    </r>
  </si>
  <si>
    <t>gfft</t>
  </si>
  <si>
    <t>failures/yr</t>
  </si>
  <si>
    <t>Management System Factor</t>
  </si>
  <si>
    <t>Damage Factor of Protected Equipment</t>
  </si>
  <si>
    <t>years</t>
  </si>
  <si>
    <r>
      <t xml:space="preserve">Soft Seats (O-Rings) Adjustment Factor </t>
    </r>
    <r>
      <rPr>
        <sz val="10"/>
        <rFont val="Arial"/>
        <family val="2"/>
      </rPr>
      <t/>
    </r>
  </si>
  <si>
    <r>
      <t xml:space="preserve">Modified Characteristic Life </t>
    </r>
    <r>
      <rPr>
        <sz val="10"/>
        <rFont val="Arial"/>
        <family val="2"/>
      </rPr>
      <t/>
    </r>
  </si>
  <si>
    <r>
      <t xml:space="preserve">Prior Probability of leakage </t>
    </r>
    <r>
      <rPr>
        <sz val="10"/>
        <rFont val="Arial"/>
        <family val="2"/>
      </rPr>
      <t/>
    </r>
  </si>
  <si>
    <r>
      <t xml:space="preserve">Probability of PRD Leakage </t>
    </r>
    <r>
      <rPr>
        <sz val="10"/>
        <rFont val="Arial"/>
        <family val="2"/>
      </rPr>
      <t/>
    </r>
  </si>
  <si>
    <t xml:space="preserve">Maximum Allowable Working Pressure of Protected Equipment </t>
  </si>
  <si>
    <r>
      <t xml:space="preserve">Total Orifice Area in Case of Multiple PRDs Installation </t>
    </r>
    <r>
      <rPr>
        <i/>
        <sz val="11"/>
        <color indexed="23"/>
        <rFont val="Calibri"/>
        <family val="2"/>
      </rPr>
      <t/>
    </r>
  </si>
  <si>
    <t xml:space="preserve">Overpressure Adjustment (Reduction in Overpressure) </t>
  </si>
  <si>
    <t>Overpressure Adjustment Factor</t>
  </si>
  <si>
    <r>
      <t xml:space="preserve">Credit for Recovery of Leakage Fluid, </t>
    </r>
    <r>
      <rPr>
        <b/>
        <sz val="15"/>
        <color indexed="10"/>
        <rFont val="Calibri"/>
        <family val="2"/>
      </rPr>
      <t/>
    </r>
  </si>
  <si>
    <t>$/kg</t>
  </si>
  <si>
    <t>days</t>
  </si>
  <si>
    <r>
      <t xml:space="preserve">Duration that Stuck Open PRD leak will go undiscovered </t>
    </r>
    <r>
      <rPr>
        <b/>
        <sz val="13"/>
        <color indexed="10"/>
        <rFont val="Calibri"/>
        <family val="2"/>
      </rPr>
      <t/>
    </r>
  </si>
  <si>
    <t>Kg/hr</t>
  </si>
  <si>
    <t>Rated Capacity of PRD</t>
  </si>
  <si>
    <t xml:space="preserve">Leakage Rate for Stuck Open PRD </t>
  </si>
  <si>
    <t xml:space="preserve">Enironmental Cost </t>
  </si>
  <si>
    <r>
      <t xml:space="preserve">Probability of PRD Failure to Open on Demand </t>
    </r>
    <r>
      <rPr>
        <sz val="10"/>
        <rFont val="Arial"/>
        <family val="2"/>
      </rPr>
      <t/>
    </r>
  </si>
  <si>
    <r>
      <t xml:space="preserve">Risk from Failure to Open on Demand </t>
    </r>
    <r>
      <rPr>
        <sz val="10"/>
        <rFont val="Arial"/>
        <family val="2"/>
      </rPr>
      <t/>
    </r>
  </si>
  <si>
    <t>Current Inspection Interval (yrs)</t>
  </si>
  <si>
    <t>Description</t>
  </si>
  <si>
    <t>Value</t>
  </si>
  <si>
    <t>Unit</t>
  </si>
  <si>
    <t>Remarks</t>
  </si>
  <si>
    <t>Parameter</t>
  </si>
  <si>
    <t>Conventional</t>
  </si>
  <si>
    <t>Mild</t>
  </si>
  <si>
    <t>Severe</t>
  </si>
  <si>
    <t>DF</t>
  </si>
  <si>
    <t>$</t>
  </si>
  <si>
    <t>Protected Equipment MAWP (Psi)</t>
  </si>
  <si>
    <t>Yes</t>
  </si>
  <si>
    <t>No</t>
  </si>
  <si>
    <t>Single</t>
  </si>
  <si>
    <t>Soft Seat</t>
  </si>
  <si>
    <t>Normal Temp  (ºF)</t>
  </si>
  <si>
    <t>Relief Temp  (ºF)</t>
  </si>
  <si>
    <t>Fairly Effective</t>
  </si>
  <si>
    <t>Weighted Probability of Failure on Demand</t>
  </si>
  <si>
    <t>Probability of PRD Leakage</t>
  </si>
  <si>
    <t>Risk from PRD Leakage</t>
  </si>
  <si>
    <r>
      <t xml:space="preserve">Confidence Factor No Leak </t>
    </r>
    <r>
      <rPr>
        <sz val="10"/>
        <rFont val="Arial"/>
        <family val="2"/>
      </rPr>
      <t/>
    </r>
  </si>
  <si>
    <r>
      <t>CF</t>
    </r>
    <r>
      <rPr>
        <i/>
        <vertAlign val="subscript"/>
        <sz val="10"/>
        <rFont val="Arial"/>
        <family val="2"/>
      </rPr>
      <t>leak</t>
    </r>
  </si>
  <si>
    <r>
      <t>P</t>
    </r>
    <r>
      <rPr>
        <i/>
        <vertAlign val="superscript"/>
        <sz val="10"/>
        <rFont val="Arial"/>
        <family val="2"/>
      </rPr>
      <t>prd</t>
    </r>
    <r>
      <rPr>
        <i/>
        <vertAlign val="subscript"/>
        <sz val="10"/>
        <rFont val="Arial"/>
        <family val="2"/>
      </rPr>
      <t>l,prior</t>
    </r>
  </si>
  <si>
    <r>
      <t>P</t>
    </r>
    <r>
      <rPr>
        <i/>
        <vertAlign val="superscript"/>
        <sz val="10"/>
        <rFont val="Arial"/>
        <family val="2"/>
      </rPr>
      <t>prd</t>
    </r>
    <r>
      <rPr>
        <i/>
        <vertAlign val="subscript"/>
        <sz val="10"/>
        <rFont val="Arial"/>
        <family val="2"/>
      </rPr>
      <t>nl,prior</t>
    </r>
  </si>
  <si>
    <t>failures/demand</t>
  </si>
  <si>
    <r>
      <t>P</t>
    </r>
    <r>
      <rPr>
        <i/>
        <vertAlign val="superscript"/>
        <sz val="10"/>
        <rFont val="Arial"/>
        <family val="2"/>
      </rPr>
      <t>prd</t>
    </r>
    <r>
      <rPr>
        <i/>
        <vertAlign val="subscript"/>
        <sz val="10"/>
        <rFont val="Arial"/>
        <family val="2"/>
      </rPr>
      <t>l,cond</t>
    </r>
  </si>
  <si>
    <r>
      <t>P</t>
    </r>
    <r>
      <rPr>
        <i/>
        <vertAlign val="superscript"/>
        <sz val="10"/>
        <rFont val="Arial"/>
        <family val="2"/>
      </rPr>
      <t>prd</t>
    </r>
    <r>
      <rPr>
        <i/>
        <vertAlign val="subscript"/>
        <sz val="10"/>
        <rFont val="Arial"/>
        <family val="2"/>
      </rPr>
      <t>nl,cond</t>
    </r>
  </si>
  <si>
    <r>
      <t>η</t>
    </r>
    <r>
      <rPr>
        <i/>
        <vertAlign val="subscript"/>
        <sz val="10"/>
        <rFont val="Arial"/>
        <family val="2"/>
      </rPr>
      <t>upd</t>
    </r>
  </si>
  <si>
    <t>failures/year</t>
  </si>
  <si>
    <r>
      <t>F</t>
    </r>
    <r>
      <rPr>
        <i/>
        <vertAlign val="subscript"/>
        <sz val="10"/>
        <rFont val="Arial"/>
        <family val="2"/>
      </rPr>
      <t>env</t>
    </r>
  </si>
  <si>
    <r>
      <t>t</t>
    </r>
    <r>
      <rPr>
        <i/>
        <vertAlign val="subscript"/>
        <sz val="10"/>
        <rFont val="Arial"/>
        <family val="2"/>
      </rPr>
      <t>insp</t>
    </r>
  </si>
  <si>
    <r>
      <t>η</t>
    </r>
    <r>
      <rPr>
        <i/>
        <vertAlign val="subscript"/>
        <sz val="10"/>
        <rFont val="Arial"/>
        <family val="2"/>
      </rPr>
      <t xml:space="preserve">def  </t>
    </r>
  </si>
  <si>
    <r>
      <t>η</t>
    </r>
    <r>
      <rPr>
        <i/>
        <vertAlign val="subscript"/>
        <sz val="10"/>
        <rFont val="Arial"/>
        <family val="2"/>
      </rPr>
      <t>def</t>
    </r>
  </si>
  <si>
    <r>
      <t>F</t>
    </r>
    <r>
      <rPr>
        <vertAlign val="subscript"/>
        <sz val="10"/>
        <rFont val="Arial"/>
        <family val="2"/>
      </rPr>
      <t>op</t>
    </r>
  </si>
  <si>
    <r>
      <t>η</t>
    </r>
    <r>
      <rPr>
        <i/>
        <vertAlign val="subscript"/>
        <sz val="10"/>
        <rFont val="Arial"/>
        <family val="2"/>
      </rPr>
      <t xml:space="preserve">mod </t>
    </r>
  </si>
  <si>
    <r>
      <t>P</t>
    </r>
    <r>
      <rPr>
        <i/>
        <vertAlign val="superscript"/>
        <sz val="10"/>
        <rFont val="Arial"/>
        <family val="2"/>
      </rPr>
      <t>prd</t>
    </r>
    <r>
      <rPr>
        <i/>
        <vertAlign val="subscript"/>
        <sz val="10"/>
        <rFont val="Arial"/>
        <family val="2"/>
      </rPr>
      <t>f,prior</t>
    </r>
  </si>
  <si>
    <r>
      <t>P</t>
    </r>
    <r>
      <rPr>
        <i/>
        <vertAlign val="superscript"/>
        <sz val="10"/>
        <rFont val="Arial"/>
        <family val="2"/>
      </rPr>
      <t>prd</t>
    </r>
    <r>
      <rPr>
        <i/>
        <vertAlign val="subscript"/>
        <sz val="10"/>
        <rFont val="Arial"/>
        <family val="2"/>
      </rPr>
      <t>p,prior</t>
    </r>
  </si>
  <si>
    <r>
      <t>CF</t>
    </r>
    <r>
      <rPr>
        <i/>
        <vertAlign val="subscript"/>
        <sz val="10"/>
        <rFont val="Arial"/>
        <family val="2"/>
      </rPr>
      <t>pass</t>
    </r>
  </si>
  <si>
    <r>
      <t>CF</t>
    </r>
    <r>
      <rPr>
        <i/>
        <vertAlign val="subscript"/>
        <sz val="10"/>
        <rFont val="Arial"/>
        <family val="2"/>
      </rPr>
      <t>fail</t>
    </r>
  </si>
  <si>
    <r>
      <t>P</t>
    </r>
    <r>
      <rPr>
        <i/>
        <vertAlign val="superscript"/>
        <sz val="10"/>
        <rFont val="Arial"/>
        <family val="2"/>
      </rPr>
      <t>prd</t>
    </r>
    <r>
      <rPr>
        <i/>
        <vertAlign val="subscript"/>
        <sz val="10"/>
        <rFont val="Arial"/>
        <family val="2"/>
      </rPr>
      <t>f,cond</t>
    </r>
  </si>
  <si>
    <r>
      <t>P</t>
    </r>
    <r>
      <rPr>
        <vertAlign val="superscript"/>
        <sz val="10"/>
        <rFont val="Arial"/>
        <family val="2"/>
      </rPr>
      <t>prd</t>
    </r>
    <r>
      <rPr>
        <i/>
        <vertAlign val="subscript"/>
        <sz val="10"/>
        <rFont val="Arial"/>
        <family val="2"/>
      </rPr>
      <t>f,wgt</t>
    </r>
  </si>
  <si>
    <r>
      <t>P</t>
    </r>
    <r>
      <rPr>
        <i/>
        <vertAlign val="subscript"/>
        <sz val="10"/>
        <rFont val="Arial"/>
        <family val="2"/>
      </rPr>
      <t>fod</t>
    </r>
  </si>
  <si>
    <r>
      <t>Inspection Interval</t>
    </r>
    <r>
      <rPr>
        <sz val="10"/>
        <rFont val="Arial"/>
        <family val="2"/>
      </rPr>
      <t xml:space="preserve"> </t>
    </r>
  </si>
  <si>
    <r>
      <t>PROTECTED EQUIPMENT FAILURE FREQUENCY AS FUNCTION OF OVERPRESSURE (P</t>
    </r>
    <r>
      <rPr>
        <sz val="10"/>
        <color indexed="63"/>
        <rFont val="Calibri"/>
        <family val="2"/>
      </rPr>
      <t>f</t>
    </r>
    <r>
      <rPr>
        <sz val="10"/>
        <rFont val="Arial"/>
        <family val="2"/>
      </rPr>
      <t>)</t>
    </r>
  </si>
  <si>
    <r>
      <t>Inspection Interval</t>
    </r>
    <r>
      <rPr>
        <sz val="10"/>
        <rFont val="Arial"/>
        <family val="2"/>
      </rPr>
      <t xml:space="preserve">   </t>
    </r>
  </si>
  <si>
    <r>
      <t>Prior Probability that PRD will not leak</t>
    </r>
    <r>
      <rPr>
        <sz val="10"/>
        <color indexed="20"/>
        <rFont val="Calibri"/>
        <family val="2"/>
      </rPr>
      <t xml:space="preserve"> </t>
    </r>
    <r>
      <rPr>
        <sz val="10"/>
        <rFont val="Arial"/>
        <family val="2"/>
      </rPr>
      <t/>
    </r>
  </si>
  <si>
    <r>
      <t>CF</t>
    </r>
    <r>
      <rPr>
        <i/>
        <vertAlign val="subscript"/>
        <sz val="10"/>
        <color indexed="63"/>
        <rFont val="Calibri"/>
        <family val="2"/>
      </rPr>
      <t>noleak</t>
    </r>
  </si>
  <si>
    <r>
      <t xml:space="preserve">Updated Characteristic Life of PRD  </t>
    </r>
    <r>
      <rPr>
        <sz val="10"/>
        <rFont val="Arial"/>
        <family val="2"/>
      </rPr>
      <t xml:space="preserve">  </t>
    </r>
  </si>
  <si>
    <r>
      <t xml:space="preserve">Cost of Fluid </t>
    </r>
    <r>
      <rPr>
        <sz val="10"/>
        <rFont val="Arial"/>
        <family val="2"/>
      </rPr>
      <t xml:space="preserve"> </t>
    </r>
  </si>
  <si>
    <r>
      <t>Duration that a mild or moderate PRD leak will go undiscovered</t>
    </r>
    <r>
      <rPr>
        <sz val="10"/>
        <rFont val="Arial"/>
        <family val="2"/>
      </rPr>
      <t xml:space="preserve"> </t>
    </r>
    <r>
      <rPr>
        <b/>
        <sz val="10"/>
        <color indexed="63"/>
        <rFont val="Calibri"/>
        <family val="2"/>
      </rPr>
      <t xml:space="preserve"> </t>
    </r>
  </si>
  <si>
    <r>
      <t xml:space="preserve">Leakage Rate of Mild or Moderately Leaking PRD </t>
    </r>
    <r>
      <rPr>
        <b/>
        <sz val="10"/>
        <color indexed="63"/>
        <rFont val="Calibri"/>
        <family val="2"/>
      </rPr>
      <t xml:space="preserve">  </t>
    </r>
  </si>
  <si>
    <r>
      <t>A</t>
    </r>
    <r>
      <rPr>
        <vertAlign val="superscript"/>
        <sz val="10"/>
        <rFont val="Arial"/>
        <family val="2"/>
      </rPr>
      <t>prd</t>
    </r>
  </si>
  <si>
    <r>
      <t>A</t>
    </r>
    <r>
      <rPr>
        <vertAlign val="superscript"/>
        <sz val="10"/>
        <rFont val="Arial"/>
        <family val="2"/>
      </rPr>
      <t>prd</t>
    </r>
    <r>
      <rPr>
        <vertAlign val="subscript"/>
        <sz val="10"/>
        <rFont val="Arial"/>
        <family val="2"/>
      </rPr>
      <t>total</t>
    </r>
  </si>
  <si>
    <r>
      <t>F</t>
    </r>
    <r>
      <rPr>
        <vertAlign val="subscript"/>
        <sz val="10"/>
        <rFont val="Arial"/>
        <family val="2"/>
      </rPr>
      <t>a</t>
    </r>
  </si>
  <si>
    <r>
      <t xml:space="preserve"> in</t>
    </r>
    <r>
      <rPr>
        <b/>
        <vertAlign val="superscript"/>
        <sz val="10"/>
        <rFont val="Calibri"/>
        <family val="2"/>
      </rPr>
      <t>2</t>
    </r>
  </si>
  <si>
    <r>
      <t>C</t>
    </r>
    <r>
      <rPr>
        <b/>
        <vertAlign val="superscript"/>
        <sz val="10"/>
        <rFont val="Arial"/>
        <family val="2"/>
      </rPr>
      <t>prd</t>
    </r>
    <r>
      <rPr>
        <b/>
        <vertAlign val="subscript"/>
        <sz val="10"/>
        <rFont val="Arial"/>
        <family val="2"/>
      </rPr>
      <t>f</t>
    </r>
  </si>
  <si>
    <r>
      <t>W</t>
    </r>
    <r>
      <rPr>
        <vertAlign val="superscript"/>
        <sz val="10"/>
        <rFont val="Arial"/>
        <family val="2"/>
      </rPr>
      <t>prd</t>
    </r>
    <r>
      <rPr>
        <vertAlign val="subscript"/>
        <sz val="10"/>
        <rFont val="Arial"/>
        <family val="2"/>
      </rPr>
      <t>C</t>
    </r>
    <r>
      <rPr>
        <sz val="10"/>
        <rFont val="Arial"/>
        <family val="2"/>
      </rPr>
      <t xml:space="preserve"> </t>
    </r>
  </si>
  <si>
    <r>
      <rPr>
        <sz val="10"/>
        <rFont val="Arial"/>
        <family val="2"/>
      </rPr>
      <t>l</t>
    </r>
    <r>
      <rPr>
        <i/>
        <sz val="10"/>
        <color indexed="63"/>
        <rFont val="Calibri"/>
        <family val="1"/>
      </rPr>
      <t>rate</t>
    </r>
    <r>
      <rPr>
        <vertAlign val="subscript"/>
        <sz val="10"/>
        <rFont val="Arial"/>
        <family val="2"/>
      </rPr>
      <t>mild</t>
    </r>
  </si>
  <si>
    <r>
      <rPr>
        <sz val="10"/>
        <rFont val="Arial"/>
        <family val="2"/>
      </rPr>
      <t>l</t>
    </r>
    <r>
      <rPr>
        <i/>
        <sz val="10"/>
        <color indexed="63"/>
        <rFont val="Calibri"/>
        <family val="2"/>
      </rPr>
      <t>rate</t>
    </r>
    <r>
      <rPr>
        <vertAlign val="subscript"/>
        <sz val="10"/>
        <rFont val="Arial"/>
        <family val="2"/>
      </rPr>
      <t>so</t>
    </r>
  </si>
  <si>
    <r>
      <t>D</t>
    </r>
    <r>
      <rPr>
        <vertAlign val="subscript"/>
        <sz val="10"/>
        <rFont val="Arial"/>
        <family val="2"/>
      </rPr>
      <t>mild</t>
    </r>
  </si>
  <si>
    <r>
      <t>D</t>
    </r>
    <r>
      <rPr>
        <vertAlign val="subscript"/>
        <sz val="10"/>
        <rFont val="Arial"/>
        <family val="2"/>
      </rPr>
      <t>so</t>
    </r>
    <r>
      <rPr>
        <sz val="10"/>
        <color indexed="63"/>
        <rFont val="Calibri"/>
        <family val="1"/>
      </rPr>
      <t xml:space="preserve"> </t>
    </r>
  </si>
  <si>
    <r>
      <t>F</t>
    </r>
    <r>
      <rPr>
        <vertAlign val="subscript"/>
        <sz val="10"/>
        <rFont val="Arial"/>
        <family val="2"/>
      </rPr>
      <t>r</t>
    </r>
  </si>
  <si>
    <r>
      <t>C</t>
    </r>
    <r>
      <rPr>
        <vertAlign val="superscript"/>
        <sz val="10"/>
        <rFont val="Arial"/>
        <family val="2"/>
      </rPr>
      <t>mild</t>
    </r>
    <r>
      <rPr>
        <vertAlign val="subscript"/>
        <sz val="10"/>
        <rFont val="Arial"/>
        <family val="2"/>
      </rPr>
      <t>inv</t>
    </r>
  </si>
  <si>
    <r>
      <t>C</t>
    </r>
    <r>
      <rPr>
        <vertAlign val="superscript"/>
        <sz val="10"/>
        <rFont val="Arial"/>
        <family val="2"/>
      </rPr>
      <t>so</t>
    </r>
    <r>
      <rPr>
        <vertAlign val="subscript"/>
        <sz val="10"/>
        <rFont val="Arial"/>
        <family val="2"/>
      </rPr>
      <t>inv</t>
    </r>
  </si>
  <si>
    <r>
      <t>Cost</t>
    </r>
    <r>
      <rPr>
        <vertAlign val="subscript"/>
        <sz val="10"/>
        <rFont val="Arial"/>
        <family val="2"/>
      </rPr>
      <t>flu</t>
    </r>
  </si>
  <si>
    <t>Cost of Lost Inventory due to Stuck Open PRD</t>
  </si>
  <si>
    <r>
      <t xml:space="preserve">Cost of Lost Inventory Mild or Moderate PRD Leakage </t>
    </r>
    <r>
      <rPr>
        <b/>
        <sz val="11"/>
        <color indexed="10"/>
        <rFont val="Calibri"/>
        <family val="2"/>
      </rPr>
      <t/>
    </r>
  </si>
  <si>
    <r>
      <t>C</t>
    </r>
    <r>
      <rPr>
        <vertAlign val="subscript"/>
        <sz val="10"/>
        <rFont val="Arial"/>
        <family val="2"/>
      </rPr>
      <t>env</t>
    </r>
  </si>
  <si>
    <r>
      <t>C</t>
    </r>
    <r>
      <rPr>
        <vertAlign val="subscript"/>
        <sz val="10"/>
        <rFont val="Arial"/>
        <family val="2"/>
      </rPr>
      <t>sd</t>
    </r>
  </si>
  <si>
    <r>
      <t xml:space="preserve"> C</t>
    </r>
    <r>
      <rPr>
        <vertAlign val="superscript"/>
        <sz val="10"/>
        <rFont val="Arial"/>
        <family val="2"/>
      </rPr>
      <t>prod</t>
    </r>
    <r>
      <rPr>
        <vertAlign val="subscript"/>
        <sz val="10"/>
        <rFont val="Arial"/>
        <family val="2"/>
      </rPr>
      <t>mild</t>
    </r>
    <r>
      <rPr>
        <sz val="10"/>
        <color indexed="63"/>
        <rFont val="Calibri"/>
        <family val="1"/>
      </rPr>
      <t xml:space="preserve"> </t>
    </r>
  </si>
  <si>
    <t>Cost of Lost Production mild to moderate PRD leakage</t>
  </si>
  <si>
    <t>Cost of Lost Production due to Stuck Open PRD</t>
  </si>
  <si>
    <r>
      <t>C</t>
    </r>
    <r>
      <rPr>
        <vertAlign val="superscript"/>
        <sz val="10"/>
        <rFont val="Arial"/>
        <family val="2"/>
      </rPr>
      <t>prod</t>
    </r>
    <r>
      <rPr>
        <vertAlign val="subscript"/>
        <sz val="10"/>
        <rFont val="Arial"/>
        <family val="2"/>
      </rPr>
      <t>so</t>
    </r>
    <r>
      <rPr>
        <sz val="10"/>
        <color indexed="63"/>
        <rFont val="Calibri"/>
        <family val="1"/>
      </rPr>
      <t xml:space="preserve"> </t>
    </r>
  </si>
  <si>
    <t>Consequence of mid to moderate leakage through PRD</t>
  </si>
  <si>
    <r>
      <t>C</t>
    </r>
    <r>
      <rPr>
        <vertAlign val="superscript"/>
        <sz val="10"/>
        <rFont val="Arial"/>
        <family val="2"/>
      </rPr>
      <t>mild</t>
    </r>
    <r>
      <rPr>
        <vertAlign val="subscript"/>
        <sz val="10"/>
        <rFont val="Arial"/>
        <family val="2"/>
      </rPr>
      <t>l</t>
    </r>
    <r>
      <rPr>
        <sz val="10"/>
        <color indexed="63"/>
        <rFont val="Calibri"/>
        <family val="1"/>
      </rPr>
      <t xml:space="preserve"> </t>
    </r>
  </si>
  <si>
    <t>Consequence of Stuck Open PRD</t>
  </si>
  <si>
    <r>
      <t>C</t>
    </r>
    <r>
      <rPr>
        <vertAlign val="superscript"/>
        <sz val="10"/>
        <rFont val="Arial"/>
        <family val="2"/>
      </rPr>
      <t>so</t>
    </r>
    <r>
      <rPr>
        <vertAlign val="subscript"/>
        <sz val="10"/>
        <rFont val="Arial"/>
        <family val="2"/>
      </rPr>
      <t>l</t>
    </r>
    <r>
      <rPr>
        <sz val="10"/>
        <color indexed="63"/>
        <rFont val="Calibri"/>
        <family val="1"/>
      </rPr>
      <t xml:space="preserve"> </t>
    </r>
  </si>
  <si>
    <t>$/year</t>
  </si>
  <si>
    <t>failure/year</t>
  </si>
  <si>
    <r>
      <t>Cost</t>
    </r>
    <r>
      <rPr>
        <vertAlign val="superscript"/>
        <sz val="10"/>
        <rFont val="Calibri"/>
        <family val="2"/>
      </rPr>
      <t>so</t>
    </r>
    <r>
      <rPr>
        <vertAlign val="subscript"/>
        <sz val="10"/>
        <rFont val="Calibri"/>
        <family val="2"/>
      </rPr>
      <t>prod</t>
    </r>
    <r>
      <rPr>
        <sz val="10"/>
        <rFont val="Calibri"/>
        <family val="2"/>
      </rPr>
      <t>=Unit</t>
    </r>
    <r>
      <rPr>
        <vertAlign val="subscript"/>
        <sz val="10"/>
        <rFont val="Calibri"/>
        <family val="2"/>
      </rPr>
      <t>prod</t>
    </r>
    <r>
      <rPr>
        <sz val="10"/>
        <rFont val="Calibri"/>
        <family val="2"/>
      </rPr>
      <t>.D</t>
    </r>
    <r>
      <rPr>
        <vertAlign val="subscript"/>
        <sz val="10"/>
        <rFont val="Calibri"/>
        <family val="2"/>
      </rPr>
      <t>sd</t>
    </r>
    <r>
      <rPr>
        <sz val="10"/>
        <rFont val="Calibri"/>
        <family val="2"/>
      </rPr>
      <t xml:space="preserve">     (for a stuck open PRD)</t>
    </r>
  </si>
  <si>
    <r>
      <t xml:space="preserve">Orifice Area of Other PRDs </t>
    </r>
    <r>
      <rPr>
        <sz val="12"/>
        <color theme="1"/>
        <rFont val="Calibri"/>
        <family val="1"/>
        <scheme val="minor"/>
      </rPr>
      <t/>
    </r>
  </si>
  <si>
    <r>
      <t xml:space="preserve">Updated Characteristic Life of PRD  </t>
    </r>
    <r>
      <rPr>
        <sz val="10"/>
        <rFont val="Calibri"/>
        <family val="2"/>
      </rPr>
      <t xml:space="preserve"> </t>
    </r>
  </si>
  <si>
    <t>--</t>
  </si>
  <si>
    <t>demands/yr</t>
  </si>
  <si>
    <r>
      <t>P</t>
    </r>
    <r>
      <rPr>
        <vertAlign val="subscript"/>
        <sz val="10"/>
        <rFont val="Arial"/>
        <family val="2"/>
      </rPr>
      <t>o</t>
    </r>
  </si>
  <si>
    <t>Body: WCB
Spring: Carbon Steel</t>
  </si>
  <si>
    <t>ATM</t>
  </si>
  <si>
    <r>
      <t>F</t>
    </r>
    <r>
      <rPr>
        <vertAlign val="subscript"/>
        <sz val="10"/>
        <color indexed="63"/>
        <rFont val="Calibri"/>
        <family val="2"/>
      </rPr>
      <t>c</t>
    </r>
  </si>
  <si>
    <t>Maximum allowable working pressure of protected equipment</t>
  </si>
  <si>
    <t>Product of Initiating Event Frequency &amp; Demand Rate Reduction Factor.</t>
  </si>
  <si>
    <t xml:space="preserve">Value from Static Equipment &amp; Piping RBI Study. MSF in subject case does not contribute in risk reduction.  </t>
  </si>
  <si>
    <t xml:space="preserve">Probability of Failure of PRD </t>
  </si>
  <si>
    <t xml:space="preserve">Default Weibull Shape Parameter </t>
  </si>
  <si>
    <t>Default Weibull Characteristic Life Parameter</t>
  </si>
  <si>
    <t>Overpressure Potential</t>
  </si>
  <si>
    <r>
      <t>Risk</t>
    </r>
    <r>
      <rPr>
        <b/>
        <vertAlign val="superscript"/>
        <sz val="12"/>
        <color indexed="9"/>
        <rFont val="Arial"/>
        <family val="2"/>
      </rPr>
      <t>prd</t>
    </r>
  </si>
  <si>
    <r>
      <t xml:space="preserve">DETERMINATION OF </t>
    </r>
    <r>
      <rPr>
        <b/>
        <sz val="11"/>
        <rFont val="Calibri"/>
        <family val="2"/>
      </rPr>
      <t>η</t>
    </r>
    <r>
      <rPr>
        <b/>
        <i/>
        <vertAlign val="subscript"/>
        <sz val="11"/>
        <rFont val="Calibri"/>
        <family val="2"/>
      </rPr>
      <t>upd</t>
    </r>
    <r>
      <rPr>
        <b/>
        <sz val="11"/>
        <rFont val="Calibri"/>
        <family val="2"/>
      </rPr>
      <t>, IN CASE OF PRD INSPECTION RECORD AVAILABLE</t>
    </r>
  </si>
  <si>
    <r>
      <t>P</t>
    </r>
    <r>
      <rPr>
        <b/>
        <i/>
        <vertAlign val="superscript"/>
        <sz val="10"/>
        <rFont val="Arial"/>
        <family val="2"/>
      </rPr>
      <t>prd</t>
    </r>
    <r>
      <rPr>
        <b/>
        <i/>
        <vertAlign val="subscript"/>
        <sz val="10"/>
        <rFont val="Arial"/>
        <family val="2"/>
      </rPr>
      <t>f</t>
    </r>
  </si>
  <si>
    <r>
      <t>P</t>
    </r>
    <r>
      <rPr>
        <b/>
        <i/>
        <vertAlign val="superscript"/>
        <sz val="10"/>
        <rFont val="Arial"/>
        <family val="2"/>
      </rPr>
      <t>prd</t>
    </r>
    <r>
      <rPr>
        <b/>
        <i/>
        <vertAlign val="subscript"/>
        <sz val="10"/>
        <rFont val="Arial"/>
        <family val="2"/>
      </rPr>
      <t>l</t>
    </r>
  </si>
  <si>
    <r>
      <t>C</t>
    </r>
    <r>
      <rPr>
        <b/>
        <vertAlign val="superscript"/>
        <sz val="10"/>
        <color indexed="63"/>
        <rFont val="Calibri"/>
        <family val="2"/>
      </rPr>
      <t>prd</t>
    </r>
    <r>
      <rPr>
        <b/>
        <vertAlign val="subscript"/>
        <sz val="10"/>
        <color indexed="63"/>
        <rFont val="Calibri"/>
        <family val="2"/>
      </rPr>
      <t>l</t>
    </r>
  </si>
  <si>
    <r>
      <t>Default Weibull Characteristic Life Parameter</t>
    </r>
    <r>
      <rPr>
        <sz val="10"/>
        <rFont val="Arial"/>
        <family val="2"/>
      </rPr>
      <t/>
    </r>
  </si>
  <si>
    <r>
      <t>P</t>
    </r>
    <r>
      <rPr>
        <i/>
        <vertAlign val="superscript"/>
        <sz val="10"/>
        <rFont val="Calibri"/>
        <family val="2"/>
      </rPr>
      <t>prd</t>
    </r>
    <r>
      <rPr>
        <i/>
        <vertAlign val="subscript"/>
        <sz val="10"/>
        <rFont val="Calibri"/>
        <family val="2"/>
      </rPr>
      <t>f,prior</t>
    </r>
    <r>
      <rPr>
        <sz val="10"/>
        <rFont val="Calibri"/>
        <family val="2"/>
      </rPr>
      <t>=1-exp[-(t/η</t>
    </r>
    <r>
      <rPr>
        <i/>
        <vertAlign val="subscript"/>
        <sz val="10"/>
        <rFont val="Calibri"/>
        <family val="2"/>
      </rPr>
      <t>mod</t>
    </r>
    <r>
      <rPr>
        <sz val="10"/>
        <rFont val="Calibri"/>
        <family val="2"/>
      </rPr>
      <t>)</t>
    </r>
    <r>
      <rPr>
        <b/>
        <vertAlign val="superscript"/>
        <sz val="10"/>
        <rFont val="Calibri"/>
        <family val="2"/>
      </rPr>
      <t>β</t>
    </r>
    <r>
      <rPr>
        <sz val="10"/>
        <rFont val="Calibri"/>
        <family val="2"/>
      </rPr>
      <t>]</t>
    </r>
  </si>
  <si>
    <r>
      <t>P</t>
    </r>
    <r>
      <rPr>
        <i/>
        <vertAlign val="superscript"/>
        <sz val="10"/>
        <rFont val="Calibri"/>
        <family val="2"/>
      </rPr>
      <t>prd</t>
    </r>
    <r>
      <rPr>
        <i/>
        <vertAlign val="subscript"/>
        <sz val="10"/>
        <rFont val="Calibri"/>
        <family val="2"/>
      </rPr>
      <t>p,prior</t>
    </r>
    <r>
      <rPr>
        <sz val="10"/>
        <rFont val="Calibri"/>
        <family val="2"/>
      </rPr>
      <t>=1- P</t>
    </r>
    <r>
      <rPr>
        <i/>
        <vertAlign val="superscript"/>
        <sz val="10"/>
        <rFont val="Calibri"/>
        <family val="2"/>
      </rPr>
      <t>prd</t>
    </r>
    <r>
      <rPr>
        <i/>
        <vertAlign val="subscript"/>
        <sz val="10"/>
        <rFont val="Calibri"/>
        <family val="2"/>
      </rPr>
      <t>f,prior</t>
    </r>
  </si>
  <si>
    <t>Risk of PRD failure to open on demand at inspection inerval of 1 year.</t>
  </si>
  <si>
    <t xml:space="preserve">Risk of PRD leakage is product of leakage probability &amp; consequences. </t>
  </si>
  <si>
    <t xml:space="preserve">Consequence based on mild/moderate leakage and stuck open case. </t>
  </si>
  <si>
    <r>
      <t>P</t>
    </r>
    <r>
      <rPr>
        <b/>
        <vertAlign val="superscript"/>
        <sz val="11"/>
        <color indexed="63"/>
        <rFont val="Calibri"/>
        <family val="2"/>
      </rPr>
      <t>prd</t>
    </r>
    <r>
      <rPr>
        <b/>
        <vertAlign val="subscript"/>
        <sz val="11"/>
        <color indexed="63"/>
        <rFont val="Calibri"/>
        <family val="2"/>
      </rPr>
      <t>f</t>
    </r>
  </si>
  <si>
    <r>
      <t>C</t>
    </r>
    <r>
      <rPr>
        <b/>
        <vertAlign val="superscript"/>
        <sz val="11"/>
        <rFont val="Calibri"/>
        <family val="2"/>
      </rPr>
      <t>prd</t>
    </r>
    <r>
      <rPr>
        <b/>
        <vertAlign val="subscript"/>
        <sz val="11"/>
        <color indexed="63"/>
        <rFont val="Calibri"/>
        <family val="2"/>
      </rPr>
      <t>f</t>
    </r>
  </si>
  <si>
    <r>
      <t>Risk</t>
    </r>
    <r>
      <rPr>
        <b/>
        <vertAlign val="superscript"/>
        <sz val="11"/>
        <rFont val="Calibri"/>
        <family val="2"/>
      </rPr>
      <t>prd</t>
    </r>
    <r>
      <rPr>
        <b/>
        <vertAlign val="subscript"/>
        <sz val="11"/>
        <color indexed="63"/>
        <rFont val="Calibri"/>
        <family val="2"/>
      </rPr>
      <t>f</t>
    </r>
  </si>
  <si>
    <r>
      <t>P</t>
    </r>
    <r>
      <rPr>
        <b/>
        <vertAlign val="superscript"/>
        <sz val="11"/>
        <rFont val="Calibri"/>
        <family val="2"/>
      </rPr>
      <t>prd</t>
    </r>
    <r>
      <rPr>
        <b/>
        <vertAlign val="subscript"/>
        <sz val="11"/>
        <rFont val="Arial"/>
        <family val="2"/>
      </rPr>
      <t>l</t>
    </r>
  </si>
  <si>
    <r>
      <t>C</t>
    </r>
    <r>
      <rPr>
        <b/>
        <vertAlign val="superscript"/>
        <sz val="11"/>
        <rFont val="Calibri"/>
        <family val="2"/>
      </rPr>
      <t>prd</t>
    </r>
    <r>
      <rPr>
        <b/>
        <vertAlign val="subscript"/>
        <sz val="11"/>
        <rFont val="Arial"/>
        <family val="2"/>
      </rPr>
      <t>l</t>
    </r>
  </si>
  <si>
    <r>
      <t>Risk</t>
    </r>
    <r>
      <rPr>
        <b/>
        <vertAlign val="superscript"/>
        <sz val="11"/>
        <rFont val="Calibri"/>
        <family val="2"/>
      </rPr>
      <t>prd</t>
    </r>
    <r>
      <rPr>
        <b/>
        <vertAlign val="subscript"/>
        <sz val="11"/>
        <rFont val="Arial"/>
        <family val="2"/>
      </rPr>
      <t>l</t>
    </r>
  </si>
  <si>
    <t>Consequence for FTOD associated with overpressure demand case.</t>
  </si>
  <si>
    <t xml:space="preserve">Probability of leakage taking all adjustment factors into account. </t>
  </si>
  <si>
    <t>Probability of PRD failure to open case, adjusted by demand rate and probability of protected equipment at overpressure.</t>
  </si>
  <si>
    <t>No.of Eqpt.Protected</t>
  </si>
  <si>
    <r>
      <t>Probability of Failure to Open on Demand (P</t>
    </r>
    <r>
      <rPr>
        <b/>
        <vertAlign val="superscript"/>
        <sz val="13"/>
        <color indexed="63"/>
        <rFont val="Calibri"/>
        <family val="2"/>
      </rPr>
      <t>prd</t>
    </r>
    <r>
      <rPr>
        <b/>
        <vertAlign val="subscript"/>
        <sz val="13"/>
        <color indexed="63"/>
        <rFont val="Calibri"/>
        <family val="2"/>
      </rPr>
      <t>f</t>
    </r>
    <r>
      <rPr>
        <b/>
        <sz val="10"/>
        <rFont val="Arial"/>
        <family val="2"/>
      </rPr>
      <t>)</t>
    </r>
  </si>
  <si>
    <r>
      <t>PROBABILITY OF LEAKAGE (P</t>
    </r>
    <r>
      <rPr>
        <b/>
        <vertAlign val="superscript"/>
        <sz val="13"/>
        <color indexed="63"/>
        <rFont val="Calibri"/>
        <family val="2"/>
      </rPr>
      <t>prd</t>
    </r>
    <r>
      <rPr>
        <b/>
        <vertAlign val="subscript"/>
        <sz val="13"/>
        <color indexed="63"/>
        <rFont val="Calibri"/>
        <family val="2"/>
      </rPr>
      <t>l</t>
    </r>
    <r>
      <rPr>
        <b/>
        <sz val="13"/>
        <color indexed="63"/>
        <rFont val="Calibri"/>
        <family val="1"/>
      </rPr>
      <t>)</t>
    </r>
  </si>
  <si>
    <t>Hot Water</t>
  </si>
  <si>
    <t>Default characteristic life -  FTOD Case, Table-7.5</t>
  </si>
  <si>
    <t>Default characteristic life -  Leakage Case. Table-7.12</t>
  </si>
  <si>
    <r>
      <t>F</t>
    </r>
    <r>
      <rPr>
        <vertAlign val="subscript"/>
        <sz val="10"/>
        <rFont val="Arial"/>
        <family val="2"/>
      </rPr>
      <t>s</t>
    </r>
  </si>
  <si>
    <t>Orifice Area of PRD Under Consideration</t>
  </si>
  <si>
    <t>Based on PRD inlet Size &amp; Discharge Location. Table-7.14</t>
  </si>
  <si>
    <t xml:space="preserve">Total Risk of PRD </t>
  </si>
  <si>
    <r>
      <t xml:space="preserve">Total Risk associated with PRD Due to Failure to Open &amp; Leakage  Case </t>
    </r>
    <r>
      <rPr>
        <sz val="10"/>
        <rFont val="Arial"/>
        <family val="2"/>
      </rPr>
      <t/>
    </r>
  </si>
  <si>
    <r>
      <rPr>
        <b/>
        <sz val="10"/>
        <color indexed="30"/>
        <rFont val="Calibri"/>
        <family val="2"/>
      </rPr>
      <t>Note:</t>
    </r>
    <r>
      <rPr>
        <sz val="10"/>
        <color indexed="30"/>
        <rFont val="Calibri"/>
        <family val="2"/>
      </rPr>
      <t xml:space="preserve"> Description about Data Source / assumptions about design data.  </t>
    </r>
  </si>
  <si>
    <t>Blue Text</t>
  </si>
  <si>
    <t>Red Text</t>
  </si>
  <si>
    <t>Inputs [does not have any link to calculations]</t>
  </si>
  <si>
    <t>Green Text</t>
  </si>
  <si>
    <t xml:space="preserve">Total Demand Rate for Multiple Demand Cases </t>
  </si>
  <si>
    <r>
      <t>DR</t>
    </r>
    <r>
      <rPr>
        <b/>
        <vertAlign val="subscript"/>
        <sz val="10"/>
        <color indexed="63"/>
        <rFont val="Calibri"/>
        <family val="2"/>
      </rPr>
      <t>total</t>
    </r>
  </si>
  <si>
    <r>
      <rPr>
        <b/>
        <sz val="11"/>
        <rFont val="Calibri"/>
        <family val="2"/>
      </rPr>
      <t>CONCLUSION:</t>
    </r>
    <r>
      <rPr>
        <sz val="11"/>
        <rFont val="Calibri"/>
        <family val="2"/>
      </rPr>
      <t xml:space="preserve"> </t>
    </r>
    <r>
      <rPr>
        <sz val="11"/>
        <color indexed="30"/>
        <rFont val="Calibri"/>
        <family val="2"/>
      </rPr>
      <t>&lt;Summarize PRD RBI assessment results and recommend appropriate Inspection Interval for Inspection/Testing based on selected Risk Criteria&gt;</t>
    </r>
  </si>
  <si>
    <t>Refer Datasheet &amp; Table-7.1</t>
  </si>
  <si>
    <t>Discharge to vent. Refer para 7.2.4.g</t>
  </si>
  <si>
    <r>
      <t>η</t>
    </r>
    <r>
      <rPr>
        <b/>
        <i/>
        <vertAlign val="subscript"/>
        <sz val="10"/>
        <rFont val="Arial"/>
        <family val="2"/>
      </rPr>
      <t>mod</t>
    </r>
  </si>
  <si>
    <t>PSV passed testing. Equation 1.19</t>
  </si>
  <si>
    <t>Update characteristic life for PSV. Equation 1.21</t>
  </si>
  <si>
    <t>Based on two parameter Weibull distribution. Equation 1.15</t>
  </si>
  <si>
    <r>
      <t>Modified characterisitic life based on F</t>
    </r>
    <r>
      <rPr>
        <vertAlign val="subscript"/>
        <sz val="10"/>
        <rFont val="Calibri"/>
        <family val="2"/>
      </rPr>
      <t>c</t>
    </r>
    <r>
      <rPr>
        <sz val="10"/>
        <rFont val="Calibri"/>
        <family val="2"/>
      </rPr>
      <t xml:space="preserve"> &amp; F</t>
    </r>
    <r>
      <rPr>
        <vertAlign val="subscript"/>
        <sz val="10"/>
        <rFont val="Calibri"/>
        <family val="2"/>
      </rPr>
      <t>env</t>
    </r>
    <r>
      <rPr>
        <sz val="10"/>
        <rFont val="Calibri"/>
        <family val="2"/>
      </rPr>
      <t>. Equation 1.14</t>
    </r>
  </si>
  <si>
    <r>
      <t>F</t>
    </r>
    <r>
      <rPr>
        <vertAlign val="subscript"/>
        <sz val="10"/>
        <color indexed="63"/>
        <rFont val="Calibri"/>
        <family val="2"/>
      </rPr>
      <t>MS</t>
    </r>
  </si>
  <si>
    <t>Product of Probability of Failure on Demand for PRD, Demand Rate &amp; Probability of Failure for Protected Equipment. Equation 1.11</t>
  </si>
  <si>
    <t>Similar to equation 1.17</t>
  </si>
  <si>
    <t>Similar to equation 1.18</t>
  </si>
  <si>
    <t>Confidence Factor Leak</t>
  </si>
  <si>
    <t>Inspection updating based on "Fairly Effective Pass" . Table-7.9</t>
  </si>
  <si>
    <r>
      <t>For update characteristic life for PRD leakage
η</t>
    </r>
    <r>
      <rPr>
        <i/>
        <vertAlign val="subscript"/>
        <sz val="10"/>
        <rFont val="Calibri"/>
        <family val="2"/>
      </rPr>
      <t>upd</t>
    </r>
    <r>
      <rPr>
        <sz val="10"/>
        <rFont val="Calibri"/>
        <family val="2"/>
      </rPr>
      <t>=t/[-ln(1-P</t>
    </r>
    <r>
      <rPr>
        <i/>
        <vertAlign val="superscript"/>
        <sz val="10"/>
        <rFont val="Calibri"/>
        <family val="2"/>
      </rPr>
      <t>prd</t>
    </r>
    <r>
      <rPr>
        <i/>
        <vertAlign val="subscript"/>
        <sz val="10"/>
        <rFont val="Cambria"/>
        <family val="1"/>
      </rPr>
      <t>l,wgt</t>
    </r>
    <r>
      <rPr>
        <sz val="10"/>
        <rFont val="Calibri"/>
        <family val="2"/>
      </rPr>
      <t>)]</t>
    </r>
    <r>
      <rPr>
        <vertAlign val="superscript"/>
        <sz val="10"/>
        <rFont val="Calibri"/>
        <family val="2"/>
      </rPr>
      <t xml:space="preserve">1/ β </t>
    </r>
    <r>
      <rPr>
        <sz val="10"/>
        <rFont val="Calibri"/>
        <family val="2"/>
      </rPr>
      <t>. Equation 1.21</t>
    </r>
  </si>
  <si>
    <t>Equation 1.35</t>
  </si>
  <si>
    <t>For mild &amp; moderate leaks, 1% of PRD rated capacity. Equation 1.40</t>
  </si>
  <si>
    <r>
      <t>For stuck open or spurious open case , 25% of the rated capacity of PR</t>
    </r>
    <r>
      <rPr>
        <sz val="10"/>
        <rFont val="Calibri"/>
        <family val="2"/>
      </rPr>
      <t>D, W</t>
    </r>
    <r>
      <rPr>
        <b/>
        <vertAlign val="superscript"/>
        <sz val="10"/>
        <rFont val="Calibri"/>
        <family val="2"/>
      </rPr>
      <t>prd</t>
    </r>
    <r>
      <rPr>
        <b/>
        <vertAlign val="subscript"/>
        <sz val="10"/>
        <rFont val="Calibri"/>
        <family val="2"/>
      </rPr>
      <t>C.</t>
    </r>
    <r>
      <rPr>
        <b/>
        <sz val="10"/>
        <rFont val="Calibri"/>
        <family val="2"/>
      </rPr>
      <t xml:space="preserve"> </t>
    </r>
    <r>
      <rPr>
        <sz val="10"/>
        <rFont val="Calibri"/>
        <family val="2"/>
      </rPr>
      <t>Equation 1.41</t>
    </r>
  </si>
  <si>
    <r>
      <t>C</t>
    </r>
    <r>
      <rPr>
        <vertAlign val="superscript"/>
        <sz val="10"/>
        <color indexed="63"/>
        <rFont val="Calibri"/>
        <family val="2"/>
      </rPr>
      <t>mild</t>
    </r>
    <r>
      <rPr>
        <vertAlign val="subscript"/>
        <sz val="10"/>
        <color indexed="63"/>
        <rFont val="Calibri"/>
        <family val="2"/>
      </rPr>
      <t>inv</t>
    </r>
    <r>
      <rPr>
        <sz val="10"/>
        <color indexed="63"/>
        <rFont val="Calibri"/>
        <family val="2"/>
      </rPr>
      <t>=24*Fr*Cost</t>
    </r>
    <r>
      <rPr>
        <vertAlign val="subscript"/>
        <sz val="10"/>
        <color indexed="63"/>
        <rFont val="Calibri"/>
        <family val="2"/>
      </rPr>
      <t>flu</t>
    </r>
    <r>
      <rPr>
        <sz val="10"/>
        <color indexed="63"/>
        <rFont val="Calibri"/>
        <family val="2"/>
      </rPr>
      <t>*D</t>
    </r>
    <r>
      <rPr>
        <vertAlign val="subscript"/>
        <sz val="10"/>
        <color indexed="63"/>
        <rFont val="Calibri"/>
        <family val="2"/>
      </rPr>
      <t>mild</t>
    </r>
    <r>
      <rPr>
        <sz val="10"/>
        <color indexed="63"/>
        <rFont val="Calibri"/>
        <family val="2"/>
      </rPr>
      <t>*lrate</t>
    </r>
    <r>
      <rPr>
        <vertAlign val="subscript"/>
        <sz val="10"/>
        <color indexed="63"/>
        <rFont val="Calibri"/>
        <family val="2"/>
      </rPr>
      <t>mild</t>
    </r>
    <r>
      <rPr>
        <sz val="10"/>
        <color indexed="63"/>
        <rFont val="Calibri"/>
        <family val="2"/>
      </rPr>
      <t xml:space="preserve"> . Equation 1.43</t>
    </r>
  </si>
  <si>
    <r>
      <t xml:space="preserve"> C</t>
    </r>
    <r>
      <rPr>
        <vertAlign val="superscript"/>
        <sz val="10"/>
        <color indexed="63"/>
        <rFont val="Calibri"/>
        <family val="2"/>
      </rPr>
      <t>so</t>
    </r>
    <r>
      <rPr>
        <vertAlign val="subscript"/>
        <sz val="10"/>
        <color indexed="63"/>
        <rFont val="Calibri"/>
        <family val="2"/>
      </rPr>
      <t>inv</t>
    </r>
    <r>
      <rPr>
        <sz val="10"/>
        <color indexed="63"/>
        <rFont val="Calibri"/>
        <family val="2"/>
      </rPr>
      <t>=24*Fr*Cost</t>
    </r>
    <r>
      <rPr>
        <vertAlign val="subscript"/>
        <sz val="10"/>
        <color indexed="63"/>
        <rFont val="Calibri"/>
        <family val="2"/>
      </rPr>
      <t>flu</t>
    </r>
    <r>
      <rPr>
        <sz val="10"/>
        <color indexed="63"/>
        <rFont val="Calibri"/>
        <family val="2"/>
      </rPr>
      <t>*D</t>
    </r>
    <r>
      <rPr>
        <vertAlign val="subscript"/>
        <sz val="10"/>
        <color indexed="63"/>
        <rFont val="Calibri"/>
        <family val="2"/>
      </rPr>
      <t>so</t>
    </r>
    <r>
      <rPr>
        <sz val="10"/>
        <color indexed="63"/>
        <rFont val="Calibri"/>
        <family val="2"/>
      </rPr>
      <t>*lrate</t>
    </r>
    <r>
      <rPr>
        <vertAlign val="subscript"/>
        <sz val="10"/>
        <color indexed="63"/>
        <rFont val="Calibri"/>
        <family val="2"/>
      </rPr>
      <t>so</t>
    </r>
    <r>
      <rPr>
        <sz val="10"/>
        <color indexed="10"/>
        <rFont val="Calibri"/>
        <family val="2"/>
      </rPr>
      <t xml:space="preserve">  </t>
    </r>
    <r>
      <rPr>
        <sz val="10"/>
        <color indexed="63"/>
        <rFont val="Calibri"/>
        <family val="2"/>
      </rPr>
      <t>. Equation 1.44</t>
    </r>
  </si>
  <si>
    <t>Equation 1.48</t>
  </si>
  <si>
    <t>Equation 1.49</t>
  </si>
  <si>
    <t>PRV with Rupture Disk</t>
  </si>
  <si>
    <t>Rupture Disk only</t>
  </si>
  <si>
    <t>Type of PRD (Table 7.1)</t>
  </si>
  <si>
    <t>PRD Service Severity</t>
  </si>
  <si>
    <t>Moderate</t>
  </si>
  <si>
    <t>Auto fill</t>
  </si>
  <si>
    <t>List</t>
  </si>
  <si>
    <t>Balanced Bellows</t>
  </si>
  <si>
    <t>PRD Discharge Location</t>
  </si>
  <si>
    <t>Atmosphere</t>
  </si>
  <si>
    <t>Closed Process</t>
  </si>
  <si>
    <t>Flare</t>
  </si>
  <si>
    <t>Environment Factor Modifier</t>
  </si>
  <si>
    <t>Environment Modifier</t>
  </si>
  <si>
    <t>Adjustment to POL η Parameter</t>
  </si>
  <si>
    <t>Table 7.6 – Environmental Adjustment Factors to Weibull η Parameter</t>
  </si>
  <si>
    <r>
      <t>Operating Temperature 200&lt;T&lt;500</t>
    </r>
    <r>
      <rPr>
        <vertAlign val="superscript"/>
        <sz val="12"/>
        <color theme="1"/>
        <rFont val="Calibri"/>
        <family val="2"/>
        <scheme val="minor"/>
      </rPr>
      <t>o</t>
    </r>
    <r>
      <rPr>
        <sz val="12"/>
        <color theme="1"/>
        <rFont val="Calibri"/>
        <family val="1"/>
        <scheme val="minor"/>
      </rPr>
      <t>F</t>
    </r>
  </si>
  <si>
    <r>
      <t>Operating Temperature &gt; 500</t>
    </r>
    <r>
      <rPr>
        <vertAlign val="superscript"/>
        <sz val="12"/>
        <color theme="1"/>
        <rFont val="Calibri"/>
        <family val="2"/>
        <scheme val="minor"/>
      </rPr>
      <t>o</t>
    </r>
    <r>
      <rPr>
        <sz val="12"/>
        <color theme="1"/>
        <rFont val="Calibri"/>
        <family val="1"/>
        <scheme val="minor"/>
      </rPr>
      <t>F</t>
    </r>
  </si>
  <si>
    <t>Operating Ratio &gt;90% for spring-loaded PRVs or &gt;95% for pilot-operated PRVs</t>
  </si>
  <si>
    <t>Installed Piping Vibration</t>
  </si>
  <si>
    <t>Pulsating or Cyclical service, such as Downstream of Positive Displacement Rotating Equipment</t>
  </si>
  <si>
    <t>Adjustment to POFOD η Parameter</t>
  </si>
  <si>
    <t>History of Excessive Actuation in Service (greater than 5 times per year)</t>
  </si>
  <si>
    <t xml:space="preserve"> Table-7.6</t>
  </si>
  <si>
    <t>Default shape factor for all types of PRVs/Rupture disk and fluid severity (Table-7.5)</t>
  </si>
  <si>
    <t>Do not change</t>
  </si>
  <si>
    <t>Table 7.5 – Default Weibull Parameters for POFOD</t>
  </si>
  <si>
    <t>Fluid Severity</t>
  </si>
  <si>
    <t>Conventional and Balanced Bellows PRVs</t>
  </si>
  <si>
    <t>Pilot-Operated PRVs</t>
  </si>
  <si>
    <t>Rupture Disks</t>
  </si>
  <si>
    <r>
      <t>η</t>
    </r>
    <r>
      <rPr>
        <b/>
        <i/>
        <vertAlign val="subscript"/>
        <sz val="10"/>
        <rFont val="Arial"/>
        <family val="2"/>
      </rPr>
      <t>def</t>
    </r>
  </si>
  <si>
    <t>Pilot Operated</t>
  </si>
  <si>
    <r>
      <t>Adjustment Factor for overpressure</t>
    </r>
    <r>
      <rPr>
        <sz val="10"/>
        <rFont val="Arial"/>
        <family val="2"/>
      </rPr>
      <t/>
    </r>
  </si>
  <si>
    <t>Section 7.2.4.j</t>
  </si>
  <si>
    <t>Table 2.C.3.1 (Inspection effectiveness)</t>
  </si>
  <si>
    <t>Refer to Table-2.C.3.1 for description of inspection</t>
  </si>
  <si>
    <t>PRD Pass/Fail test result</t>
  </si>
  <si>
    <t>Highly Effective</t>
  </si>
  <si>
    <t>Usually Effective</t>
  </si>
  <si>
    <t>Ineffective</t>
  </si>
  <si>
    <t>Incase PRD passed in test, Table 7.8</t>
  </si>
  <si>
    <t>Incase PRD failed in test, Table 7.8</t>
  </si>
  <si>
    <t>To be selected based on bench test inspection result</t>
  </si>
  <si>
    <t>Table 7.2 – Default Initiating Event Frequencies</t>
  </si>
  <si>
    <r>
      <t>EF</t>
    </r>
    <r>
      <rPr>
        <b/>
        <vertAlign val="subscript"/>
        <sz val="12"/>
        <color theme="1"/>
        <rFont val="Calibri"/>
        <family val="2"/>
        <scheme val="minor"/>
      </rPr>
      <t>j</t>
    </r>
    <r>
      <rPr>
        <b/>
        <sz val="12"/>
        <color theme="1"/>
        <rFont val="Calibri"/>
        <family val="2"/>
        <scheme val="minor"/>
      </rPr>
      <t>(events/year)</t>
    </r>
  </si>
  <si>
    <r>
      <t>DRRF</t>
    </r>
    <r>
      <rPr>
        <b/>
        <vertAlign val="subscript"/>
        <sz val="12"/>
        <color theme="1"/>
        <rFont val="Calibri"/>
        <family val="2"/>
        <scheme val="minor"/>
      </rPr>
      <t xml:space="preserve">j </t>
    </r>
    <r>
      <rPr>
        <b/>
        <sz val="12"/>
        <color theme="1"/>
        <rFont val="Calibri"/>
        <family val="2"/>
        <scheme val="minor"/>
      </rPr>
      <t>(See notes 2 and 3)</t>
    </r>
  </si>
  <si>
    <t>Fire</t>
  </si>
  <si>
    <t>Loss of Cooling Water Utility</t>
  </si>
  <si>
    <t>Electrical Power Supply failure</t>
  </si>
  <si>
    <t>Blocked Discharge without Administrative Controls</t>
  </si>
  <si>
    <t>Runaway Chemical Reaction</t>
  </si>
  <si>
    <t>Heat Exchanger Tube Rupture</t>
  </si>
  <si>
    <t>Tower P/A or Reflux Pump Failures</t>
  </si>
  <si>
    <t>Thermal Relief with Administrative Controls in Place</t>
  </si>
  <si>
    <t>Liquid Overfilling without Administrative Controls</t>
  </si>
  <si>
    <t>Control Valve Failure,Initiating event in same direction as CV normal fail position</t>
  </si>
  <si>
    <t>Blocked Discharge with Administrative Controls in Place</t>
  </si>
  <si>
    <t>Control Valve Failure,Initiating event in opposite direction as CV normal fail position</t>
  </si>
  <si>
    <t>Thermal Relief without Administrative Controls</t>
  </si>
  <si>
    <t>Liquid Overfilling with Administrative Controls in Place</t>
  </si>
  <si>
    <t>Case - 1</t>
  </si>
  <si>
    <t>Case - 2</t>
  </si>
  <si>
    <r>
      <t>DR</t>
    </r>
    <r>
      <rPr>
        <vertAlign val="subscript"/>
        <sz val="10"/>
        <color theme="1"/>
        <rFont val="Calibri"/>
        <family val="2"/>
        <scheme val="minor"/>
      </rPr>
      <t>1</t>
    </r>
  </si>
  <si>
    <r>
      <t>DRRF</t>
    </r>
    <r>
      <rPr>
        <vertAlign val="subscript"/>
        <sz val="10"/>
        <color theme="1"/>
        <rFont val="Calibri"/>
        <family val="2"/>
        <scheme val="minor"/>
      </rPr>
      <t>1</t>
    </r>
  </si>
  <si>
    <r>
      <t>EF</t>
    </r>
    <r>
      <rPr>
        <vertAlign val="subscript"/>
        <sz val="10"/>
        <color theme="1"/>
        <rFont val="Calibri"/>
        <family val="2"/>
        <scheme val="minor"/>
      </rPr>
      <t>1</t>
    </r>
  </si>
  <si>
    <t>PRD DEMAND RATE (This should be determined for each case, if PRD is designed for more than one case)</t>
  </si>
  <si>
    <r>
      <t>EF</t>
    </r>
    <r>
      <rPr>
        <vertAlign val="subscript"/>
        <sz val="10"/>
        <color theme="1"/>
        <rFont val="Calibri"/>
        <family val="2"/>
        <scheme val="minor"/>
      </rPr>
      <t>2</t>
    </r>
  </si>
  <si>
    <r>
      <t>DRRF</t>
    </r>
    <r>
      <rPr>
        <vertAlign val="subscript"/>
        <sz val="10"/>
        <color theme="1"/>
        <rFont val="Calibri"/>
        <family val="2"/>
        <scheme val="minor"/>
      </rPr>
      <t>2</t>
    </r>
  </si>
  <si>
    <r>
      <t>DR</t>
    </r>
    <r>
      <rPr>
        <vertAlign val="subscript"/>
        <sz val="10"/>
        <color theme="1"/>
        <rFont val="Calibri"/>
        <family val="2"/>
        <scheme val="minor"/>
      </rPr>
      <t>2</t>
    </r>
  </si>
  <si>
    <t>Overpressure Demand Case - 1</t>
  </si>
  <si>
    <t xml:space="preserve">Default Initiating Event Frequency for Demand Case - 1 </t>
  </si>
  <si>
    <t>Demand Rate Reduction Factor for Demand Case - 1</t>
  </si>
  <si>
    <t>Demand Rate for Demand Case - 1</t>
  </si>
  <si>
    <t>Overpressure Demand Case - 2</t>
  </si>
  <si>
    <t>Default Initiating Event Frequency for Demand Case - 2</t>
  </si>
  <si>
    <t>Demand Rate Reduction Factor for Demand Case - 2</t>
  </si>
  <si>
    <t>Demand Rate for Demand Case - 2</t>
  </si>
  <si>
    <t>Table 3.1 – Suggested Component Generic Failure Frequencies</t>
  </si>
  <si>
    <t>Equipment Type</t>
  </si>
  <si>
    <t>Compressor Centrifugal</t>
  </si>
  <si>
    <t>Compressor Reciprocating</t>
  </si>
  <si>
    <t>Heat Exchanger (Shell&amp;Tube)</t>
  </si>
  <si>
    <t>Pipe-1/2 Inch</t>
  </si>
  <si>
    <t>Pipe-4/6 Inch</t>
  </si>
  <si>
    <t>Pipe-8/10/12/16 Inch</t>
  </si>
  <si>
    <t>Pump</t>
  </si>
  <si>
    <t>Tank Bottom</t>
  </si>
  <si>
    <t>Tank Course</t>
  </si>
  <si>
    <t>Vessel/Fin Fan</t>
  </si>
  <si>
    <r>
      <t xml:space="preserve">gff </t>
    </r>
    <r>
      <rPr>
        <b/>
        <vertAlign val="subscript"/>
        <sz val="12"/>
        <color theme="1"/>
        <rFont val="Calibri"/>
        <family val="2"/>
        <scheme val="minor"/>
      </rPr>
      <t>total</t>
    </r>
    <r>
      <rPr>
        <b/>
        <sz val="12"/>
        <color theme="1"/>
        <rFont val="Calibri"/>
        <family val="2"/>
        <scheme val="minor"/>
      </rPr>
      <t xml:space="preserve"> (failures/yr)</t>
    </r>
  </si>
  <si>
    <t>Type of Equipment protected by PRD</t>
  </si>
  <si>
    <t>Manual entry</t>
  </si>
  <si>
    <t>Table 7. 10 – DF Classes for Protected Equipment</t>
  </si>
  <si>
    <t>DF Class</t>
  </si>
  <si>
    <t>None</t>
  </si>
  <si>
    <t>Minimal</t>
  </si>
  <si>
    <t>Minor</t>
  </si>
  <si>
    <t>New vessel or inspection shows little if any damage.</t>
  </si>
  <si>
    <t>Equipment has been in service for a reasonable amount of time and inspection shows evidence of minor damage. Damage mechanisms have been identified and inspection data is available.</t>
  </si>
  <si>
    <t>One or more damage mechanisms have been identified, limited inspection data available and fairly moderate evidence of damage.
Single damage mechanism identified, recent inspection indicates moderate evidence of damage.</t>
  </si>
  <si>
    <t>Moderate damage found during recent inspection.
Low susceptible to one or more damage mechanisms, and limited inspection exists.</t>
  </si>
  <si>
    <t>One or more active damage mechanisms present without any recent inspection history.
Limited inspection indicating high damage susceptibility.</t>
  </si>
  <si>
    <t>Refer to Table 7.10 for definition of class</t>
  </si>
  <si>
    <t>Total generic failure frequency for the protected equipment</t>
  </si>
  <si>
    <t>Damage factor class (To be used if DF calculated value not available from RBI)</t>
  </si>
  <si>
    <t>Note:- 
1) Value should be entered manually if Damage Factor value available for the equipment from RBI results by removing logic equation. 2) Auto fill for the default DF values from Table 7.10 upon selection of Damage factor class in above row.</t>
  </si>
  <si>
    <t>Refer to Table.7.11 for definition of service severity.</t>
  </si>
  <si>
    <t>Service Severity (Leakage Case only)</t>
  </si>
  <si>
    <t>Default shape factor for all types of PRVs/Rupture disk and fluid severity (Table-7.12)</t>
  </si>
  <si>
    <t>Table 7.12 – Default Weibull Parameters for Probability of Leakage (POL)</t>
  </si>
  <si>
    <t>Balanced Bellows PRVs</t>
  </si>
  <si>
    <t>Conventional PRVs</t>
  </si>
  <si>
    <t>If soft seat (O-rings) are added to conventional or balanced bellow PRV, then Fs = 1.25, for all other cases Fs=1. Section 7.3.2.g</t>
  </si>
  <si>
    <t>Operating Temperature 200&lt;T&lt;500oF</t>
  </si>
  <si>
    <t>Adjustment for Soft Seats &amp; Environment. Equation 1.34</t>
  </si>
  <si>
    <t xml:space="preserve"> Para. 7.3.2.h &amp; Table-7.6</t>
  </si>
  <si>
    <r>
      <t xml:space="preserve">DETERMINATION OF </t>
    </r>
    <r>
      <rPr>
        <b/>
        <sz val="10"/>
        <rFont val="Arial"/>
        <family val="2"/>
      </rPr>
      <t>η</t>
    </r>
    <r>
      <rPr>
        <b/>
        <vertAlign val="subscript"/>
        <sz val="10"/>
        <rFont val="Arial"/>
        <family val="2"/>
      </rPr>
      <t>upd</t>
    </r>
    <r>
      <rPr>
        <b/>
        <sz val="10"/>
        <rFont val="Arial"/>
        <family val="2"/>
      </rPr>
      <t>, IN CASE OF PRD INSPECTION RECORD AVAILABLE</t>
    </r>
  </si>
  <si>
    <t>PRD No Leak / Leak results</t>
  </si>
  <si>
    <t>Fail</t>
  </si>
  <si>
    <t>Prior Probability that PRD will open on Demand (Pass)</t>
  </si>
  <si>
    <t>PSV failed testing. Equation 1.20</t>
  </si>
  <si>
    <r>
      <t xml:space="preserve">Conditional Probability of PRD Failure on Demand When PRD </t>
    </r>
    <r>
      <rPr>
        <b/>
        <sz val="10"/>
        <rFont val="Calibri"/>
        <family val="2"/>
      </rPr>
      <t>passed Inspection</t>
    </r>
    <r>
      <rPr>
        <sz val="10"/>
        <rFont val="Calibri"/>
        <family val="2"/>
      </rPr>
      <t xml:space="preserve"> </t>
    </r>
    <r>
      <rPr>
        <sz val="10"/>
        <rFont val="Arial"/>
        <family val="2"/>
      </rPr>
      <t/>
    </r>
  </si>
  <si>
    <r>
      <t xml:space="preserve">Conditional Probability of PRD Failure on Demand When PRD </t>
    </r>
    <r>
      <rPr>
        <b/>
        <sz val="10"/>
        <rFont val="Calibri"/>
        <family val="2"/>
        <scheme val="minor"/>
      </rPr>
      <t xml:space="preserve">failed Inspection </t>
    </r>
    <r>
      <rPr>
        <sz val="10"/>
        <rFont val="Arial"/>
        <family val="2"/>
      </rPr>
      <t/>
    </r>
  </si>
  <si>
    <t>Refer to Data sheet of PRD for Over pressure demand case. In case of non availability of information in data sheet, Refer to Table 7.2.</t>
  </si>
  <si>
    <t>Overpressure scenario likely to occur</t>
  </si>
  <si>
    <t>MULTIPLE PRD INSTALLATION (Applicable when more than one PRD are installed to handle required relief capacity, not applicable in case of single PRD)</t>
  </si>
  <si>
    <t>Number of installed PRD</t>
  </si>
  <si>
    <t>Manual Entry</t>
  </si>
  <si>
    <t>Total orifice area of PRDs</t>
  </si>
  <si>
    <t>PRD Inlet Size</t>
  </si>
  <si>
    <t>PRD Inlet Sizes (Inch)</t>
  </si>
  <si>
    <t>&lt;= 0.75 Inch</t>
  </si>
  <si>
    <r>
      <t>0.75 &lt; Inlet size &lt;=</t>
    </r>
    <r>
      <rPr>
        <sz val="12"/>
        <color theme="1"/>
        <rFont val="Calibri"/>
        <family val="2"/>
        <scheme val="minor"/>
      </rPr>
      <t xml:space="preserve"> 1.5</t>
    </r>
  </si>
  <si>
    <r>
      <t xml:space="preserve">1.5 </t>
    </r>
    <r>
      <rPr>
        <sz val="12"/>
        <color theme="1"/>
        <rFont val="Calibri"/>
        <family val="2"/>
        <scheme val="minor"/>
      </rPr>
      <t>&lt;</t>
    </r>
    <r>
      <rPr>
        <sz val="12"/>
        <color theme="1"/>
        <rFont val="Calibri"/>
        <family val="1"/>
        <scheme val="minor"/>
      </rPr>
      <t xml:space="preserve"> Inlet size &lt;=</t>
    </r>
    <r>
      <rPr>
        <sz val="12"/>
        <color theme="1"/>
        <rFont val="Calibri"/>
        <family val="2"/>
        <scheme val="minor"/>
      </rPr>
      <t xml:space="preserve"> 3</t>
    </r>
  </si>
  <si>
    <r>
      <t xml:space="preserve">3 </t>
    </r>
    <r>
      <rPr>
        <sz val="12"/>
        <color theme="1"/>
        <rFont val="Calibri"/>
        <family val="2"/>
        <scheme val="minor"/>
      </rPr>
      <t>&lt;</t>
    </r>
    <r>
      <rPr>
        <sz val="12"/>
        <color theme="1"/>
        <rFont val="Calibri"/>
        <family val="1"/>
        <scheme val="minor"/>
      </rPr>
      <t xml:space="preserve"> Inlet size &lt;=</t>
    </r>
    <r>
      <rPr>
        <sz val="12"/>
        <color theme="1"/>
        <rFont val="Calibri"/>
        <family val="2"/>
        <scheme val="minor"/>
      </rPr>
      <t xml:space="preserve"> 6</t>
    </r>
  </si>
  <si>
    <t>The range has to be selected based on inlet size of PRD from data sheet</t>
  </si>
  <si>
    <t>Inch</t>
  </si>
  <si>
    <t>&gt; 6</t>
  </si>
  <si>
    <t>For Stuck open PRD, it is assumed that immediate repair is required and time to isolate PRD will be within 30 minutes. Do not change this value.</t>
  </si>
  <si>
    <t>Do not change this value</t>
  </si>
  <si>
    <t>- Fr = 0.5, if PRD discharges to flare and a flare recovery system is installed
- Fr = 0.0, if PRD discharges to a closed system
- Fr = 1.0, if PRD discharges to all other cases
Refer to section 7.5.4</t>
  </si>
  <si>
    <r>
      <t xml:space="preserve">- Leaking can be tolerated as per feedback received from Client and value can be taken as Zero. 
The following values can be used to calculate repair and maintenance cost for the leaking device cannot be tolerated :- 
- Csd = 1000 $ for PRDs NPS &lt; 6" inlet sizes 
- Csd = 2000 $ for PRDs NPS </t>
    </r>
    <r>
      <rPr>
        <sz val="10"/>
        <color indexed="63"/>
        <rFont val="Calibri"/>
        <family val="2"/>
      </rPr>
      <t>≥ 6" inlet sizes
Refer to section 7.5.7</t>
    </r>
  </si>
  <si>
    <t>Cost of Shutdown to Repair PRD</t>
  </si>
  <si>
    <r>
      <t>If PRD leakage can be tolerated or PRD can be isolated and repaired without requiring shutdown then C</t>
    </r>
    <r>
      <rPr>
        <vertAlign val="superscript"/>
        <sz val="10"/>
        <color indexed="63"/>
        <rFont val="Calibri"/>
        <family val="2"/>
      </rPr>
      <t>prod</t>
    </r>
    <r>
      <rPr>
        <vertAlign val="subscript"/>
        <sz val="10"/>
        <color indexed="63"/>
        <rFont val="Calibri"/>
        <family val="2"/>
      </rPr>
      <t xml:space="preserve">mild </t>
    </r>
    <r>
      <rPr>
        <sz val="10"/>
        <rFont val="Calibri"/>
        <family val="2"/>
      </rPr>
      <t xml:space="preserve">= 0 
If PRD cannot be tolerated then </t>
    </r>
    <r>
      <rPr>
        <i/>
        <sz val="10"/>
        <rFont val="Calibri"/>
        <family val="2"/>
      </rPr>
      <t>C</t>
    </r>
    <r>
      <rPr>
        <i/>
        <vertAlign val="superscript"/>
        <sz val="10"/>
        <rFont val="Calibri"/>
        <family val="2"/>
      </rPr>
      <t>prod</t>
    </r>
    <r>
      <rPr>
        <i/>
        <vertAlign val="subscript"/>
        <sz val="10"/>
        <rFont val="Calibri"/>
        <family val="2"/>
      </rPr>
      <t>mild</t>
    </r>
    <r>
      <rPr>
        <i/>
        <sz val="10"/>
        <rFont val="Calibri"/>
        <family val="2"/>
      </rPr>
      <t xml:space="preserve"> =
Unit</t>
    </r>
    <r>
      <rPr>
        <i/>
        <vertAlign val="subscript"/>
        <sz val="10"/>
        <rFont val="Calibri"/>
        <family val="2"/>
      </rPr>
      <t xml:space="preserve">Prod </t>
    </r>
    <r>
      <rPr>
        <i/>
        <sz val="10"/>
        <rFont val="Calibri"/>
        <family val="2"/>
      </rPr>
      <t>(Daily production margin on the unit, $/day) X D</t>
    </r>
    <r>
      <rPr>
        <i/>
        <vertAlign val="subscript"/>
        <sz val="10"/>
        <rFont val="Calibri"/>
        <family val="2"/>
      </rPr>
      <t>sd</t>
    </r>
    <r>
      <rPr>
        <i/>
        <sz val="10"/>
        <rFont val="Calibri"/>
        <family val="2"/>
      </rPr>
      <t xml:space="preserve"> (Days required to shut a unit down to repair a leaking or struck open PRD in days)</t>
    </r>
  </si>
  <si>
    <t>Auto fill (Refer to remark)</t>
  </si>
  <si>
    <t>RISK BASED INSPECTION ASSESSMENT REPORT 
FOR PRESSURE RELIEF DEVICE V2016</t>
  </si>
  <si>
    <t>XXXXX</t>
  </si>
  <si>
    <t xml:space="preserve">XXXXX </t>
  </si>
  <si>
    <t>Leak</t>
  </si>
  <si>
    <t>Highly Effective No Leak</t>
  </si>
  <si>
    <t>Usually Effective No Leak</t>
  </si>
  <si>
    <t>Fairly Effective No Leak</t>
  </si>
  <si>
    <t>Highly Effective Leak</t>
  </si>
  <si>
    <t>Usually Effective Leak</t>
  </si>
  <si>
    <t>Fairly Effective Leak</t>
  </si>
  <si>
    <t>PRD Leak case to determine Weighted Probability</t>
  </si>
  <si>
    <r>
      <t>Weighted Probability</t>
    </r>
    <r>
      <rPr>
        <sz val="10"/>
        <rFont val="Arial"/>
        <family val="2"/>
      </rPr>
      <t/>
    </r>
  </si>
  <si>
    <r>
      <t>P</t>
    </r>
    <r>
      <rPr>
        <i/>
        <vertAlign val="superscript"/>
        <sz val="10"/>
        <rFont val="Arial"/>
        <family val="2"/>
      </rPr>
      <t>prd</t>
    </r>
    <r>
      <rPr>
        <i/>
        <vertAlign val="subscript"/>
        <sz val="10"/>
        <rFont val="Arial"/>
        <family val="2"/>
      </rPr>
      <t>wgt</t>
    </r>
  </si>
  <si>
    <t>Refer to Table 7.8</t>
  </si>
  <si>
    <t>Refer to Table 7.9</t>
  </si>
  <si>
    <t>Similar to equation 1.20.</t>
  </si>
  <si>
    <t>Similar to equation 1.19</t>
  </si>
  <si>
    <t>Refer to Table-7.4 for selection of severity.</t>
  </si>
  <si>
    <t>Current Inspection Interval for PRD.</t>
  </si>
  <si>
    <t>Para. 7.2.4.i &amp; Table-7.6</t>
  </si>
  <si>
    <t>Take from process datasheet.</t>
  </si>
  <si>
    <t>Table-7.2</t>
  </si>
  <si>
    <t xml:space="preserve"> Table-7.2</t>
  </si>
  <si>
    <t>For demand cases more than 2, adjust formula [F56] by adding all demand Rates, if PRD is selected for single demand case, then no need for adjustment.</t>
  </si>
  <si>
    <t>Data entry guideline</t>
  </si>
  <si>
    <t>General failure frequency of Protected Equipment. Table 3.1</t>
  </si>
  <si>
    <t>Refer PRD Datasheet.</t>
  </si>
  <si>
    <t>Orifice area of PRD under assessment (To be filled for multiple installed PRDs case). From PRD data sheet.</t>
  </si>
  <si>
    <t>Orifice area of other PRDs.From PRD data sheet.</t>
  </si>
  <si>
    <t>Multiple Valve Installation Adjustment Factor. Equation 1.37</t>
  </si>
  <si>
    <t>Reduction in overpressure as a result of multiple installation. Equation 1.38</t>
  </si>
  <si>
    <t>Refer to PRD Datasheet.</t>
  </si>
  <si>
    <t xml:space="preserve">User to define appropriate value of service fluid. If data from client is not available then use market value. </t>
  </si>
  <si>
    <t>Leakage cost is added when leakage through PRD either to atmosphere or to a flare system could possibly result in cleanup cost or regulatory fines. To be discuss with client and make suitable assumption for the cost.</t>
  </si>
  <si>
    <t>All references made to Paragraphs,Tables &amp; Equations refer to API RP 581 V.2016</t>
  </si>
  <si>
    <t>Outputs. Fills automatically</t>
  </si>
  <si>
    <t>Inputs [Critical inputs some requires manual entry whereas most will have drop down list, in most instances are linked to formulas for output]</t>
  </si>
  <si>
    <t>Data input instruction</t>
  </si>
  <si>
    <t>Auto fill (Equation corrected from BV AUH file)</t>
  </si>
  <si>
    <r>
      <t>CONSEQUENCE OF PRD FAILURE TO OPEN (C</t>
    </r>
    <r>
      <rPr>
        <b/>
        <vertAlign val="superscript"/>
        <sz val="13"/>
        <color indexed="63"/>
        <rFont val="Calibri"/>
        <family val="2"/>
      </rPr>
      <t>prd</t>
    </r>
    <r>
      <rPr>
        <b/>
        <vertAlign val="subscript"/>
        <sz val="13"/>
        <color indexed="63"/>
        <rFont val="Calibri"/>
        <family val="2"/>
      </rPr>
      <t>f</t>
    </r>
    <r>
      <rPr>
        <b/>
        <sz val="13"/>
        <color indexed="63"/>
        <rFont val="Calibri"/>
        <family val="1"/>
      </rPr>
      <t>)</t>
    </r>
  </si>
  <si>
    <t>Consequence of PRD Leakage</t>
  </si>
  <si>
    <t>INSTRUCTION: Use reduced overpressure (adjusted by multiple PRDs adjustment factor) &amp; calculate financial Consequences.</t>
  </si>
  <si>
    <t>PRD Consequence of Failure to Open</t>
  </si>
  <si>
    <t>Consequence OF PRD LEAKAGE (Cprdl)</t>
  </si>
  <si>
    <t xml:space="preserve">Final Leakage Consequence </t>
  </si>
  <si>
    <t>Final leakage Consequence is calculated based on weighted how likely each of the cases is to occur. Equation 1.50.
 Cprdl=0.9Cmildl+0.1Csol</t>
  </si>
  <si>
    <t xml:space="preserve">Consequence of PRD Failure to Open on Demand </t>
  </si>
  <si>
    <t>Do not delete this column</t>
  </si>
  <si>
    <r>
      <t>1) If single PRD, then financial consequence value of the protected equipment should be taken.
2) If multiple PRD installation - Interpolation has to be done between the financial consequence value of equipment at given pressure calculated from RBI analysis of the protected equipment and adjusted reduced over pressure value for multiple PRD installation.</t>
    </r>
    <r>
      <rPr>
        <sz val="10"/>
        <color rgb="FFFF0000"/>
        <rFont val="Calibri"/>
        <family val="2"/>
        <scheme val="minor"/>
      </rPr>
      <t xml:space="preserve"> (This method has to be verified with other specialist or different approach has to be considered).</t>
    </r>
  </si>
  <si>
    <t>Revision No.</t>
  </si>
  <si>
    <t>File Name</t>
  </si>
  <si>
    <t>Prepared by</t>
  </si>
  <si>
    <t>Validated by</t>
  </si>
  <si>
    <t>Date</t>
  </si>
  <si>
    <t>File update summary</t>
  </si>
  <si>
    <t>8th March 2017</t>
  </si>
  <si>
    <t>PRD RBI Calculation as per API RP 581 V2016 methodology</t>
  </si>
  <si>
    <t>Description of update</t>
  </si>
  <si>
    <t>First issue</t>
  </si>
  <si>
    <t>Aliasgar BHARMAL</t>
  </si>
  <si>
    <t>10-RV-001</t>
  </si>
  <si>
    <t>XXXX</t>
  </si>
  <si>
    <t>1.5 &lt; Inlet size &lt;= 3</t>
  </si>
  <si>
    <r>
      <t xml:space="preserve">Conditional Probability of PRD  Pass (No leak)  </t>
    </r>
    <r>
      <rPr>
        <sz val="10"/>
        <rFont val="Arial"/>
        <family val="2"/>
      </rPr>
      <t/>
    </r>
  </si>
  <si>
    <t>Conditional Probability of PRD Leakage</t>
  </si>
  <si>
    <t>Installation date</t>
  </si>
  <si>
    <t>RBI date</t>
  </si>
  <si>
    <t>Eta (modified) using Equation 1.14</t>
  </si>
  <si>
    <t>Inspection/Test No.</t>
  </si>
  <si>
    <t>Inspection/Test Date</t>
  </si>
  <si>
    <t>PRD Test Results</t>
  </si>
  <si>
    <t>Inspection effect</t>
  </si>
  <si>
    <t>Overhauled during inspection test?</t>
  </si>
  <si>
    <t>PRD replaced in lieu of overhaul?</t>
  </si>
  <si>
    <r>
      <t>t</t>
    </r>
    <r>
      <rPr>
        <b/>
        <vertAlign val="subscript"/>
        <sz val="10"/>
        <color theme="1"/>
        <rFont val="Arial"/>
        <family val="2"/>
      </rPr>
      <t>dur</t>
    </r>
  </si>
  <si>
    <t>beta (Constant Value from Table 7.6)</t>
  </si>
  <si>
    <r>
      <t>CF</t>
    </r>
    <r>
      <rPr>
        <b/>
        <vertAlign val="subscript"/>
        <sz val="10"/>
        <color theme="1"/>
        <rFont val="Arial"/>
        <family val="2"/>
      </rPr>
      <t>pass</t>
    </r>
    <r>
      <rPr>
        <b/>
        <sz val="10"/>
        <color theme="1"/>
        <rFont val="Arial"/>
        <family val="2"/>
      </rPr>
      <t xml:space="preserve"> from Table 7.9</t>
    </r>
  </si>
  <si>
    <r>
      <t>CF</t>
    </r>
    <r>
      <rPr>
        <b/>
        <vertAlign val="subscript"/>
        <sz val="10"/>
        <color theme="1"/>
        <rFont val="Arial"/>
        <family val="2"/>
      </rPr>
      <t>fail</t>
    </r>
    <r>
      <rPr>
        <b/>
        <sz val="10"/>
        <color theme="1"/>
        <rFont val="Arial"/>
        <family val="2"/>
      </rPr>
      <t xml:space="preserve"> from Table 7.9</t>
    </r>
  </si>
  <si>
    <t>Test Results</t>
  </si>
  <si>
    <t>Inspection No.</t>
  </si>
  <si>
    <r>
      <t>P</t>
    </r>
    <r>
      <rPr>
        <b/>
        <vertAlign val="subscript"/>
        <sz val="10"/>
        <color theme="1"/>
        <rFont val="Arial"/>
        <family val="2"/>
      </rPr>
      <t>f,prior</t>
    </r>
    <r>
      <rPr>
        <b/>
        <sz val="10"/>
        <color theme="1"/>
        <rFont val="Arial"/>
        <family val="2"/>
      </rPr>
      <t xml:space="preserve"> (Equation 1.17)</t>
    </r>
  </si>
  <si>
    <r>
      <t>P</t>
    </r>
    <r>
      <rPr>
        <b/>
        <vertAlign val="subscript"/>
        <sz val="10"/>
        <color theme="1"/>
        <rFont val="Arial"/>
        <family val="2"/>
      </rPr>
      <t>p,prior</t>
    </r>
    <r>
      <rPr>
        <b/>
        <sz val="10"/>
        <color theme="1"/>
        <rFont val="Arial"/>
        <family val="2"/>
      </rPr>
      <t xml:space="preserve"> (Equation 1.18)</t>
    </r>
  </si>
  <si>
    <r>
      <t>P</t>
    </r>
    <r>
      <rPr>
        <b/>
        <vertAlign val="subscript"/>
        <sz val="10"/>
        <color theme="1"/>
        <rFont val="Arial"/>
        <family val="2"/>
      </rPr>
      <t>f,cond</t>
    </r>
    <r>
      <rPr>
        <b/>
        <sz val="10"/>
        <color theme="1"/>
        <rFont val="Arial"/>
        <family val="2"/>
      </rPr>
      <t xml:space="preserve"> (Equation 1.19 or 1.20)</t>
    </r>
  </si>
  <si>
    <r>
      <t>P</t>
    </r>
    <r>
      <rPr>
        <b/>
        <vertAlign val="subscript"/>
        <sz val="10"/>
        <color theme="1"/>
        <rFont val="Arial"/>
        <family val="2"/>
      </rPr>
      <t>f,wgt</t>
    </r>
    <r>
      <rPr>
        <b/>
        <sz val="10"/>
        <color theme="1"/>
        <rFont val="Arial"/>
        <family val="2"/>
      </rPr>
      <t xml:space="preserve"> (As per Table 7.10)</t>
    </r>
  </si>
  <si>
    <t>eta updated (Equation 1.21)</t>
  </si>
  <si>
    <t>t=</t>
  </si>
  <si>
    <r>
      <t>P</t>
    </r>
    <r>
      <rPr>
        <b/>
        <vertAlign val="subscript"/>
        <sz val="10"/>
        <color rgb="FFFF0000"/>
        <rFont val="Arial"/>
        <family val="2"/>
      </rPr>
      <t>fod</t>
    </r>
    <r>
      <rPr>
        <b/>
        <sz val="10"/>
        <color rgb="FFFF0000"/>
        <rFont val="Arial"/>
        <family val="2"/>
      </rPr>
      <t xml:space="preserve"> (Equation 1.15)</t>
    </r>
  </si>
  <si>
    <t>POFOD</t>
  </si>
  <si>
    <t>POL</t>
  </si>
  <si>
    <t>Eta (default) from Table 7.13</t>
  </si>
  <si>
    <t>Eta (modified) using Equation 1.33</t>
  </si>
  <si>
    <r>
      <t>CF</t>
    </r>
    <r>
      <rPr>
        <b/>
        <vertAlign val="subscript"/>
        <sz val="10"/>
        <color theme="1"/>
        <rFont val="Arial"/>
        <family val="2"/>
      </rPr>
      <t>No Leak</t>
    </r>
    <r>
      <rPr>
        <b/>
        <sz val="10"/>
        <color theme="1"/>
        <rFont val="Arial"/>
        <family val="2"/>
      </rPr>
      <t xml:space="preserve"> from Table 7.9</t>
    </r>
  </si>
  <si>
    <r>
      <t>CF</t>
    </r>
    <r>
      <rPr>
        <b/>
        <vertAlign val="subscript"/>
        <sz val="10"/>
        <color theme="1"/>
        <rFont val="Arial"/>
        <family val="2"/>
      </rPr>
      <t>Leak</t>
    </r>
    <r>
      <rPr>
        <b/>
        <sz val="10"/>
        <color theme="1"/>
        <rFont val="Arial"/>
        <family val="2"/>
      </rPr>
      <t xml:space="preserve"> from Table 7.9</t>
    </r>
  </si>
  <si>
    <r>
      <t>P</t>
    </r>
    <r>
      <rPr>
        <b/>
        <vertAlign val="subscript"/>
        <sz val="10"/>
        <color theme="1"/>
        <rFont val="Arial"/>
        <family val="2"/>
      </rPr>
      <t>l,prior</t>
    </r>
    <r>
      <rPr>
        <b/>
        <sz val="10"/>
        <color theme="1"/>
        <rFont val="Arial"/>
        <family val="2"/>
      </rPr>
      <t xml:space="preserve"> (Equation 1.17)</t>
    </r>
  </si>
  <si>
    <r>
      <t>P</t>
    </r>
    <r>
      <rPr>
        <b/>
        <vertAlign val="subscript"/>
        <sz val="10"/>
        <color theme="1"/>
        <rFont val="Arial"/>
        <family val="2"/>
      </rPr>
      <t>l,cond</t>
    </r>
    <r>
      <rPr>
        <b/>
        <sz val="10"/>
        <color theme="1"/>
        <rFont val="Arial"/>
        <family val="2"/>
      </rPr>
      <t xml:space="preserve"> (Equation 1.19 or 1.20)</t>
    </r>
  </si>
  <si>
    <r>
      <t>P</t>
    </r>
    <r>
      <rPr>
        <b/>
        <vertAlign val="subscript"/>
        <sz val="10"/>
        <color theme="1"/>
        <rFont val="Arial"/>
        <family val="2"/>
      </rPr>
      <t>l,wgt</t>
    </r>
    <r>
      <rPr>
        <b/>
        <sz val="10"/>
        <color theme="1"/>
        <rFont val="Arial"/>
        <family val="2"/>
      </rPr>
      <t xml:space="preserve"> (As per Table 7.10)</t>
    </r>
  </si>
  <si>
    <r>
      <t>P</t>
    </r>
    <r>
      <rPr>
        <b/>
        <vertAlign val="subscript"/>
        <sz val="10"/>
        <color rgb="FFFF0000"/>
        <rFont val="Arial"/>
        <family val="2"/>
      </rPr>
      <t>l</t>
    </r>
    <r>
      <rPr>
        <b/>
        <sz val="10"/>
        <color rgb="FFFF0000"/>
        <rFont val="Arial"/>
        <family val="2"/>
      </rPr>
      <t xml:space="preserve"> (Equation 1.15)</t>
    </r>
  </si>
  <si>
    <t>Sr. No.</t>
  </si>
  <si>
    <t>POF (Loss of containment)</t>
  </si>
  <si>
    <t>POF of PRD</t>
  </si>
  <si>
    <t>PRD Risk of Fail to Open on Demand</t>
  </si>
  <si>
    <t>Case - 3</t>
  </si>
  <si>
    <t xml:space="preserve">Overpressure Likely to Occur </t>
  </si>
  <si>
    <t>Po,j</t>
  </si>
  <si>
    <t>Mpa</t>
  </si>
  <si>
    <t>Outlet Size (in)</t>
  </si>
  <si>
    <t>Po</t>
  </si>
  <si>
    <t>Pfod,j</t>
  </si>
  <si>
    <t>PRD POFOD Associated with the Overpressure Demand Case</t>
  </si>
  <si>
    <r>
      <t>P</t>
    </r>
    <r>
      <rPr>
        <vertAlign val="subscript"/>
        <sz val="10"/>
        <rFont val="Arial"/>
        <family val="2"/>
      </rPr>
      <t>f,j</t>
    </r>
  </si>
  <si>
    <t>Probability of Failure (Loss of Containment) of Protected Equipment Associated with Overpressure Demand Case</t>
  </si>
  <si>
    <t xml:space="preserve"> Equation 1.31</t>
  </si>
  <si>
    <r>
      <t>P</t>
    </r>
    <r>
      <rPr>
        <b/>
        <i/>
        <vertAlign val="superscript"/>
        <sz val="10"/>
        <rFont val="Arial"/>
        <family val="2"/>
      </rPr>
      <t>prd</t>
    </r>
    <r>
      <rPr>
        <b/>
        <i/>
        <vertAlign val="subscript"/>
        <sz val="10"/>
        <rFont val="Arial"/>
        <family val="2"/>
      </rPr>
      <t>f,j</t>
    </r>
  </si>
  <si>
    <t>Demand Rate for Demand Case</t>
  </si>
  <si>
    <t>Risk of PRD failure to open associated with the overpressure demand case</t>
  </si>
  <si>
    <t>PRD COF to Open associated with the overpressure demand case</t>
  </si>
  <si>
    <r>
      <t xml:space="preserve">Total Risk from Failure to Open on Demand </t>
    </r>
    <r>
      <rPr>
        <sz val="10"/>
        <rFont val="Arial"/>
        <family val="2"/>
      </rPr>
      <t/>
    </r>
  </si>
  <si>
    <r>
      <t>Risk</t>
    </r>
    <r>
      <rPr>
        <b/>
        <vertAlign val="superscript"/>
        <sz val="11"/>
        <rFont val="Calibri"/>
        <family val="2"/>
      </rPr>
      <t>prd</t>
    </r>
    <r>
      <rPr>
        <b/>
        <vertAlign val="subscript"/>
        <sz val="11"/>
        <color indexed="63"/>
        <rFont val="Calibri"/>
        <family val="2"/>
      </rPr>
      <t>f,j</t>
    </r>
  </si>
  <si>
    <t xml:space="preserve">Total Risk from Failure to Open on Demand </t>
  </si>
  <si>
    <t>Inspection/Test Date - Software</t>
  </si>
  <si>
    <t>PRD Test Results - Sofrware</t>
  </si>
  <si>
    <t>Inspection effect - Software</t>
  </si>
  <si>
    <t>Overhauled during inspection test? - Software</t>
  </si>
  <si>
    <t>PRD replaced in lieu of overhaul? - Software</t>
  </si>
  <si>
    <r>
      <t>t</t>
    </r>
    <r>
      <rPr>
        <b/>
        <vertAlign val="subscript"/>
        <sz val="10"/>
        <rFont val="Arial"/>
        <family val="2"/>
      </rPr>
      <t>dur</t>
    </r>
    <r>
      <rPr>
        <b/>
        <sz val="10"/>
        <rFont val="Arial"/>
        <family val="2"/>
      </rPr>
      <t xml:space="preserve"> - Software</t>
    </r>
  </si>
  <si>
    <t>beta (Constant Value from Table 7.6) - Software</t>
  </si>
  <si>
    <r>
      <t>CF</t>
    </r>
    <r>
      <rPr>
        <b/>
        <vertAlign val="subscript"/>
        <sz val="10"/>
        <rFont val="Arial"/>
        <family val="2"/>
      </rPr>
      <t>pass</t>
    </r>
    <r>
      <rPr>
        <b/>
        <sz val="10"/>
        <rFont val="Arial"/>
        <family val="2"/>
      </rPr>
      <t xml:space="preserve"> from Table 7.9 - Software</t>
    </r>
  </si>
  <si>
    <r>
      <t>CF</t>
    </r>
    <r>
      <rPr>
        <b/>
        <vertAlign val="subscript"/>
        <sz val="10"/>
        <rFont val="Arial"/>
        <family val="2"/>
      </rPr>
      <t>fail</t>
    </r>
    <r>
      <rPr>
        <b/>
        <sz val="10"/>
        <rFont val="Arial"/>
        <family val="2"/>
      </rPr>
      <t xml:space="preserve"> from Table 7.9 - Software</t>
    </r>
  </si>
  <si>
    <r>
      <t>CF</t>
    </r>
    <r>
      <rPr>
        <b/>
        <vertAlign val="subscript"/>
        <sz val="10"/>
        <rFont val="Arial"/>
        <family val="2"/>
      </rPr>
      <t>Leak</t>
    </r>
    <r>
      <rPr>
        <b/>
        <sz val="10"/>
        <rFont val="Arial"/>
        <family val="2"/>
      </rPr>
      <t xml:space="preserve"> from Table 7.9 - Software</t>
    </r>
  </si>
  <si>
    <t>PRD Test Results - Software</t>
  </si>
  <si>
    <r>
      <t>CF</t>
    </r>
    <r>
      <rPr>
        <b/>
        <vertAlign val="subscript"/>
        <sz val="10"/>
        <rFont val="Arial"/>
        <family val="2"/>
      </rPr>
      <t>No Leak</t>
    </r>
    <r>
      <rPr>
        <b/>
        <sz val="10"/>
        <rFont val="Arial"/>
        <family val="2"/>
      </rPr>
      <t xml:space="preserve"> from Table 7.9  - Software</t>
    </r>
  </si>
  <si>
    <r>
      <t>P</t>
    </r>
    <r>
      <rPr>
        <b/>
        <vertAlign val="subscript"/>
        <sz val="10"/>
        <rFont val="Arial"/>
        <family val="2"/>
      </rPr>
      <t>l,prior</t>
    </r>
    <r>
      <rPr>
        <b/>
        <sz val="10"/>
        <rFont val="Arial"/>
        <family val="2"/>
      </rPr>
      <t xml:space="preserve"> (Equation 1.17)</t>
    </r>
  </si>
  <si>
    <r>
      <t>P</t>
    </r>
    <r>
      <rPr>
        <b/>
        <vertAlign val="subscript"/>
        <sz val="10"/>
        <rFont val="Arial"/>
        <family val="2"/>
      </rPr>
      <t>p,prior</t>
    </r>
    <r>
      <rPr>
        <b/>
        <sz val="10"/>
        <rFont val="Arial"/>
        <family val="2"/>
      </rPr>
      <t xml:space="preserve"> (Equation 1.18) - Software</t>
    </r>
  </si>
  <si>
    <r>
      <t>P</t>
    </r>
    <r>
      <rPr>
        <b/>
        <vertAlign val="subscript"/>
        <sz val="10"/>
        <rFont val="Arial"/>
        <family val="2"/>
      </rPr>
      <t>l,cond</t>
    </r>
    <r>
      <rPr>
        <b/>
        <sz val="10"/>
        <rFont val="Arial"/>
        <family val="2"/>
      </rPr>
      <t xml:space="preserve"> (Equation 1.19 or 1.20) - Software</t>
    </r>
  </si>
  <si>
    <r>
      <t>P</t>
    </r>
    <r>
      <rPr>
        <b/>
        <vertAlign val="subscript"/>
        <sz val="10"/>
        <rFont val="Arial"/>
        <family val="2"/>
      </rPr>
      <t>l,wgt</t>
    </r>
    <r>
      <rPr>
        <b/>
        <sz val="10"/>
        <rFont val="Arial"/>
        <family val="2"/>
      </rPr>
      <t xml:space="preserve"> (As per Table 7.10) - Software</t>
    </r>
  </si>
  <si>
    <t>eta updated (Equation 1.21) - Software</t>
  </si>
  <si>
    <t>Value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</si>
</sst>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E+00"/>
    <numFmt numFmtId="167" formatCode="0.000E+00"/>
  </numFmts>
  <fonts count="98" x14ac:knownFonts="1">
    <font>
      <sz val="12"/>
      <color theme="1"/>
      <name val="Calibri"/>
      <family val="1"/>
      <scheme val="minor"/>
    </font>
    <font>
      <b/>
      <sz val="15"/>
      <color indexed="10"/>
      <name val="Calibri"/>
      <family val="2"/>
    </font>
    <font>
      <b/>
      <sz val="13"/>
      <color indexed="10"/>
      <name val="Calibri"/>
      <family val="2"/>
    </font>
    <font>
      <b/>
      <sz val="11"/>
      <color indexed="10"/>
      <name val="Calibri"/>
      <family val="2"/>
    </font>
    <font>
      <sz val="10"/>
      <name val="Arial"/>
      <family val="2"/>
    </font>
    <font>
      <i/>
      <sz val="11"/>
      <color indexed="23"/>
      <name val="Calibri"/>
      <family val="2"/>
    </font>
    <font>
      <sz val="10"/>
      <color indexed="63"/>
      <name val="Calibri"/>
      <family val="2"/>
    </font>
    <font>
      <vertAlign val="subscript"/>
      <sz val="10"/>
      <name val="Arial"/>
      <family val="2"/>
    </font>
    <font>
      <i/>
      <vertAlign val="subscript"/>
      <sz val="10"/>
      <name val="Arial"/>
      <family val="2"/>
    </font>
    <font>
      <vertAlign val="superscript"/>
      <sz val="10"/>
      <name val="Arial"/>
      <family val="2"/>
    </font>
    <font>
      <i/>
      <vertAlign val="superscript"/>
      <sz val="10"/>
      <name val="Arial"/>
      <family val="2"/>
    </font>
    <font>
      <i/>
      <vertAlign val="subscript"/>
      <sz val="10"/>
      <name val="Cambria"/>
      <family val="1"/>
    </font>
    <font>
      <sz val="10"/>
      <name val="Calibri"/>
      <family val="2"/>
    </font>
    <font>
      <b/>
      <sz val="10"/>
      <color indexed="63"/>
      <name val="Calibri"/>
      <family val="2"/>
    </font>
    <font>
      <sz val="10"/>
      <color indexed="63"/>
      <name val="Calibri"/>
      <family val="1"/>
    </font>
    <font>
      <i/>
      <vertAlign val="subscript"/>
      <sz val="10"/>
      <name val="Calibri"/>
      <family val="2"/>
    </font>
    <font>
      <i/>
      <vertAlign val="superscript"/>
      <sz val="10"/>
      <name val="Calibri"/>
      <family val="2"/>
    </font>
    <font>
      <b/>
      <vertAlign val="superscript"/>
      <sz val="10"/>
      <name val="Calibri"/>
      <family val="2"/>
    </font>
    <font>
      <sz val="10"/>
      <color indexed="20"/>
      <name val="Calibri"/>
      <family val="2"/>
    </font>
    <font>
      <i/>
      <vertAlign val="subscript"/>
      <sz val="10"/>
      <color indexed="63"/>
      <name val="Calibri"/>
      <family val="2"/>
    </font>
    <font>
      <vertAlign val="superscript"/>
      <sz val="10"/>
      <name val="Calibri"/>
      <family val="2"/>
    </font>
    <font>
      <sz val="10"/>
      <color indexed="10"/>
      <name val="Calibri"/>
      <family val="2"/>
    </font>
    <font>
      <b/>
      <vertAlign val="subscript"/>
      <sz val="10"/>
      <name val="Calibri"/>
      <family val="2"/>
    </font>
    <font>
      <vertAlign val="subscript"/>
      <sz val="10"/>
      <color indexed="63"/>
      <name val="Calibri"/>
      <family val="2"/>
    </font>
    <font>
      <b/>
      <vertAlign val="superscript"/>
      <sz val="10"/>
      <name val="Arial"/>
      <family val="2"/>
    </font>
    <font>
      <b/>
      <vertAlign val="subscript"/>
      <sz val="10"/>
      <name val="Arial"/>
      <family val="2"/>
    </font>
    <font>
      <vertAlign val="superscript"/>
      <sz val="10"/>
      <color indexed="63"/>
      <name val="Calibri"/>
      <family val="2"/>
    </font>
    <font>
      <i/>
      <sz val="10"/>
      <color indexed="63"/>
      <name val="Calibri"/>
      <family val="1"/>
    </font>
    <font>
      <i/>
      <sz val="10"/>
      <color indexed="63"/>
      <name val="Calibri"/>
      <family val="2"/>
    </font>
    <font>
      <b/>
      <vertAlign val="subscript"/>
      <sz val="10"/>
      <color indexed="63"/>
      <name val="Calibri"/>
      <family val="2"/>
    </font>
    <font>
      <vertAlign val="subscript"/>
      <sz val="10"/>
      <name val="Calibri"/>
      <family val="2"/>
    </font>
    <font>
      <b/>
      <sz val="13"/>
      <color indexed="63"/>
      <name val="Calibri"/>
      <family val="1"/>
    </font>
    <font>
      <b/>
      <sz val="10"/>
      <name val="Arial"/>
      <family val="2"/>
    </font>
    <font>
      <b/>
      <vertAlign val="superscript"/>
      <sz val="12"/>
      <color indexed="9"/>
      <name val="Arial"/>
      <family val="2"/>
    </font>
    <font>
      <sz val="11"/>
      <name val="Calibri"/>
      <family val="2"/>
    </font>
    <font>
      <b/>
      <sz val="11"/>
      <name val="Calibri"/>
      <family val="2"/>
    </font>
    <font>
      <b/>
      <i/>
      <vertAlign val="subscript"/>
      <sz val="11"/>
      <name val="Calibri"/>
      <family val="2"/>
    </font>
    <font>
      <b/>
      <i/>
      <vertAlign val="superscript"/>
      <sz val="10"/>
      <name val="Arial"/>
      <family val="2"/>
    </font>
    <font>
      <b/>
      <i/>
      <vertAlign val="subscript"/>
      <sz val="10"/>
      <name val="Arial"/>
      <family val="2"/>
    </font>
    <font>
      <b/>
      <vertAlign val="superscript"/>
      <sz val="10"/>
      <color indexed="63"/>
      <name val="Calibri"/>
      <family val="2"/>
    </font>
    <font>
      <b/>
      <vertAlign val="superscript"/>
      <sz val="11"/>
      <color indexed="63"/>
      <name val="Calibri"/>
      <family val="2"/>
    </font>
    <font>
      <b/>
      <vertAlign val="subscript"/>
      <sz val="11"/>
      <color indexed="63"/>
      <name val="Calibri"/>
      <family val="2"/>
    </font>
    <font>
      <b/>
      <vertAlign val="superscript"/>
      <sz val="11"/>
      <name val="Calibri"/>
      <family val="2"/>
    </font>
    <font>
      <b/>
      <vertAlign val="subscript"/>
      <sz val="11"/>
      <name val="Arial"/>
      <family val="2"/>
    </font>
    <font>
      <b/>
      <vertAlign val="superscript"/>
      <sz val="13"/>
      <color indexed="63"/>
      <name val="Calibri"/>
      <family val="2"/>
    </font>
    <font>
      <b/>
      <vertAlign val="subscript"/>
      <sz val="13"/>
      <color indexed="63"/>
      <name val="Calibri"/>
      <family val="2"/>
    </font>
    <font>
      <sz val="10"/>
      <color indexed="30"/>
      <name val="Calibri"/>
      <family val="2"/>
    </font>
    <font>
      <b/>
      <sz val="10"/>
      <color indexed="30"/>
      <name val="Calibri"/>
      <family val="2"/>
    </font>
    <font>
      <i/>
      <sz val="10"/>
      <name val="Calibri"/>
      <family val="2"/>
    </font>
    <font>
      <sz val="11"/>
      <color indexed="30"/>
      <name val="Calibri"/>
      <family val="2"/>
    </font>
    <font>
      <b/>
      <sz val="10"/>
      <name val="Calibri"/>
      <family val="2"/>
    </font>
    <font>
      <sz val="13"/>
      <color theme="1"/>
      <name val="Calibri"/>
      <family val="1"/>
      <scheme val="minor"/>
    </font>
    <font>
      <sz val="10"/>
      <color rgb="FF00B050"/>
      <name val="Calibri"/>
      <family val="2"/>
      <scheme val="minor"/>
    </font>
    <font>
      <sz val="10"/>
      <color theme="1"/>
      <name val="Calibri"/>
      <family val="2"/>
      <scheme val="minor"/>
    </font>
    <font>
      <sz val="10"/>
      <color rgb="FFFF0000"/>
      <name val="Calibri"/>
      <family val="2"/>
      <scheme val="minor"/>
    </font>
    <font>
      <sz val="10"/>
      <color theme="0"/>
      <name val="Calibri"/>
      <family val="2"/>
      <scheme val="minor"/>
    </font>
    <font>
      <sz val="10"/>
      <color theme="1"/>
      <name val="Calibri"/>
      <family val="1"/>
      <scheme val="minor"/>
    </font>
    <font>
      <sz val="10"/>
      <name val="Calibri"/>
      <family val="2"/>
      <scheme val="minor"/>
    </font>
    <font>
      <sz val="11"/>
      <color rgb="FF0070C0"/>
      <name val="Calibri"/>
      <family val="1"/>
      <scheme val="minor"/>
    </font>
    <font>
      <sz val="11"/>
      <color theme="1"/>
      <name val="Calibri"/>
      <family val="1"/>
      <scheme val="minor"/>
    </font>
    <font>
      <sz val="11"/>
      <color rgb="FFFF0000"/>
      <name val="Calibri"/>
      <family val="1"/>
      <scheme val="minor"/>
    </font>
    <font>
      <sz val="11"/>
      <color rgb="FF00B050"/>
      <name val="Calibri"/>
      <family val="1"/>
      <scheme val="minor"/>
    </font>
    <font>
      <b/>
      <sz val="10"/>
      <color theme="1"/>
      <name val="Calibri"/>
      <family val="2"/>
      <scheme val="minor"/>
    </font>
    <font>
      <b/>
      <sz val="10"/>
      <color theme="1"/>
      <name val="Calibri"/>
      <family val="1"/>
      <scheme val="minor"/>
    </font>
    <font>
      <b/>
      <sz val="10"/>
      <name val="Calibri"/>
      <family val="2"/>
      <scheme val="minor"/>
    </font>
    <font>
      <b/>
      <sz val="11"/>
      <color theme="1"/>
      <name val="Calibri"/>
      <family val="2"/>
      <scheme val="minor"/>
    </font>
    <font>
      <b/>
      <sz val="10"/>
      <color rgb="FF00B050"/>
      <name val="Calibri"/>
      <family val="2"/>
      <scheme val="minor"/>
    </font>
    <font>
      <b/>
      <sz val="11"/>
      <name val="Calibri"/>
      <family val="2"/>
      <scheme val="minor"/>
    </font>
    <font>
      <b/>
      <sz val="12"/>
      <color theme="0"/>
      <name val="Calibri"/>
      <family val="2"/>
      <scheme val="minor"/>
    </font>
    <font>
      <b/>
      <sz val="12"/>
      <color rgb="FF00B050"/>
      <name val="Calibri"/>
      <family val="2"/>
      <scheme val="minor"/>
    </font>
    <font>
      <sz val="11"/>
      <name val="Calibri"/>
      <family val="2"/>
      <scheme val="minor"/>
    </font>
    <font>
      <sz val="10"/>
      <color rgb="FF0070C0"/>
      <name val="Calibri"/>
      <family val="2"/>
      <scheme val="minor"/>
    </font>
    <font>
      <b/>
      <sz val="14"/>
      <color theme="0"/>
      <name val="Calibri"/>
      <family val="2"/>
      <scheme val="minor"/>
    </font>
    <font>
      <b/>
      <sz val="13"/>
      <color theme="1"/>
      <name val="Calibri"/>
      <family val="1"/>
      <scheme val="minor"/>
    </font>
    <font>
      <b/>
      <sz val="13"/>
      <color theme="0"/>
      <name val="Calibri"/>
      <family val="1"/>
      <scheme val="minor"/>
    </font>
    <font>
      <sz val="11"/>
      <name val="Calibri"/>
      <family val="1"/>
      <scheme val="minor"/>
    </font>
    <font>
      <b/>
      <sz val="12"/>
      <color theme="1"/>
      <name val="Calibri"/>
      <family val="2"/>
      <scheme val="minor"/>
    </font>
    <font>
      <vertAlign val="superscript"/>
      <sz val="12"/>
      <color theme="1"/>
      <name val="Calibri"/>
      <family val="2"/>
      <scheme val="minor"/>
    </font>
    <font>
      <b/>
      <sz val="12"/>
      <color theme="1"/>
      <name val="Calibri"/>
      <family val="1"/>
      <scheme val="minor"/>
    </font>
    <font>
      <sz val="12"/>
      <color theme="0"/>
      <name val="Calibri"/>
      <family val="1"/>
      <scheme val="minor"/>
    </font>
    <font>
      <b/>
      <vertAlign val="subscript"/>
      <sz val="12"/>
      <color theme="1"/>
      <name val="Calibri"/>
      <family val="2"/>
      <scheme val="minor"/>
    </font>
    <font>
      <vertAlign val="subscript"/>
      <sz val="10"/>
      <color theme="1"/>
      <name val="Calibri"/>
      <family val="2"/>
      <scheme val="minor"/>
    </font>
    <font>
      <sz val="12"/>
      <color theme="1"/>
      <name val="Calibri"/>
      <family val="2"/>
      <scheme val="minor"/>
    </font>
    <font>
      <sz val="10"/>
      <color theme="1"/>
      <name val="Calibri"/>
      <family val="2"/>
    </font>
    <font>
      <b/>
      <sz val="12"/>
      <color rgb="FFFF0000"/>
      <name val="Calibri"/>
      <family val="2"/>
      <scheme val="minor"/>
    </font>
    <font>
      <b/>
      <sz val="11"/>
      <color theme="1"/>
      <name val="Arial"/>
      <family val="2"/>
    </font>
    <font>
      <sz val="11"/>
      <color theme="1"/>
      <name val="Arial"/>
      <family val="2"/>
    </font>
    <font>
      <sz val="10"/>
      <color theme="1"/>
      <name val="Arial"/>
      <family val="2"/>
    </font>
    <font>
      <b/>
      <sz val="10"/>
      <color theme="1"/>
      <name val="Arial"/>
      <family val="2"/>
    </font>
    <font>
      <b/>
      <vertAlign val="subscript"/>
      <sz val="10"/>
      <color theme="1"/>
      <name val="Arial"/>
      <family val="2"/>
    </font>
    <font>
      <b/>
      <sz val="10"/>
      <color rgb="FFFF0000"/>
      <name val="Arial"/>
      <family val="2"/>
    </font>
    <font>
      <b/>
      <vertAlign val="subscript"/>
      <sz val="10"/>
      <color rgb="FFFF0000"/>
      <name val="Arial"/>
      <family val="2"/>
    </font>
    <font>
      <sz val="10"/>
      <color rgb="FFFF0000"/>
      <name val="Arial"/>
      <family val="2"/>
    </font>
    <font>
      <b/>
      <sz val="9"/>
      <color indexed="81"/>
      <name val="Tahoma"/>
      <family val="2"/>
    </font>
    <font>
      <sz val="9"/>
      <color indexed="81"/>
      <name val="Tahoma"/>
      <family val="2"/>
    </font>
    <font>
      <sz val="12"/>
      <color rgb="FF348480"/>
      <name val="Calibri"/>
      <family val="1"/>
      <scheme val="minor"/>
    </font>
    <font>
      <sz val="12"/>
      <name val="Calibri"/>
      <family val="1"/>
      <scheme val="minor"/>
    </font>
    <font>
      <b/>
      <sz val="12"/>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3"/>
        <bgColor indexed="64"/>
      </patternFill>
    </fill>
    <fill>
      <patternFill patternType="solid">
        <fgColor theme="3" tint="0.39997558519241921"/>
        <bgColor indexed="64"/>
      </patternFill>
    </fill>
    <fill>
      <patternFill patternType="solid">
        <fgColor rgb="FF3B9B9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426">
    <xf numFmtId="0" fontId="0" fillId="0" borderId="0" xfId="0"/>
    <xf numFmtId="0" fontId="0" fillId="0" borderId="0" xfId="0" applyProtection="1">
      <protection locked="0"/>
    </xf>
    <xf numFmtId="0" fontId="0" fillId="0" borderId="0" xfId="0" applyAlignment="1" applyProtection="1">
      <alignment horizontal="center"/>
      <protection locked="0"/>
    </xf>
    <xf numFmtId="0" fontId="53" fillId="0" borderId="0" xfId="0" applyFont="1" applyAlignment="1" applyProtection="1">
      <alignment horizontal="center" vertical="center"/>
      <protection locked="0"/>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54" fillId="2" borderId="1" xfId="0" applyFont="1" applyFill="1" applyBorder="1" applyAlignment="1" applyProtection="1">
      <alignment horizontal="center" vertical="center" wrapText="1"/>
      <protection locked="0"/>
    </xf>
    <xf numFmtId="0" fontId="54" fillId="2" borderId="1" xfId="0" applyFont="1" applyFill="1" applyBorder="1" applyAlignment="1" applyProtection="1">
      <alignment horizontal="center" vertical="center"/>
      <protection locked="0"/>
    </xf>
    <xf numFmtId="11" fontId="54" fillId="2" borderId="1" xfId="0" applyNumberFormat="1" applyFont="1" applyFill="1" applyBorder="1" applyAlignment="1" applyProtection="1">
      <alignment horizontal="center" vertical="center"/>
      <protection locked="0"/>
    </xf>
    <xf numFmtId="0" fontId="54" fillId="2" borderId="1" xfId="0" quotePrefix="1" applyFont="1" applyFill="1" applyBorder="1" applyAlignment="1" applyProtection="1">
      <alignment horizontal="center" vertical="center"/>
      <protection locked="0"/>
    </xf>
    <xf numFmtId="0" fontId="0" fillId="0" borderId="2" xfId="0" applyBorder="1" applyProtection="1">
      <protection locked="0"/>
    </xf>
    <xf numFmtId="0" fontId="55" fillId="3" borderId="3" xfId="0" applyFont="1" applyFill="1" applyBorder="1" applyAlignment="1" applyProtection="1">
      <alignment vertical="center" wrapText="1"/>
      <protection locked="0"/>
    </xf>
    <xf numFmtId="3" fontId="54" fillId="2" borderId="4" xfId="0" applyNumberFormat="1" applyFont="1" applyFill="1" applyBorder="1" applyAlignment="1" applyProtection="1">
      <alignment horizontal="center" vertical="center"/>
      <protection locked="0"/>
    </xf>
    <xf numFmtId="0" fontId="52" fillId="2" borderId="4" xfId="0" applyFont="1" applyFill="1" applyBorder="1" applyAlignment="1" applyProtection="1">
      <alignment horizontal="center" vertical="center"/>
      <protection hidden="1"/>
    </xf>
    <xf numFmtId="0" fontId="53" fillId="4" borderId="5" xfId="0" applyFont="1" applyFill="1" applyBorder="1" applyAlignment="1" applyProtection="1">
      <alignment horizontal="left" vertical="center"/>
      <protection hidden="1"/>
    </xf>
    <xf numFmtId="0" fontId="53" fillId="4" borderId="1" xfId="0" applyFont="1" applyFill="1" applyBorder="1" applyAlignment="1" applyProtection="1">
      <alignment horizontal="left" vertical="center"/>
      <protection hidden="1"/>
    </xf>
    <xf numFmtId="0" fontId="53" fillId="4" borderId="1" xfId="0" applyFont="1" applyFill="1" applyBorder="1" applyAlignment="1" applyProtection="1">
      <alignment horizontal="left" vertical="center" wrapText="1"/>
      <protection hidden="1"/>
    </xf>
    <xf numFmtId="0" fontId="53" fillId="4" borderId="1" xfId="0" applyFont="1" applyFill="1" applyBorder="1" applyAlignment="1" applyProtection="1">
      <alignment vertical="top" wrapText="1"/>
      <protection hidden="1"/>
    </xf>
    <xf numFmtId="0" fontId="53" fillId="4" borderId="1" xfId="0" applyFont="1" applyFill="1" applyBorder="1" applyAlignment="1" applyProtection="1">
      <alignment vertical="center" wrapText="1"/>
      <protection hidden="1"/>
    </xf>
    <xf numFmtId="0" fontId="56" fillId="3" borderId="1" xfId="0" quotePrefix="1" applyFont="1" applyFill="1" applyBorder="1" applyAlignment="1" applyProtection="1">
      <alignment horizontal="center" vertical="center" wrapText="1"/>
      <protection hidden="1"/>
    </xf>
    <xf numFmtId="0" fontId="56" fillId="3" borderId="1" xfId="0" applyFont="1" applyFill="1" applyBorder="1" applyAlignment="1" applyProtection="1">
      <alignment horizontal="center" vertical="center" wrapText="1"/>
      <protection hidden="1"/>
    </xf>
    <xf numFmtId="0" fontId="56" fillId="0" borderId="1" xfId="0" applyFont="1" applyBorder="1" applyAlignment="1" applyProtection="1">
      <alignment horizontal="center" vertical="center" wrapText="1"/>
      <protection hidden="1"/>
    </xf>
    <xf numFmtId="0" fontId="57" fillId="3" borderId="1" xfId="0" quotePrefix="1" applyFont="1" applyFill="1" applyBorder="1" applyAlignment="1" applyProtection="1">
      <alignment horizontal="center" vertical="center" wrapText="1"/>
      <protection hidden="1"/>
    </xf>
    <xf numFmtId="0" fontId="56" fillId="0" borderId="4" xfId="0" applyFont="1" applyBorder="1" applyAlignment="1" applyProtection="1">
      <alignment horizontal="center" vertical="center"/>
      <protection hidden="1"/>
    </xf>
    <xf numFmtId="167" fontId="52" fillId="2" borderId="1" xfId="0" applyNumberFormat="1" applyFont="1" applyFill="1" applyBorder="1" applyAlignment="1" applyProtection="1">
      <alignment horizontal="center" vertical="center"/>
      <protection hidden="1"/>
    </xf>
    <xf numFmtId="2" fontId="52" fillId="2" borderId="1" xfId="0" applyNumberFormat="1" applyFont="1" applyFill="1" applyBorder="1" applyAlignment="1" applyProtection="1">
      <alignment horizontal="center" vertical="center"/>
      <protection hidden="1"/>
    </xf>
    <xf numFmtId="0" fontId="58" fillId="0" borderId="1" xfId="0" applyFont="1" applyBorder="1"/>
    <xf numFmtId="0" fontId="59" fillId="0" borderId="1" xfId="0" applyFont="1" applyBorder="1"/>
    <xf numFmtId="0" fontId="61" fillId="0" borderId="1" xfId="0" applyFont="1" applyBorder="1"/>
    <xf numFmtId="0" fontId="57" fillId="0" borderId="6" xfId="0" applyFont="1" applyFill="1" applyBorder="1" applyAlignment="1" applyProtection="1">
      <alignment horizontal="center" vertical="center" wrapText="1"/>
      <protection hidden="1"/>
    </xf>
    <xf numFmtId="167" fontId="52" fillId="2" borderId="6" xfId="0" applyNumberFormat="1" applyFont="1" applyFill="1" applyBorder="1" applyAlignment="1" applyProtection="1">
      <alignment horizontal="center" vertical="center"/>
      <protection hidden="1"/>
    </xf>
    <xf numFmtId="0" fontId="54" fillId="2" borderId="6" xfId="0" applyFont="1" applyFill="1" applyBorder="1" applyAlignment="1" applyProtection="1">
      <alignment horizontal="center" vertical="center"/>
      <protection locked="0"/>
    </xf>
    <xf numFmtId="0" fontId="54" fillId="2" borderId="7" xfId="0" applyFont="1" applyFill="1" applyBorder="1" applyAlignment="1" applyProtection="1">
      <alignment horizontal="center" vertical="center"/>
      <protection locked="0"/>
    </xf>
    <xf numFmtId="0" fontId="53" fillId="3" borderId="1" xfId="0" quotePrefix="1" applyFont="1" applyFill="1" applyBorder="1" applyAlignment="1" applyProtection="1">
      <alignment horizontal="center" vertical="center" wrapText="1"/>
      <protection hidden="1"/>
    </xf>
    <xf numFmtId="0" fontId="53" fillId="3" borderId="1" xfId="0" applyFont="1" applyFill="1" applyBorder="1" applyAlignment="1" applyProtection="1">
      <alignment horizontal="center" vertical="center"/>
      <protection hidden="1"/>
    </xf>
    <xf numFmtId="0" fontId="53" fillId="0" borderId="1" xfId="0" quotePrefix="1" applyFont="1" applyBorder="1" applyAlignment="1" applyProtection="1">
      <alignment horizontal="center" vertical="center"/>
      <protection hidden="1"/>
    </xf>
    <xf numFmtId="0" fontId="53" fillId="3" borderId="1" xfId="0" quotePrefix="1" applyFont="1" applyFill="1" applyBorder="1" applyAlignment="1" applyProtection="1">
      <alignment horizontal="center" vertical="center"/>
      <protection hidden="1"/>
    </xf>
    <xf numFmtId="0" fontId="53" fillId="3" borderId="4" xfId="0" applyFont="1" applyFill="1" applyBorder="1" applyAlignment="1" applyProtection="1">
      <alignment horizontal="center" vertical="center"/>
      <protection hidden="1"/>
    </xf>
    <xf numFmtId="0" fontId="53" fillId="0" borderId="1" xfId="0" applyFont="1" applyBorder="1" applyAlignment="1" applyProtection="1">
      <alignment horizontal="center" vertical="center" wrapText="1"/>
      <protection hidden="1"/>
    </xf>
    <xf numFmtId="0" fontId="53" fillId="0" borderId="1" xfId="0" applyFont="1" applyBorder="1" applyAlignment="1" applyProtection="1">
      <alignment horizontal="center" vertical="center"/>
      <protection hidden="1"/>
    </xf>
    <xf numFmtId="0" fontId="53" fillId="3" borderId="4" xfId="0" applyFont="1" applyFill="1" applyBorder="1" applyAlignment="1" applyProtection="1">
      <alignment horizontal="center" vertical="center" wrapText="1"/>
      <protection hidden="1"/>
    </xf>
    <xf numFmtId="0" fontId="62" fillId="3" borderId="4" xfId="0" applyFont="1" applyFill="1" applyBorder="1" applyAlignment="1" applyProtection="1">
      <alignment horizontal="center" vertical="center" wrapText="1"/>
      <protection hidden="1"/>
    </xf>
    <xf numFmtId="0" fontId="53" fillId="0" borderId="4" xfId="0" applyFont="1" applyBorder="1" applyAlignment="1" applyProtection="1">
      <alignment horizontal="center" vertical="center" wrapText="1"/>
      <protection hidden="1"/>
    </xf>
    <xf numFmtId="0" fontId="56" fillId="0" borderId="1" xfId="0" applyFont="1" applyBorder="1" applyAlignment="1" applyProtection="1">
      <alignment horizontal="center" vertical="center"/>
      <protection hidden="1"/>
    </xf>
    <xf numFmtId="11" fontId="52" fillId="2" borderId="1" xfId="0" applyNumberFormat="1" applyFont="1" applyFill="1" applyBorder="1" applyAlignment="1" applyProtection="1">
      <alignment horizontal="center" vertical="center"/>
      <protection hidden="1"/>
    </xf>
    <xf numFmtId="0" fontId="62" fillId="3" borderId="4" xfId="0" applyFont="1" applyFill="1" applyBorder="1" applyAlignment="1" applyProtection="1">
      <alignment horizontal="center" vertical="center"/>
      <protection hidden="1"/>
    </xf>
    <xf numFmtId="11" fontId="52" fillId="2" borderId="4" xfId="0" applyNumberFormat="1" applyFont="1" applyFill="1" applyBorder="1" applyAlignment="1" applyProtection="1">
      <alignment horizontal="center" vertical="center"/>
      <protection hidden="1"/>
    </xf>
    <xf numFmtId="0" fontId="56" fillId="0" borderId="1" xfId="0" quotePrefix="1" applyFont="1" applyBorder="1" applyAlignment="1" applyProtection="1">
      <alignment horizontal="center" vertical="center" wrapText="1"/>
      <protection hidden="1"/>
    </xf>
    <xf numFmtId="0" fontId="56" fillId="3" borderId="1" xfId="0" applyFont="1" applyFill="1" applyBorder="1" applyAlignment="1" applyProtection="1">
      <alignment horizontal="center" vertical="center"/>
      <protection hidden="1"/>
    </xf>
    <xf numFmtId="0" fontId="63" fillId="0" borderId="4" xfId="0" applyFont="1" applyBorder="1" applyAlignment="1" applyProtection="1">
      <alignment horizontal="center" vertical="center"/>
      <protection hidden="1"/>
    </xf>
    <xf numFmtId="0" fontId="52" fillId="2" borderId="1" xfId="0" applyFont="1" applyFill="1" applyBorder="1" applyAlignment="1" applyProtection="1">
      <alignment horizontal="center" vertical="center"/>
      <protection hidden="1"/>
    </xf>
    <xf numFmtId="0" fontId="53" fillId="0" borderId="1" xfId="0" quotePrefix="1" applyFont="1" applyBorder="1" applyAlignment="1" applyProtection="1">
      <alignment horizontal="center" vertical="center" wrapText="1"/>
      <protection hidden="1"/>
    </xf>
    <xf numFmtId="0" fontId="53" fillId="0" borderId="4" xfId="0" applyFont="1" applyBorder="1" applyAlignment="1" applyProtection="1">
      <alignment horizontal="center" vertical="center"/>
      <protection hidden="1"/>
    </xf>
    <xf numFmtId="0" fontId="56" fillId="3" borderId="6" xfId="0" applyFont="1" applyFill="1" applyBorder="1" applyAlignment="1" applyProtection="1">
      <alignment horizontal="center" vertical="center" wrapText="1"/>
      <protection hidden="1"/>
    </xf>
    <xf numFmtId="0" fontId="64" fillId="0" borderId="4" xfId="0" applyFont="1" applyFill="1" applyBorder="1" applyAlignment="1" applyProtection="1">
      <alignment horizontal="center" vertical="center" wrapText="1"/>
      <protection hidden="1"/>
    </xf>
    <xf numFmtId="166" fontId="52" fillId="2" borderId="1" xfId="0" applyNumberFormat="1" applyFont="1" applyFill="1" applyBorder="1" applyAlignment="1" applyProtection="1">
      <alignment horizontal="center" vertical="center"/>
      <protection hidden="1"/>
    </xf>
    <xf numFmtId="164" fontId="52" fillId="2" borderId="1" xfId="0" applyNumberFormat="1" applyFont="1" applyFill="1" applyBorder="1" applyAlignment="1" applyProtection="1">
      <alignment horizontal="center" vertical="center"/>
      <protection hidden="1"/>
    </xf>
    <xf numFmtId="0" fontId="57" fillId="0" borderId="4" xfId="0" applyFont="1" applyBorder="1" applyAlignment="1" applyProtection="1">
      <alignment horizontal="center" vertical="center" wrapText="1"/>
      <protection hidden="1"/>
    </xf>
    <xf numFmtId="0" fontId="52" fillId="2" borderId="1" xfId="0" applyFont="1" applyFill="1" applyBorder="1" applyAlignment="1" applyProtection="1">
      <alignment horizontal="center" vertical="center" wrapText="1"/>
      <protection hidden="1"/>
    </xf>
    <xf numFmtId="0" fontId="52" fillId="2" borderId="1" xfId="0" quotePrefix="1" applyFont="1" applyFill="1" applyBorder="1" applyAlignment="1" applyProtection="1">
      <alignment horizontal="center" vertical="center"/>
      <protection hidden="1"/>
    </xf>
    <xf numFmtId="0" fontId="64" fillId="0" borderId="4" xfId="0" applyFont="1" applyBorder="1" applyAlignment="1" applyProtection="1">
      <alignment horizontal="center" vertical="center"/>
      <protection hidden="1"/>
    </xf>
    <xf numFmtId="0" fontId="56" fillId="3" borderId="7" xfId="0" applyFont="1" applyFill="1" applyBorder="1" applyAlignment="1" applyProtection="1">
      <alignment horizontal="center" vertical="center" wrapText="1"/>
      <protection hidden="1"/>
    </xf>
    <xf numFmtId="0" fontId="62" fillId="0" borderId="4" xfId="0" applyFont="1" applyFill="1" applyBorder="1" applyAlignment="1" applyProtection="1">
      <alignment horizontal="center" vertical="center" wrapText="1"/>
      <protection hidden="1"/>
    </xf>
    <xf numFmtId="165" fontId="52" fillId="2" borderId="4" xfId="0" applyNumberFormat="1" applyFont="1" applyFill="1" applyBorder="1" applyAlignment="1" applyProtection="1">
      <alignment horizontal="center" vertical="center"/>
      <protection hidden="1"/>
    </xf>
    <xf numFmtId="0" fontId="57" fillId="0" borderId="1" xfId="0" applyFont="1" applyBorder="1" applyAlignment="1" applyProtection="1">
      <alignment horizontal="center" vertical="center"/>
      <protection hidden="1"/>
    </xf>
    <xf numFmtId="0" fontId="53" fillId="0" borderId="6" xfId="0" applyFont="1" applyBorder="1" applyAlignment="1" applyProtection="1">
      <alignment horizontal="center" vertical="center"/>
      <protection hidden="1"/>
    </xf>
    <xf numFmtId="0" fontId="53" fillId="0" borderId="7" xfId="0" applyFont="1" applyBorder="1" applyAlignment="1" applyProtection="1">
      <alignment horizontal="center" vertical="center"/>
      <protection hidden="1"/>
    </xf>
    <xf numFmtId="2" fontId="52" fillId="2" borderId="1" xfId="0" applyNumberFormat="1" applyFont="1" applyFill="1" applyBorder="1" applyAlignment="1" applyProtection="1">
      <alignment horizontal="center" vertical="center" wrapText="1"/>
      <protection hidden="1"/>
    </xf>
    <xf numFmtId="0" fontId="53" fillId="5" borderId="7" xfId="0" applyFont="1" applyFill="1" applyBorder="1" applyAlignment="1" applyProtection="1">
      <alignment horizontal="center" vertical="center" wrapText="1"/>
      <protection hidden="1"/>
    </xf>
    <xf numFmtId="0" fontId="65" fillId="0" borderId="1" xfId="0" applyFont="1" applyBorder="1" applyAlignment="1" applyProtection="1">
      <alignment horizontal="center" vertical="center" wrapText="1"/>
      <protection hidden="1"/>
    </xf>
    <xf numFmtId="0" fontId="65" fillId="0" borderId="4" xfId="0" applyFont="1" applyBorder="1" applyAlignment="1" applyProtection="1">
      <alignment horizontal="center" vertical="center" wrapText="1"/>
      <protection hidden="1"/>
    </xf>
    <xf numFmtId="167" fontId="66" fillId="2" borderId="1" xfId="0" applyNumberFormat="1" applyFont="1" applyFill="1" applyBorder="1" applyAlignment="1" applyProtection="1">
      <alignment horizontal="center" vertical="center" wrapText="1"/>
      <protection hidden="1"/>
    </xf>
    <xf numFmtId="2" fontId="66" fillId="2" borderId="1" xfId="0" applyNumberFormat="1" applyFont="1" applyFill="1" applyBorder="1" applyAlignment="1" applyProtection="1">
      <alignment horizontal="center" vertical="center" wrapText="1"/>
      <protection hidden="1"/>
    </xf>
    <xf numFmtId="164" fontId="66" fillId="2" borderId="4" xfId="0" applyNumberFormat="1" applyFont="1" applyFill="1" applyBorder="1" applyAlignment="1" applyProtection="1">
      <alignment horizontal="center" vertical="center" wrapText="1"/>
      <protection hidden="1"/>
    </xf>
    <xf numFmtId="0" fontId="67" fillId="0" borderId="1" xfId="0" applyFont="1" applyBorder="1" applyAlignment="1" applyProtection="1">
      <alignment horizontal="center" vertical="center" wrapText="1"/>
      <protection hidden="1"/>
    </xf>
    <xf numFmtId="0" fontId="67" fillId="0" borderId="4" xfId="0" applyFont="1" applyBorder="1" applyAlignment="1" applyProtection="1">
      <alignment horizontal="center" vertical="center" wrapText="1"/>
      <protection hidden="1"/>
    </xf>
    <xf numFmtId="2" fontId="66" fillId="2" borderId="4" xfId="0" applyNumberFormat="1" applyFont="1" applyFill="1" applyBorder="1" applyAlignment="1" applyProtection="1">
      <alignment horizontal="center" vertical="center" wrapText="1"/>
      <protection hidden="1"/>
    </xf>
    <xf numFmtId="0" fontId="68" fillId="6" borderId="8" xfId="0" applyFont="1" applyFill="1" applyBorder="1" applyAlignment="1" applyProtection="1">
      <alignment horizontal="center" vertical="center"/>
      <protection hidden="1"/>
    </xf>
    <xf numFmtId="2" fontId="69" fillId="6" borderId="8" xfId="0" applyNumberFormat="1" applyFont="1" applyFill="1" applyBorder="1" applyAlignment="1" applyProtection="1">
      <alignment horizontal="center" vertical="center" wrapText="1"/>
      <protection hidden="1"/>
    </xf>
    <xf numFmtId="0" fontId="53" fillId="4" borderId="5" xfId="0" applyFont="1" applyFill="1" applyBorder="1" applyAlignment="1" applyProtection="1">
      <alignment horizontal="left" vertical="center" wrapText="1"/>
      <protection hidden="1"/>
    </xf>
    <xf numFmtId="0" fontId="59" fillId="5" borderId="7" xfId="0" applyFont="1" applyFill="1" applyBorder="1" applyAlignment="1" applyProtection="1">
      <alignment horizontal="center" vertical="center" wrapText="1"/>
      <protection hidden="1"/>
    </xf>
    <xf numFmtId="0" fontId="56" fillId="5" borderId="7" xfId="0" applyFont="1" applyFill="1" applyBorder="1" applyAlignment="1" applyProtection="1">
      <alignment horizontal="center" vertical="center" wrapText="1"/>
      <protection hidden="1"/>
    </xf>
    <xf numFmtId="0" fontId="56" fillId="0" borderId="1" xfId="0" applyFont="1" applyFill="1" applyBorder="1" applyAlignment="1" applyProtection="1">
      <alignment horizontal="center" vertical="center" wrapText="1"/>
      <protection hidden="1"/>
    </xf>
    <xf numFmtId="0" fontId="53" fillId="0" borderId="1" xfId="0" applyFont="1" applyFill="1" applyBorder="1" applyAlignment="1" applyProtection="1">
      <alignment horizontal="center" vertical="center"/>
      <protection hidden="1"/>
    </xf>
    <xf numFmtId="167" fontId="0" fillId="0" borderId="0" xfId="0" applyNumberFormat="1" applyAlignment="1" applyProtection="1">
      <alignment vertical="center"/>
      <protection locked="0"/>
    </xf>
    <xf numFmtId="0" fontId="76" fillId="0" borderId="1" xfId="0" applyFont="1" applyBorder="1"/>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76" fillId="0" borderId="1" xfId="0" applyFont="1" applyBorder="1" applyAlignment="1">
      <alignment horizontal="center" vertical="center"/>
    </xf>
    <xf numFmtId="0" fontId="76" fillId="0" borderId="1" xfId="0" applyFont="1" applyBorder="1" applyAlignment="1">
      <alignment wrapText="1"/>
    </xf>
    <xf numFmtId="0" fontId="0" fillId="0" borderId="0" xfId="0" applyBorder="1"/>
    <xf numFmtId="0" fontId="78" fillId="0" borderId="1" xfId="0" applyFont="1" applyBorder="1" applyAlignment="1">
      <alignment horizontal="center"/>
    </xf>
    <xf numFmtId="0" fontId="63" fillId="3" borderId="1" xfId="0" applyFont="1" applyFill="1" applyBorder="1" applyAlignment="1" applyProtection="1">
      <alignment horizontal="center" vertical="center" wrapText="1"/>
      <protection hidden="1"/>
    </xf>
    <xf numFmtId="0" fontId="56" fillId="0" borderId="1" xfId="0" quotePrefix="1" applyFont="1" applyFill="1" applyBorder="1" applyAlignment="1" applyProtection="1">
      <alignment horizontal="center" vertical="center" wrapText="1"/>
      <protection hidden="1"/>
    </xf>
    <xf numFmtId="0" fontId="0" fillId="0" borderId="1" xfId="0" quotePrefix="1" applyBorder="1"/>
    <xf numFmtId="167" fontId="52" fillId="2" borderId="1" xfId="0" quotePrefix="1" applyNumberFormat="1" applyFont="1" applyFill="1" applyBorder="1" applyAlignment="1" applyProtection="1">
      <alignment horizontal="center" vertical="center"/>
      <protection hidden="1"/>
    </xf>
    <xf numFmtId="0" fontId="0" fillId="0" borderId="0" xfId="0" applyFill="1" applyAlignment="1" applyProtection="1">
      <alignment vertical="center"/>
      <protection locked="0"/>
    </xf>
    <xf numFmtId="0" fontId="76" fillId="0" borderId="0" xfId="0" applyFont="1" applyFill="1" applyBorder="1" applyAlignment="1">
      <alignment wrapText="1"/>
    </xf>
    <xf numFmtId="0" fontId="76" fillId="0" borderId="1" xfId="0" applyFont="1" applyBorder="1" applyAlignment="1">
      <alignment horizontal="center"/>
    </xf>
    <xf numFmtId="0" fontId="76" fillId="0" borderId="1" xfId="0" applyFont="1" applyBorder="1" applyAlignment="1">
      <alignment horizontal="center" wrapText="1"/>
    </xf>
    <xf numFmtId="0" fontId="0" fillId="0" borderId="1" xfId="0" applyFill="1" applyBorder="1"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Border="1" applyAlignment="1">
      <alignment horizontal="left" vertical="center"/>
    </xf>
    <xf numFmtId="0" fontId="0" fillId="0" borderId="0" xfId="0" applyBorder="1" applyAlignment="1" applyProtection="1">
      <alignment vertical="center"/>
      <protection locked="0"/>
    </xf>
    <xf numFmtId="0" fontId="0" fillId="0" borderId="0" xfId="0" applyFill="1" applyBorder="1" applyAlignment="1">
      <alignment horizontal="left" vertical="center"/>
    </xf>
    <xf numFmtId="0" fontId="0" fillId="0" borderId="0" xfId="0" applyFill="1" applyBorder="1" applyAlignment="1" applyProtection="1">
      <alignment horizontal="left" vertical="center"/>
      <protection locked="0"/>
    </xf>
    <xf numFmtId="0" fontId="0" fillId="0" borderId="1" xfId="0" applyFill="1" applyBorder="1" applyAlignment="1">
      <alignment horizontal="center" vertical="center"/>
    </xf>
    <xf numFmtId="0" fontId="0" fillId="0" borderId="1" xfId="0" applyFill="1" applyBorder="1" applyAlignment="1">
      <alignment horizontal="center"/>
    </xf>
    <xf numFmtId="11" fontId="0" fillId="0" borderId="1" xfId="0" applyNumberFormat="1" applyBorder="1" applyAlignment="1">
      <alignment horizontal="center"/>
    </xf>
    <xf numFmtId="3" fontId="0" fillId="0" borderId="1" xfId="0" applyNumberFormat="1" applyBorder="1" applyAlignment="1">
      <alignment horizontal="left" vertical="center"/>
    </xf>
    <xf numFmtId="0" fontId="76" fillId="0" borderId="1" xfId="0" applyFont="1" applyBorder="1" applyAlignment="1">
      <alignment horizontal="left" vertical="center"/>
    </xf>
    <xf numFmtId="0" fontId="0" fillId="7"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4" borderId="1" xfId="0" applyFill="1" applyBorder="1" applyAlignment="1">
      <alignment horizontal="center"/>
    </xf>
    <xf numFmtId="0" fontId="0" fillId="15" borderId="1" xfId="0" applyFill="1" applyBorder="1" applyAlignment="1">
      <alignment horizontal="center"/>
    </xf>
    <xf numFmtId="0" fontId="0" fillId="16" borderId="1" xfId="0" applyFill="1" applyBorder="1" applyAlignment="1">
      <alignment horizontal="center"/>
    </xf>
    <xf numFmtId="0" fontId="56" fillId="3" borderId="4" xfId="0" applyFont="1" applyFill="1" applyBorder="1" applyAlignment="1" applyProtection="1">
      <alignment horizontal="center" vertical="center" wrapText="1"/>
      <protection hidden="1"/>
    </xf>
    <xf numFmtId="0" fontId="53" fillId="0" borderId="4" xfId="0" quotePrefix="1" applyFont="1" applyBorder="1" applyAlignment="1" applyProtection="1">
      <alignment horizontal="center" vertical="center"/>
      <protection hidden="1"/>
    </xf>
    <xf numFmtId="0" fontId="54" fillId="2" borderId="4" xfId="0" applyFont="1" applyFill="1" applyBorder="1" applyAlignment="1" applyProtection="1">
      <alignment horizontal="center" vertical="center" wrapText="1"/>
      <protection hidden="1"/>
    </xf>
    <xf numFmtId="0" fontId="82" fillId="0" borderId="1" xfId="0" applyFont="1" applyBorder="1"/>
    <xf numFmtId="0" fontId="0" fillId="0" borderId="0" xfId="0" quotePrefix="1" applyAlignment="1" applyProtection="1">
      <alignment vertical="center"/>
      <protection locked="0"/>
    </xf>
    <xf numFmtId="164" fontId="52" fillId="2" borderId="1" xfId="0" quotePrefix="1" applyNumberFormat="1" applyFont="1" applyFill="1" applyBorder="1" applyAlignment="1" applyProtection="1">
      <alignment horizontal="center" vertical="center"/>
      <protection hidden="1"/>
    </xf>
    <xf numFmtId="0" fontId="59" fillId="0" borderId="1" xfId="0" applyFont="1" applyBorder="1" applyAlignment="1">
      <alignment wrapText="1"/>
    </xf>
    <xf numFmtId="0" fontId="0" fillId="0" borderId="1" xfId="0"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76" fillId="0" borderId="1" xfId="0" applyFont="1" applyBorder="1" applyAlignment="1" applyProtection="1">
      <alignment horizontal="center" vertical="center"/>
      <protection locked="0"/>
    </xf>
    <xf numFmtId="0" fontId="79" fillId="0" borderId="0" xfId="0" applyFont="1" applyFill="1" applyAlignment="1" applyProtection="1">
      <alignment vertical="center"/>
      <protection locked="0"/>
    </xf>
    <xf numFmtId="0" fontId="79" fillId="0" borderId="0" xfId="0" applyFont="1" applyFill="1" applyAlignment="1" applyProtection="1">
      <alignment horizontal="center" vertical="center"/>
      <protection locked="0"/>
    </xf>
    <xf numFmtId="0" fontId="0" fillId="0" borderId="0" xfId="0" applyAlignment="1" applyProtection="1">
      <alignment wrapText="1"/>
      <protection locked="0"/>
    </xf>
    <xf numFmtId="0" fontId="0" fillId="0" borderId="1" xfId="0" applyFont="1" applyFill="1" applyBorder="1" applyAlignment="1" applyProtection="1">
      <alignment horizontal="center" vertical="center"/>
      <protection locked="0"/>
    </xf>
    <xf numFmtId="0" fontId="60" fillId="0" borderId="1" xfId="0" applyFont="1" applyBorder="1" applyAlignment="1">
      <alignment vertical="center"/>
    </xf>
    <xf numFmtId="0" fontId="86" fillId="0" borderId="1" xfId="0" applyFont="1" applyBorder="1" applyAlignment="1">
      <alignment horizontal="center" vertical="center"/>
    </xf>
    <xf numFmtId="0" fontId="86" fillId="0" borderId="1" xfId="0" applyFont="1" applyBorder="1" applyAlignment="1">
      <alignment vertical="center" wrapText="1"/>
    </xf>
    <xf numFmtId="0" fontId="86" fillId="0" borderId="1" xfId="0" applyFont="1" applyBorder="1" applyAlignment="1">
      <alignment horizontal="center" vertical="center" wrapText="1"/>
    </xf>
    <xf numFmtId="0" fontId="86" fillId="0" borderId="1" xfId="0" applyFont="1" applyBorder="1" applyAlignment="1">
      <alignment vertical="center"/>
    </xf>
    <xf numFmtId="0" fontId="86" fillId="0" borderId="1" xfId="0" applyFont="1" applyBorder="1"/>
    <xf numFmtId="0" fontId="86" fillId="0" borderId="0" xfId="0" applyFont="1"/>
    <xf numFmtId="0" fontId="85" fillId="9" borderId="1" xfId="0" applyFont="1" applyFill="1" applyBorder="1" applyAlignment="1">
      <alignment horizontal="center" wrapText="1"/>
    </xf>
    <xf numFmtId="0" fontId="52" fillId="2" borderId="1" xfId="0" quotePrefix="1" applyFont="1" applyFill="1" applyBorder="1" applyAlignment="1" applyProtection="1">
      <alignment horizontal="center" vertical="center" wrapText="1"/>
      <protection hidden="1"/>
    </xf>
    <xf numFmtId="11" fontId="52" fillId="2" borderId="1" xfId="0" quotePrefix="1" applyNumberFormat="1" applyFont="1" applyFill="1" applyBorder="1" applyAlignment="1" applyProtection="1">
      <alignment horizontal="center" vertical="center"/>
      <protection hidden="1"/>
    </xf>
    <xf numFmtId="0" fontId="52" fillId="2" borderId="4" xfId="0" quotePrefix="1" applyFont="1" applyFill="1" applyBorder="1" applyAlignment="1" applyProtection="1">
      <alignment horizontal="center" vertical="center"/>
      <protection hidden="1"/>
    </xf>
    <xf numFmtId="11" fontId="52" fillId="2" borderId="4" xfId="0" quotePrefix="1" applyNumberFormat="1" applyFont="1" applyFill="1" applyBorder="1" applyAlignment="1" applyProtection="1">
      <alignment horizontal="center" vertical="center"/>
      <protection hidden="1"/>
    </xf>
    <xf numFmtId="0" fontId="71" fillId="0" borderId="1" xfId="0" applyFont="1" applyBorder="1" applyAlignment="1" applyProtection="1">
      <alignment horizontal="center" vertical="center"/>
      <protection locked="0"/>
    </xf>
    <xf numFmtId="14" fontId="71" fillId="0" borderId="1" xfId="0" applyNumberFormat="1" applyFont="1" applyBorder="1" applyAlignment="1" applyProtection="1">
      <alignment horizontal="center" vertical="center"/>
      <protection locked="0"/>
    </xf>
    <xf numFmtId="0" fontId="71" fillId="0" borderId="12" xfId="0" applyFont="1" applyBorder="1" applyAlignment="1" applyProtection="1">
      <alignment horizontal="center" vertical="center"/>
      <protection locked="0"/>
    </xf>
    <xf numFmtId="0" fontId="87" fillId="0" borderId="0" xfId="0" applyFont="1" applyAlignment="1">
      <alignment horizontal="center" vertical="center"/>
    </xf>
    <xf numFmtId="0" fontId="87" fillId="0" borderId="1" xfId="0" applyFont="1" applyBorder="1" applyAlignment="1">
      <alignment horizontal="center" vertical="center"/>
    </xf>
    <xf numFmtId="14" fontId="87" fillId="0" borderId="1" xfId="0" applyNumberFormat="1" applyFont="1" applyBorder="1" applyAlignment="1">
      <alignment horizontal="center" vertical="center"/>
    </xf>
    <xf numFmtId="0" fontId="88" fillId="0" borderId="0" xfId="0" applyFont="1" applyAlignment="1">
      <alignment horizontal="center" vertical="center" wrapText="1"/>
    </xf>
    <xf numFmtId="14" fontId="87" fillId="0" borderId="0" xfId="0" applyNumberFormat="1" applyFont="1" applyAlignment="1">
      <alignment horizontal="center" vertical="center"/>
    </xf>
    <xf numFmtId="0" fontId="88" fillId="0" borderId="1" xfId="0" applyFont="1" applyBorder="1" applyAlignment="1">
      <alignment horizontal="center" vertical="center" wrapText="1"/>
    </xf>
    <xf numFmtId="0" fontId="88" fillId="0" borderId="1" xfId="0" applyFont="1" applyBorder="1" applyAlignment="1">
      <alignment horizontal="center" vertical="center"/>
    </xf>
    <xf numFmtId="0" fontId="90" fillId="0" borderId="1" xfId="0" applyFont="1" applyBorder="1" applyAlignment="1">
      <alignment horizontal="center" vertical="center" wrapText="1"/>
    </xf>
    <xf numFmtId="0" fontId="87" fillId="0" borderId="1" xfId="0" applyFont="1" applyFill="1" applyBorder="1" applyAlignment="1">
      <alignment horizontal="center" vertical="center"/>
    </xf>
    <xf numFmtId="0" fontId="90" fillId="0" borderId="1" xfId="0" applyFont="1" applyBorder="1" applyAlignment="1">
      <alignment horizontal="center" vertical="center"/>
    </xf>
    <xf numFmtId="0" fontId="90" fillId="7" borderId="0" xfId="0" applyFont="1" applyFill="1" applyAlignment="1">
      <alignment horizontal="center" vertical="center" wrapText="1"/>
    </xf>
    <xf numFmtId="0" fontId="90" fillId="7" borderId="0" xfId="0" applyFont="1" applyFill="1" applyBorder="1" applyAlignment="1">
      <alignment horizontal="center" vertical="center"/>
    </xf>
    <xf numFmtId="0" fontId="76" fillId="0" borderId="0" xfId="0" applyFont="1" applyAlignment="1" applyProtection="1">
      <alignment horizontal="center" vertical="center"/>
      <protection locked="0"/>
    </xf>
    <xf numFmtId="0" fontId="87" fillId="0" borderId="0" xfId="0" applyFont="1" applyFill="1" applyBorder="1" applyAlignment="1">
      <alignment horizontal="center" vertical="center"/>
    </xf>
    <xf numFmtId="0" fontId="87" fillId="0" borderId="0" xfId="0" applyFont="1" applyFill="1" applyBorder="1" applyAlignment="1">
      <alignment horizontal="center" vertical="center" wrapText="1"/>
    </xf>
    <xf numFmtId="0" fontId="92" fillId="0" borderId="0" xfId="0" applyFont="1" applyAlignment="1">
      <alignment horizontal="center" vertical="center"/>
    </xf>
    <xf numFmtId="0" fontId="76" fillId="0" borderId="1" xfId="0" applyFont="1" applyBorder="1" applyAlignment="1">
      <alignment horizontal="center" vertical="center"/>
    </xf>
    <xf numFmtId="0" fontId="0" fillId="0" borderId="1" xfId="0" applyBorder="1" applyAlignment="1">
      <alignment horizontal="center" vertical="center"/>
    </xf>
    <xf numFmtId="0" fontId="0" fillId="0" borderId="28" xfId="0" applyBorder="1" applyAlignment="1" applyProtection="1">
      <alignment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53" fillId="3" borderId="1" xfId="0" applyFont="1" applyFill="1" applyBorder="1" applyAlignment="1" applyProtection="1">
      <alignment horizontal="center" vertical="center" wrapText="1"/>
      <protection hidden="1"/>
    </xf>
    <xf numFmtId="0" fontId="56" fillId="5" borderId="7" xfId="0" applyFont="1" applyFill="1" applyBorder="1" applyAlignment="1" applyProtection="1">
      <alignment horizontal="center" vertical="center" wrapText="1"/>
      <protection hidden="1"/>
    </xf>
    <xf numFmtId="0" fontId="0" fillId="0" borderId="1" xfId="0" applyBorder="1" applyAlignment="1" applyProtection="1">
      <alignment horizontal="center" vertical="center"/>
      <protection locked="0"/>
    </xf>
    <xf numFmtId="0" fontId="76" fillId="0" borderId="1" xfId="0" applyFont="1" applyBorder="1" applyAlignment="1" applyProtection="1">
      <alignment horizontal="center" vertical="center" wrapText="1"/>
      <protection locked="0"/>
    </xf>
    <xf numFmtId="11" fontId="0" fillId="0" borderId="1" xfId="0" applyNumberFormat="1" applyBorder="1" applyAlignment="1" applyProtection="1">
      <alignment horizontal="center" vertical="center"/>
      <protection locked="0"/>
    </xf>
    <xf numFmtId="164" fontId="0" fillId="0" borderId="25" xfId="0" applyNumberFormat="1" applyBorder="1" applyAlignment="1" applyProtection="1">
      <alignment horizontal="center" vertical="center"/>
      <protection locked="0"/>
    </xf>
    <xf numFmtId="3" fontId="0" fillId="0" borderId="1" xfId="0" applyNumberFormat="1" applyBorder="1" applyAlignment="1" applyProtection="1">
      <alignment horizontal="center" vertical="center"/>
      <protection locked="0"/>
    </xf>
    <xf numFmtId="0" fontId="85" fillId="9" borderId="1" xfId="0" applyFont="1" applyFill="1" applyBorder="1" applyAlignment="1">
      <alignment horizontal="center"/>
    </xf>
    <xf numFmtId="0" fontId="86" fillId="0" borderId="0" xfId="0" applyFont="1" applyAlignment="1">
      <alignment horizontal="left" vertical="top" wrapText="1"/>
    </xf>
    <xf numFmtId="0" fontId="75" fillId="0" borderId="1" xfId="0" applyFont="1" applyBorder="1" applyAlignment="1">
      <alignment horizontal="left"/>
    </xf>
    <xf numFmtId="0" fontId="84" fillId="7" borderId="1" xfId="0" applyFont="1" applyFill="1" applyBorder="1" applyAlignment="1">
      <alignment horizontal="center"/>
    </xf>
    <xf numFmtId="0" fontId="53" fillId="0" borderId="5" xfId="0" applyFont="1" applyBorder="1" applyAlignment="1" applyProtection="1">
      <alignment horizontal="left" vertical="center" wrapText="1"/>
      <protection hidden="1"/>
    </xf>
    <xf numFmtId="0" fontId="53" fillId="0" borderId="1" xfId="0" applyFont="1" applyBorder="1" applyAlignment="1" applyProtection="1">
      <alignment horizontal="left" vertical="center" wrapText="1"/>
      <protection hidden="1"/>
    </xf>
    <xf numFmtId="0" fontId="53" fillId="0" borderId="1" xfId="0" applyFont="1" applyBorder="1" applyAlignment="1" applyProtection="1">
      <alignment vertical="center" wrapText="1"/>
      <protection locked="0"/>
    </xf>
    <xf numFmtId="0" fontId="53" fillId="0" borderId="12" xfId="0" applyFont="1" applyBorder="1" applyAlignment="1" applyProtection="1">
      <alignment vertical="center" wrapText="1"/>
      <protection locked="0"/>
    </xf>
    <xf numFmtId="0" fontId="53" fillId="0" borderId="10" xfId="0" applyFont="1" applyBorder="1" applyAlignment="1" applyProtection="1">
      <alignment horizontal="left" vertical="center" wrapText="1"/>
      <protection hidden="1"/>
    </xf>
    <xf numFmtId="0" fontId="53" fillId="0" borderId="4" xfId="0" applyFont="1" applyBorder="1" applyAlignment="1" applyProtection="1">
      <alignment horizontal="left" vertical="center" wrapText="1"/>
      <protection hidden="1"/>
    </xf>
    <xf numFmtId="0" fontId="53" fillId="0" borderId="4" xfId="0" applyFont="1" applyBorder="1" applyAlignment="1" applyProtection="1">
      <alignment vertical="center" wrapText="1"/>
      <protection locked="0"/>
    </xf>
    <xf numFmtId="0" fontId="53" fillId="0" borderId="11" xfId="0" applyFont="1" applyBorder="1" applyAlignment="1" applyProtection="1">
      <alignment vertical="center" wrapText="1"/>
      <protection locked="0"/>
    </xf>
    <xf numFmtId="0" fontId="62" fillId="0" borderId="10" xfId="0" applyFont="1" applyBorder="1" applyAlignment="1" applyProtection="1">
      <alignment horizontal="left" vertical="center" wrapText="1"/>
      <protection hidden="1"/>
    </xf>
    <xf numFmtId="0" fontId="62" fillId="0" borderId="4" xfId="0" applyFont="1" applyBorder="1" applyAlignment="1" applyProtection="1">
      <alignment horizontal="left" vertical="center" wrapText="1"/>
      <protection hidden="1"/>
    </xf>
    <xf numFmtId="0" fontId="59" fillId="5" borderId="22" xfId="0" applyFont="1" applyFill="1" applyBorder="1" applyAlignment="1" applyProtection="1">
      <alignment horizontal="center" vertical="center" wrapText="1"/>
      <protection hidden="1"/>
    </xf>
    <xf numFmtId="0" fontId="59" fillId="5" borderId="23" xfId="0" applyFont="1" applyFill="1" applyBorder="1" applyAlignment="1" applyProtection="1">
      <alignment horizontal="center" vertical="center" wrapText="1"/>
      <protection hidden="1"/>
    </xf>
    <xf numFmtId="0" fontId="59" fillId="5" borderId="26" xfId="0" applyFont="1" applyFill="1" applyBorder="1" applyAlignment="1" applyProtection="1">
      <alignment horizontal="center" vertical="center" wrapText="1"/>
      <protection hidden="1"/>
    </xf>
    <xf numFmtId="164" fontId="0" fillId="0" borderId="25" xfId="0" applyNumberFormat="1"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76" fillId="0" borderId="25" xfId="0" applyFont="1" applyBorder="1" applyAlignment="1" applyProtection="1">
      <alignment horizontal="center" vertical="center" wrapText="1"/>
      <protection locked="0"/>
    </xf>
    <xf numFmtId="0" fontId="76" fillId="0" borderId="23" xfId="0" applyFont="1" applyBorder="1" applyAlignment="1" applyProtection="1">
      <alignment horizontal="center" vertical="center" wrapText="1"/>
      <protection locked="0"/>
    </xf>
    <xf numFmtId="0" fontId="76" fillId="0" borderId="24" xfId="0" applyFont="1" applyBorder="1" applyAlignment="1" applyProtection="1">
      <alignment horizontal="center" vertical="center" wrapText="1"/>
      <protection locked="0"/>
    </xf>
    <xf numFmtId="0" fontId="56" fillId="5" borderId="14" xfId="0" applyFont="1" applyFill="1" applyBorder="1" applyAlignment="1" applyProtection="1">
      <alignment horizontal="center" vertical="center" wrapText="1"/>
      <protection hidden="1"/>
    </xf>
    <xf numFmtId="0" fontId="56" fillId="5" borderId="7" xfId="0" applyFont="1" applyFill="1" applyBorder="1" applyAlignment="1" applyProtection="1">
      <alignment horizontal="center" vertical="center" wrapText="1"/>
      <protection hidden="1"/>
    </xf>
    <xf numFmtId="0" fontId="56" fillId="5" borderId="13" xfId="0" applyFont="1" applyFill="1" applyBorder="1" applyAlignment="1" applyProtection="1">
      <alignment horizontal="center" vertical="center" wrapText="1"/>
      <protection hidden="1"/>
    </xf>
    <xf numFmtId="0" fontId="53" fillId="0" borderId="1" xfId="0" applyFont="1" applyBorder="1" applyAlignment="1" applyProtection="1">
      <alignment horizontal="left" vertical="center" wrapText="1"/>
      <protection locked="0"/>
    </xf>
    <xf numFmtId="0" fontId="53" fillId="0" borderId="12" xfId="0" applyFont="1" applyBorder="1" applyAlignment="1" applyProtection="1">
      <alignment horizontal="left" vertical="center" wrapText="1"/>
      <protection locked="0"/>
    </xf>
    <xf numFmtId="0" fontId="53" fillId="0" borderId="5" xfId="0" applyFont="1" applyFill="1" applyBorder="1" applyAlignment="1" applyProtection="1">
      <alignment horizontal="left" vertical="center" wrapText="1"/>
      <protection hidden="1"/>
    </xf>
    <xf numFmtId="0" fontId="53" fillId="0" borderId="1" xfId="0" applyFont="1" applyFill="1" applyBorder="1" applyAlignment="1" applyProtection="1">
      <alignment horizontal="left" vertical="center" wrapText="1"/>
      <protection hidden="1"/>
    </xf>
    <xf numFmtId="0" fontId="53" fillId="3" borderId="1" xfId="0" applyFont="1" applyFill="1" applyBorder="1" applyAlignment="1" applyProtection="1">
      <alignment horizontal="left" vertical="center" wrapText="1"/>
      <protection locked="0"/>
    </xf>
    <xf numFmtId="0" fontId="53" fillId="3" borderId="12" xfId="0" applyFont="1" applyFill="1" applyBorder="1" applyAlignment="1" applyProtection="1">
      <alignment horizontal="left" vertical="center" wrapText="1"/>
      <protection locked="0"/>
    </xf>
    <xf numFmtId="0" fontId="62" fillId="3" borderId="10" xfId="0" applyFont="1" applyFill="1" applyBorder="1" applyAlignment="1" applyProtection="1">
      <alignment horizontal="left" vertical="center" wrapText="1"/>
      <protection hidden="1"/>
    </xf>
    <xf numFmtId="0" fontId="62" fillId="3" borderId="4" xfId="0" applyFont="1" applyFill="1" applyBorder="1" applyAlignment="1" applyProtection="1">
      <alignment horizontal="left" vertical="center" wrapText="1"/>
      <protection hidden="1"/>
    </xf>
    <xf numFmtId="0" fontId="6" fillId="3" borderId="4" xfId="0" applyFont="1" applyFill="1" applyBorder="1" applyAlignment="1" applyProtection="1">
      <alignment horizontal="left" vertical="center" wrapText="1"/>
      <protection locked="0"/>
    </xf>
    <xf numFmtId="0" fontId="53" fillId="3" borderId="4" xfId="0" applyFont="1" applyFill="1" applyBorder="1" applyAlignment="1" applyProtection="1">
      <alignment horizontal="left" vertical="center" wrapText="1"/>
      <protection locked="0"/>
    </xf>
    <xf numFmtId="0" fontId="53" fillId="3" borderId="11" xfId="0" applyFont="1" applyFill="1" applyBorder="1" applyAlignment="1" applyProtection="1">
      <alignment horizontal="left" vertical="center" wrapText="1"/>
      <protection locked="0"/>
    </xf>
    <xf numFmtId="0" fontId="53" fillId="3" borderId="5" xfId="0" applyFont="1" applyFill="1" applyBorder="1" applyAlignment="1" applyProtection="1">
      <alignment horizontal="left" vertical="center" wrapText="1"/>
      <protection hidden="1"/>
    </xf>
    <xf numFmtId="0" fontId="53" fillId="3" borderId="1" xfId="0" applyFont="1" applyFill="1" applyBorder="1" applyAlignment="1" applyProtection="1">
      <alignment horizontal="left" vertical="center" wrapText="1"/>
      <protection hidden="1"/>
    </xf>
    <xf numFmtId="0" fontId="54" fillId="0" borderId="1" xfId="0" applyFont="1" applyFill="1" applyBorder="1" applyAlignment="1" applyProtection="1">
      <alignment horizontal="left" vertical="center" wrapText="1"/>
      <protection locked="0"/>
    </xf>
    <xf numFmtId="0" fontId="54" fillId="0" borderId="12" xfId="0" applyFont="1" applyFill="1" applyBorder="1" applyAlignment="1" applyProtection="1">
      <alignment horizontal="left" vertical="center" wrapText="1"/>
      <protection locked="0"/>
    </xf>
    <xf numFmtId="0" fontId="53" fillId="3" borderId="22" xfId="0" applyFont="1" applyFill="1" applyBorder="1" applyAlignment="1" applyProtection="1">
      <alignment horizontal="left" vertical="center" wrapText="1"/>
      <protection hidden="1"/>
    </xf>
    <xf numFmtId="0" fontId="53" fillId="3" borderId="23" xfId="0" applyFont="1" applyFill="1" applyBorder="1" applyAlignment="1" applyProtection="1">
      <alignment horizontal="left" vertical="center" wrapText="1"/>
      <protection hidden="1"/>
    </xf>
    <xf numFmtId="0" fontId="53" fillId="3" borderId="24" xfId="0" applyFont="1" applyFill="1" applyBorder="1" applyAlignment="1" applyProtection="1">
      <alignment horizontal="left" vertical="center" wrapText="1"/>
      <protection hidden="1"/>
    </xf>
    <xf numFmtId="0" fontId="53" fillId="0" borderId="25" xfId="0" applyFont="1" applyBorder="1" applyAlignment="1" applyProtection="1">
      <alignment horizontal="center" vertical="center" wrapText="1"/>
      <protection locked="0"/>
    </xf>
    <xf numFmtId="0" fontId="53" fillId="0" borderId="23" xfId="0" applyFont="1" applyBorder="1" applyAlignment="1" applyProtection="1">
      <alignment horizontal="center" vertical="center" wrapText="1"/>
      <protection locked="0"/>
    </xf>
    <xf numFmtId="0" fontId="53" fillId="0" borderId="24" xfId="0" applyFont="1" applyBorder="1" applyAlignment="1" applyProtection="1">
      <alignment horizontal="center" vertical="center" wrapText="1"/>
      <protection locked="0"/>
    </xf>
    <xf numFmtId="0" fontId="88" fillId="0" borderId="0" xfId="0" applyFont="1" applyAlignment="1">
      <alignment horizontal="center" vertical="center"/>
    </xf>
    <xf numFmtId="0" fontId="88" fillId="0" borderId="4" xfId="0" applyFont="1" applyBorder="1" applyAlignment="1">
      <alignment horizontal="center" vertical="center" wrapText="1"/>
    </xf>
    <xf numFmtId="0" fontId="88" fillId="0" borderId="7" xfId="0" applyFont="1" applyBorder="1" applyAlignment="1">
      <alignment horizontal="center" vertical="center" wrapText="1"/>
    </xf>
    <xf numFmtId="0" fontId="88" fillId="0" borderId="4" xfId="0" applyFont="1" applyBorder="1" applyAlignment="1">
      <alignment horizontal="center" vertical="center"/>
    </xf>
    <xf numFmtId="0" fontId="88" fillId="0" borderId="7" xfId="0" applyFont="1" applyBorder="1" applyAlignment="1">
      <alignment horizontal="center" vertical="center"/>
    </xf>
    <xf numFmtId="0" fontId="73" fillId="11" borderId="2" xfId="0" applyFont="1" applyFill="1" applyBorder="1" applyAlignment="1" applyProtection="1">
      <alignment horizontal="center" vertical="center" wrapText="1"/>
      <protection hidden="1"/>
    </xf>
    <xf numFmtId="0" fontId="73" fillId="11" borderId="9" xfId="0" applyFont="1" applyFill="1" applyBorder="1" applyAlignment="1" applyProtection="1">
      <alignment horizontal="center" vertical="center" wrapText="1"/>
      <protection hidden="1"/>
    </xf>
    <xf numFmtId="0" fontId="73" fillId="11" borderId="3" xfId="0" applyFont="1" applyFill="1" applyBorder="1" applyAlignment="1" applyProtection="1">
      <alignment horizontal="center" vertical="center" wrapText="1"/>
      <protection hidden="1"/>
    </xf>
    <xf numFmtId="0" fontId="53" fillId="3" borderId="14" xfId="0" applyFont="1" applyFill="1" applyBorder="1" applyAlignment="1" applyProtection="1">
      <alignment horizontal="left" vertical="center" wrapText="1"/>
      <protection hidden="1"/>
    </xf>
    <xf numFmtId="0" fontId="53" fillId="3" borderId="7" xfId="0" applyFont="1" applyFill="1" applyBorder="1" applyAlignment="1" applyProtection="1">
      <alignment horizontal="left" vertical="center" wrapText="1"/>
      <protection hidden="1"/>
    </xf>
    <xf numFmtId="0" fontId="57" fillId="3" borderId="7" xfId="0" applyFont="1" applyFill="1" applyBorder="1" applyAlignment="1" applyProtection="1">
      <alignment vertical="center" wrapText="1"/>
      <protection locked="0"/>
    </xf>
    <xf numFmtId="0" fontId="53" fillId="3" borderId="7" xfId="0" applyFont="1" applyFill="1" applyBorder="1" applyAlignment="1" applyProtection="1">
      <alignment vertical="center" wrapText="1"/>
      <protection locked="0"/>
    </xf>
    <xf numFmtId="0" fontId="53" fillId="3" borderId="13" xfId="0" applyFont="1" applyFill="1" applyBorder="1" applyAlignment="1" applyProtection="1">
      <alignment vertical="center" wrapText="1"/>
      <protection locked="0"/>
    </xf>
    <xf numFmtId="0" fontId="4" fillId="0" borderId="1" xfId="0" quotePrefix="1" applyFont="1" applyBorder="1" applyAlignment="1" applyProtection="1">
      <alignment vertical="center" wrapText="1"/>
      <protection locked="0"/>
    </xf>
    <xf numFmtId="0" fontId="53" fillId="3" borderId="18" xfId="0" applyFont="1" applyFill="1" applyBorder="1" applyAlignment="1" applyProtection="1">
      <alignment horizontal="left" vertical="center" wrapText="1"/>
      <protection hidden="1"/>
    </xf>
    <xf numFmtId="0" fontId="53" fillId="3" borderId="6" xfId="0" applyFont="1" applyFill="1" applyBorder="1" applyAlignment="1" applyProtection="1">
      <alignment horizontal="left" vertical="center" wrapText="1"/>
      <protection hidden="1"/>
    </xf>
    <xf numFmtId="0" fontId="53" fillId="0" borderId="6" xfId="0" quotePrefix="1" applyFont="1" applyBorder="1" applyAlignment="1" applyProtection="1">
      <alignment vertical="center" wrapText="1"/>
      <protection locked="0"/>
    </xf>
    <xf numFmtId="0" fontId="53" fillId="0" borderId="6" xfId="0" applyFont="1" applyBorder="1" applyAlignment="1" applyProtection="1">
      <alignment vertical="center" wrapText="1"/>
      <protection locked="0"/>
    </xf>
    <xf numFmtId="0" fontId="53" fillId="0" borderId="19" xfId="0" applyFont="1" applyBorder="1" applyAlignment="1" applyProtection="1">
      <alignment vertical="center" wrapText="1"/>
      <protection locked="0"/>
    </xf>
    <xf numFmtId="0" fontId="53" fillId="0" borderId="7" xfId="0" applyFont="1" applyBorder="1" applyAlignment="1" applyProtection="1">
      <alignment vertical="center" wrapText="1"/>
      <protection locked="0"/>
    </xf>
    <xf numFmtId="0" fontId="53" fillId="0" borderId="13" xfId="0" applyFont="1" applyBorder="1" applyAlignment="1" applyProtection="1">
      <alignment vertical="center" wrapText="1"/>
      <protection locked="0"/>
    </xf>
    <xf numFmtId="0" fontId="57" fillId="0" borderId="1" xfId="0" applyFont="1" applyBorder="1" applyAlignment="1" applyProtection="1">
      <alignment vertical="center" wrapText="1"/>
      <protection locked="0"/>
    </xf>
    <xf numFmtId="0" fontId="57" fillId="0" borderId="12" xfId="0" applyFont="1" applyBorder="1" applyAlignment="1" applyProtection="1">
      <alignment vertical="center" wrapText="1"/>
      <protection locked="0"/>
    </xf>
    <xf numFmtId="0" fontId="34" fillId="3" borderId="2" xfId="0" applyFont="1" applyFill="1" applyBorder="1" applyAlignment="1" applyProtection="1">
      <alignment horizontal="left" vertical="top" wrapText="1"/>
      <protection locked="0"/>
    </xf>
    <xf numFmtId="0" fontId="70" fillId="3" borderId="9" xfId="0" applyFont="1" applyFill="1" applyBorder="1" applyAlignment="1" applyProtection="1">
      <alignment horizontal="left" vertical="top" wrapText="1"/>
      <protection locked="0"/>
    </xf>
    <xf numFmtId="0" fontId="70" fillId="3" borderId="3" xfId="0" applyFont="1" applyFill="1" applyBorder="1" applyAlignment="1" applyProtection="1">
      <alignment horizontal="left" vertical="top" wrapText="1"/>
      <protection locked="0"/>
    </xf>
    <xf numFmtId="0" fontId="73" fillId="11" borderId="2" xfId="0" applyFont="1" applyFill="1" applyBorder="1" applyAlignment="1" applyProtection="1">
      <alignment horizontal="center" vertical="center" wrapText="1"/>
      <protection locked="0"/>
    </xf>
    <xf numFmtId="0" fontId="73" fillId="11" borderId="9" xfId="0" applyFont="1" applyFill="1" applyBorder="1" applyAlignment="1" applyProtection="1">
      <alignment horizontal="center" vertical="center" wrapText="1"/>
      <protection locked="0"/>
    </xf>
    <xf numFmtId="0" fontId="73" fillId="11" borderId="3" xfId="0" applyFont="1" applyFill="1" applyBorder="1" applyAlignment="1" applyProtection="1">
      <alignment horizontal="center" vertical="center" wrapText="1"/>
      <protection locked="0"/>
    </xf>
    <xf numFmtId="0" fontId="74" fillId="6" borderId="21" xfId="0" applyFont="1" applyFill="1" applyBorder="1" applyAlignment="1" applyProtection="1">
      <alignment horizontal="left" vertical="center" wrapText="1"/>
      <protection hidden="1"/>
    </xf>
    <xf numFmtId="0" fontId="74" fillId="6" borderId="8" xfId="0" applyFont="1" applyFill="1" applyBorder="1" applyAlignment="1" applyProtection="1">
      <alignment horizontal="left" vertical="center" wrapText="1"/>
      <protection hidden="1"/>
    </xf>
    <xf numFmtId="0" fontId="74" fillId="6" borderId="20" xfId="0" applyFont="1" applyFill="1" applyBorder="1" applyAlignment="1" applyProtection="1">
      <alignment horizontal="left" vertical="center" wrapText="1"/>
      <protection hidden="1"/>
    </xf>
    <xf numFmtId="0" fontId="53" fillId="0" borderId="1" xfId="0" applyFont="1" applyFill="1" applyBorder="1" applyAlignment="1" applyProtection="1">
      <alignment vertical="center" wrapText="1"/>
      <protection locked="0"/>
    </xf>
    <xf numFmtId="0" fontId="53" fillId="0" borderId="12" xfId="0" applyFont="1" applyFill="1" applyBorder="1" applyAlignment="1" applyProtection="1">
      <alignment vertical="center" wrapText="1"/>
      <protection locked="0"/>
    </xf>
    <xf numFmtId="0" fontId="53" fillId="0" borderId="1" xfId="0" quotePrefix="1" applyFont="1" applyBorder="1" applyAlignment="1" applyProtection="1">
      <alignment vertical="center" wrapText="1"/>
      <protection locked="0"/>
    </xf>
    <xf numFmtId="0" fontId="6" fillId="10" borderId="5" xfId="0" applyFont="1" applyFill="1" applyBorder="1" applyAlignment="1" applyProtection="1">
      <alignment vertical="center" wrapText="1"/>
      <protection locked="0"/>
    </xf>
    <xf numFmtId="0" fontId="56" fillId="10" borderId="1" xfId="0" applyFont="1" applyFill="1" applyBorder="1" applyAlignment="1" applyProtection="1">
      <alignment vertical="center" wrapText="1"/>
      <protection locked="0"/>
    </xf>
    <xf numFmtId="0" fontId="56" fillId="10" borderId="12" xfId="0" applyFont="1" applyFill="1" applyBorder="1" applyAlignment="1" applyProtection="1">
      <alignment vertical="center" wrapText="1"/>
      <protection locked="0"/>
    </xf>
    <xf numFmtId="0" fontId="63" fillId="0" borderId="10" xfId="0" applyFont="1" applyBorder="1" applyAlignment="1" applyProtection="1">
      <alignment horizontal="left" vertical="center" wrapText="1"/>
      <protection hidden="1"/>
    </xf>
    <xf numFmtId="0" fontId="63" fillId="0" borderId="4" xfId="0" applyFont="1" applyBorder="1" applyAlignment="1" applyProtection="1">
      <alignment horizontal="left" vertical="center" wrapText="1"/>
      <protection hidden="1"/>
    </xf>
    <xf numFmtId="0" fontId="53" fillId="0" borderId="4" xfId="0" applyFont="1" applyFill="1" applyBorder="1" applyAlignment="1" applyProtection="1">
      <alignment horizontal="left" vertical="center" wrapText="1"/>
      <protection locked="0"/>
    </xf>
    <xf numFmtId="0" fontId="53" fillId="0" borderId="11" xfId="0" applyFont="1" applyFill="1" applyBorder="1" applyAlignment="1" applyProtection="1">
      <alignment horizontal="left" vertical="center" wrapText="1"/>
      <protection locked="0"/>
    </xf>
    <xf numFmtId="0" fontId="73" fillId="6" borderId="2" xfId="0" applyFont="1" applyFill="1" applyBorder="1" applyAlignment="1" applyProtection="1">
      <alignment horizontal="center" vertical="center" wrapText="1"/>
      <protection hidden="1"/>
    </xf>
    <xf numFmtId="0" fontId="73" fillId="6" borderId="9" xfId="0" applyFont="1" applyFill="1" applyBorder="1" applyAlignment="1" applyProtection="1">
      <alignment horizontal="center" vertical="center" wrapText="1"/>
      <protection hidden="1"/>
    </xf>
    <xf numFmtId="0" fontId="73" fillId="6" borderId="3" xfId="0" applyFont="1" applyFill="1" applyBorder="1" applyAlignment="1" applyProtection="1">
      <alignment horizontal="center" vertical="center" wrapText="1"/>
      <protection hidden="1"/>
    </xf>
    <xf numFmtId="0" fontId="59" fillId="5" borderId="14" xfId="0" applyFont="1" applyFill="1" applyBorder="1" applyAlignment="1" applyProtection="1">
      <alignment horizontal="center" vertical="center" wrapText="1"/>
      <protection hidden="1"/>
    </xf>
    <xf numFmtId="0" fontId="59" fillId="5" borderId="7" xfId="0" applyFont="1" applyFill="1" applyBorder="1" applyAlignment="1" applyProtection="1">
      <alignment horizontal="center" vertical="center" wrapText="1"/>
      <protection hidden="1"/>
    </xf>
    <xf numFmtId="0" fontId="59" fillId="5" borderId="13" xfId="0" applyFont="1" applyFill="1" applyBorder="1" applyAlignment="1" applyProtection="1">
      <alignment horizontal="center" vertical="center" wrapText="1"/>
      <protection hidden="1"/>
    </xf>
    <xf numFmtId="0" fontId="56" fillId="0" borderId="5" xfId="0" applyFont="1" applyBorder="1" applyAlignment="1" applyProtection="1">
      <alignment horizontal="left" vertical="center" wrapText="1"/>
      <protection hidden="1"/>
    </xf>
    <xf numFmtId="0" fontId="56" fillId="0" borderId="1" xfId="0" applyFont="1" applyBorder="1" applyAlignment="1" applyProtection="1">
      <alignment horizontal="left" vertical="center" wrapText="1"/>
      <protection hidden="1"/>
    </xf>
    <xf numFmtId="0" fontId="65" fillId="9" borderId="2" xfId="0" applyFont="1" applyFill="1" applyBorder="1" applyAlignment="1" applyProtection="1">
      <alignment horizontal="left" vertical="center" wrapText="1"/>
      <protection hidden="1"/>
    </xf>
    <xf numFmtId="0" fontId="65" fillId="9" borderId="9" xfId="0" applyFont="1" applyFill="1" applyBorder="1" applyAlignment="1" applyProtection="1">
      <alignment horizontal="left" vertical="center" wrapText="1"/>
      <protection hidden="1"/>
    </xf>
    <xf numFmtId="0" fontId="65" fillId="9" borderId="3" xfId="0" applyFont="1" applyFill="1" applyBorder="1" applyAlignment="1" applyProtection="1">
      <alignment horizontal="left" vertical="center" wrapText="1"/>
      <protection hidden="1"/>
    </xf>
    <xf numFmtId="0" fontId="57" fillId="0" borderId="10" xfId="0" applyFont="1" applyBorder="1" applyAlignment="1" applyProtection="1">
      <alignment horizontal="left" vertical="center" wrapText="1"/>
      <protection hidden="1"/>
    </xf>
    <xf numFmtId="0" fontId="57" fillId="0" borderId="4" xfId="0" applyFont="1" applyBorder="1" applyAlignment="1" applyProtection="1">
      <alignment horizontal="left" vertical="center" wrapText="1"/>
      <protection hidden="1"/>
    </xf>
    <xf numFmtId="0" fontId="53" fillId="0" borderId="25" xfId="0" applyFont="1" applyBorder="1" applyAlignment="1" applyProtection="1">
      <alignment horizontal="left" vertical="center" wrapText="1"/>
      <protection locked="0"/>
    </xf>
    <xf numFmtId="0" fontId="53" fillId="0" borderId="23" xfId="0" applyFont="1" applyBorder="1" applyAlignment="1" applyProtection="1">
      <alignment horizontal="left" vertical="center" wrapText="1"/>
      <protection locked="0"/>
    </xf>
    <xf numFmtId="0" fontId="53" fillId="0" borderId="26" xfId="0" applyFont="1" applyBorder="1" applyAlignment="1" applyProtection="1">
      <alignment horizontal="left" vertical="center" wrapText="1"/>
      <protection locked="0"/>
    </xf>
    <xf numFmtId="0" fontId="57" fillId="0" borderId="4" xfId="0" quotePrefix="1" applyFont="1" applyBorder="1" applyAlignment="1" applyProtection="1">
      <alignment horizontal="left" vertical="center" wrapText="1"/>
      <protection locked="0"/>
    </xf>
    <xf numFmtId="0" fontId="57" fillId="0" borderId="4" xfId="0" applyFont="1" applyBorder="1" applyAlignment="1" applyProtection="1">
      <alignment horizontal="left" vertical="center" wrapText="1"/>
      <protection locked="0"/>
    </xf>
    <xf numFmtId="0" fontId="57" fillId="0" borderId="11" xfId="0" applyFont="1" applyBorder="1" applyAlignment="1" applyProtection="1">
      <alignment horizontal="left" vertical="center" wrapText="1"/>
      <protection locked="0"/>
    </xf>
    <xf numFmtId="0" fontId="53" fillId="0" borderId="4" xfId="0" applyFont="1" applyBorder="1" applyAlignment="1" applyProtection="1">
      <alignment horizontal="left" vertical="center" wrapText="1"/>
      <protection locked="0"/>
    </xf>
    <xf numFmtId="0" fontId="53" fillId="0" borderId="11" xfId="0" applyFont="1" applyBorder="1" applyAlignment="1" applyProtection="1">
      <alignment horizontal="left" vertical="center" wrapText="1"/>
      <protection locked="0"/>
    </xf>
    <xf numFmtId="0" fontId="53" fillId="0" borderId="1" xfId="0" applyFont="1" applyFill="1" applyBorder="1" applyAlignment="1" applyProtection="1">
      <alignment horizontal="left" vertical="center" wrapText="1"/>
      <protection locked="0"/>
    </xf>
    <xf numFmtId="0" fontId="53" fillId="0" borderId="12" xfId="0" applyFont="1" applyFill="1" applyBorder="1" applyAlignment="1" applyProtection="1">
      <alignment horizontal="left" vertical="center" wrapText="1"/>
      <protection locked="0"/>
    </xf>
    <xf numFmtId="0" fontId="56" fillId="0" borderId="10" xfId="0" applyFont="1" applyBorder="1" applyAlignment="1" applyProtection="1">
      <alignment horizontal="left" vertical="center" wrapText="1"/>
      <protection hidden="1"/>
    </xf>
    <xf numFmtId="0" fontId="56" fillId="0" borderId="4" xfId="0" applyFont="1" applyBorder="1" applyAlignment="1" applyProtection="1">
      <alignment horizontal="left" vertical="center" wrapText="1"/>
      <protection hidden="1"/>
    </xf>
    <xf numFmtId="0" fontId="53" fillId="0" borderId="1" xfId="0" quotePrefix="1" applyFont="1" applyBorder="1" applyAlignment="1" applyProtection="1">
      <alignment horizontal="left" vertical="center" wrapText="1"/>
      <protection locked="0"/>
    </xf>
    <xf numFmtId="0" fontId="53" fillId="0" borderId="22" xfId="0" applyFont="1" applyBorder="1" applyAlignment="1" applyProtection="1">
      <alignment horizontal="left" vertical="center" wrapText="1"/>
      <protection hidden="1"/>
    </xf>
    <xf numFmtId="0" fontId="53" fillId="0" borderId="23" xfId="0" applyFont="1" applyBorder="1" applyAlignment="1" applyProtection="1">
      <alignment horizontal="left" vertical="center" wrapText="1"/>
      <protection hidden="1"/>
    </xf>
    <xf numFmtId="0" fontId="53" fillId="0" borderId="24" xfId="0" applyFont="1" applyBorder="1" applyAlignment="1" applyProtection="1">
      <alignment horizontal="left" vertical="center" wrapText="1"/>
      <protection hidden="1"/>
    </xf>
    <xf numFmtId="0" fontId="53" fillId="0" borderId="25" xfId="0" applyFont="1" applyFill="1" applyBorder="1" applyAlignment="1" applyProtection="1">
      <alignment horizontal="left" vertical="center" wrapText="1"/>
      <protection locked="0"/>
    </xf>
    <xf numFmtId="0" fontId="53" fillId="0" borderId="23" xfId="0" applyFont="1" applyFill="1" applyBorder="1" applyAlignment="1" applyProtection="1">
      <alignment horizontal="left" vertical="center" wrapText="1"/>
      <protection locked="0"/>
    </xf>
    <xf numFmtId="0" fontId="53" fillId="0" borderId="26" xfId="0" applyFont="1" applyFill="1" applyBorder="1" applyAlignment="1" applyProtection="1">
      <alignment horizontal="left" vertical="center" wrapText="1"/>
      <protection locked="0"/>
    </xf>
    <xf numFmtId="0" fontId="53" fillId="3" borderId="25" xfId="0" applyFont="1" applyFill="1" applyBorder="1" applyAlignment="1" applyProtection="1">
      <alignment horizontal="left" vertical="center" wrapText="1"/>
      <protection locked="0"/>
    </xf>
    <xf numFmtId="0" fontId="53" fillId="3" borderId="23" xfId="0" applyFont="1" applyFill="1" applyBorder="1" applyAlignment="1" applyProtection="1">
      <alignment horizontal="left" vertical="center" wrapText="1"/>
      <protection locked="0"/>
    </xf>
    <xf numFmtId="0" fontId="53" fillId="3" borderId="26" xfId="0" applyFont="1" applyFill="1" applyBorder="1" applyAlignment="1" applyProtection="1">
      <alignment horizontal="left" vertical="center" wrapText="1"/>
      <protection locked="0"/>
    </xf>
    <xf numFmtId="0" fontId="57" fillId="0" borderId="4" xfId="0" applyFont="1" applyBorder="1" applyAlignment="1" applyProtection="1">
      <alignment horizontal="left" vertical="center"/>
      <protection locked="0"/>
    </xf>
    <xf numFmtId="0" fontId="57" fillId="0" borderId="11" xfId="0" applyFont="1" applyBorder="1" applyAlignment="1" applyProtection="1">
      <alignment horizontal="left" vertical="center"/>
      <protection locked="0"/>
    </xf>
    <xf numFmtId="0" fontId="56" fillId="3" borderId="5" xfId="0" applyFont="1" applyFill="1" applyBorder="1" applyAlignment="1" applyProtection="1">
      <alignment horizontal="left" vertical="center" wrapText="1"/>
      <protection hidden="1"/>
    </xf>
    <xf numFmtId="0" fontId="56" fillId="3" borderId="1" xfId="0" applyFont="1" applyFill="1" applyBorder="1" applyAlignment="1" applyProtection="1">
      <alignment horizontal="left" vertical="center" wrapText="1"/>
      <protection hidden="1"/>
    </xf>
    <xf numFmtId="0" fontId="53" fillId="3" borderId="10" xfId="0" applyFont="1" applyFill="1" applyBorder="1" applyAlignment="1" applyProtection="1">
      <alignment horizontal="left" vertical="center" wrapText="1"/>
      <protection hidden="1"/>
    </xf>
    <xf numFmtId="0" fontId="53" fillId="3" borderId="4" xfId="0" applyFont="1" applyFill="1" applyBorder="1" applyAlignment="1" applyProtection="1">
      <alignment horizontal="left" vertical="center" wrapText="1"/>
      <protection hidden="1"/>
    </xf>
    <xf numFmtId="0" fontId="83" fillId="0" borderId="25" xfId="0" applyFont="1" applyFill="1" applyBorder="1" applyAlignment="1" applyProtection="1">
      <alignment horizontal="center" vertical="center" wrapText="1"/>
      <protection locked="0"/>
    </xf>
    <xf numFmtId="0" fontId="83" fillId="0" borderId="23" xfId="0" applyFont="1" applyFill="1" applyBorder="1" applyAlignment="1" applyProtection="1">
      <alignment horizontal="center" vertical="center" wrapText="1"/>
      <protection locked="0"/>
    </xf>
    <xf numFmtId="0" fontId="83" fillId="0" borderId="26" xfId="0" applyFont="1" applyFill="1" applyBorder="1" applyAlignment="1" applyProtection="1">
      <alignment horizontal="center" vertical="center" wrapText="1"/>
      <protection locked="0"/>
    </xf>
    <xf numFmtId="0" fontId="57" fillId="0" borderId="1" xfId="0" applyFont="1" applyBorder="1" applyAlignment="1" applyProtection="1">
      <alignment horizontal="left" vertical="center" wrapText="1"/>
      <protection locked="0"/>
    </xf>
    <xf numFmtId="0" fontId="57" fillId="0" borderId="12" xfId="0" applyFont="1" applyBorder="1" applyAlignment="1" applyProtection="1">
      <alignment horizontal="left" vertical="center" wrapText="1"/>
      <protection locked="0"/>
    </xf>
    <xf numFmtId="0" fontId="53" fillId="0" borderId="18" xfId="0" applyFont="1" applyBorder="1" applyAlignment="1" applyProtection="1">
      <alignment horizontal="left" vertical="center" wrapText="1"/>
      <protection hidden="1"/>
    </xf>
    <xf numFmtId="0" fontId="53" fillId="0" borderId="6" xfId="0" applyFont="1" applyBorder="1" applyAlignment="1" applyProtection="1">
      <alignment horizontal="left" vertical="center" wrapText="1"/>
      <protection hidden="1"/>
    </xf>
    <xf numFmtId="0" fontId="57" fillId="0" borderId="6" xfId="0" applyFont="1" applyFill="1" applyBorder="1" applyAlignment="1" applyProtection="1">
      <alignment horizontal="left" vertical="center" wrapText="1"/>
      <protection locked="0"/>
    </xf>
    <xf numFmtId="0" fontId="57" fillId="0" borderId="19" xfId="0" applyFont="1" applyFill="1" applyBorder="1" applyAlignment="1" applyProtection="1">
      <alignment horizontal="left" vertical="center" wrapText="1"/>
      <protection locked="0"/>
    </xf>
    <xf numFmtId="0" fontId="57" fillId="0" borderId="5" xfId="0" applyFont="1" applyBorder="1" applyAlignment="1" applyProtection="1">
      <alignment horizontal="left" vertical="center" wrapText="1"/>
      <protection hidden="1"/>
    </xf>
    <xf numFmtId="0" fontId="57" fillId="0" borderId="1" xfId="0" applyFont="1" applyBorder="1" applyAlignment="1" applyProtection="1">
      <alignment horizontal="left" vertical="center" wrapText="1"/>
      <protection hidden="1"/>
    </xf>
    <xf numFmtId="0" fontId="83" fillId="0" borderId="25" xfId="0" applyFont="1" applyFill="1" applyBorder="1" applyAlignment="1" applyProtection="1">
      <alignment vertical="center" wrapText="1"/>
      <protection locked="0"/>
    </xf>
    <xf numFmtId="0" fontId="53" fillId="0" borderId="23" xfId="0" applyFont="1" applyFill="1" applyBorder="1" applyAlignment="1" applyProtection="1">
      <alignment vertical="center" wrapText="1"/>
      <protection locked="0"/>
    </xf>
    <xf numFmtId="0" fontId="53" fillId="0" borderId="26" xfId="0" applyFont="1" applyFill="1" applyBorder="1" applyAlignment="1" applyProtection="1">
      <alignment vertical="center" wrapText="1"/>
      <protection locked="0"/>
    </xf>
    <xf numFmtId="0" fontId="53" fillId="3" borderId="25" xfId="0" applyFont="1" applyFill="1" applyBorder="1" applyAlignment="1" applyProtection="1">
      <alignment vertical="center" wrapText="1"/>
      <protection locked="0"/>
    </xf>
    <xf numFmtId="0" fontId="53" fillId="3" borderId="23" xfId="0" applyFont="1" applyFill="1" applyBorder="1" applyAlignment="1" applyProtection="1">
      <alignment vertical="center" wrapText="1"/>
      <protection locked="0"/>
    </xf>
    <xf numFmtId="0" fontId="53" fillId="3" borderId="26" xfId="0" applyFont="1" applyFill="1" applyBorder="1" applyAlignment="1" applyProtection="1">
      <alignment vertical="center" wrapText="1"/>
      <protection locked="0"/>
    </xf>
    <xf numFmtId="0" fontId="53" fillId="3" borderId="1" xfId="0" applyFont="1" applyFill="1" applyBorder="1" applyAlignment="1" applyProtection="1">
      <alignment vertical="center" wrapText="1"/>
      <protection locked="0"/>
    </xf>
    <xf numFmtId="0" fontId="53" fillId="3" borderId="12" xfId="0" applyFont="1" applyFill="1" applyBorder="1" applyAlignment="1" applyProtection="1">
      <alignment vertical="center" wrapText="1"/>
      <protection locked="0"/>
    </xf>
    <xf numFmtId="0" fontId="57" fillId="0" borderId="4" xfId="0" applyFont="1" applyBorder="1" applyAlignment="1" applyProtection="1">
      <alignment vertical="center"/>
      <protection locked="0"/>
    </xf>
    <xf numFmtId="0" fontId="57" fillId="0" borderId="11" xfId="0" applyFont="1" applyBorder="1" applyAlignment="1" applyProtection="1">
      <alignment vertical="center"/>
      <protection locked="0"/>
    </xf>
    <xf numFmtId="0" fontId="57" fillId="3" borderId="1" xfId="0" applyFont="1" applyFill="1" applyBorder="1" applyAlignment="1" applyProtection="1">
      <alignment vertical="center" wrapText="1"/>
      <protection locked="0"/>
    </xf>
    <xf numFmtId="0" fontId="57" fillId="3" borderId="12" xfId="0" applyFont="1" applyFill="1" applyBorder="1" applyAlignment="1" applyProtection="1">
      <alignment vertical="center" wrapText="1"/>
      <protection locked="0"/>
    </xf>
    <xf numFmtId="0" fontId="46" fillId="3" borderId="15" xfId="0" applyFont="1" applyFill="1" applyBorder="1" applyAlignment="1" applyProtection="1">
      <alignment horizontal="left" vertical="top" wrapText="1"/>
      <protection locked="0"/>
    </xf>
    <xf numFmtId="0" fontId="71" fillId="3" borderId="16" xfId="0" applyFont="1" applyFill="1" applyBorder="1" applyAlignment="1" applyProtection="1">
      <alignment horizontal="left" vertical="top" wrapText="1"/>
      <protection locked="0"/>
    </xf>
    <xf numFmtId="0" fontId="71" fillId="3" borderId="17" xfId="0" applyFont="1" applyFill="1" applyBorder="1" applyAlignment="1" applyProtection="1">
      <alignment horizontal="left" vertical="top" wrapText="1"/>
      <protection locked="0"/>
    </xf>
    <xf numFmtId="0" fontId="71" fillId="0" borderId="1" xfId="0" applyFont="1" applyBorder="1" applyAlignment="1" applyProtection="1">
      <alignment horizontal="center" vertical="center"/>
      <protection locked="0"/>
    </xf>
    <xf numFmtId="0" fontId="54" fillId="0" borderId="1" xfId="0" applyFont="1" applyBorder="1" applyAlignment="1" applyProtection="1">
      <alignment horizontal="center" vertical="center" wrapText="1"/>
      <protection locked="0"/>
    </xf>
    <xf numFmtId="0" fontId="54" fillId="0" borderId="12" xfId="0" applyFont="1" applyBorder="1" applyAlignment="1" applyProtection="1">
      <alignment horizontal="center" vertical="center" wrapText="1"/>
      <protection locked="0"/>
    </xf>
    <xf numFmtId="0" fontId="71" fillId="0" borderId="1" xfId="0" applyFont="1" applyBorder="1" applyAlignment="1" applyProtection="1">
      <alignment horizontal="center" vertical="center" wrapText="1"/>
      <protection locked="0"/>
    </xf>
    <xf numFmtId="0" fontId="71" fillId="0" borderId="1" xfId="0" quotePrefix="1" applyFont="1" applyBorder="1" applyAlignment="1" applyProtection="1">
      <alignment horizontal="center" vertical="center" wrapText="1"/>
      <protection locked="0"/>
    </xf>
    <xf numFmtId="0" fontId="71" fillId="0" borderId="12" xfId="0" applyFont="1" applyBorder="1" applyAlignment="1" applyProtection="1">
      <alignment horizontal="center" vertical="center" wrapText="1"/>
      <protection locked="0"/>
    </xf>
    <xf numFmtId="0" fontId="53" fillId="4" borderId="5" xfId="0" applyFont="1" applyFill="1" applyBorder="1" applyAlignment="1" applyProtection="1">
      <alignment horizontal="left" vertical="center" wrapText="1"/>
      <protection hidden="1"/>
    </xf>
    <xf numFmtId="14" fontId="71" fillId="0" borderId="1" xfId="0" applyNumberFormat="1" applyFont="1" applyBorder="1" applyAlignment="1" applyProtection="1">
      <alignment horizontal="center" vertical="center"/>
      <protection locked="0"/>
    </xf>
    <xf numFmtId="0" fontId="71" fillId="0" borderId="12" xfId="0" applyFont="1" applyBorder="1" applyAlignment="1" applyProtection="1">
      <alignment horizontal="center" vertical="center"/>
      <protection locked="0"/>
    </xf>
    <xf numFmtId="0" fontId="72" fillId="8" borderId="9" xfId="0" applyFont="1" applyFill="1" applyBorder="1" applyAlignment="1" applyProtection="1">
      <alignment horizontal="center" vertical="center" wrapText="1"/>
      <protection locked="0"/>
    </xf>
    <xf numFmtId="0" fontId="51" fillId="4" borderId="14" xfId="0" applyFont="1" applyFill="1" applyBorder="1" applyAlignment="1" applyProtection="1">
      <alignment vertical="center"/>
      <protection locked="0"/>
    </xf>
    <xf numFmtId="0" fontId="51" fillId="4" borderId="7" xfId="0" applyFont="1" applyFill="1" applyBorder="1" applyAlignment="1" applyProtection="1">
      <alignment vertical="center"/>
      <protection locked="0"/>
    </xf>
    <xf numFmtId="0" fontId="71" fillId="0" borderId="7" xfId="0" applyFont="1" applyBorder="1" applyAlignment="1" applyProtection="1">
      <alignment vertical="center"/>
      <protection locked="0"/>
    </xf>
    <xf numFmtId="0" fontId="71" fillId="0" borderId="13" xfId="0" applyFont="1" applyBorder="1" applyAlignment="1" applyProtection="1">
      <alignment vertical="center"/>
      <protection locked="0"/>
    </xf>
    <xf numFmtId="0" fontId="51" fillId="4" borderId="5" xfId="0" applyFont="1" applyFill="1" applyBorder="1" applyAlignment="1" applyProtection="1">
      <alignment vertical="center"/>
      <protection locked="0"/>
    </xf>
    <xf numFmtId="0" fontId="51" fillId="4" borderId="1" xfId="0" applyFont="1" applyFill="1" applyBorder="1" applyAlignment="1" applyProtection="1">
      <alignment vertical="center"/>
      <protection locked="0"/>
    </xf>
    <xf numFmtId="0" fontId="71" fillId="0" borderId="1" xfId="0" applyFont="1" applyBorder="1" applyAlignment="1" applyProtection="1">
      <alignment vertical="center"/>
      <protection locked="0"/>
    </xf>
    <xf numFmtId="14" fontId="71" fillId="0" borderId="1" xfId="0" applyNumberFormat="1" applyFont="1" applyBorder="1" applyAlignment="1" applyProtection="1">
      <alignment horizontal="left" vertical="center"/>
      <protection locked="0"/>
    </xf>
    <xf numFmtId="0" fontId="71" fillId="0" borderId="12" xfId="0" applyFont="1" applyBorder="1" applyAlignment="1" applyProtection="1">
      <alignment horizontal="left" vertical="center"/>
      <protection locked="0"/>
    </xf>
    <xf numFmtId="0" fontId="76" fillId="0" borderId="1" xfId="0" applyFont="1" applyBorder="1" applyAlignment="1">
      <alignment horizontal="left" vertical="center"/>
    </xf>
    <xf numFmtId="0" fontId="0" fillId="0" borderId="1" xfId="0" applyBorder="1" applyAlignment="1" applyProtection="1">
      <alignment horizontal="center" vertical="center"/>
      <protection locked="0"/>
    </xf>
    <xf numFmtId="11" fontId="0" fillId="0" borderId="1" xfId="0" applyNumberFormat="1" applyBorder="1" applyAlignment="1" applyProtection="1">
      <alignment horizontal="center" vertical="center"/>
      <protection locked="0"/>
    </xf>
    <xf numFmtId="0" fontId="76" fillId="0" borderId="25" xfId="0" applyFont="1" applyBorder="1" applyAlignment="1" applyProtection="1">
      <alignment horizontal="center" vertical="center"/>
      <protection locked="0"/>
    </xf>
    <xf numFmtId="0" fontId="76" fillId="0" borderId="24" xfId="0" applyFont="1" applyBorder="1" applyAlignment="1" applyProtection="1">
      <alignment horizontal="center" vertical="center"/>
      <protection locked="0"/>
    </xf>
    <xf numFmtId="0" fontId="76" fillId="0" borderId="1" xfId="0" applyFont="1" applyBorder="1" applyAlignment="1" applyProtection="1">
      <alignment horizontal="center" vertical="center"/>
      <protection locked="0"/>
    </xf>
    <xf numFmtId="0" fontId="53" fillId="3" borderId="15" xfId="0" applyFont="1" applyFill="1" applyBorder="1" applyAlignment="1" applyProtection="1">
      <alignment horizontal="left" vertical="center" wrapText="1"/>
      <protection hidden="1"/>
    </xf>
    <xf numFmtId="0" fontId="53" fillId="3" borderId="16" xfId="0" applyFont="1" applyFill="1" applyBorder="1" applyAlignment="1" applyProtection="1">
      <alignment horizontal="left" vertical="center" wrapText="1"/>
      <protection hidden="1"/>
    </xf>
    <xf numFmtId="0" fontId="53" fillId="3" borderId="30" xfId="0" applyFont="1" applyFill="1" applyBorder="1" applyAlignment="1" applyProtection="1">
      <alignment horizontal="left" vertical="center" wrapText="1"/>
      <protection hidden="1"/>
    </xf>
    <xf numFmtId="0" fontId="53" fillId="0" borderId="29" xfId="0" applyFont="1" applyBorder="1" applyAlignment="1" applyProtection="1">
      <alignment horizontal="left" vertical="center" wrapText="1"/>
      <protection locked="0"/>
    </xf>
    <xf numFmtId="0" fontId="53" fillId="0" borderId="16" xfId="0" applyFont="1" applyBorder="1" applyAlignment="1" applyProtection="1">
      <alignment horizontal="left" vertical="center" wrapText="1"/>
      <protection locked="0"/>
    </xf>
    <xf numFmtId="0" fontId="53" fillId="0" borderId="17" xfId="0" applyFont="1" applyBorder="1" applyAlignment="1" applyProtection="1">
      <alignment horizontal="left" vertical="center" wrapText="1"/>
      <protection locked="0"/>
    </xf>
    <xf numFmtId="0" fontId="0" fillId="0" borderId="1" xfId="0" applyBorder="1" applyAlignment="1">
      <alignment horizontal="center" vertical="center"/>
    </xf>
    <xf numFmtId="0" fontId="78" fillId="0" borderId="25" xfId="0" applyFont="1" applyBorder="1" applyAlignment="1">
      <alignment horizontal="center" vertical="center"/>
    </xf>
    <xf numFmtId="0" fontId="78" fillId="0" borderId="24" xfId="0" applyFont="1" applyBorder="1" applyAlignment="1">
      <alignment horizontal="center" vertical="center"/>
    </xf>
    <xf numFmtId="0" fontId="78" fillId="0" borderId="1" xfId="0" applyFont="1" applyBorder="1" applyAlignment="1">
      <alignment horizontal="center" vertical="center"/>
    </xf>
    <xf numFmtId="0" fontId="78" fillId="0" borderId="25" xfId="0" applyFont="1" applyBorder="1" applyAlignment="1">
      <alignment horizontal="center" vertical="center" wrapText="1"/>
    </xf>
    <xf numFmtId="0" fontId="78" fillId="0" borderId="24" xfId="0" applyFont="1" applyBorder="1" applyAlignment="1">
      <alignment horizontal="center" vertical="center" wrapText="1"/>
    </xf>
    <xf numFmtId="0" fontId="76" fillId="0" borderId="1" xfId="0" applyFont="1" applyFill="1" applyBorder="1" applyAlignment="1">
      <alignment horizontal="center" vertical="center" wrapText="1"/>
    </xf>
    <xf numFmtId="0" fontId="76" fillId="0" borderId="1" xfId="0" applyFont="1" applyBorder="1" applyAlignment="1">
      <alignment horizontal="center" vertical="center"/>
    </xf>
    <xf numFmtId="0" fontId="76" fillId="0" borderId="0" xfId="0" applyFont="1" applyAlignment="1">
      <alignment horizontal="center"/>
    </xf>
    <xf numFmtId="0" fontId="78" fillId="0" borderId="1" xfId="0" applyFont="1" applyBorder="1" applyAlignment="1">
      <alignment horizontal="center" vertical="center" wrapText="1"/>
    </xf>
    <xf numFmtId="0" fontId="76" fillId="0" borderId="27" xfId="0" applyFont="1" applyFill="1" applyBorder="1" applyAlignment="1">
      <alignment horizontal="center" wrapText="1"/>
    </xf>
    <xf numFmtId="0" fontId="76" fillId="0" borderId="1" xfId="0" applyFont="1" applyFill="1" applyBorder="1" applyAlignment="1">
      <alignment horizontal="center" wrapText="1"/>
    </xf>
    <xf numFmtId="0" fontId="95" fillId="0" borderId="0" xfId="0" applyFont="1" applyProtection="1">
      <protection locked="0"/>
    </xf>
    <xf numFmtId="0" fontId="96" fillId="17" borderId="0" xfId="0" applyFont="1" applyFill="1"/>
    <xf numFmtId="14" fontId="4" fillId="17" borderId="1" xfId="0" applyNumberFormat="1" applyFont="1" applyFill="1" applyBorder="1" applyAlignment="1">
      <alignment horizontal="center" vertical="center"/>
    </xf>
    <xf numFmtId="0" fontId="32" fillId="17" borderId="4" xfId="0" applyFont="1" applyFill="1" applyBorder="1" applyAlignment="1">
      <alignment horizontal="center" vertical="center" wrapText="1"/>
    </xf>
    <xf numFmtId="0" fontId="32" fillId="17" borderId="7" xfId="0" applyFont="1" applyFill="1" applyBorder="1" applyAlignment="1">
      <alignment horizontal="center" vertical="center" wrapText="1"/>
    </xf>
    <xf numFmtId="0" fontId="32" fillId="17" borderId="4" xfId="0" applyFont="1" applyFill="1" applyBorder="1" applyAlignment="1">
      <alignment horizontal="center" vertical="center"/>
    </xf>
    <xf numFmtId="0" fontId="32" fillId="17" borderId="7" xfId="0" applyFont="1" applyFill="1" applyBorder="1" applyAlignment="1">
      <alignment horizontal="center" vertical="center"/>
    </xf>
    <xf numFmtId="0" fontId="4" fillId="17" borderId="1" xfId="0" applyFont="1" applyFill="1" applyBorder="1" applyAlignment="1">
      <alignment horizontal="center" vertical="center"/>
    </xf>
    <xf numFmtId="0" fontId="32" fillId="17" borderId="1" xfId="0" applyFont="1" applyFill="1" applyBorder="1" applyAlignment="1">
      <alignment horizontal="center" vertical="center" wrapText="1"/>
    </xf>
    <xf numFmtId="0" fontId="32" fillId="17" borderId="1" xfId="0" applyFont="1" applyFill="1" applyBorder="1" applyAlignment="1">
      <alignment horizontal="center" vertical="center"/>
    </xf>
    <xf numFmtId="0" fontId="4" fillId="17" borderId="0" xfId="0" applyFont="1" applyFill="1" applyBorder="1" applyAlignment="1">
      <alignment horizontal="center" vertical="center"/>
    </xf>
    <xf numFmtId="0" fontId="96" fillId="17" borderId="0" xfId="0" applyFont="1" applyFill="1" applyAlignment="1" applyProtection="1">
      <alignment vertical="center"/>
      <protection locked="0"/>
    </xf>
    <xf numFmtId="0" fontId="32" fillId="17" borderId="0" xfId="0" applyFont="1" applyFill="1" applyAlignment="1">
      <alignment horizontal="center" vertical="center"/>
    </xf>
    <xf numFmtId="0" fontId="70" fillId="17" borderId="7" xfId="0" applyFont="1" applyFill="1" applyBorder="1" applyAlignment="1" applyProtection="1">
      <alignment horizontal="center" vertical="center" wrapText="1"/>
      <protection hidden="1"/>
    </xf>
    <xf numFmtId="0" fontId="57" fillId="17" borderId="1" xfId="0" applyFont="1" applyFill="1" applyBorder="1" applyAlignment="1" applyProtection="1">
      <alignment horizontal="center" vertical="center" wrapText="1"/>
      <protection hidden="1"/>
    </xf>
    <xf numFmtId="0" fontId="57" fillId="17" borderId="1" xfId="0" applyFont="1" applyFill="1" applyBorder="1" applyAlignment="1" applyProtection="1">
      <alignment horizontal="center" vertical="center" wrapText="1"/>
      <protection locked="0"/>
    </xf>
    <xf numFmtId="0" fontId="57" fillId="17" borderId="1" xfId="0" quotePrefix="1" applyFont="1" applyFill="1" applyBorder="1" applyAlignment="1" applyProtection="1">
      <alignment horizontal="center" vertical="center"/>
      <protection hidden="1"/>
    </xf>
    <xf numFmtId="0" fontId="57" fillId="17" borderId="1" xfId="0" applyFont="1" applyFill="1" applyBorder="1" applyAlignment="1" applyProtection="1">
      <alignment horizontal="center" vertical="center"/>
      <protection hidden="1"/>
    </xf>
    <xf numFmtId="0" fontId="57" fillId="17" borderId="4" xfId="0" applyFont="1" applyFill="1" applyBorder="1" applyAlignment="1" applyProtection="1">
      <alignment horizontal="center" vertical="center"/>
      <protection hidden="1"/>
    </xf>
    <xf numFmtId="0" fontId="67" fillId="17" borderId="7" xfId="0" applyFont="1" applyFill="1" applyBorder="1" applyAlignment="1" applyProtection="1">
      <alignment horizontal="center" vertical="center" wrapText="1"/>
      <protection hidden="1"/>
    </xf>
    <xf numFmtId="167" fontId="57" fillId="17" borderId="1" xfId="0" applyNumberFormat="1" applyFont="1" applyFill="1" applyBorder="1" applyAlignment="1" applyProtection="1">
      <alignment horizontal="center" vertical="center"/>
      <protection hidden="1"/>
    </xf>
    <xf numFmtId="167" fontId="57" fillId="17" borderId="1" xfId="0" quotePrefix="1" applyNumberFormat="1" applyFont="1" applyFill="1" applyBorder="1" applyAlignment="1" applyProtection="1">
      <alignment horizontal="center" vertical="center"/>
      <protection hidden="1"/>
    </xf>
    <xf numFmtId="2" fontId="57" fillId="17" borderId="1" xfId="0" applyNumberFormat="1" applyFont="1" applyFill="1" applyBorder="1" applyAlignment="1" applyProtection="1">
      <alignment horizontal="center" vertical="center"/>
      <protection hidden="1"/>
    </xf>
    <xf numFmtId="167" fontId="57" fillId="17" borderId="4" xfId="0" applyNumberFormat="1" applyFont="1" applyFill="1" applyBorder="1" applyAlignment="1" applyProtection="1">
      <alignment horizontal="center" vertical="center"/>
      <protection hidden="1"/>
    </xf>
    <xf numFmtId="0" fontId="57" fillId="17" borderId="1" xfId="0" quotePrefix="1" applyFont="1" applyFill="1" applyBorder="1" applyAlignment="1" applyProtection="1">
      <alignment horizontal="center" vertical="center" wrapText="1"/>
      <protection hidden="1"/>
    </xf>
    <xf numFmtId="11" fontId="57" fillId="17" borderId="1" xfId="0" applyNumberFormat="1" applyFont="1" applyFill="1" applyBorder="1" applyAlignment="1" applyProtection="1">
      <alignment horizontal="center" vertical="center"/>
      <protection locked="0"/>
    </xf>
    <xf numFmtId="11" fontId="57" fillId="17" borderId="1" xfId="0" quotePrefix="1" applyNumberFormat="1" applyFont="1" applyFill="1" applyBorder="1" applyAlignment="1" applyProtection="1">
      <alignment horizontal="center" vertical="center"/>
      <protection hidden="1"/>
    </xf>
    <xf numFmtId="0" fontId="57" fillId="17" borderId="1" xfId="0" applyFont="1" applyFill="1" applyBorder="1" applyAlignment="1" applyProtection="1">
      <alignment horizontal="center" vertical="center"/>
      <protection locked="0"/>
    </xf>
    <xf numFmtId="11" fontId="57" fillId="17" borderId="4" xfId="0" applyNumberFormat="1" applyFont="1" applyFill="1" applyBorder="1" applyAlignment="1" applyProtection="1">
      <alignment horizontal="center" vertical="center"/>
      <protection hidden="1"/>
    </xf>
    <xf numFmtId="11" fontId="57" fillId="17" borderId="1" xfId="0" applyNumberFormat="1" applyFont="1" applyFill="1" applyBorder="1" applyAlignment="1" applyProtection="1">
      <alignment horizontal="center" vertical="center"/>
      <protection hidden="1"/>
    </xf>
    <xf numFmtId="166" fontId="57" fillId="17" borderId="1" xfId="0" applyNumberFormat="1" applyFont="1" applyFill="1" applyBorder="1" applyAlignment="1" applyProtection="1">
      <alignment horizontal="center" vertical="center"/>
      <protection hidden="1"/>
    </xf>
    <xf numFmtId="0" fontId="57" fillId="17" borderId="4" xfId="0" quotePrefix="1" applyFont="1" applyFill="1" applyBorder="1" applyAlignment="1" applyProtection="1">
      <alignment horizontal="center" vertical="center"/>
      <protection hidden="1"/>
    </xf>
    <xf numFmtId="11" fontId="57" fillId="17" borderId="4" xfId="0" quotePrefix="1" applyNumberFormat="1" applyFont="1" applyFill="1" applyBorder="1" applyAlignment="1" applyProtection="1">
      <alignment horizontal="center" vertical="center"/>
      <protection hidden="1"/>
    </xf>
    <xf numFmtId="164" fontId="57" fillId="17" borderId="1" xfId="0" applyNumberFormat="1" applyFont="1" applyFill="1" applyBorder="1" applyAlignment="1" applyProtection="1">
      <alignment horizontal="center" vertical="center"/>
      <protection hidden="1"/>
    </xf>
    <xf numFmtId="0" fontId="57" fillId="17" borderId="4" xfId="0" applyFont="1" applyFill="1" applyBorder="1" applyAlignment="1" applyProtection="1">
      <alignment horizontal="center" vertical="center" wrapText="1"/>
      <protection hidden="1"/>
    </xf>
    <xf numFmtId="0" fontId="57" fillId="17" borderId="1" xfId="0" quotePrefix="1" applyFont="1" applyFill="1" applyBorder="1" applyAlignment="1" applyProtection="1">
      <alignment horizontal="center" vertical="center"/>
      <protection locked="0"/>
    </xf>
    <xf numFmtId="164" fontId="57" fillId="17" borderId="1" xfId="0" quotePrefix="1" applyNumberFormat="1" applyFont="1" applyFill="1" applyBorder="1" applyAlignment="1" applyProtection="1">
      <alignment horizontal="center" vertical="center"/>
      <protection hidden="1"/>
    </xf>
    <xf numFmtId="3" fontId="57" fillId="17" borderId="4" xfId="0" applyNumberFormat="1" applyFont="1" applyFill="1" applyBorder="1" applyAlignment="1" applyProtection="1">
      <alignment horizontal="center" vertical="center"/>
      <protection locked="0"/>
    </xf>
    <xf numFmtId="2" fontId="57" fillId="17" borderId="1" xfId="0" applyNumberFormat="1" applyFont="1" applyFill="1" applyBorder="1" applyAlignment="1" applyProtection="1">
      <alignment horizontal="center" vertical="center" wrapText="1"/>
      <protection hidden="1"/>
    </xf>
    <xf numFmtId="0" fontId="57" fillId="17" borderId="6" xfId="0" applyFont="1" applyFill="1" applyBorder="1" applyAlignment="1" applyProtection="1">
      <alignment horizontal="center" vertical="center"/>
      <protection locked="0"/>
    </xf>
    <xf numFmtId="0" fontId="57" fillId="17" borderId="7" xfId="0" applyFont="1" applyFill="1" applyBorder="1" applyAlignment="1" applyProtection="1">
      <alignment horizontal="center" vertical="center"/>
      <protection locked="0"/>
    </xf>
    <xf numFmtId="165" fontId="57" fillId="17" borderId="4" xfId="0" applyNumberFormat="1" applyFont="1" applyFill="1" applyBorder="1" applyAlignment="1" applyProtection="1">
      <alignment horizontal="center" vertical="center"/>
      <protection hidden="1"/>
    </xf>
    <xf numFmtId="167" fontId="64" fillId="17" borderId="1" xfId="0" applyNumberFormat="1" applyFont="1" applyFill="1" applyBorder="1" applyAlignment="1" applyProtection="1">
      <alignment horizontal="center" vertical="center" wrapText="1"/>
      <protection hidden="1"/>
    </xf>
    <xf numFmtId="2" fontId="64" fillId="17" borderId="1" xfId="0" applyNumberFormat="1" applyFont="1" applyFill="1" applyBorder="1" applyAlignment="1" applyProtection="1">
      <alignment horizontal="center" vertical="center" wrapText="1"/>
      <protection hidden="1"/>
    </xf>
    <xf numFmtId="164" fontId="64" fillId="17" borderId="4" xfId="0" applyNumberFormat="1" applyFont="1" applyFill="1" applyBorder="1" applyAlignment="1" applyProtection="1">
      <alignment horizontal="center" vertical="center" wrapText="1"/>
      <protection hidden="1"/>
    </xf>
    <xf numFmtId="0" fontId="64" fillId="17" borderId="7" xfId="0" applyFont="1" applyFill="1" applyBorder="1" applyAlignment="1" applyProtection="1">
      <alignment horizontal="center" vertical="center" wrapText="1"/>
      <protection hidden="1"/>
    </xf>
    <xf numFmtId="2" fontId="64" fillId="17" borderId="4" xfId="0" applyNumberFormat="1" applyFont="1" applyFill="1" applyBorder="1" applyAlignment="1" applyProtection="1">
      <alignment horizontal="center" vertical="center" wrapText="1"/>
      <protection hidden="1"/>
    </xf>
    <xf numFmtId="2" fontId="97" fillId="17" borderId="8" xfId="0" applyNumberFormat="1" applyFont="1" applyFill="1" applyBorder="1" applyAlignment="1" applyProtection="1">
      <alignment horizontal="center" vertical="center" wrapText="1"/>
      <protection hidden="1"/>
    </xf>
  </cellXfs>
  <cellStyles count="1">
    <cellStyle name="Normal" xfId="0" builtinId="0"/>
  </cellStyles>
  <dxfs count="0"/>
  <tableStyles count="0" defaultTableStyle="TableStyleMedium2" defaultPivotStyle="PivotStyleLight16"/>
  <colors>
    <mruColors>
      <color rgb="FF3B9B90"/>
      <color rgb="FF348480"/>
      <color rgb="FF9BE5FF"/>
      <color rgb="FF79DCFF"/>
      <color rgb="FF8FFF8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171450</xdr:colOff>
      <xdr:row>1</xdr:row>
      <xdr:rowOff>47625</xdr:rowOff>
    </xdr:from>
    <xdr:to>
      <xdr:col>9</xdr:col>
      <xdr:colOff>771525</xdr:colOff>
      <xdr:row>1</xdr:row>
      <xdr:rowOff>714375</xdr:rowOff>
    </xdr:to>
    <xdr:pic>
      <xdr:nvPicPr>
        <xdr:cNvPr id="13380" name="Picture 3">
          <a:extLst>
            <a:ext uri="{FF2B5EF4-FFF2-40B4-BE49-F238E27FC236}">
              <a16:creationId xmlns:a16="http://schemas.microsoft.com/office/drawing/2014/main" id="{00000000-0008-0000-0200-000044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114300"/>
          <a:ext cx="6000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7</xdr:col>
      <xdr:colOff>494301</xdr:colOff>
      <xdr:row>67</xdr:row>
      <xdr:rowOff>189827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800" y="9658350"/>
          <a:ext cx="8000001" cy="5390477"/>
        </a:xfrm>
        <a:prstGeom prst="rect">
          <a:avLst/>
        </a:prstGeom>
      </xdr:spPr>
    </xdr:pic>
    <xdr:clientData/>
  </xdr:twoCellAnchor>
  <xdr:twoCellAnchor editAs="oneCell">
    <xdr:from>
      <xdr:col>0</xdr:col>
      <xdr:colOff>581025</xdr:colOff>
      <xdr:row>100</xdr:row>
      <xdr:rowOff>19050</xdr:rowOff>
    </xdr:from>
    <xdr:to>
      <xdr:col>4</xdr:col>
      <xdr:colOff>685062</xdr:colOff>
      <xdr:row>128</xdr:row>
      <xdr:rowOff>46922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581025" y="23155275"/>
          <a:ext cx="5904762" cy="5628572"/>
        </a:xfrm>
        <a:prstGeom prst="rect">
          <a:avLst/>
        </a:prstGeom>
      </xdr:spPr>
    </xdr:pic>
    <xdr:clientData/>
  </xdr:twoCellAnchor>
  <xdr:twoCellAnchor editAs="oneCell">
    <xdr:from>
      <xdr:col>1</xdr:col>
      <xdr:colOff>0</xdr:colOff>
      <xdr:row>139</xdr:row>
      <xdr:rowOff>0</xdr:rowOff>
    </xdr:from>
    <xdr:to>
      <xdr:col>10</xdr:col>
      <xdr:colOff>46319</xdr:colOff>
      <xdr:row>155</xdr:row>
      <xdr:rowOff>75791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685800" y="36137850"/>
          <a:ext cx="10457144" cy="3276191"/>
        </a:xfrm>
        <a:prstGeom prst="rect">
          <a:avLst/>
        </a:prstGeom>
      </xdr:spPr>
    </xdr:pic>
    <xdr:clientData/>
  </xdr:twoCellAnchor>
  <xdr:twoCellAnchor editAs="oneCell">
    <xdr:from>
      <xdr:col>2</xdr:col>
      <xdr:colOff>15305</xdr:colOff>
      <xdr:row>166</xdr:row>
      <xdr:rowOff>19050</xdr:rowOff>
    </xdr:from>
    <xdr:to>
      <xdr:col>9</xdr:col>
      <xdr:colOff>836775</xdr:colOff>
      <xdr:row>180</xdr:row>
      <xdr:rowOff>95250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4"/>
        <a:stretch>
          <a:fillRect/>
        </a:stretch>
      </xdr:blipFill>
      <xdr:spPr>
        <a:xfrm>
          <a:off x="3291905" y="44757975"/>
          <a:ext cx="7479445" cy="3076575"/>
        </a:xfrm>
        <a:prstGeom prst="rect">
          <a:avLst/>
        </a:prstGeom>
      </xdr:spPr>
    </xdr:pic>
    <xdr:clientData/>
  </xdr:twoCellAnchor>
</xdr:wsDr>
</file>

<file path=xl/theme/theme1.xml><?xml version="1.0" encoding="utf-8"?>
<a:theme xmlns:a="http://schemas.openxmlformats.org/drawingml/2006/main" name="Office Theme">
  <a:themeElements>
    <a:clrScheme name="Clarity">
      <a:dk1>
        <a:srgbClr val="292934"/>
      </a:dk1>
      <a:lt1>
        <a:srgbClr val="FFFFFF"/>
      </a:lt1>
      <a:dk2>
        <a:srgbClr val="D2533C"/>
      </a:dk2>
      <a:lt2>
        <a:srgbClr val="F3F2DC"/>
      </a:lt2>
      <a:accent1>
        <a:srgbClr val="93A299"/>
      </a:accent1>
      <a:accent2>
        <a:srgbClr val="AD8F67"/>
      </a:accent2>
      <a:accent3>
        <a:srgbClr val="726056"/>
      </a:accent3>
      <a:accent4>
        <a:srgbClr val="4C5A6A"/>
      </a:accent4>
      <a:accent5>
        <a:srgbClr val="808DA0"/>
      </a:accent5>
      <a:accent6>
        <a:srgbClr val="79463D"/>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I15"/>
  <sheetViews>
    <sheetView workbookViewId="0">
      <selection activeCell="J4" sqref="J4:J6"/>
    </sheetView>
  </sheetViews>
  <sheetFormatPr defaultRowHeight="15.6" x14ac:dyDescent="0.3"/>
  <cols>
    <col min="4" max="4" width="10.19921875" customWidth="1"/>
    <col min="5" max="5" width="27.19921875" customWidth="1"/>
    <col min="6" max="6" width="15.59765625" customWidth="1"/>
    <col min="7" max="7" width="18.19921875" customWidth="1"/>
    <col min="8" max="8" width="14" customWidth="1"/>
    <col min="9" max="9" width="15.59765625" customWidth="1"/>
  </cols>
  <sheetData>
    <row r="2" spans="4:9" x14ac:dyDescent="0.3">
      <c r="D2" s="179" t="s">
        <v>428</v>
      </c>
      <c r="E2" s="179"/>
      <c r="F2" s="179"/>
      <c r="G2" s="179"/>
      <c r="H2" s="179"/>
      <c r="I2" s="179"/>
    </row>
    <row r="3" spans="4:9" ht="30" customHeight="1" x14ac:dyDescent="0.3">
      <c r="D3" s="142" t="s">
        <v>423</v>
      </c>
      <c r="E3" s="142" t="s">
        <v>424</v>
      </c>
      <c r="F3" s="142" t="s">
        <v>431</v>
      </c>
      <c r="G3" s="142" t="s">
        <v>425</v>
      </c>
      <c r="H3" s="142" t="s">
        <v>426</v>
      </c>
      <c r="I3" s="142" t="s">
        <v>427</v>
      </c>
    </row>
    <row r="4" spans="4:9" ht="27.6" x14ac:dyDescent="0.3">
      <c r="D4" s="136">
        <v>0</v>
      </c>
      <c r="E4" s="137" t="s">
        <v>430</v>
      </c>
      <c r="F4" s="137" t="s">
        <v>432</v>
      </c>
      <c r="G4" s="138" t="s">
        <v>433</v>
      </c>
      <c r="H4" s="139"/>
      <c r="I4" s="139" t="s">
        <v>429</v>
      </c>
    </row>
    <row r="5" spans="4:9" x14ac:dyDescent="0.3">
      <c r="D5" s="140"/>
      <c r="E5" s="140"/>
      <c r="F5" s="140"/>
      <c r="G5" s="140"/>
      <c r="H5" s="140"/>
      <c r="I5" s="140"/>
    </row>
    <row r="6" spans="4:9" x14ac:dyDescent="0.3">
      <c r="D6" s="140"/>
      <c r="E6" s="140"/>
      <c r="F6" s="140"/>
      <c r="G6" s="140"/>
      <c r="H6" s="140"/>
      <c r="I6" s="140"/>
    </row>
    <row r="7" spans="4:9" x14ac:dyDescent="0.3">
      <c r="D7" s="140"/>
      <c r="E7" s="140"/>
      <c r="F7" s="140"/>
      <c r="G7" s="140"/>
      <c r="H7" s="140"/>
      <c r="I7" s="140"/>
    </row>
    <row r="8" spans="4:9" x14ac:dyDescent="0.3">
      <c r="D8" s="140"/>
      <c r="E8" s="140"/>
      <c r="F8" s="140"/>
      <c r="G8" s="140"/>
      <c r="H8" s="140"/>
      <c r="I8" s="140"/>
    </row>
    <row r="9" spans="4:9" x14ac:dyDescent="0.3">
      <c r="D9" s="140"/>
      <c r="E9" s="140"/>
      <c r="F9" s="140"/>
      <c r="G9" s="140"/>
      <c r="H9" s="140"/>
      <c r="I9" s="140"/>
    </row>
    <row r="10" spans="4:9" x14ac:dyDescent="0.3">
      <c r="D10" s="140"/>
      <c r="E10" s="140"/>
      <c r="F10" s="140"/>
      <c r="G10" s="140"/>
      <c r="H10" s="140"/>
      <c r="I10" s="140"/>
    </row>
    <row r="11" spans="4:9" x14ac:dyDescent="0.3">
      <c r="D11" s="140"/>
      <c r="E11" s="140"/>
      <c r="F11" s="140"/>
      <c r="G11" s="140"/>
      <c r="H11" s="140"/>
      <c r="I11" s="140"/>
    </row>
    <row r="12" spans="4:9" x14ac:dyDescent="0.3">
      <c r="D12" s="140"/>
      <c r="E12" s="140"/>
      <c r="F12" s="140"/>
      <c r="G12" s="140"/>
      <c r="H12" s="140"/>
      <c r="I12" s="140"/>
    </row>
    <row r="13" spans="4:9" x14ac:dyDescent="0.3">
      <c r="D13" s="141"/>
      <c r="E13" s="141"/>
      <c r="F13" s="141"/>
      <c r="G13" s="141"/>
      <c r="H13" s="141"/>
      <c r="I13" s="141"/>
    </row>
    <row r="14" spans="4:9" x14ac:dyDescent="0.3">
      <c r="D14" s="141"/>
      <c r="E14" s="141"/>
      <c r="F14" s="141"/>
      <c r="G14" s="141"/>
      <c r="H14" s="141"/>
      <c r="I14" s="141"/>
    </row>
    <row r="15" spans="4:9" ht="35.25" customHeight="1" x14ac:dyDescent="0.3">
      <c r="D15" s="180"/>
      <c r="E15" s="180"/>
      <c r="F15" s="180"/>
      <c r="G15" s="180"/>
      <c r="H15" s="180"/>
      <c r="I15" s="180"/>
    </row>
  </sheetData>
  <mergeCells count="2">
    <mergeCell ref="D2:I2"/>
    <mergeCell ref="D15:I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5:D10"/>
  <sheetViews>
    <sheetView workbookViewId="0">
      <selection activeCell="G9" sqref="G9"/>
    </sheetView>
  </sheetViews>
  <sheetFormatPr defaultRowHeight="15.6" x14ac:dyDescent="0.3"/>
  <cols>
    <col min="1" max="2" width="7.59765625" customWidth="1"/>
    <col min="3" max="3" width="9.3984375" bestFit="1" customWidth="1"/>
    <col min="4" max="4" width="59.3984375" bestFit="1" customWidth="1"/>
    <col min="5" max="18" width="7.59765625" customWidth="1"/>
  </cols>
  <sheetData>
    <row r="5" spans="3:4" x14ac:dyDescent="0.3">
      <c r="C5" s="182" t="s">
        <v>411</v>
      </c>
      <c r="D5" s="182"/>
    </row>
    <row r="7" spans="3:4" x14ac:dyDescent="0.3">
      <c r="C7" s="26" t="s">
        <v>200</v>
      </c>
      <c r="D7" s="27" t="s">
        <v>202</v>
      </c>
    </row>
    <row r="8" spans="3:4" ht="28.8" x14ac:dyDescent="0.3">
      <c r="C8" s="135" t="s">
        <v>201</v>
      </c>
      <c r="D8" s="126" t="s">
        <v>410</v>
      </c>
    </row>
    <row r="9" spans="3:4" x14ac:dyDescent="0.3">
      <c r="C9" s="28" t="s">
        <v>203</v>
      </c>
      <c r="D9" s="27" t="s">
        <v>409</v>
      </c>
    </row>
    <row r="10" spans="3:4" x14ac:dyDescent="0.3">
      <c r="C10" s="181" t="s">
        <v>408</v>
      </c>
      <c r="D10" s="181"/>
    </row>
  </sheetData>
  <mergeCells count="2">
    <mergeCell ref="C10:D10"/>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AF176"/>
  <sheetViews>
    <sheetView tabSelected="1" topLeftCell="A142" zoomScale="90" zoomScaleNormal="90" zoomScaleSheetLayoutView="100" zoomScalePageLayoutView="80" workbookViewId="0">
      <selection activeCell="H146" sqref="H146"/>
    </sheetView>
  </sheetViews>
  <sheetFormatPr defaultColWidth="8.69921875" defaultRowHeight="15.6" x14ac:dyDescent="0.3"/>
  <cols>
    <col min="1" max="1" width="0.8984375" style="1" customWidth="1"/>
    <col min="2" max="2" width="13" style="1" customWidth="1"/>
    <col min="3" max="4" width="9.5" style="1" customWidth="1"/>
    <col min="5" max="5" width="13.59765625" style="2" customWidth="1"/>
    <col min="6" max="6" width="21.3984375" style="3" customWidth="1"/>
    <col min="7" max="7" width="23.19921875" style="3" customWidth="1"/>
    <col min="8" max="8" width="17.69921875" style="1" customWidth="1"/>
    <col min="9" max="9" width="12.3984375" style="1" customWidth="1"/>
    <col min="10" max="10" width="13.59765625" style="1" customWidth="1"/>
    <col min="11" max="11" width="0.8984375" style="1" customWidth="1"/>
    <col min="12" max="12" width="14.59765625" style="1" customWidth="1"/>
    <col min="13" max="13" width="15" style="1" customWidth="1"/>
    <col min="14" max="14" width="12.59765625" style="1" bestFit="1" customWidth="1"/>
    <col min="15" max="15" width="16.69921875" style="1" customWidth="1"/>
    <col min="16" max="16" width="19.69921875" style="1" customWidth="1"/>
    <col min="17" max="17" width="24.19921875" style="1" customWidth="1"/>
    <col min="18" max="18" width="16.8984375" style="1" customWidth="1"/>
    <col min="19" max="19" width="23" style="1" customWidth="1"/>
    <col min="20" max="20" width="18" style="1" customWidth="1"/>
    <col min="21" max="21" width="20" style="1" customWidth="1"/>
    <col min="22" max="22" width="17" style="1" customWidth="1"/>
    <col min="23" max="23" width="17.3984375" style="1" customWidth="1"/>
    <col min="24" max="24" width="19.8984375" style="1" customWidth="1"/>
    <col min="25" max="25" width="12.69921875" style="1" customWidth="1"/>
    <col min="26" max="26" width="11" style="1" customWidth="1"/>
    <col min="27" max="27" width="16.69921875" style="1" customWidth="1"/>
    <col min="28" max="28" width="8.69921875" style="1"/>
    <col min="29" max="29" width="11.69921875" style="1" customWidth="1"/>
    <col min="30" max="30" width="8.69921875" style="1"/>
    <col min="31" max="31" width="14" style="1" customWidth="1"/>
    <col min="32" max="16384" width="8.69921875" style="1"/>
  </cols>
  <sheetData>
    <row r="1" spans="2:31" ht="36.75" customHeight="1" thickBot="1" x14ac:dyDescent="0.35">
      <c r="L1" s="133" t="s">
        <v>421</v>
      </c>
      <c r="Q1" s="162" t="s">
        <v>461</v>
      </c>
    </row>
    <row r="2" spans="2:31" ht="60" customHeight="1" thickBot="1" x14ac:dyDescent="0.35">
      <c r="B2" s="10"/>
      <c r="C2" s="344" t="s">
        <v>374</v>
      </c>
      <c r="D2" s="344"/>
      <c r="E2" s="344"/>
      <c r="F2" s="344"/>
      <c r="G2" s="344"/>
      <c r="H2" s="344"/>
      <c r="I2" s="344"/>
      <c r="J2" s="11"/>
      <c r="M2" s="150"/>
      <c r="N2" s="151" t="s">
        <v>439</v>
      </c>
      <c r="O2" s="152">
        <v>36069</v>
      </c>
      <c r="P2" s="380">
        <v>36069</v>
      </c>
      <c r="Q2" s="150"/>
      <c r="R2" s="150"/>
      <c r="S2" s="150"/>
      <c r="T2" s="150"/>
      <c r="U2"/>
      <c r="V2"/>
    </row>
    <row r="3" spans="2:31" s="4" customFormat="1" ht="20.100000000000001" customHeight="1" x14ac:dyDescent="0.3">
      <c r="B3" s="345" t="s">
        <v>8</v>
      </c>
      <c r="C3" s="346"/>
      <c r="D3" s="347"/>
      <c r="E3" s="347"/>
      <c r="F3" s="347"/>
      <c r="G3" s="346" t="s">
        <v>9</v>
      </c>
      <c r="H3" s="346"/>
      <c r="I3" s="347" t="s">
        <v>375</v>
      </c>
      <c r="J3" s="348"/>
      <c r="M3" s="150"/>
      <c r="N3" s="151" t="s">
        <v>440</v>
      </c>
      <c r="O3" s="152">
        <v>43132</v>
      </c>
      <c r="P3" s="380">
        <v>43132</v>
      </c>
      <c r="Q3" s="150"/>
      <c r="R3" s="226" t="s">
        <v>441</v>
      </c>
      <c r="S3" s="226"/>
      <c r="T3" s="150" t="str">
        <f>F22</f>
        <v>23.9</v>
      </c>
      <c r="U3"/>
      <c r="V3"/>
    </row>
    <row r="4" spans="2:31" s="4" customFormat="1" ht="19.5" customHeight="1" x14ac:dyDescent="0.3">
      <c r="B4" s="349" t="s">
        <v>32</v>
      </c>
      <c r="C4" s="350"/>
      <c r="D4" s="351" t="s">
        <v>375</v>
      </c>
      <c r="E4" s="351"/>
      <c r="F4" s="351"/>
      <c r="G4" s="350" t="s">
        <v>33</v>
      </c>
      <c r="H4" s="350"/>
      <c r="I4" s="352">
        <v>43132</v>
      </c>
      <c r="J4" s="353"/>
      <c r="M4" s="150"/>
      <c r="N4" s="150"/>
      <c r="O4" s="154"/>
      <c r="P4" s="150"/>
      <c r="Q4" s="150"/>
      <c r="R4" s="150"/>
      <c r="S4" s="150"/>
      <c r="T4" s="150"/>
      <c r="U4"/>
      <c r="V4"/>
    </row>
    <row r="5" spans="2:31" s="4" customFormat="1" ht="27.9" customHeight="1" x14ac:dyDescent="0.3">
      <c r="B5" s="14" t="s">
        <v>14</v>
      </c>
      <c r="C5" s="335" t="s">
        <v>375</v>
      </c>
      <c r="D5" s="335"/>
      <c r="E5" s="15" t="s">
        <v>10</v>
      </c>
      <c r="F5" s="335" t="s">
        <v>375</v>
      </c>
      <c r="G5" s="335"/>
      <c r="H5" s="15" t="s">
        <v>11</v>
      </c>
      <c r="I5" s="342" t="s">
        <v>435</v>
      </c>
      <c r="J5" s="343"/>
      <c r="M5" s="227" t="s">
        <v>442</v>
      </c>
      <c r="N5" s="227" t="s">
        <v>443</v>
      </c>
      <c r="O5" s="381" t="s">
        <v>493</v>
      </c>
      <c r="P5" s="229" t="s">
        <v>444</v>
      </c>
      <c r="Q5" s="383" t="s">
        <v>494</v>
      </c>
      <c r="R5" s="229" t="s">
        <v>445</v>
      </c>
      <c r="S5" s="383" t="s">
        <v>495</v>
      </c>
      <c r="T5" s="227" t="s">
        <v>446</v>
      </c>
      <c r="U5" s="381" t="s">
        <v>496</v>
      </c>
      <c r="V5" s="227" t="s">
        <v>447</v>
      </c>
      <c r="W5" s="381" t="s">
        <v>497</v>
      </c>
      <c r="X5" s="229" t="s">
        <v>448</v>
      </c>
      <c r="Y5" s="383" t="s">
        <v>498</v>
      </c>
      <c r="Z5" s="227" t="s">
        <v>449</v>
      </c>
      <c r="AA5" s="381" t="s">
        <v>499</v>
      </c>
      <c r="AB5" s="227" t="s">
        <v>450</v>
      </c>
      <c r="AC5" s="381" t="s">
        <v>500</v>
      </c>
      <c r="AD5" s="227" t="s">
        <v>451</v>
      </c>
      <c r="AE5" s="381" t="s">
        <v>501</v>
      </c>
    </row>
    <row r="6" spans="2:31" s="4" customFormat="1" ht="27.9" customHeight="1" x14ac:dyDescent="0.3">
      <c r="B6" s="14"/>
      <c r="C6" s="147"/>
      <c r="D6" s="147"/>
      <c r="E6" s="15"/>
      <c r="F6" s="147"/>
      <c r="G6" s="147"/>
      <c r="H6" s="15"/>
      <c r="I6" s="148"/>
      <c r="J6" s="149"/>
      <c r="M6" s="228"/>
      <c r="N6" s="228"/>
      <c r="O6" s="382"/>
      <c r="P6" s="230"/>
      <c r="Q6" s="384"/>
      <c r="R6" s="230"/>
      <c r="S6" s="384"/>
      <c r="T6" s="228"/>
      <c r="U6" s="382"/>
      <c r="V6" s="228"/>
      <c r="W6" s="382"/>
      <c r="X6" s="230"/>
      <c r="Y6" s="384"/>
      <c r="Z6" s="228"/>
      <c r="AA6" s="382"/>
      <c r="AB6" s="228"/>
      <c r="AC6" s="382"/>
      <c r="AD6" s="228"/>
      <c r="AE6" s="382"/>
    </row>
    <row r="7" spans="2:31" s="4" customFormat="1" ht="27.9" customHeight="1" x14ac:dyDescent="0.3">
      <c r="B7" s="14" t="s">
        <v>12</v>
      </c>
      <c r="C7" s="335" t="s">
        <v>375</v>
      </c>
      <c r="D7" s="335"/>
      <c r="E7" s="15" t="s">
        <v>13</v>
      </c>
      <c r="F7" s="336" t="s">
        <v>235</v>
      </c>
      <c r="G7" s="336"/>
      <c r="H7" s="16" t="s">
        <v>15</v>
      </c>
      <c r="I7" s="342">
        <v>36069</v>
      </c>
      <c r="J7" s="343"/>
      <c r="M7" s="151">
        <v>1</v>
      </c>
      <c r="N7" s="152">
        <v>36800</v>
      </c>
      <c r="O7" s="380">
        <v>36800</v>
      </c>
      <c r="P7" s="151" t="str">
        <f>F34</f>
        <v>Fail</v>
      </c>
      <c r="Q7" s="385" t="s">
        <v>347</v>
      </c>
      <c r="R7" s="151" t="str">
        <f>F33</f>
        <v>Highly Effective</v>
      </c>
      <c r="S7" s="385" t="s">
        <v>266</v>
      </c>
      <c r="T7" s="151" t="s">
        <v>84</v>
      </c>
      <c r="U7" s="385" t="s">
        <v>84</v>
      </c>
      <c r="V7" s="151" t="s">
        <v>84</v>
      </c>
      <c r="W7" s="385" t="s">
        <v>84</v>
      </c>
      <c r="X7" s="151">
        <f>(N7-O2)/365</f>
        <v>2.0027397260273974</v>
      </c>
      <c r="Y7" s="385">
        <f>(O7-P2)/365</f>
        <v>2.0027397260273974</v>
      </c>
      <c r="Z7" s="151">
        <v>1.8</v>
      </c>
      <c r="AA7" s="385">
        <v>1.8</v>
      </c>
      <c r="AB7" s="151">
        <v>0.9</v>
      </c>
      <c r="AC7" s="385">
        <v>0.9</v>
      </c>
      <c r="AD7" s="151">
        <v>0.95</v>
      </c>
      <c r="AE7" s="385">
        <v>0.95</v>
      </c>
    </row>
    <row r="8" spans="2:31" s="4" customFormat="1" ht="27.9" customHeight="1" x14ac:dyDescent="0.3">
      <c r="B8" s="341" t="s">
        <v>16</v>
      </c>
      <c r="C8" s="338" t="s">
        <v>158</v>
      </c>
      <c r="D8" s="338"/>
      <c r="E8" s="15" t="s">
        <v>17</v>
      </c>
      <c r="F8" s="336">
        <v>3</v>
      </c>
      <c r="G8" s="336"/>
      <c r="H8" s="15" t="s">
        <v>479</v>
      </c>
      <c r="I8" s="336">
        <v>6</v>
      </c>
      <c r="J8" s="337"/>
      <c r="M8" s="151"/>
      <c r="N8" s="152"/>
      <c r="O8" s="380"/>
      <c r="P8" s="151"/>
      <c r="Q8" s="385"/>
      <c r="R8" s="151"/>
      <c r="S8" s="385"/>
      <c r="T8" s="151"/>
      <c r="U8" s="385"/>
      <c r="V8" s="151"/>
      <c r="W8" s="385"/>
      <c r="X8" s="151"/>
      <c r="Y8" s="385"/>
      <c r="Z8" s="151"/>
      <c r="AA8" s="385"/>
      <c r="AB8" s="151"/>
      <c r="AC8" s="385"/>
      <c r="AD8" s="151"/>
      <c r="AE8" s="385"/>
    </row>
    <row r="9" spans="2:31" s="4" customFormat="1" ht="27.9" customHeight="1" x14ac:dyDescent="0.3">
      <c r="B9" s="341"/>
      <c r="C9" s="338"/>
      <c r="D9" s="338"/>
      <c r="E9" s="16" t="s">
        <v>30</v>
      </c>
      <c r="F9" s="336">
        <v>75</v>
      </c>
      <c r="G9" s="336"/>
      <c r="H9" s="16" t="s">
        <v>31</v>
      </c>
      <c r="I9" s="338" t="s">
        <v>159</v>
      </c>
      <c r="J9" s="340"/>
      <c r="M9" s="151"/>
      <c r="N9" s="152"/>
      <c r="O9" s="380"/>
      <c r="P9" s="151"/>
      <c r="Q9" s="385"/>
      <c r="R9" s="151"/>
      <c r="S9" s="385"/>
      <c r="T9" s="151"/>
      <c r="U9" s="385"/>
      <c r="V9" s="151"/>
      <c r="W9" s="385"/>
      <c r="X9" s="151"/>
      <c r="Y9" s="385"/>
      <c r="Z9" s="151"/>
      <c r="AA9" s="385"/>
      <c r="AB9" s="151"/>
      <c r="AC9" s="385"/>
      <c r="AD9" s="151"/>
      <c r="AE9" s="385"/>
    </row>
    <row r="10" spans="2:31" s="4" customFormat="1" ht="27.9" customHeight="1" x14ac:dyDescent="0.3">
      <c r="B10" s="79" t="s">
        <v>188</v>
      </c>
      <c r="C10" s="336">
        <v>1</v>
      </c>
      <c r="D10" s="336"/>
      <c r="E10" s="15" t="s">
        <v>87</v>
      </c>
      <c r="F10" s="338">
        <v>210</v>
      </c>
      <c r="G10" s="338"/>
      <c r="H10" s="15" t="s">
        <v>88</v>
      </c>
      <c r="I10" s="339" t="s">
        <v>41</v>
      </c>
      <c r="J10" s="340"/>
      <c r="M10" s="151"/>
      <c r="N10" s="152"/>
      <c r="O10" s="380"/>
      <c r="P10" s="151"/>
      <c r="Q10" s="385"/>
      <c r="R10" s="151"/>
      <c r="S10" s="385"/>
      <c r="T10" s="151"/>
      <c r="U10" s="385"/>
      <c r="V10" s="151"/>
      <c r="W10" s="385"/>
      <c r="X10" s="151"/>
      <c r="Y10" s="385"/>
      <c r="Z10" s="151"/>
      <c r="AA10" s="385"/>
      <c r="AB10" s="151"/>
      <c r="AC10" s="385"/>
      <c r="AD10" s="151"/>
      <c r="AE10" s="385"/>
    </row>
    <row r="11" spans="2:31" s="4" customFormat="1" ht="27.9" customHeight="1" x14ac:dyDescent="0.3">
      <c r="B11" s="79" t="s">
        <v>19</v>
      </c>
      <c r="C11" s="336">
        <v>76953</v>
      </c>
      <c r="D11" s="336"/>
      <c r="E11" s="15" t="s">
        <v>18</v>
      </c>
      <c r="F11" s="336" t="s">
        <v>191</v>
      </c>
      <c r="G11" s="336"/>
      <c r="H11" s="15" t="s">
        <v>20</v>
      </c>
      <c r="I11" s="336" t="s">
        <v>239</v>
      </c>
      <c r="J11" s="337"/>
      <c r="M11" s="151"/>
      <c r="N11" s="152"/>
      <c r="O11" s="380"/>
      <c r="P11" s="151"/>
      <c r="Q11" s="385"/>
      <c r="R11" s="151"/>
      <c r="S11" s="385"/>
      <c r="T11" s="151"/>
      <c r="U11" s="385"/>
      <c r="V11" s="151"/>
      <c r="W11" s="385"/>
      <c r="X11" s="151"/>
      <c r="Y11" s="385"/>
      <c r="Z11" s="151"/>
      <c r="AA11" s="385"/>
      <c r="AB11" s="151"/>
      <c r="AC11" s="385"/>
      <c r="AD11" s="151"/>
      <c r="AE11" s="385"/>
    </row>
    <row r="12" spans="2:31" s="5" customFormat="1" ht="27.9" customHeight="1" x14ac:dyDescent="0.3">
      <c r="B12" s="79" t="s">
        <v>23</v>
      </c>
      <c r="C12" s="336" t="s">
        <v>85</v>
      </c>
      <c r="D12" s="336"/>
      <c r="E12" s="16" t="s">
        <v>24</v>
      </c>
      <c r="F12" s="336" t="s">
        <v>84</v>
      </c>
      <c r="G12" s="336"/>
      <c r="H12" s="17" t="s">
        <v>71</v>
      </c>
      <c r="I12" s="336">
        <v>3</v>
      </c>
      <c r="J12" s="337"/>
      <c r="M12" s="151"/>
      <c r="N12" s="152"/>
      <c r="O12" s="380"/>
      <c r="P12" s="151"/>
      <c r="Q12" s="385"/>
      <c r="R12" s="151"/>
      <c r="S12" s="385"/>
      <c r="T12" s="151"/>
      <c r="U12" s="385"/>
      <c r="V12" s="151"/>
      <c r="W12" s="385"/>
      <c r="X12" s="151"/>
      <c r="Y12" s="385"/>
      <c r="Z12" s="151"/>
      <c r="AA12" s="385"/>
      <c r="AB12" s="151"/>
      <c r="AC12" s="385"/>
      <c r="AD12" s="151"/>
      <c r="AE12" s="385"/>
    </row>
    <row r="13" spans="2:31" s="5" customFormat="1" ht="47.25" customHeight="1" x14ac:dyDescent="0.3">
      <c r="B13" s="79" t="s">
        <v>25</v>
      </c>
      <c r="C13" s="336" t="s">
        <v>84</v>
      </c>
      <c r="D13" s="336"/>
      <c r="E13" s="16" t="s">
        <v>86</v>
      </c>
      <c r="F13" s="336" t="s">
        <v>84</v>
      </c>
      <c r="G13" s="336"/>
      <c r="H13" s="18" t="s">
        <v>26</v>
      </c>
      <c r="I13" s="336" t="s">
        <v>285</v>
      </c>
      <c r="J13" s="337"/>
      <c r="M13"/>
      <c r="N13"/>
      <c r="O13"/>
      <c r="P13"/>
      <c r="Q13"/>
      <c r="R13"/>
      <c r="S13"/>
      <c r="T13"/>
      <c r="U13"/>
      <c r="V13"/>
    </row>
    <row r="14" spans="2:31" s="5" customFormat="1" ht="27.9" customHeight="1" x14ac:dyDescent="0.3">
      <c r="B14" s="79" t="s">
        <v>21</v>
      </c>
      <c r="C14" s="335" t="s">
        <v>376</v>
      </c>
      <c r="D14" s="335"/>
      <c r="E14" s="16" t="s">
        <v>22</v>
      </c>
      <c r="F14" s="335" t="s">
        <v>434</v>
      </c>
      <c r="G14" s="335"/>
      <c r="H14" s="17" t="s">
        <v>82</v>
      </c>
      <c r="I14" s="336">
        <v>75</v>
      </c>
      <c r="J14" s="337"/>
      <c r="M14" s="156" t="s">
        <v>452</v>
      </c>
      <c r="N14" s="156" t="s">
        <v>453</v>
      </c>
      <c r="O14" s="156" t="s">
        <v>454</v>
      </c>
      <c r="P14" s="155" t="s">
        <v>455</v>
      </c>
      <c r="Q14" s="155" t="s">
        <v>456</v>
      </c>
      <c r="R14" s="155" t="s">
        <v>457</v>
      </c>
      <c r="S14" s="157" t="s">
        <v>458</v>
      </c>
      <c r="T14"/>
      <c r="U14"/>
      <c r="V14"/>
    </row>
    <row r="15" spans="2:31" s="4" customFormat="1" ht="27.9" customHeight="1" x14ac:dyDescent="0.3">
      <c r="B15" s="79" t="s">
        <v>27</v>
      </c>
      <c r="C15" s="336" t="s">
        <v>83</v>
      </c>
      <c r="D15" s="336"/>
      <c r="E15" s="16" t="s">
        <v>28</v>
      </c>
      <c r="F15" s="336" t="s">
        <v>84</v>
      </c>
      <c r="G15" s="336"/>
      <c r="H15" s="16" t="s">
        <v>29</v>
      </c>
      <c r="I15" s="336" t="s">
        <v>84</v>
      </c>
      <c r="J15" s="337"/>
      <c r="M15" s="151" t="s">
        <v>347</v>
      </c>
      <c r="N15" s="151">
        <v>1</v>
      </c>
      <c r="O15" s="158">
        <f>1-EXP(-((X7/T3)^Z7))</f>
        <v>1.1463222495165626E-2</v>
      </c>
      <c r="P15" s="151">
        <f>1-O15</f>
        <v>0.98853677750483437</v>
      </c>
      <c r="Q15" s="151">
        <f>(AD7*O15)+((1-AB7)*P15)</f>
        <v>0.10974373912089076</v>
      </c>
      <c r="R15" s="151">
        <f>Q15</f>
        <v>0.10974373912089076</v>
      </c>
      <c r="S15" s="159">
        <f>X7/((-LN(1-R15))^(1/Z7))</f>
        <v>6.6200169971650791</v>
      </c>
      <c r="T15"/>
      <c r="U15"/>
      <c r="V15"/>
    </row>
    <row r="16" spans="2:31" s="4" customFormat="1" ht="17.25" customHeight="1" thickBot="1" x14ac:dyDescent="0.35">
      <c r="B16" s="332" t="s">
        <v>199</v>
      </c>
      <c r="C16" s="333"/>
      <c r="D16" s="333"/>
      <c r="E16" s="333"/>
      <c r="F16" s="333"/>
      <c r="G16" s="333"/>
      <c r="H16" s="333"/>
      <c r="I16" s="333"/>
      <c r="J16" s="334"/>
      <c r="M16" s="151"/>
      <c r="N16" s="151"/>
      <c r="O16" s="151"/>
      <c r="P16" s="151"/>
      <c r="Q16" s="151"/>
      <c r="R16" s="151"/>
      <c r="S16" s="159"/>
      <c r="T16"/>
      <c r="U16"/>
      <c r="V16"/>
    </row>
    <row r="17" spans="2:32" s="4" customFormat="1" ht="30" customHeight="1" thickBot="1" x14ac:dyDescent="0.35">
      <c r="B17" s="268" t="s">
        <v>189</v>
      </c>
      <c r="C17" s="269"/>
      <c r="D17" s="269"/>
      <c r="E17" s="269"/>
      <c r="F17" s="269"/>
      <c r="G17" s="269"/>
      <c r="H17" s="269"/>
      <c r="I17" s="269"/>
      <c r="J17" s="270"/>
      <c r="M17" s="151"/>
      <c r="N17" s="151"/>
      <c r="O17" s="151"/>
      <c r="P17" s="151"/>
      <c r="Q17" s="151"/>
      <c r="R17" s="151"/>
      <c r="S17" s="159"/>
      <c r="T17"/>
      <c r="U17"/>
      <c r="V17"/>
    </row>
    <row r="18" spans="2:32" s="4" customFormat="1" ht="19.95" customHeight="1" x14ac:dyDescent="0.3">
      <c r="B18" s="271" t="s">
        <v>72</v>
      </c>
      <c r="C18" s="272"/>
      <c r="D18" s="272"/>
      <c r="E18" s="80" t="s">
        <v>76</v>
      </c>
      <c r="F18" s="80" t="s">
        <v>73</v>
      </c>
      <c r="G18" s="397" t="s">
        <v>510</v>
      </c>
      <c r="H18" s="80" t="s">
        <v>74</v>
      </c>
      <c r="I18" s="272" t="s">
        <v>75</v>
      </c>
      <c r="J18" s="272"/>
      <c r="K18" s="273"/>
      <c r="L18" s="130" t="s">
        <v>398</v>
      </c>
      <c r="N18" s="151"/>
      <c r="O18" s="151"/>
      <c r="P18" s="151"/>
      <c r="Q18" s="151"/>
      <c r="R18" s="151"/>
      <c r="S18" s="151"/>
      <c r="T18" s="159"/>
      <c r="U18"/>
      <c r="V18"/>
      <c r="W18"/>
    </row>
    <row r="19" spans="2:32" ht="26.7" customHeight="1" x14ac:dyDescent="0.3">
      <c r="B19" s="216" t="s">
        <v>1</v>
      </c>
      <c r="C19" s="217"/>
      <c r="D19" s="217"/>
      <c r="E19" s="19" t="s">
        <v>41</v>
      </c>
      <c r="F19" s="58" t="str">
        <f>F7</f>
        <v>Balanced Bellows</v>
      </c>
      <c r="G19" s="392" t="s">
        <v>235</v>
      </c>
      <c r="H19" s="33" t="s">
        <v>41</v>
      </c>
      <c r="I19" s="330" t="s">
        <v>207</v>
      </c>
      <c r="J19" s="330"/>
      <c r="K19" s="331"/>
      <c r="L19" s="127" t="s">
        <v>233</v>
      </c>
      <c r="N19" s="151"/>
      <c r="O19" s="151"/>
      <c r="P19" s="151"/>
      <c r="Q19" s="151"/>
      <c r="R19" s="151"/>
      <c r="S19" s="151"/>
      <c r="T19" s="159"/>
      <c r="U19"/>
      <c r="V19"/>
      <c r="W19"/>
    </row>
    <row r="20" spans="2:32" ht="41.25" customHeight="1" x14ac:dyDescent="0.3">
      <c r="B20" s="216" t="s">
        <v>3</v>
      </c>
      <c r="C20" s="217"/>
      <c r="D20" s="217"/>
      <c r="E20" s="19" t="s">
        <v>41</v>
      </c>
      <c r="F20" s="6" t="s">
        <v>232</v>
      </c>
      <c r="G20" s="393" t="s">
        <v>232</v>
      </c>
      <c r="H20" s="33" t="s">
        <v>41</v>
      </c>
      <c r="I20" s="330" t="s">
        <v>391</v>
      </c>
      <c r="J20" s="330"/>
      <c r="K20" s="331"/>
      <c r="L20" s="127" t="s">
        <v>234</v>
      </c>
      <c r="N20" s="151"/>
      <c r="O20" s="151"/>
      <c r="P20" s="151"/>
      <c r="Q20" s="151"/>
      <c r="R20" s="151"/>
      <c r="S20" s="151"/>
      <c r="T20" s="159"/>
      <c r="U20"/>
      <c r="V20"/>
      <c r="W20"/>
    </row>
    <row r="21" spans="2:32" ht="31.5" customHeight="1" x14ac:dyDescent="0.3">
      <c r="B21" s="216" t="s">
        <v>36</v>
      </c>
      <c r="C21" s="217"/>
      <c r="D21" s="217"/>
      <c r="E21" s="19" t="s">
        <v>34</v>
      </c>
      <c r="F21" s="58">
        <v>1.8</v>
      </c>
      <c r="G21" s="392">
        <v>1.8</v>
      </c>
      <c r="H21" s="33" t="s">
        <v>41</v>
      </c>
      <c r="I21" s="258" t="s">
        <v>252</v>
      </c>
      <c r="J21" s="258"/>
      <c r="K21" s="259"/>
      <c r="L21" s="127" t="s">
        <v>253</v>
      </c>
      <c r="N21"/>
      <c r="O21"/>
      <c r="P21"/>
      <c r="Q21"/>
      <c r="R21"/>
      <c r="S21"/>
      <c r="T21"/>
      <c r="U21"/>
      <c r="V21"/>
      <c r="W21"/>
    </row>
    <row r="22" spans="2:32" ht="26.7" customHeight="1" x14ac:dyDescent="0.3">
      <c r="B22" s="216" t="s">
        <v>173</v>
      </c>
      <c r="C22" s="217"/>
      <c r="D22" s="217"/>
      <c r="E22" s="20" t="s">
        <v>105</v>
      </c>
      <c r="F22" s="59" t="str">
        <f>IF(AND(OR(F7="Conventional",F7="Balanced Bellows"),F20="Moderate"),"23.9",IF(AND(OR(F7="Conventional",F7="Balanced Bellows"),F20="Severe"),"17.6",IF(AND(F7="Pilot Operated",F20="Mild"),"33.7",IF(AND(F7="Pilot Operated",F20="Moderate"),"8",IF(AND(F7="Pilot Operated",F20="Severe"),"3.5","50.5")))))</f>
        <v>23.9</v>
      </c>
      <c r="G22" s="394">
        <v>23.9</v>
      </c>
      <c r="H22" s="34" t="s">
        <v>35</v>
      </c>
      <c r="I22" s="258" t="s">
        <v>192</v>
      </c>
      <c r="J22" s="258"/>
      <c r="K22" s="259"/>
      <c r="L22" s="127" t="s">
        <v>233</v>
      </c>
      <c r="N22" s="150" t="s">
        <v>459</v>
      </c>
      <c r="O22" s="150">
        <f>(O3-O2)/365</f>
        <v>19.350684931506848</v>
      </c>
      <c r="P22" s="379">
        <v>19.35068493</v>
      </c>
      <c r="Q22"/>
      <c r="R22"/>
      <c r="S22"/>
      <c r="T22"/>
      <c r="U22"/>
      <c r="V22"/>
      <c r="W22"/>
    </row>
    <row r="23" spans="2:32" ht="26.7" customHeight="1" x14ac:dyDescent="0.3">
      <c r="B23" s="216" t="s">
        <v>115</v>
      </c>
      <c r="C23" s="217"/>
      <c r="D23" s="217"/>
      <c r="E23" s="19" t="s">
        <v>103</v>
      </c>
      <c r="F23" s="58">
        <f>X7</f>
        <v>2.0027397260273974</v>
      </c>
      <c r="G23" s="392">
        <v>2.0027397260000002</v>
      </c>
      <c r="H23" s="33" t="s">
        <v>35</v>
      </c>
      <c r="I23" s="185" t="s">
        <v>392</v>
      </c>
      <c r="J23" s="185"/>
      <c r="K23" s="186"/>
      <c r="L23" s="127" t="s">
        <v>233</v>
      </c>
      <c r="N23" s="160" t="s">
        <v>460</v>
      </c>
      <c r="O23" s="161">
        <f>1-EXP(-((O22/S15)^1.8))</f>
        <v>0.99898672486710371</v>
      </c>
      <c r="P23" s="379">
        <v>0.99898672499999996</v>
      </c>
      <c r="Q23"/>
      <c r="R23"/>
      <c r="S23"/>
      <c r="T23"/>
      <c r="U23"/>
      <c r="V23"/>
      <c r="W23"/>
    </row>
    <row r="24" spans="2:32" ht="26.7" customHeight="1" x14ac:dyDescent="0.3">
      <c r="B24" s="216" t="s">
        <v>37</v>
      </c>
      <c r="C24" s="217"/>
      <c r="D24" s="217"/>
      <c r="E24" s="21" t="s">
        <v>160</v>
      </c>
      <c r="F24" s="50" t="str">
        <f>IF(F19&amp;I11="ConventionalClosed Process", "0.75",IF(F19&amp;I11="ConventionalFlare","0.75","1"))</f>
        <v>1</v>
      </c>
      <c r="G24" s="395">
        <v>1</v>
      </c>
      <c r="H24" s="35" t="s">
        <v>41</v>
      </c>
      <c r="I24" s="326" t="s">
        <v>208</v>
      </c>
      <c r="J24" s="326"/>
      <c r="K24" s="327"/>
      <c r="L24" s="127" t="s">
        <v>233</v>
      </c>
      <c r="P24" s="378"/>
    </row>
    <row r="25" spans="2:32" ht="26.7" customHeight="1" x14ac:dyDescent="0.3">
      <c r="B25" s="216" t="s">
        <v>40</v>
      </c>
      <c r="C25" s="217"/>
      <c r="D25" s="217"/>
      <c r="E25" s="19" t="s">
        <v>38</v>
      </c>
      <c r="F25" s="6">
        <v>75</v>
      </c>
      <c r="G25" s="393">
        <v>75</v>
      </c>
      <c r="H25" s="33" t="s">
        <v>39</v>
      </c>
      <c r="I25" s="258" t="s">
        <v>161</v>
      </c>
      <c r="J25" s="258"/>
      <c r="K25" s="259"/>
      <c r="L25" s="127" t="s">
        <v>356</v>
      </c>
      <c r="R25" s="162" t="s">
        <v>462</v>
      </c>
    </row>
    <row r="26" spans="2:32" ht="26.7" customHeight="1" x14ac:dyDescent="0.3">
      <c r="B26" s="220" t="s">
        <v>240</v>
      </c>
      <c r="C26" s="221"/>
      <c r="D26" s="222"/>
      <c r="E26" s="22" t="s">
        <v>41</v>
      </c>
      <c r="F26" s="6" t="s">
        <v>342</v>
      </c>
      <c r="G26" s="393" t="s">
        <v>342</v>
      </c>
      <c r="H26" s="33" t="s">
        <v>41</v>
      </c>
      <c r="I26" s="323" t="s">
        <v>251</v>
      </c>
      <c r="J26" s="324"/>
      <c r="K26" s="325"/>
      <c r="L26" s="127" t="s">
        <v>234</v>
      </c>
      <c r="N26" s="150"/>
      <c r="O26" s="151" t="s">
        <v>439</v>
      </c>
      <c r="P26" s="152">
        <v>36069</v>
      </c>
      <c r="Q26" s="380">
        <v>36069</v>
      </c>
      <c r="R26" s="150"/>
      <c r="S26" s="150"/>
      <c r="T26" s="150" t="s">
        <v>463</v>
      </c>
      <c r="U26" s="150"/>
      <c r="V26" s="150"/>
      <c r="W26" s="150"/>
      <c r="X26" s="150"/>
    </row>
    <row r="27" spans="2:32" ht="48" customHeight="1" x14ac:dyDescent="0.3">
      <c r="B27" s="216" t="s">
        <v>42</v>
      </c>
      <c r="C27" s="217"/>
      <c r="D27" s="217"/>
      <c r="E27" s="20" t="s">
        <v>102</v>
      </c>
      <c r="F27" s="50" t="str">
        <f>IF(F26="History of Excessive Actuation in Service (greater than 5 times per year)", "0.5",IF(F26="History of Chatter","0.5","1"))</f>
        <v>1</v>
      </c>
      <c r="G27" s="395">
        <v>1</v>
      </c>
      <c r="H27" s="36" t="s">
        <v>155</v>
      </c>
      <c r="I27" s="323" t="s">
        <v>393</v>
      </c>
      <c r="J27" s="324"/>
      <c r="K27" s="325"/>
      <c r="L27" s="127" t="s">
        <v>233</v>
      </c>
      <c r="N27" s="150"/>
      <c r="O27" s="151" t="s">
        <v>440</v>
      </c>
      <c r="P27" s="152">
        <v>43132</v>
      </c>
      <c r="Q27" s="380">
        <v>43132</v>
      </c>
      <c r="R27" s="150"/>
      <c r="S27" s="150"/>
      <c r="T27" s="153" t="s">
        <v>464</v>
      </c>
      <c r="U27" s="150">
        <f>F103</f>
        <v>11.200000000000001</v>
      </c>
      <c r="V27" s="150"/>
      <c r="W27" s="150"/>
      <c r="X27" s="150"/>
    </row>
    <row r="28" spans="2:32" ht="48" customHeight="1" thickBot="1" x14ac:dyDescent="0.35">
      <c r="B28" s="187" t="s">
        <v>43</v>
      </c>
      <c r="C28" s="188"/>
      <c r="D28" s="188"/>
      <c r="E28" s="23" t="s">
        <v>107</v>
      </c>
      <c r="F28" s="13">
        <f>F24*F27*F22</f>
        <v>23.9</v>
      </c>
      <c r="G28" s="396">
        <v>23.9</v>
      </c>
      <c r="H28" s="37" t="s">
        <v>35</v>
      </c>
      <c r="I28" s="328" t="s">
        <v>213</v>
      </c>
      <c r="J28" s="328"/>
      <c r="K28" s="329"/>
      <c r="L28" s="127" t="s">
        <v>233</v>
      </c>
      <c r="N28" s="150"/>
      <c r="O28" s="150"/>
      <c r="P28" s="154"/>
      <c r="Q28" s="150"/>
      <c r="R28" s="150"/>
      <c r="S28" s="150"/>
      <c r="T28" s="150"/>
      <c r="U28" s="150"/>
      <c r="V28" s="150"/>
      <c r="W28" s="150"/>
      <c r="X28" s="150"/>
    </row>
    <row r="29" spans="2:32" ht="38.25" customHeight="1" thickBot="1" x14ac:dyDescent="0.35">
      <c r="B29" s="276" t="s">
        <v>169</v>
      </c>
      <c r="C29" s="277"/>
      <c r="D29" s="277"/>
      <c r="E29" s="277"/>
      <c r="F29" s="277"/>
      <c r="G29" s="277"/>
      <c r="H29" s="277"/>
      <c r="I29" s="277"/>
      <c r="J29" s="278"/>
      <c r="K29" s="4"/>
      <c r="M29" s="155" t="s">
        <v>442</v>
      </c>
      <c r="N29" s="155" t="s">
        <v>443</v>
      </c>
      <c r="O29" s="386" t="s">
        <v>493</v>
      </c>
      <c r="P29" s="156" t="s">
        <v>444</v>
      </c>
      <c r="Q29" s="387" t="s">
        <v>503</v>
      </c>
      <c r="R29" s="156" t="s">
        <v>445</v>
      </c>
      <c r="S29" s="387" t="s">
        <v>495</v>
      </c>
      <c r="T29" s="155" t="s">
        <v>446</v>
      </c>
      <c r="U29" s="386" t="s">
        <v>496</v>
      </c>
      <c r="V29" s="155" t="s">
        <v>447</v>
      </c>
      <c r="W29" s="386" t="s">
        <v>497</v>
      </c>
      <c r="X29" s="156" t="s">
        <v>448</v>
      </c>
      <c r="Y29" s="387" t="s">
        <v>498</v>
      </c>
      <c r="Z29" s="155" t="s">
        <v>449</v>
      </c>
      <c r="AA29" s="386" t="s">
        <v>499</v>
      </c>
      <c r="AB29" s="155" t="s">
        <v>465</v>
      </c>
      <c r="AC29" s="386" t="s">
        <v>504</v>
      </c>
      <c r="AD29" s="155" t="s">
        <v>466</v>
      </c>
      <c r="AE29" s="386" t="s">
        <v>502</v>
      </c>
    </row>
    <row r="30" spans="2:32" s="4" customFormat="1" ht="26.7" customHeight="1" x14ac:dyDescent="0.3">
      <c r="B30" s="271" t="s">
        <v>72</v>
      </c>
      <c r="C30" s="272"/>
      <c r="D30" s="272"/>
      <c r="E30" s="80" t="s">
        <v>76</v>
      </c>
      <c r="F30" s="80" t="s">
        <v>73</v>
      </c>
      <c r="G30" s="397" t="s">
        <v>510</v>
      </c>
      <c r="H30" s="80" t="s">
        <v>74</v>
      </c>
      <c r="I30" s="272" t="s">
        <v>75</v>
      </c>
      <c r="J30" s="272"/>
      <c r="K30" s="273"/>
      <c r="L30" s="127"/>
      <c r="N30" s="151">
        <v>1</v>
      </c>
      <c r="O30" s="152">
        <v>36800</v>
      </c>
      <c r="P30" s="380">
        <v>36800</v>
      </c>
      <c r="Q30" s="151" t="s">
        <v>377</v>
      </c>
      <c r="R30" s="385" t="s">
        <v>377</v>
      </c>
      <c r="S30" s="151" t="s">
        <v>89</v>
      </c>
      <c r="T30" s="385" t="s">
        <v>89</v>
      </c>
      <c r="U30" s="151" t="s">
        <v>84</v>
      </c>
      <c r="V30" s="385" t="s">
        <v>84</v>
      </c>
      <c r="W30" s="151" t="s">
        <v>84</v>
      </c>
      <c r="X30" s="385" t="s">
        <v>84</v>
      </c>
      <c r="Y30" s="151">
        <f>(O30-$P$26)/365</f>
        <v>2.0027397260273974</v>
      </c>
      <c r="Z30" s="385">
        <f>(P30-$P$26)/365</f>
        <v>2.0027397260273974</v>
      </c>
      <c r="AA30" s="151">
        <v>1.6</v>
      </c>
      <c r="AB30" s="385">
        <v>1.6</v>
      </c>
      <c r="AC30" s="151">
        <v>0.5</v>
      </c>
      <c r="AD30" s="385">
        <v>0.5</v>
      </c>
      <c r="AE30" s="151">
        <v>0.7</v>
      </c>
      <c r="AF30" s="385">
        <v>0.7</v>
      </c>
    </row>
    <row r="31" spans="2:32" s="4" customFormat="1" ht="24.9" customHeight="1" x14ac:dyDescent="0.3">
      <c r="B31" s="183" t="s">
        <v>44</v>
      </c>
      <c r="C31" s="184"/>
      <c r="D31" s="184"/>
      <c r="E31" s="21" t="s">
        <v>108</v>
      </c>
      <c r="F31" s="24">
        <f>1-EXP(-((F23/F28)^F21))</f>
        <v>1.1463222495165626E-2</v>
      </c>
      <c r="G31" s="398">
        <v>1.146385234E-2</v>
      </c>
      <c r="H31" s="38" t="s">
        <v>97</v>
      </c>
      <c r="I31" s="312" t="s">
        <v>174</v>
      </c>
      <c r="J31" s="312"/>
      <c r="K31" s="313"/>
      <c r="L31" s="127" t="s">
        <v>233</v>
      </c>
      <c r="N31" s="151"/>
      <c r="O31" s="152"/>
      <c r="P31" s="380"/>
      <c r="Q31" s="151"/>
      <c r="R31" s="385"/>
      <c r="S31" s="151"/>
      <c r="T31" s="385"/>
      <c r="U31" s="151"/>
      <c r="V31" s="385"/>
      <c r="W31" s="151"/>
      <c r="X31" s="385"/>
      <c r="Y31" s="151"/>
      <c r="Z31" s="385"/>
      <c r="AA31" s="151"/>
      <c r="AB31" s="385"/>
      <c r="AC31" s="151"/>
      <c r="AD31" s="385"/>
      <c r="AE31" s="151"/>
      <c r="AF31" s="385"/>
    </row>
    <row r="32" spans="2:32" s="4" customFormat="1" ht="18" customHeight="1" x14ac:dyDescent="0.3">
      <c r="B32" s="183" t="s">
        <v>348</v>
      </c>
      <c r="C32" s="184"/>
      <c r="D32" s="184"/>
      <c r="E32" s="20" t="s">
        <v>109</v>
      </c>
      <c r="F32" s="24">
        <f>1-F31</f>
        <v>0.98853677750483437</v>
      </c>
      <c r="G32" s="398">
        <v>0.98852367230000004</v>
      </c>
      <c r="H32" s="38" t="s">
        <v>97</v>
      </c>
      <c r="I32" s="312" t="s">
        <v>175</v>
      </c>
      <c r="J32" s="312"/>
      <c r="K32" s="313"/>
      <c r="L32" s="127" t="s">
        <v>233</v>
      </c>
      <c r="N32" s="151"/>
      <c r="O32" s="152"/>
      <c r="P32" s="380"/>
      <c r="Q32" s="151"/>
      <c r="R32" s="385"/>
      <c r="S32" s="151"/>
      <c r="T32" s="385"/>
      <c r="U32" s="151"/>
      <c r="V32" s="385"/>
      <c r="W32" s="151"/>
      <c r="X32" s="385"/>
      <c r="Y32" s="151"/>
      <c r="Z32" s="385"/>
      <c r="AA32" s="151"/>
      <c r="AB32" s="385"/>
      <c r="AC32" s="151"/>
      <c r="AD32" s="385"/>
      <c r="AE32" s="151"/>
      <c r="AF32" s="385"/>
    </row>
    <row r="33" spans="2:32" s="4" customFormat="1" ht="26.7" customHeight="1" x14ac:dyDescent="0.3">
      <c r="B33" s="183" t="s">
        <v>2</v>
      </c>
      <c r="C33" s="184"/>
      <c r="D33" s="184"/>
      <c r="E33" s="19" t="s">
        <v>41</v>
      </c>
      <c r="F33" s="6" t="s">
        <v>266</v>
      </c>
      <c r="G33" s="393" t="s">
        <v>266</v>
      </c>
      <c r="H33" s="35" t="s">
        <v>155</v>
      </c>
      <c r="I33" s="289" t="s">
        <v>264</v>
      </c>
      <c r="J33" s="289"/>
      <c r="K33" s="290"/>
      <c r="L33" s="127" t="s">
        <v>234</v>
      </c>
      <c r="N33" s="151"/>
      <c r="O33" s="152"/>
      <c r="P33" s="380"/>
      <c r="Q33" s="151"/>
      <c r="R33" s="385"/>
      <c r="S33" s="151"/>
      <c r="T33" s="385"/>
      <c r="U33" s="151"/>
      <c r="V33" s="385"/>
      <c r="W33" s="151"/>
      <c r="X33" s="385"/>
      <c r="Y33" s="151"/>
      <c r="Z33" s="385"/>
      <c r="AA33" s="151"/>
      <c r="AB33" s="385"/>
      <c r="AC33" s="151"/>
      <c r="AD33" s="385"/>
      <c r="AE33" s="151"/>
      <c r="AF33" s="385"/>
    </row>
    <row r="34" spans="2:32" s="4" customFormat="1" ht="26.7" customHeight="1" x14ac:dyDescent="0.3">
      <c r="B34" s="294" t="s">
        <v>265</v>
      </c>
      <c r="C34" s="295"/>
      <c r="D34" s="296"/>
      <c r="E34" s="19" t="s">
        <v>41</v>
      </c>
      <c r="F34" s="6" t="s">
        <v>347</v>
      </c>
      <c r="G34" s="393" t="s">
        <v>347</v>
      </c>
      <c r="H34" s="35" t="s">
        <v>41</v>
      </c>
      <c r="I34" s="297" t="s">
        <v>271</v>
      </c>
      <c r="J34" s="298"/>
      <c r="K34" s="299"/>
      <c r="L34" s="127" t="s">
        <v>234</v>
      </c>
      <c r="N34" s="151"/>
      <c r="O34" s="152"/>
      <c r="P34" s="380"/>
      <c r="Q34" s="151"/>
      <c r="R34" s="385"/>
      <c r="S34" s="151"/>
      <c r="T34" s="385"/>
      <c r="U34" s="151"/>
      <c r="V34" s="385"/>
      <c r="W34" s="151"/>
      <c r="X34" s="385"/>
      <c r="Y34" s="151"/>
      <c r="Z34" s="385"/>
      <c r="AA34" s="151"/>
      <c r="AB34" s="385"/>
      <c r="AC34" s="151"/>
      <c r="AD34" s="385"/>
      <c r="AE34" s="151"/>
      <c r="AF34" s="385"/>
    </row>
    <row r="35" spans="2:32" s="4" customFormat="1" ht="43.5" customHeight="1" x14ac:dyDescent="0.3">
      <c r="B35" s="183" t="s">
        <v>45</v>
      </c>
      <c r="C35" s="184"/>
      <c r="D35" s="184"/>
      <c r="E35" s="20" t="s">
        <v>110</v>
      </c>
      <c r="F35" s="59">
        <f>IF(AND(F33="Highly Effective",F34="Fail"),0.9,IF(AND(F33="Usually Effective",F34="Fail"),0.7,IF(AND(F33="Fairly Effective",F34="Fail"),0.5,IF(AND(F33="Ineffective",F34="Fail"),0,""))))</f>
        <v>0.9</v>
      </c>
      <c r="G35" s="394">
        <v>0.9</v>
      </c>
      <c r="H35" s="35" t="s">
        <v>155</v>
      </c>
      <c r="I35" s="209" t="s">
        <v>269</v>
      </c>
      <c r="J35" s="209"/>
      <c r="K35" s="210"/>
      <c r="L35" s="127" t="s">
        <v>233</v>
      </c>
      <c r="N35" s="151"/>
      <c r="O35" s="152"/>
      <c r="P35" s="380"/>
      <c r="Q35" s="151"/>
      <c r="R35" s="385"/>
      <c r="S35" s="151"/>
      <c r="T35" s="385"/>
      <c r="U35" s="151"/>
      <c r="V35" s="385"/>
      <c r="W35" s="151"/>
      <c r="X35" s="385"/>
      <c r="Y35" s="151"/>
      <c r="Z35" s="385"/>
      <c r="AA35" s="151"/>
      <c r="AB35" s="385"/>
      <c r="AC35" s="151"/>
      <c r="AD35" s="385"/>
      <c r="AE35" s="151"/>
      <c r="AF35" s="385"/>
    </row>
    <row r="36" spans="2:32" s="4" customFormat="1" ht="43.5" customHeight="1" x14ac:dyDescent="0.3">
      <c r="B36" s="183" t="s">
        <v>46</v>
      </c>
      <c r="C36" s="184"/>
      <c r="D36" s="184"/>
      <c r="E36" s="20" t="s">
        <v>111</v>
      </c>
      <c r="F36" s="59">
        <f>IF(AND(F33="Highly Effective",F34="Fail"),0.95,IF(AND(F33="Usually Effective",F34="Fail"),0.95,IF(AND(F33="Fairly Effective",F34="Fail"),0.7,IF(AND(F33="Ineffective",F34="Fail"),0,""))))</f>
        <v>0.95</v>
      </c>
      <c r="G36" s="394">
        <v>0.95</v>
      </c>
      <c r="H36" s="35" t="s">
        <v>155</v>
      </c>
      <c r="I36" s="209" t="s">
        <v>270</v>
      </c>
      <c r="J36" s="209"/>
      <c r="K36" s="210"/>
      <c r="L36" s="127" t="s">
        <v>233</v>
      </c>
      <c r="N36" s="151"/>
      <c r="O36" s="152"/>
      <c r="P36" s="380"/>
      <c r="Q36" s="151"/>
      <c r="R36" s="385"/>
      <c r="S36" s="151"/>
      <c r="T36" s="385"/>
      <c r="U36" s="151"/>
      <c r="V36" s="385"/>
      <c r="W36" s="151"/>
      <c r="X36" s="385"/>
      <c r="Y36" s="151"/>
      <c r="Z36" s="385"/>
      <c r="AA36" s="151"/>
      <c r="AB36" s="385"/>
      <c r="AC36" s="151"/>
      <c r="AD36" s="385"/>
      <c r="AE36" s="151"/>
      <c r="AF36" s="385"/>
    </row>
    <row r="37" spans="2:32" s="4" customFormat="1" ht="26.7" customHeight="1" x14ac:dyDescent="0.3">
      <c r="B37" s="183" t="s">
        <v>350</v>
      </c>
      <c r="C37" s="184"/>
      <c r="D37" s="184"/>
      <c r="E37" s="20" t="s">
        <v>112</v>
      </c>
      <c r="F37" s="24">
        <f>IF(F35="","",(1-F35)*F32)</f>
        <v>9.8853677750483412E-2</v>
      </c>
      <c r="G37" s="398">
        <v>9.8852395233999996E-2</v>
      </c>
      <c r="H37" s="38" t="s">
        <v>97</v>
      </c>
      <c r="I37" s="312" t="s">
        <v>210</v>
      </c>
      <c r="J37" s="312"/>
      <c r="K37" s="313"/>
      <c r="L37" s="127" t="s">
        <v>233</v>
      </c>
      <c r="N37" s="150"/>
      <c r="O37" s="150"/>
      <c r="P37" s="150"/>
      <c r="Q37" s="150"/>
      <c r="R37" s="150"/>
      <c r="S37" s="150"/>
      <c r="T37" s="150"/>
      <c r="U37" s="150"/>
      <c r="V37" s="150"/>
      <c r="W37" s="150"/>
      <c r="X37" s="150"/>
    </row>
    <row r="38" spans="2:32" s="4" customFormat="1" ht="26.7" customHeight="1" x14ac:dyDescent="0.3">
      <c r="B38" s="318" t="s">
        <v>351</v>
      </c>
      <c r="C38" s="319"/>
      <c r="D38" s="319"/>
      <c r="E38" s="20" t="s">
        <v>112</v>
      </c>
      <c r="F38" s="24">
        <f>IF(F36="","",((F36*F31)+((1-F35)*F32)))</f>
        <v>0.10974373912089076</v>
      </c>
      <c r="G38" s="398">
        <v>0.10973623463</v>
      </c>
      <c r="H38" s="38" t="s">
        <v>97</v>
      </c>
      <c r="I38" s="312" t="s">
        <v>349</v>
      </c>
      <c r="J38" s="312"/>
      <c r="K38" s="313"/>
      <c r="L38" s="127" t="s">
        <v>233</v>
      </c>
      <c r="N38" s="156" t="s">
        <v>452</v>
      </c>
      <c r="O38" s="156" t="s">
        <v>453</v>
      </c>
      <c r="P38" s="156" t="s">
        <v>467</v>
      </c>
      <c r="Q38" s="387" t="s">
        <v>505</v>
      </c>
      <c r="R38" s="155" t="s">
        <v>455</v>
      </c>
      <c r="S38" s="386" t="s">
        <v>506</v>
      </c>
      <c r="T38" s="155" t="s">
        <v>468</v>
      </c>
      <c r="U38" s="386" t="s">
        <v>507</v>
      </c>
      <c r="V38" s="155" t="s">
        <v>469</v>
      </c>
      <c r="W38" s="386" t="s">
        <v>508</v>
      </c>
      <c r="X38" s="157" t="s">
        <v>458</v>
      </c>
      <c r="Y38" s="386" t="s">
        <v>509</v>
      </c>
      <c r="Z38" s="164"/>
      <c r="AA38" s="165"/>
      <c r="AB38" s="150"/>
    </row>
    <row r="39" spans="2:32" s="4" customFormat="1" ht="26.7" customHeight="1" x14ac:dyDescent="0.3">
      <c r="B39" s="183" t="s">
        <v>90</v>
      </c>
      <c r="C39" s="184"/>
      <c r="D39" s="184"/>
      <c r="E39" s="20" t="s">
        <v>113</v>
      </c>
      <c r="F39" s="97">
        <f>IF(AND(OR(F33="Highly Effective",F33="Usually Effective",F33="Fairly Effective"),F34="Pass"),((F31)-(0.2*F31*(F23/F22))+(0.2*F37*(F23/F22))),IF(AND(OR(F33="Highly Effective",F33="Usually Effective"),F34="Fail"),F38,IF(AND(F33="Fairly Effective",F34="Fail"),((0.5*F31)+(0.5*F38)),"")))</f>
        <v>0.10974373912089076</v>
      </c>
      <c r="G39" s="399">
        <v>0.10973623463</v>
      </c>
      <c r="H39" s="38" t="s">
        <v>97</v>
      </c>
      <c r="I39" s="205" t="s">
        <v>219</v>
      </c>
      <c r="J39" s="205"/>
      <c r="K39" s="206"/>
      <c r="L39" s="128" t="s">
        <v>233</v>
      </c>
      <c r="N39" s="151" t="s">
        <v>377</v>
      </c>
      <c r="O39" s="151">
        <v>1</v>
      </c>
      <c r="P39" s="158">
        <f>1-EXP(-((Y30/U27)^AA30))</f>
        <v>6.1673789452930672E-2</v>
      </c>
      <c r="Q39" s="385">
        <v>6.1673789E-2</v>
      </c>
      <c r="R39" s="151">
        <f>1-P39</f>
        <v>0.93832621054706933</v>
      </c>
      <c r="S39" s="385">
        <v>0.93832621100000002</v>
      </c>
      <c r="T39" s="151">
        <f>(1-AC30)*R39</f>
        <v>0.46916310527353466</v>
      </c>
      <c r="U39" s="385">
        <v>0.46916305000000003</v>
      </c>
      <c r="V39" s="151">
        <f>(0.5*P39)+(0.5*T39)</f>
        <v>0.26541844736323267</v>
      </c>
      <c r="W39" s="385">
        <v>0.265418447</v>
      </c>
      <c r="X39" s="151">
        <f>Y30/((-LN(1-V39))^(1/AA30))</f>
        <v>4.1771520243058315</v>
      </c>
      <c r="Y39" s="388">
        <v>4.1771520239999997</v>
      </c>
      <c r="Z39" s="163"/>
      <c r="AA39" s="165"/>
      <c r="AB39" s="150"/>
    </row>
    <row r="40" spans="2:32" s="4" customFormat="1" ht="26.7" customHeight="1" x14ac:dyDescent="0.3">
      <c r="B40" s="183" t="s">
        <v>154</v>
      </c>
      <c r="C40" s="184"/>
      <c r="D40" s="184"/>
      <c r="E40" s="20" t="s">
        <v>100</v>
      </c>
      <c r="F40" s="25">
        <f>S15</f>
        <v>6.6200169971650791</v>
      </c>
      <c r="G40" s="400">
        <v>6.62</v>
      </c>
      <c r="H40" s="39" t="s">
        <v>35</v>
      </c>
      <c r="I40" s="209" t="s">
        <v>211</v>
      </c>
      <c r="J40" s="209"/>
      <c r="K40" s="210"/>
      <c r="L40" s="128" t="s">
        <v>233</v>
      </c>
      <c r="M40" s="131">
        <f>1-F36</f>
        <v>5.0000000000000044E-2</v>
      </c>
      <c r="N40" s="151"/>
      <c r="O40" s="151"/>
      <c r="P40" s="151"/>
      <c r="Q40" s="385"/>
      <c r="R40" s="151"/>
      <c r="S40" s="385"/>
      <c r="T40" s="151"/>
      <c r="U40" s="385"/>
      <c r="V40" s="151"/>
      <c r="W40" s="385"/>
      <c r="X40" s="151"/>
      <c r="Y40" s="388"/>
      <c r="Z40" s="163"/>
      <c r="AA40" s="165"/>
      <c r="AB40" s="150"/>
    </row>
    <row r="41" spans="2:32" s="4" customFormat="1" ht="26.7" customHeight="1" thickBot="1" x14ac:dyDescent="0.35">
      <c r="B41" s="314" t="s">
        <v>47</v>
      </c>
      <c r="C41" s="315"/>
      <c r="D41" s="315"/>
      <c r="E41" s="29" t="s">
        <v>114</v>
      </c>
      <c r="F41" s="30">
        <f>O23</f>
        <v>0.99898672486710371</v>
      </c>
      <c r="G41" s="401">
        <v>0.99903436233999998</v>
      </c>
      <c r="H41" s="38" t="s">
        <v>97</v>
      </c>
      <c r="I41" s="316" t="s">
        <v>212</v>
      </c>
      <c r="J41" s="316"/>
      <c r="K41" s="317"/>
      <c r="L41" s="128" t="s">
        <v>233</v>
      </c>
      <c r="N41" s="151"/>
      <c r="O41" s="151"/>
      <c r="P41" s="151"/>
      <c r="Q41" s="385"/>
      <c r="R41" s="151"/>
      <c r="S41" s="385"/>
      <c r="T41" s="151"/>
      <c r="U41" s="385"/>
      <c r="V41" s="151"/>
      <c r="W41" s="385"/>
      <c r="X41" s="151"/>
      <c r="Y41" s="388"/>
      <c r="Z41" s="163"/>
      <c r="AA41" s="165"/>
      <c r="AB41" s="150"/>
    </row>
    <row r="42" spans="2:32" s="4" customFormat="1" ht="26.7" customHeight="1" thickBot="1" x14ac:dyDescent="0.35">
      <c r="B42" s="276" t="s">
        <v>294</v>
      </c>
      <c r="C42" s="277"/>
      <c r="D42" s="277"/>
      <c r="E42" s="277"/>
      <c r="F42" s="277"/>
      <c r="G42" s="277"/>
      <c r="H42" s="277"/>
      <c r="I42" s="277"/>
      <c r="J42" s="278"/>
      <c r="M42" s="151"/>
      <c r="N42" s="151"/>
      <c r="O42" s="151"/>
      <c r="P42" s="385"/>
      <c r="Q42" s="151"/>
      <c r="R42" s="385"/>
      <c r="S42" s="151"/>
      <c r="T42" s="385"/>
      <c r="U42" s="151"/>
      <c r="V42" s="385"/>
      <c r="W42" s="151"/>
      <c r="X42" s="388"/>
      <c r="Y42" s="163"/>
      <c r="Z42" s="150"/>
      <c r="AA42" s="150"/>
    </row>
    <row r="43" spans="2:32" s="4" customFormat="1" ht="26.7" customHeight="1" x14ac:dyDescent="0.3">
      <c r="B43" s="271" t="s">
        <v>72</v>
      </c>
      <c r="C43" s="272"/>
      <c r="D43" s="272"/>
      <c r="E43" s="80" t="s">
        <v>76</v>
      </c>
      <c r="F43" s="80" t="s">
        <v>73</v>
      </c>
      <c r="G43" s="80" t="s">
        <v>74</v>
      </c>
      <c r="H43" s="272" t="s">
        <v>75</v>
      </c>
      <c r="I43" s="272"/>
      <c r="J43" s="273"/>
      <c r="M43" s="151"/>
      <c r="N43" s="151"/>
      <c r="O43" s="151"/>
      <c r="P43" s="385"/>
      <c r="Q43" s="151"/>
      <c r="R43" s="385"/>
      <c r="S43" s="151"/>
      <c r="T43" s="385"/>
      <c r="U43" s="151"/>
      <c r="V43" s="385"/>
      <c r="W43" s="151"/>
      <c r="X43" s="388"/>
      <c r="Y43" s="163"/>
      <c r="Z43" s="150"/>
      <c r="AA43" s="150"/>
    </row>
    <row r="44" spans="2:32" s="4" customFormat="1" ht="24.9" customHeight="1" x14ac:dyDescent="0.3">
      <c r="B44" s="193" t="s">
        <v>289</v>
      </c>
      <c r="C44" s="194"/>
      <c r="D44" s="194"/>
      <c r="E44" s="194"/>
      <c r="F44" s="194"/>
      <c r="G44" s="194"/>
      <c r="H44" s="194"/>
      <c r="I44" s="194"/>
      <c r="J44" s="195"/>
      <c r="M44" s="151"/>
      <c r="N44" s="151"/>
      <c r="O44" s="151"/>
      <c r="P44" s="385"/>
      <c r="Q44" s="151"/>
      <c r="R44" s="385"/>
      <c r="S44" s="151"/>
      <c r="T44" s="385"/>
      <c r="U44" s="151"/>
      <c r="V44" s="385"/>
      <c r="W44" s="151"/>
      <c r="X44" s="388"/>
      <c r="Y44" s="163"/>
      <c r="Z44" s="150"/>
      <c r="AA44" s="150"/>
    </row>
    <row r="45" spans="2:32" s="4" customFormat="1" ht="18" customHeight="1" x14ac:dyDescent="0.3">
      <c r="B45" s="216" t="s">
        <v>298</v>
      </c>
      <c r="C45" s="217"/>
      <c r="D45" s="217"/>
      <c r="E45" s="19" t="s">
        <v>41</v>
      </c>
      <c r="F45" s="6" t="s">
        <v>275</v>
      </c>
      <c r="G45" s="393" t="s">
        <v>275</v>
      </c>
      <c r="H45" s="35" t="s">
        <v>155</v>
      </c>
      <c r="I45" s="209" t="s">
        <v>394</v>
      </c>
      <c r="J45" s="209"/>
      <c r="K45" s="210"/>
      <c r="L45" s="127" t="s">
        <v>234</v>
      </c>
      <c r="N45" s="151"/>
      <c r="O45" s="151"/>
      <c r="P45" s="151"/>
      <c r="Q45" s="385"/>
      <c r="R45" s="151"/>
      <c r="S45" s="385"/>
      <c r="T45" s="151"/>
      <c r="U45" s="385"/>
      <c r="V45" s="151"/>
      <c r="W45" s="385"/>
      <c r="X45" s="159"/>
      <c r="Y45" s="388"/>
      <c r="Z45" s="163"/>
      <c r="AA45" s="150"/>
      <c r="AB45" s="150"/>
    </row>
    <row r="46" spans="2:32" s="4" customFormat="1" ht="18" customHeight="1" x14ac:dyDescent="0.3">
      <c r="B46" s="216" t="s">
        <v>299</v>
      </c>
      <c r="C46" s="217"/>
      <c r="D46" s="217"/>
      <c r="E46" s="20" t="s">
        <v>293</v>
      </c>
      <c r="F46" s="143">
        <f>IF(F45="Fire",0.004,IF(F45="Heat Exchanger Tube Rupture",0.001,IF(OR(F45="Blocked Discharge with Administrative Controls in Place",F45="Thermal Relief with Administrative Controls in Place",F45="Liquid Overfilling with Administrative Controls in Place"),0.01,IF(F45="Control Valve Failure,Initiating event in opposite direction as CV normal fail position",0.02,IF(F45="Electrical Power Supply failure",0.08,IF(F45="Tower P/A or Reflux Pump Failures",0.2,IF(F45="Runaway Chemical Reaction",1,IF(F45="","",0.1))))))))</f>
        <v>4.0000000000000001E-3</v>
      </c>
      <c r="G46" s="402">
        <v>4.0000000000000001E-3</v>
      </c>
      <c r="H46" s="38" t="s">
        <v>156</v>
      </c>
      <c r="I46" s="205" t="s">
        <v>395</v>
      </c>
      <c r="J46" s="205"/>
      <c r="K46" s="206"/>
      <c r="L46" s="127" t="s">
        <v>233</v>
      </c>
      <c r="N46" s="150"/>
      <c r="O46" s="150"/>
      <c r="P46" s="150"/>
      <c r="Q46" s="150"/>
      <c r="R46" s="150"/>
      <c r="S46" s="150"/>
      <c r="T46" s="150"/>
      <c r="U46" s="150"/>
      <c r="V46" s="150"/>
      <c r="W46" s="150"/>
      <c r="X46" s="150"/>
    </row>
    <row r="47" spans="2:32" s="4" customFormat="1" ht="55.5" customHeight="1" x14ac:dyDescent="0.3">
      <c r="B47" s="216" t="s">
        <v>300</v>
      </c>
      <c r="C47" s="217"/>
      <c r="D47" s="217"/>
      <c r="E47" s="20" t="s">
        <v>292</v>
      </c>
      <c r="F47" s="143">
        <f>IF(OR(F45="Fire",F45="Liquid Overfilling with Administrative Controls in Place",F45="Liquid Overfilling without Administrative Controls"),0.1,IF(F45="","",1))</f>
        <v>0.1</v>
      </c>
      <c r="G47" s="402">
        <v>0.1</v>
      </c>
      <c r="H47" s="35" t="s">
        <v>155</v>
      </c>
      <c r="I47" s="205" t="s">
        <v>395</v>
      </c>
      <c r="J47" s="205"/>
      <c r="K47" s="206"/>
      <c r="L47" s="127" t="s">
        <v>233</v>
      </c>
      <c r="N47" s="150" t="s">
        <v>459</v>
      </c>
      <c r="O47" s="150">
        <f>(P27-P26)/365</f>
        <v>19.350684931506848</v>
      </c>
      <c r="P47" s="389">
        <v>19.35068493</v>
      </c>
      <c r="Q47" s="150" t="s">
        <v>35</v>
      </c>
      <c r="R47" s="150"/>
      <c r="S47" s="150"/>
      <c r="T47" s="150"/>
      <c r="U47" s="150"/>
      <c r="V47" s="150"/>
      <c r="W47" s="150"/>
      <c r="X47" s="150"/>
    </row>
    <row r="48" spans="2:32" s="4" customFormat="1" ht="27" customHeight="1" x14ac:dyDescent="0.3">
      <c r="B48" s="307" t="s">
        <v>301</v>
      </c>
      <c r="C48" s="308"/>
      <c r="D48" s="308"/>
      <c r="E48" s="40" t="s">
        <v>291</v>
      </c>
      <c r="F48" s="13">
        <f>IF(AND(F46="",F47=""),0,F46*F47)</f>
        <v>4.0000000000000002E-4</v>
      </c>
      <c r="G48" s="396">
        <v>4.0000000000000001E-3</v>
      </c>
      <c r="H48" s="42" t="s">
        <v>156</v>
      </c>
      <c r="I48" s="287" t="s">
        <v>162</v>
      </c>
      <c r="J48" s="287"/>
      <c r="K48" s="288"/>
      <c r="L48" s="127" t="s">
        <v>233</v>
      </c>
      <c r="N48" s="160" t="s">
        <v>470</v>
      </c>
      <c r="O48" s="161">
        <f>1-EXP(-((O47/X39)^1.6))</f>
        <v>0.99999103931933919</v>
      </c>
      <c r="P48" s="390">
        <v>0.99999103899999997</v>
      </c>
      <c r="Q48" s="150"/>
      <c r="R48" s="150"/>
      <c r="S48" s="150"/>
      <c r="T48" s="150"/>
      <c r="U48" s="150"/>
      <c r="V48" s="150"/>
      <c r="W48" s="150"/>
      <c r="X48" s="150"/>
    </row>
    <row r="49" spans="2:24" s="4" customFormat="1" ht="42" customHeight="1" x14ac:dyDescent="0.3">
      <c r="B49" s="220" t="s">
        <v>476</v>
      </c>
      <c r="C49" s="221"/>
      <c r="D49" s="222"/>
      <c r="E49" s="172" t="s">
        <v>480</v>
      </c>
      <c r="F49" s="50">
        <v>60</v>
      </c>
      <c r="G49" s="395">
        <v>60</v>
      </c>
      <c r="H49" s="38" t="s">
        <v>478</v>
      </c>
      <c r="I49" s="223"/>
      <c r="J49" s="224"/>
      <c r="K49" s="225"/>
      <c r="L49" s="127" t="s">
        <v>356</v>
      </c>
      <c r="N49" s="105"/>
      <c r="O49" s="106"/>
      <c r="P49" s="106"/>
      <c r="Q49" s="106"/>
      <c r="R49" s="150"/>
      <c r="S49" s="150"/>
      <c r="T49" s="150"/>
      <c r="U49" s="150"/>
      <c r="V49" s="150"/>
      <c r="W49" s="150"/>
      <c r="X49" s="150"/>
    </row>
    <row r="50" spans="2:24" s="4" customFormat="1" ht="25.5" customHeight="1" x14ac:dyDescent="0.3">
      <c r="B50" s="216" t="s">
        <v>261</v>
      </c>
      <c r="C50" s="217"/>
      <c r="D50" s="217"/>
      <c r="E50" s="95" t="s">
        <v>106</v>
      </c>
      <c r="F50" s="58">
        <f>IF(F49/F9&lt;1.3,1,IF(F49/F9&gt;4,0.2,1-((1/3.375)*((F49/F9)-1.3))))</f>
        <v>1</v>
      </c>
      <c r="G50" s="392">
        <v>1</v>
      </c>
      <c r="H50" s="33" t="s">
        <v>41</v>
      </c>
      <c r="I50" s="320" t="s">
        <v>262</v>
      </c>
      <c r="J50" s="321"/>
      <c r="K50" s="322"/>
      <c r="L50" s="127" t="s">
        <v>233</v>
      </c>
      <c r="N50" s="105"/>
      <c r="O50" s="106"/>
      <c r="P50" s="106"/>
      <c r="Q50" s="106"/>
      <c r="R50" s="106"/>
      <c r="S50" s="106"/>
      <c r="T50" s="106"/>
      <c r="U50" s="106"/>
      <c r="V50" s="106"/>
    </row>
    <row r="51" spans="2:24" s="4" customFormat="1" ht="24.75" customHeight="1" x14ac:dyDescent="0.3">
      <c r="B51" s="220" t="s">
        <v>482</v>
      </c>
      <c r="C51" s="221"/>
      <c r="D51" s="222"/>
      <c r="E51" s="95" t="s">
        <v>481</v>
      </c>
      <c r="F51" s="58">
        <f>O23*F50</f>
        <v>0.99898672486710371</v>
      </c>
      <c r="G51" s="392">
        <v>0.99898672499999996</v>
      </c>
      <c r="H51" s="33" t="s">
        <v>97</v>
      </c>
      <c r="I51" s="309"/>
      <c r="J51" s="310"/>
      <c r="K51" s="311"/>
      <c r="L51" s="171"/>
      <c r="N51" s="166" t="s">
        <v>471</v>
      </c>
      <c r="O51" s="359" t="s">
        <v>4</v>
      </c>
      <c r="P51" s="359"/>
      <c r="Q51" s="175" t="s">
        <v>482</v>
      </c>
      <c r="R51" s="357" t="s">
        <v>472</v>
      </c>
      <c r="S51" s="358"/>
      <c r="T51" s="130" t="s">
        <v>473</v>
      </c>
      <c r="U51" s="175" t="s">
        <v>489</v>
      </c>
      <c r="V51" s="199" t="s">
        <v>488</v>
      </c>
      <c r="W51" s="200"/>
      <c r="X51" s="201"/>
    </row>
    <row r="52" spans="2:24" s="4" customFormat="1" ht="34.5" customHeight="1" x14ac:dyDescent="0.3">
      <c r="B52" s="216" t="s">
        <v>319</v>
      </c>
      <c r="C52" s="217"/>
      <c r="D52" s="217"/>
      <c r="E52" s="20" t="s">
        <v>41</v>
      </c>
      <c r="F52" s="8" t="s">
        <v>308</v>
      </c>
      <c r="G52" s="403" t="s">
        <v>308</v>
      </c>
      <c r="H52" s="39" t="s">
        <v>41</v>
      </c>
      <c r="I52" s="205" t="s">
        <v>41</v>
      </c>
      <c r="J52" s="205"/>
      <c r="K52" s="206"/>
      <c r="L52" s="170" t="s">
        <v>234</v>
      </c>
      <c r="N52" s="167">
        <v>1</v>
      </c>
      <c r="O52" s="355" t="str">
        <f>F45</f>
        <v>Fire</v>
      </c>
      <c r="P52" s="355"/>
      <c r="Q52" s="127">
        <f>F51</f>
        <v>0.99898672486710371</v>
      </c>
      <c r="R52" s="356">
        <f>F57</f>
        <v>3.0014983794839517E-3</v>
      </c>
      <c r="S52" s="355"/>
      <c r="T52" s="176">
        <f>F58</f>
        <v>1.1993828143258369E-6</v>
      </c>
      <c r="U52" s="178">
        <f>$F$131</f>
        <v>100</v>
      </c>
      <c r="V52" s="196">
        <f>F156</f>
        <v>1.1993828143258369E-4</v>
      </c>
      <c r="W52" s="197"/>
      <c r="X52" s="198"/>
    </row>
    <row r="53" spans="2:24" s="4" customFormat="1" ht="45" customHeight="1" x14ac:dyDescent="0.3">
      <c r="B53" s="216" t="s">
        <v>332</v>
      </c>
      <c r="C53" s="217"/>
      <c r="D53" s="217"/>
      <c r="E53" s="20" t="s">
        <v>48</v>
      </c>
      <c r="F53" s="144">
        <f>IF(F52="Compressor Centrifugal",0.00003,IF(F52="Tank Course",0.0001,IF(F52="Tank Bottom",0.00072,0.0000306)))</f>
        <v>3.0000000000000001E-5</v>
      </c>
      <c r="G53" s="404">
        <v>3.0034534634999999E-5</v>
      </c>
      <c r="H53" s="39" t="s">
        <v>35</v>
      </c>
      <c r="I53" s="205" t="s">
        <v>399</v>
      </c>
      <c r="J53" s="205"/>
      <c r="K53" s="206"/>
      <c r="L53" s="128" t="s">
        <v>233</v>
      </c>
      <c r="N53" s="167">
        <v>2</v>
      </c>
      <c r="O53" s="355" t="str">
        <f>F60</f>
        <v>Loss of Cooling Water Utility</v>
      </c>
      <c r="P53" s="355"/>
      <c r="Q53" s="127">
        <f>F66</f>
        <v>0.99898672486710371</v>
      </c>
      <c r="R53" s="356">
        <f>F72</f>
        <v>1.9288731734099212E-3</v>
      </c>
      <c r="S53" s="355"/>
      <c r="T53" s="176">
        <f>F73</f>
        <v>9.644365867049606E-3</v>
      </c>
      <c r="U53" s="178">
        <f>$F$131</f>
        <v>100</v>
      </c>
      <c r="V53" s="196">
        <f>F161</f>
        <v>0.96443658670496057</v>
      </c>
      <c r="W53" s="197"/>
      <c r="X53" s="198"/>
    </row>
    <row r="54" spans="2:24" s="4" customFormat="1" ht="51" customHeight="1" x14ac:dyDescent="0.3">
      <c r="B54" s="216" t="s">
        <v>50</v>
      </c>
      <c r="C54" s="217"/>
      <c r="D54" s="217"/>
      <c r="E54" s="20" t="s">
        <v>214</v>
      </c>
      <c r="F54" s="7">
        <v>1</v>
      </c>
      <c r="G54" s="405">
        <v>1</v>
      </c>
      <c r="H54" s="35" t="s">
        <v>155</v>
      </c>
      <c r="I54" s="205" t="s">
        <v>163</v>
      </c>
      <c r="J54" s="205"/>
      <c r="K54" s="206"/>
      <c r="L54" s="170" t="s">
        <v>320</v>
      </c>
      <c r="N54" s="167">
        <v>3</v>
      </c>
      <c r="O54" s="355" t="str">
        <f>F75</f>
        <v>Electrical Power Supply failure</v>
      </c>
      <c r="P54" s="355"/>
      <c r="Q54" s="127">
        <f>F81</f>
        <v>0.19979734497342075</v>
      </c>
      <c r="R54" s="356">
        <f>F87</f>
        <v>1.2152596015179025E-3</v>
      </c>
      <c r="S54" s="355"/>
      <c r="T54" s="176">
        <f>F88</f>
        <v>3.8888307248572881E-3</v>
      </c>
      <c r="U54" s="178">
        <f>$F$131</f>
        <v>100</v>
      </c>
      <c r="V54" s="196">
        <f>F166</f>
        <v>0.38888307248572884</v>
      </c>
      <c r="W54" s="197"/>
      <c r="X54" s="198"/>
    </row>
    <row r="55" spans="2:24" s="4" customFormat="1" ht="29.25" customHeight="1" x14ac:dyDescent="0.3">
      <c r="B55" s="216" t="s">
        <v>333</v>
      </c>
      <c r="C55" s="217"/>
      <c r="D55" s="217"/>
      <c r="E55" s="20" t="s">
        <v>41</v>
      </c>
      <c r="F55" s="7" t="s">
        <v>325</v>
      </c>
      <c r="G55" s="405" t="s">
        <v>325</v>
      </c>
      <c r="H55" s="35" t="s">
        <v>155</v>
      </c>
      <c r="I55" s="205" t="s">
        <v>331</v>
      </c>
      <c r="J55" s="205"/>
      <c r="K55" s="206"/>
      <c r="L55" s="170" t="s">
        <v>234</v>
      </c>
      <c r="N55" s="105"/>
      <c r="O55" s="106"/>
      <c r="P55" s="106"/>
      <c r="Q55" s="106"/>
      <c r="R55" s="106"/>
      <c r="S55" s="106"/>
      <c r="T55" s="106"/>
      <c r="U55" s="106"/>
      <c r="V55" s="106"/>
    </row>
    <row r="56" spans="2:24" s="4" customFormat="1" ht="39" customHeight="1" x14ac:dyDescent="0.3">
      <c r="B56" s="216" t="s">
        <v>51</v>
      </c>
      <c r="C56" s="217"/>
      <c r="D56" s="217"/>
      <c r="E56" s="20" t="s">
        <v>80</v>
      </c>
      <c r="F56" s="50">
        <f>IF(F55="","",IF(F55="None",1,IF(F55="Minimal",20,IF(F55="Minor",200,IF(F55="Moderate",750,2000)))))</f>
        <v>200</v>
      </c>
      <c r="G56" s="395">
        <v>200</v>
      </c>
      <c r="H56" s="35"/>
      <c r="I56" s="218" t="s">
        <v>334</v>
      </c>
      <c r="J56" s="218"/>
      <c r="K56" s="219"/>
      <c r="L56" s="170" t="s">
        <v>373</v>
      </c>
      <c r="N56" s="354" t="s">
        <v>474</v>
      </c>
      <c r="O56" s="354"/>
      <c r="P56" s="354"/>
      <c r="Q56" s="177">
        <f>F168</f>
        <v>1.3534395974721218</v>
      </c>
      <c r="R56" s="168" t="s">
        <v>150</v>
      </c>
      <c r="S56" s="106"/>
      <c r="T56" s="106"/>
      <c r="U56" s="106"/>
      <c r="V56" s="106"/>
    </row>
    <row r="57" spans="2:24" s="4" customFormat="1" ht="24.9" customHeight="1" x14ac:dyDescent="0.3">
      <c r="B57" s="207" t="s">
        <v>484</v>
      </c>
      <c r="C57" s="208"/>
      <c r="D57" s="208"/>
      <c r="E57" s="82" t="s">
        <v>483</v>
      </c>
      <c r="F57" s="46">
        <f>(0.0312881*F53*F56*F54)*(EXP((3.464837)*(F49/F25)))</f>
        <v>3.0014983794839517E-3</v>
      </c>
      <c r="G57" s="406">
        <v>3.0034557632000001E-3</v>
      </c>
      <c r="H57" s="83" t="s">
        <v>49</v>
      </c>
      <c r="I57" s="209" t="s">
        <v>485</v>
      </c>
      <c r="J57" s="209"/>
      <c r="K57" s="210"/>
      <c r="L57" s="170" t="s">
        <v>233</v>
      </c>
      <c r="N57" s="105"/>
      <c r="O57" s="106"/>
      <c r="P57" s="106"/>
      <c r="Q57" s="106"/>
      <c r="R57" s="106"/>
      <c r="S57" s="106"/>
      <c r="T57" s="106"/>
      <c r="U57" s="106"/>
      <c r="V57" s="106"/>
    </row>
    <row r="58" spans="2:24" s="4" customFormat="1" ht="25.5" customHeight="1" x14ac:dyDescent="0.3">
      <c r="B58" s="211" t="s">
        <v>164</v>
      </c>
      <c r="C58" s="212"/>
      <c r="D58" s="212"/>
      <c r="E58" s="45" t="s">
        <v>486</v>
      </c>
      <c r="F58" s="46">
        <f>F51*F48*F57</f>
        <v>1.1993828143258369E-6</v>
      </c>
      <c r="G58" s="406">
        <v>1.2046356463E-6</v>
      </c>
      <c r="H58" s="37" t="s">
        <v>49</v>
      </c>
      <c r="I58" s="213" t="s">
        <v>215</v>
      </c>
      <c r="J58" s="214"/>
      <c r="K58" s="215"/>
      <c r="L58" s="170" t="s">
        <v>233</v>
      </c>
      <c r="N58" s="105"/>
      <c r="O58" s="106"/>
      <c r="P58" s="106"/>
      <c r="Q58" s="106"/>
      <c r="R58" s="106"/>
      <c r="S58" s="106"/>
      <c r="T58" s="106"/>
      <c r="U58" s="106"/>
      <c r="V58" s="106"/>
    </row>
    <row r="59" spans="2:24" s="4" customFormat="1" ht="18" customHeight="1" x14ac:dyDescent="0.3">
      <c r="B59" s="193" t="s">
        <v>290</v>
      </c>
      <c r="C59" s="194"/>
      <c r="D59" s="194"/>
      <c r="E59" s="194"/>
      <c r="F59" s="194"/>
      <c r="G59" s="194"/>
      <c r="H59" s="194"/>
      <c r="I59" s="194"/>
      <c r="J59" s="195"/>
      <c r="M59" s="105"/>
      <c r="N59" s="106"/>
      <c r="O59" s="106"/>
      <c r="P59" s="106"/>
      <c r="Q59" s="106"/>
      <c r="R59" s="106"/>
      <c r="S59" s="106"/>
      <c r="T59" s="106"/>
      <c r="U59" s="106"/>
    </row>
    <row r="60" spans="2:24" s="4" customFormat="1" ht="27" customHeight="1" x14ac:dyDescent="0.3">
      <c r="B60" s="216" t="s">
        <v>302</v>
      </c>
      <c r="C60" s="217"/>
      <c r="D60" s="217"/>
      <c r="E60" s="19" t="s">
        <v>41</v>
      </c>
      <c r="F60" s="6" t="s">
        <v>276</v>
      </c>
      <c r="G60" s="393" t="s">
        <v>276</v>
      </c>
      <c r="H60" s="35" t="s">
        <v>155</v>
      </c>
      <c r="I60" s="209" t="s">
        <v>394</v>
      </c>
      <c r="J60" s="209"/>
      <c r="K60" s="210"/>
      <c r="L60" s="169" t="s">
        <v>234</v>
      </c>
      <c r="N60" s="105"/>
      <c r="O60" s="106"/>
      <c r="P60" s="106"/>
      <c r="Q60" s="106"/>
      <c r="R60" s="106"/>
      <c r="S60" s="106"/>
      <c r="T60" s="106"/>
      <c r="U60" s="106"/>
      <c r="V60" s="106"/>
    </row>
    <row r="61" spans="2:24" s="4" customFormat="1" ht="27" customHeight="1" x14ac:dyDescent="0.3">
      <c r="B61" s="216" t="s">
        <v>303</v>
      </c>
      <c r="C61" s="217"/>
      <c r="D61" s="217"/>
      <c r="E61" s="20" t="s">
        <v>295</v>
      </c>
      <c r="F61" s="143">
        <f>IF(F60="Fire",0.004,IF(F60="Heat Exchanger Tube Rupture",0.001,IF(OR(F60="Blocked Discharge with Administrative Controls in Place",F60="Thermal Relief with Administrative Controls in Place",F60="Liquid Overfilling with Administrative Controls in Place"),0.01,IF(F60="Control Valve Failure,Initiating event in opposite direction as CV normal fail position",0.02,IF(F60="Electrical Power Supply failure",0.08,IF(F60="Tower P/A or Reflux Pump Failures",0.2,IF(F60="Runaway Chemical Reaction",1,IF(F60="","",0.1))))))))</f>
        <v>0.1</v>
      </c>
      <c r="G61" s="402">
        <v>0.1</v>
      </c>
      <c r="H61" s="38" t="s">
        <v>156</v>
      </c>
      <c r="I61" s="205" t="s">
        <v>396</v>
      </c>
      <c r="J61" s="205"/>
      <c r="K61" s="206"/>
      <c r="L61" s="169" t="s">
        <v>233</v>
      </c>
      <c r="N61" s="107"/>
      <c r="O61" s="106"/>
      <c r="P61" s="106"/>
      <c r="Q61" s="106"/>
      <c r="R61" s="106"/>
      <c r="S61" s="106"/>
      <c r="T61" s="106"/>
      <c r="U61" s="106"/>
      <c r="V61" s="106"/>
    </row>
    <row r="62" spans="2:24" s="4" customFormat="1" ht="27" customHeight="1" x14ac:dyDescent="0.3">
      <c r="B62" s="216" t="s">
        <v>304</v>
      </c>
      <c r="C62" s="217"/>
      <c r="D62" s="217"/>
      <c r="E62" s="20" t="s">
        <v>296</v>
      </c>
      <c r="F62" s="143">
        <f>IF(OR(F60="Fire",F60="Liquid Overfilling with Administrative Controls in Place",F60="Liquid Overfilling without Administrative Controls"),0.1,IF(F60="","",1))</f>
        <v>1</v>
      </c>
      <c r="G62" s="402">
        <v>1</v>
      </c>
      <c r="H62" s="35" t="s">
        <v>155</v>
      </c>
      <c r="I62" s="205" t="s">
        <v>395</v>
      </c>
      <c r="J62" s="205"/>
      <c r="K62" s="206"/>
      <c r="L62" s="169" t="s">
        <v>233</v>
      </c>
      <c r="N62" s="107"/>
      <c r="O62" s="106"/>
      <c r="P62" s="106"/>
      <c r="Q62" s="106"/>
      <c r="R62" s="106"/>
      <c r="S62" s="106"/>
      <c r="T62" s="106"/>
      <c r="U62" s="106"/>
      <c r="V62" s="106"/>
    </row>
    <row r="63" spans="2:24" s="4" customFormat="1" ht="44.25" customHeight="1" x14ac:dyDescent="0.3">
      <c r="B63" s="307" t="s">
        <v>305</v>
      </c>
      <c r="C63" s="308"/>
      <c r="D63" s="308"/>
      <c r="E63" s="40" t="s">
        <v>297</v>
      </c>
      <c r="F63" s="13">
        <f>IF(AND(F61="",F62=""),0,F61*F62)</f>
        <v>0.1</v>
      </c>
      <c r="G63" s="396">
        <v>0.1</v>
      </c>
      <c r="H63" s="42" t="s">
        <v>156</v>
      </c>
      <c r="I63" s="287" t="s">
        <v>162</v>
      </c>
      <c r="J63" s="287"/>
      <c r="K63" s="288"/>
      <c r="L63" s="169" t="s">
        <v>233</v>
      </c>
      <c r="N63" s="105"/>
      <c r="O63" s="105"/>
      <c r="P63" s="105"/>
      <c r="Q63" s="106"/>
      <c r="R63" s="106"/>
      <c r="S63" s="106"/>
      <c r="T63" s="106"/>
      <c r="U63" s="106"/>
      <c r="V63" s="106"/>
    </row>
    <row r="64" spans="2:24" s="4" customFormat="1" ht="51" customHeight="1" x14ac:dyDescent="0.3">
      <c r="B64" s="220" t="s">
        <v>476</v>
      </c>
      <c r="C64" s="221"/>
      <c r="D64" s="222"/>
      <c r="E64" s="172" t="s">
        <v>477</v>
      </c>
      <c r="F64" s="50">
        <v>50</v>
      </c>
      <c r="G64" s="395">
        <v>50</v>
      </c>
      <c r="H64" s="38" t="s">
        <v>478</v>
      </c>
      <c r="I64" s="223"/>
      <c r="J64" s="224"/>
      <c r="K64" s="225"/>
      <c r="L64" s="171" t="s">
        <v>356</v>
      </c>
      <c r="N64" s="105"/>
      <c r="O64" s="105"/>
      <c r="P64" s="105"/>
      <c r="Q64" s="108"/>
      <c r="R64" s="106"/>
      <c r="S64" s="106"/>
      <c r="T64" s="106"/>
      <c r="U64" s="106"/>
      <c r="V64" s="106"/>
    </row>
    <row r="65" spans="2:22" s="4" customFormat="1" ht="42" customHeight="1" x14ac:dyDescent="0.3">
      <c r="B65" s="216" t="s">
        <v>261</v>
      </c>
      <c r="C65" s="217"/>
      <c r="D65" s="217"/>
      <c r="E65" s="95" t="s">
        <v>106</v>
      </c>
      <c r="F65" s="58">
        <f>IF(F64/F25&lt;1.3,1,IF(F64/F25&gt;4,0.2,1-((1/3.375)*((F64/F25)-1.3))))</f>
        <v>1</v>
      </c>
      <c r="G65" s="392">
        <v>1</v>
      </c>
      <c r="H65" s="33" t="s">
        <v>41</v>
      </c>
      <c r="I65" s="320" t="s">
        <v>262</v>
      </c>
      <c r="J65" s="321"/>
      <c r="K65" s="322"/>
      <c r="L65" s="171" t="s">
        <v>233</v>
      </c>
      <c r="N65" s="106"/>
      <c r="O65" s="106"/>
      <c r="P65" s="106"/>
      <c r="Q65" s="106"/>
      <c r="R65" s="106"/>
      <c r="S65" s="106"/>
      <c r="T65" s="106"/>
      <c r="U65" s="106"/>
      <c r="V65" s="106"/>
    </row>
    <row r="66" spans="2:22" s="4" customFormat="1" ht="25.2" customHeight="1" x14ac:dyDescent="0.3">
      <c r="B66" s="220" t="s">
        <v>482</v>
      </c>
      <c r="C66" s="221"/>
      <c r="D66" s="222"/>
      <c r="E66" s="95" t="s">
        <v>481</v>
      </c>
      <c r="F66" s="58">
        <f>O23*F65</f>
        <v>0.99898672486710371</v>
      </c>
      <c r="G66" s="392">
        <v>0.99898672499999996</v>
      </c>
      <c r="H66" s="33" t="s">
        <v>97</v>
      </c>
      <c r="I66" s="309"/>
      <c r="J66" s="310"/>
      <c r="K66" s="311"/>
      <c r="L66" s="171"/>
      <c r="R66" s="106"/>
      <c r="S66" s="106"/>
      <c r="T66" s="106"/>
      <c r="U66" s="106"/>
      <c r="V66" s="106"/>
    </row>
    <row r="67" spans="2:22" s="4" customFormat="1" ht="26.25" customHeight="1" x14ac:dyDescent="0.3">
      <c r="B67" s="216" t="s">
        <v>319</v>
      </c>
      <c r="C67" s="217"/>
      <c r="D67" s="217"/>
      <c r="E67" s="20" t="s">
        <v>41</v>
      </c>
      <c r="F67" s="8" t="s">
        <v>317</v>
      </c>
      <c r="G67" s="403" t="s">
        <v>317</v>
      </c>
      <c r="H67" s="39" t="s">
        <v>41</v>
      </c>
      <c r="I67" s="205" t="s">
        <v>41</v>
      </c>
      <c r="J67" s="205"/>
      <c r="K67" s="206"/>
      <c r="L67" s="170" t="s">
        <v>234</v>
      </c>
    </row>
    <row r="68" spans="2:22" s="4" customFormat="1" ht="27" customHeight="1" x14ac:dyDescent="0.3">
      <c r="B68" s="216" t="s">
        <v>332</v>
      </c>
      <c r="C68" s="217"/>
      <c r="D68" s="217"/>
      <c r="E68" s="20" t="s">
        <v>48</v>
      </c>
      <c r="F68" s="144">
        <f>IF(F67="Compressor Centrifugal",0.00003,IF(F67="Tank Course",0.0001,IF(F67="Tank Bottom",0.00072,0.0000306)))</f>
        <v>3.0599999999999998E-5</v>
      </c>
      <c r="G68" s="404">
        <v>3.0623462358999999E-5</v>
      </c>
      <c r="H68" s="39" t="s">
        <v>35</v>
      </c>
      <c r="I68" s="205" t="s">
        <v>399</v>
      </c>
      <c r="J68" s="205"/>
      <c r="K68" s="206"/>
      <c r="L68" s="128" t="s">
        <v>233</v>
      </c>
    </row>
    <row r="69" spans="2:22" s="4" customFormat="1" ht="42" customHeight="1" x14ac:dyDescent="0.3">
      <c r="B69" s="216" t="s">
        <v>50</v>
      </c>
      <c r="C69" s="217"/>
      <c r="D69" s="217"/>
      <c r="E69" s="20" t="s">
        <v>214</v>
      </c>
      <c r="F69" s="7">
        <v>1</v>
      </c>
      <c r="G69" s="405">
        <v>1</v>
      </c>
      <c r="H69" s="35" t="s">
        <v>155</v>
      </c>
      <c r="I69" s="205" t="s">
        <v>163</v>
      </c>
      <c r="J69" s="205"/>
      <c r="K69" s="206"/>
      <c r="L69" s="170" t="s">
        <v>320</v>
      </c>
    </row>
    <row r="70" spans="2:22" s="4" customFormat="1" ht="27" customHeight="1" x14ac:dyDescent="0.3">
      <c r="B70" s="216" t="s">
        <v>333</v>
      </c>
      <c r="C70" s="217"/>
      <c r="D70" s="217"/>
      <c r="E70" s="20" t="s">
        <v>41</v>
      </c>
      <c r="F70" s="7" t="s">
        <v>325</v>
      </c>
      <c r="G70" s="405" t="s">
        <v>325</v>
      </c>
      <c r="H70" s="35" t="s">
        <v>155</v>
      </c>
      <c r="I70" s="205" t="s">
        <v>331</v>
      </c>
      <c r="J70" s="205"/>
      <c r="K70" s="206"/>
      <c r="L70" s="170" t="s">
        <v>234</v>
      </c>
    </row>
    <row r="71" spans="2:22" s="4" customFormat="1" ht="42.75" customHeight="1" x14ac:dyDescent="0.3">
      <c r="B71" s="216" t="s">
        <v>51</v>
      </c>
      <c r="C71" s="217"/>
      <c r="D71" s="217"/>
      <c r="E71" s="20" t="s">
        <v>80</v>
      </c>
      <c r="F71" s="50">
        <f>IF(F70="","",IF(F70="None",1,IF(F70="Minimal",20,IF(F70="Minor",200,IF(F70="Moderate",750,2000)))))</f>
        <v>200</v>
      </c>
      <c r="G71" s="395">
        <v>200</v>
      </c>
      <c r="H71" s="35"/>
      <c r="I71" s="218" t="s">
        <v>334</v>
      </c>
      <c r="J71" s="218"/>
      <c r="K71" s="219"/>
      <c r="L71" s="170" t="s">
        <v>373</v>
      </c>
    </row>
    <row r="72" spans="2:22" s="4" customFormat="1" ht="36.75" customHeight="1" x14ac:dyDescent="0.3">
      <c r="B72" s="207" t="s">
        <v>484</v>
      </c>
      <c r="C72" s="208"/>
      <c r="D72" s="208"/>
      <c r="E72" s="82" t="s">
        <v>483</v>
      </c>
      <c r="F72" s="46">
        <f>(0.0312881*F68*F69*F71)*(EXP((3.464837)*(F64/F25)))</f>
        <v>1.9288731734099212E-3</v>
      </c>
      <c r="G72" s="406">
        <v>1.9235236552999999E-3</v>
      </c>
      <c r="H72" s="83" t="s">
        <v>49</v>
      </c>
      <c r="I72" s="209" t="s">
        <v>485</v>
      </c>
      <c r="J72" s="209"/>
      <c r="K72" s="210"/>
      <c r="L72" s="171" t="s">
        <v>233</v>
      </c>
    </row>
    <row r="73" spans="2:22" s="4" customFormat="1" ht="44.25" customHeight="1" x14ac:dyDescent="0.3">
      <c r="B73" s="211" t="s">
        <v>164</v>
      </c>
      <c r="C73" s="212"/>
      <c r="D73" s="212"/>
      <c r="E73" s="45" t="s">
        <v>170</v>
      </c>
      <c r="F73" s="46">
        <f>F64*F63*F72</f>
        <v>9.644365867049606E-3</v>
      </c>
      <c r="G73" s="406">
        <v>9.6345623562999992E-3</v>
      </c>
      <c r="H73" s="37" t="s">
        <v>49</v>
      </c>
      <c r="I73" s="213" t="s">
        <v>215</v>
      </c>
      <c r="J73" s="214"/>
      <c r="K73" s="215"/>
      <c r="L73" s="170" t="s">
        <v>233</v>
      </c>
    </row>
    <row r="74" spans="2:22" s="4" customFormat="1" ht="44.25" customHeight="1" x14ac:dyDescent="0.3">
      <c r="B74" s="193" t="s">
        <v>475</v>
      </c>
      <c r="C74" s="194"/>
      <c r="D74" s="194"/>
      <c r="E74" s="194"/>
      <c r="F74" s="194"/>
      <c r="G74" s="194"/>
      <c r="H74" s="194"/>
      <c r="I74" s="194"/>
      <c r="J74" s="195"/>
    </row>
    <row r="75" spans="2:22" s="4" customFormat="1" ht="27" customHeight="1" x14ac:dyDescent="0.3">
      <c r="B75" s="216" t="s">
        <v>4</v>
      </c>
      <c r="C75" s="217"/>
      <c r="D75" s="217"/>
      <c r="E75" s="19" t="s">
        <v>41</v>
      </c>
      <c r="F75" s="6" t="s">
        <v>277</v>
      </c>
      <c r="G75" s="393" t="s">
        <v>277</v>
      </c>
      <c r="H75" s="35" t="s">
        <v>155</v>
      </c>
      <c r="I75" s="209" t="s">
        <v>394</v>
      </c>
      <c r="J75" s="209"/>
      <c r="K75" s="210"/>
      <c r="L75" s="127" t="s">
        <v>234</v>
      </c>
    </row>
    <row r="76" spans="2:22" s="4" customFormat="1" ht="27" customHeight="1" x14ac:dyDescent="0.3">
      <c r="B76" s="216" t="s">
        <v>303</v>
      </c>
      <c r="C76" s="217"/>
      <c r="D76" s="217"/>
      <c r="E76" s="20" t="s">
        <v>295</v>
      </c>
      <c r="F76" s="143">
        <f>IF(F75="Fire",0.004,IF(F75="Heat Exchanger Tube Rupture",0.001,IF(OR(F75="Blocked Discharge with Administrative Controls in Place",F75="Thermal Relief with Administrative Controls in Place",F75="Liquid Overfilling with Administrative Controls in Place"),0.01,IF(F75="Control Valve Failure,Initiating event in opposite direction as CV normal fail position",0.02,IF(F75="Electrical Power Supply failure",0.08,IF(F75="Tower P/A or Reflux Pump Failures",0.2,IF(F75="Runaway Chemical Reaction",1,IF(F75="","",0.1))))))))</f>
        <v>0.08</v>
      </c>
      <c r="G76" s="402">
        <v>0.08</v>
      </c>
      <c r="H76" s="38" t="s">
        <v>156</v>
      </c>
      <c r="I76" s="205" t="s">
        <v>396</v>
      </c>
      <c r="J76" s="205"/>
      <c r="K76" s="206"/>
      <c r="L76" s="127" t="s">
        <v>233</v>
      </c>
    </row>
    <row r="77" spans="2:22" s="4" customFormat="1" ht="24.9" customHeight="1" x14ac:dyDescent="0.3">
      <c r="B77" s="216" t="s">
        <v>304</v>
      </c>
      <c r="C77" s="217"/>
      <c r="D77" s="217"/>
      <c r="E77" s="20" t="s">
        <v>296</v>
      </c>
      <c r="F77" s="143">
        <f>IF(OR(F75="Fire",F75="Liquid Overfilling with Administrative Controls in Place",F75="Liquid Overfilling without Administrative Controls"),0.1,IF(F75="","",1))</f>
        <v>1</v>
      </c>
      <c r="G77" s="402">
        <v>1</v>
      </c>
      <c r="H77" s="35" t="s">
        <v>155</v>
      </c>
      <c r="I77" s="205" t="s">
        <v>395</v>
      </c>
      <c r="J77" s="205"/>
      <c r="K77" s="206"/>
      <c r="L77" s="127" t="s">
        <v>233</v>
      </c>
    </row>
    <row r="78" spans="2:22" s="4" customFormat="1" ht="28.5" customHeight="1" x14ac:dyDescent="0.3">
      <c r="B78" s="307" t="s">
        <v>487</v>
      </c>
      <c r="C78" s="308"/>
      <c r="D78" s="308"/>
      <c r="E78" s="40" t="s">
        <v>297</v>
      </c>
      <c r="F78" s="13">
        <f>IF(AND(F76="",F77=""),0,F76*F77)</f>
        <v>0.08</v>
      </c>
      <c r="G78" s="396">
        <v>0.08</v>
      </c>
      <c r="H78" s="42" t="s">
        <v>156</v>
      </c>
      <c r="I78" s="287" t="s">
        <v>162</v>
      </c>
      <c r="J78" s="287"/>
      <c r="K78" s="288"/>
      <c r="L78" s="127" t="s">
        <v>233</v>
      </c>
      <c r="N78" s="84"/>
    </row>
    <row r="79" spans="2:22" s="4" customFormat="1" ht="27" customHeight="1" x14ac:dyDescent="0.3">
      <c r="B79" s="220" t="s">
        <v>476</v>
      </c>
      <c r="C79" s="221"/>
      <c r="D79" s="222"/>
      <c r="E79" s="172" t="s">
        <v>477</v>
      </c>
      <c r="F79" s="50">
        <v>40</v>
      </c>
      <c r="G79" s="395">
        <v>40</v>
      </c>
      <c r="H79" s="38" t="s">
        <v>478</v>
      </c>
      <c r="I79" s="223"/>
      <c r="J79" s="224"/>
      <c r="K79" s="225"/>
      <c r="L79" s="171" t="s">
        <v>356</v>
      </c>
    </row>
    <row r="80" spans="2:22" s="4" customFormat="1" ht="27" customHeight="1" x14ac:dyDescent="0.3">
      <c r="B80" s="216" t="s">
        <v>261</v>
      </c>
      <c r="C80" s="217"/>
      <c r="D80" s="217"/>
      <c r="E80" s="95" t="s">
        <v>106</v>
      </c>
      <c r="F80" s="58">
        <f>IF(F79/F41&lt;1.3,1,IF(F79/F41&gt;4,0.2,1-((1/3.375)*((F79/F41)-1.3))))</f>
        <v>0.2</v>
      </c>
      <c r="G80" s="392">
        <v>0.2</v>
      </c>
      <c r="H80" s="33" t="s">
        <v>41</v>
      </c>
      <c r="I80" s="320" t="s">
        <v>262</v>
      </c>
      <c r="J80" s="321"/>
      <c r="K80" s="322"/>
      <c r="L80" s="171" t="s">
        <v>233</v>
      </c>
    </row>
    <row r="81" spans="2:15" s="4" customFormat="1" ht="50.25" customHeight="1" x14ac:dyDescent="0.3">
      <c r="B81" s="220" t="s">
        <v>482</v>
      </c>
      <c r="C81" s="221"/>
      <c r="D81" s="222"/>
      <c r="E81" s="95" t="s">
        <v>481</v>
      </c>
      <c r="F81" s="58">
        <f>O23*F80</f>
        <v>0.19979734497342075</v>
      </c>
      <c r="G81" s="392">
        <v>0.19979734499999999</v>
      </c>
      <c r="H81" s="33" t="s">
        <v>97</v>
      </c>
      <c r="I81" s="309"/>
      <c r="J81" s="310"/>
      <c r="K81" s="311"/>
      <c r="L81" s="171"/>
      <c r="O81" s="124"/>
    </row>
    <row r="82" spans="2:15" s="4" customFormat="1" ht="34.200000000000003" customHeight="1" x14ac:dyDescent="0.3">
      <c r="B82" s="216" t="s">
        <v>319</v>
      </c>
      <c r="C82" s="217"/>
      <c r="D82" s="217"/>
      <c r="E82" s="20" t="s">
        <v>41</v>
      </c>
      <c r="F82" s="8" t="s">
        <v>317</v>
      </c>
      <c r="G82" s="403" t="s">
        <v>317</v>
      </c>
      <c r="H82" s="39" t="s">
        <v>41</v>
      </c>
      <c r="I82" s="205" t="s">
        <v>41</v>
      </c>
      <c r="J82" s="205"/>
      <c r="K82" s="206"/>
      <c r="L82" s="127" t="s">
        <v>234</v>
      </c>
      <c r="O82" s="124"/>
    </row>
    <row r="83" spans="2:15" s="4" customFormat="1" ht="27" customHeight="1" x14ac:dyDescent="0.3">
      <c r="B83" s="216" t="s">
        <v>332</v>
      </c>
      <c r="C83" s="217"/>
      <c r="D83" s="217"/>
      <c r="E83" s="20" t="s">
        <v>48</v>
      </c>
      <c r="F83" s="144">
        <f>IF(F82="Compressor Centrifugal",0.00003,IF(F82="Tank Course",0.0001,IF(F82="Tank Bottom",0.00072,0.0000306)))</f>
        <v>3.0599999999999998E-5</v>
      </c>
      <c r="G83" s="404">
        <v>3.0623502350999999E-5</v>
      </c>
      <c r="H83" s="39" t="s">
        <v>35</v>
      </c>
      <c r="I83" s="205" t="s">
        <v>399</v>
      </c>
      <c r="J83" s="205"/>
      <c r="K83" s="206"/>
      <c r="L83" s="128" t="s">
        <v>233</v>
      </c>
    </row>
    <row r="84" spans="2:15" s="4" customFormat="1" ht="51" customHeight="1" x14ac:dyDescent="0.3">
      <c r="B84" s="216" t="s">
        <v>50</v>
      </c>
      <c r="C84" s="217"/>
      <c r="D84" s="217"/>
      <c r="E84" s="20" t="s">
        <v>214</v>
      </c>
      <c r="F84" s="7">
        <v>1</v>
      </c>
      <c r="G84" s="405">
        <v>1</v>
      </c>
      <c r="H84" s="35" t="s">
        <v>155</v>
      </c>
      <c r="I84" s="205" t="s">
        <v>163</v>
      </c>
      <c r="J84" s="205"/>
      <c r="K84" s="206"/>
      <c r="L84" s="127" t="s">
        <v>320</v>
      </c>
      <c r="M84" s="132">
        <f>1-F111</f>
        <v>0.30000000000000004</v>
      </c>
    </row>
    <row r="85" spans="2:15" s="4" customFormat="1" ht="43.5" customHeight="1" x14ac:dyDescent="0.3">
      <c r="B85" s="216" t="s">
        <v>333</v>
      </c>
      <c r="C85" s="217"/>
      <c r="D85" s="217"/>
      <c r="E85" s="20" t="s">
        <v>41</v>
      </c>
      <c r="F85" s="7" t="s">
        <v>325</v>
      </c>
      <c r="G85" s="405" t="s">
        <v>325</v>
      </c>
      <c r="H85" s="35" t="s">
        <v>155</v>
      </c>
      <c r="I85" s="205" t="s">
        <v>331</v>
      </c>
      <c r="J85" s="205"/>
      <c r="K85" s="206"/>
      <c r="L85" s="127" t="s">
        <v>234</v>
      </c>
    </row>
    <row r="86" spans="2:15" s="4" customFormat="1" ht="51" customHeight="1" x14ac:dyDescent="0.3">
      <c r="B86" s="216" t="s">
        <v>51</v>
      </c>
      <c r="C86" s="217"/>
      <c r="D86" s="217"/>
      <c r="E86" s="20" t="s">
        <v>80</v>
      </c>
      <c r="F86" s="50">
        <f>IF(F85="","",IF(F85="None",1,IF(F85="Minimal",20,IF(F85="Minor",200,IF(F85="Moderate",750,2000)))))</f>
        <v>200</v>
      </c>
      <c r="G86" s="395">
        <v>200</v>
      </c>
      <c r="H86" s="35"/>
      <c r="I86" s="218" t="s">
        <v>334</v>
      </c>
      <c r="J86" s="218"/>
      <c r="K86" s="219"/>
      <c r="L86" s="127" t="s">
        <v>373</v>
      </c>
    </row>
    <row r="87" spans="2:15" s="4" customFormat="1" ht="31.5" customHeight="1" x14ac:dyDescent="0.3">
      <c r="B87" s="207" t="s">
        <v>484</v>
      </c>
      <c r="C87" s="208"/>
      <c r="D87" s="208"/>
      <c r="E87" s="82" t="s">
        <v>483</v>
      </c>
      <c r="F87" s="46">
        <f>(0.0312881*F83*F84*F86)*(EXP((3.464837)*(F79/F25)))</f>
        <v>1.2152596015179025E-3</v>
      </c>
      <c r="G87" s="406">
        <v>1.2234346734999999E-3</v>
      </c>
      <c r="H87" s="83" t="s">
        <v>49</v>
      </c>
      <c r="I87" s="209" t="s">
        <v>485</v>
      </c>
      <c r="J87" s="209"/>
      <c r="K87" s="210"/>
      <c r="L87" s="171" t="s">
        <v>233</v>
      </c>
    </row>
    <row r="88" spans="2:15" s="4" customFormat="1" ht="36" customHeight="1" x14ac:dyDescent="0.3">
      <c r="B88" s="211" t="s">
        <v>164</v>
      </c>
      <c r="C88" s="212"/>
      <c r="D88" s="212"/>
      <c r="E88" s="45" t="s">
        <v>170</v>
      </c>
      <c r="F88" s="46">
        <f>F78*F79*F87</f>
        <v>3.8888307248572881E-3</v>
      </c>
      <c r="G88" s="406">
        <v>3.8934512435000001E-3</v>
      </c>
      <c r="H88" s="37" t="s">
        <v>49</v>
      </c>
      <c r="I88" s="213" t="s">
        <v>215</v>
      </c>
      <c r="J88" s="214"/>
      <c r="K88" s="215"/>
      <c r="L88" s="127" t="s">
        <v>233</v>
      </c>
    </row>
    <row r="89" spans="2:15" s="4" customFormat="1" ht="25.2" customHeight="1" x14ac:dyDescent="0.3">
      <c r="B89" s="193" t="s">
        <v>204</v>
      </c>
      <c r="C89" s="194"/>
      <c r="D89" s="194"/>
      <c r="E89" s="194"/>
      <c r="F89" s="194"/>
      <c r="G89" s="194"/>
      <c r="H89" s="194"/>
      <c r="I89" s="194"/>
      <c r="J89" s="195"/>
    </row>
    <row r="90" spans="2:15" s="4" customFormat="1" ht="44.25" customHeight="1" thickBot="1" x14ac:dyDescent="0.35">
      <c r="B90" s="360" t="s">
        <v>204</v>
      </c>
      <c r="C90" s="361"/>
      <c r="D90" s="362"/>
      <c r="E90" s="41" t="s">
        <v>205</v>
      </c>
      <c r="F90" s="13">
        <f>F46+F61+F76</f>
        <v>0.184</v>
      </c>
      <c r="G90" s="396">
        <v>0.184</v>
      </c>
      <c r="H90" s="42" t="s">
        <v>156</v>
      </c>
      <c r="I90" s="363" t="s">
        <v>397</v>
      </c>
      <c r="J90" s="364"/>
      <c r="K90" s="365"/>
      <c r="L90" s="171" t="s">
        <v>233</v>
      </c>
    </row>
    <row r="91" spans="2:15" s="4" customFormat="1" ht="21" customHeight="1" thickBot="1" x14ac:dyDescent="0.35">
      <c r="B91" s="276" t="s">
        <v>116</v>
      </c>
      <c r="C91" s="277"/>
      <c r="D91" s="277"/>
      <c r="E91" s="277"/>
      <c r="F91" s="277"/>
      <c r="G91" s="277"/>
      <c r="H91" s="277"/>
      <c r="I91" s="277"/>
      <c r="J91" s="278"/>
    </row>
    <row r="92" spans="2:15" s="4" customFormat="1" ht="44.25" customHeight="1" thickBot="1" x14ac:dyDescent="0.35">
      <c r="B92" s="271" t="s">
        <v>72</v>
      </c>
      <c r="C92" s="272"/>
      <c r="D92" s="272"/>
      <c r="E92" s="80" t="s">
        <v>76</v>
      </c>
      <c r="F92" s="80" t="s">
        <v>73</v>
      </c>
      <c r="G92" s="80" t="s">
        <v>74</v>
      </c>
      <c r="H92" s="272" t="s">
        <v>75</v>
      </c>
      <c r="I92" s="272"/>
      <c r="J92" s="273"/>
    </row>
    <row r="93" spans="2:15" s="4" customFormat="1" ht="27" customHeight="1" thickBot="1" x14ac:dyDescent="0.35">
      <c r="B93" s="268" t="s">
        <v>190</v>
      </c>
      <c r="C93" s="269"/>
      <c r="D93" s="269"/>
      <c r="E93" s="269"/>
      <c r="F93" s="269"/>
      <c r="G93" s="269"/>
      <c r="H93" s="269"/>
      <c r="I93" s="269"/>
      <c r="J93" s="270"/>
    </row>
    <row r="94" spans="2:15" s="4" customFormat="1" ht="24.9" customHeight="1" x14ac:dyDescent="0.3">
      <c r="B94" s="271" t="s">
        <v>72</v>
      </c>
      <c r="C94" s="272"/>
      <c r="D94" s="272"/>
      <c r="E94" s="80" t="s">
        <v>76</v>
      </c>
      <c r="F94" s="80" t="s">
        <v>73</v>
      </c>
      <c r="G94" s="391" t="s">
        <v>510</v>
      </c>
      <c r="H94" s="80" t="s">
        <v>74</v>
      </c>
      <c r="I94" s="272" t="s">
        <v>75</v>
      </c>
      <c r="J94" s="272"/>
      <c r="K94" s="273"/>
      <c r="L94" s="127"/>
    </row>
    <row r="95" spans="2:15" s="4" customFormat="1" ht="18" customHeight="1" x14ac:dyDescent="0.3">
      <c r="B95" s="274" t="s">
        <v>1</v>
      </c>
      <c r="C95" s="275"/>
      <c r="D95" s="275"/>
      <c r="E95" s="47" t="s">
        <v>41</v>
      </c>
      <c r="F95" s="58" t="str">
        <f>F7</f>
        <v>Balanced Bellows</v>
      </c>
      <c r="G95" s="392" t="s">
        <v>235</v>
      </c>
      <c r="H95" s="51" t="s">
        <v>155</v>
      </c>
      <c r="I95" s="209" t="s">
        <v>400</v>
      </c>
      <c r="J95" s="209"/>
      <c r="K95" s="210"/>
      <c r="L95" s="128" t="s">
        <v>233</v>
      </c>
    </row>
    <row r="96" spans="2:15" s="4" customFormat="1" ht="18" customHeight="1" x14ac:dyDescent="0.3">
      <c r="B96" s="274" t="s">
        <v>336</v>
      </c>
      <c r="C96" s="275"/>
      <c r="D96" s="275"/>
      <c r="E96" s="47" t="s">
        <v>41</v>
      </c>
      <c r="F96" s="6" t="s">
        <v>232</v>
      </c>
      <c r="G96" s="393" t="s">
        <v>232</v>
      </c>
      <c r="H96" s="51" t="s">
        <v>155</v>
      </c>
      <c r="I96" s="209" t="s">
        <v>335</v>
      </c>
      <c r="J96" s="209"/>
      <c r="K96" s="210"/>
      <c r="L96" s="127" t="s">
        <v>234</v>
      </c>
    </row>
    <row r="97" spans="2:22" s="4" customFormat="1" ht="27" customHeight="1" x14ac:dyDescent="0.3">
      <c r="B97" s="305" t="s">
        <v>165</v>
      </c>
      <c r="C97" s="306"/>
      <c r="D97" s="306"/>
      <c r="E97" s="48" t="s">
        <v>34</v>
      </c>
      <c r="F97" s="50">
        <v>1.6</v>
      </c>
      <c r="G97" s="395">
        <v>1.6</v>
      </c>
      <c r="H97" s="35" t="s">
        <v>155</v>
      </c>
      <c r="I97" s="289" t="s">
        <v>337</v>
      </c>
      <c r="J97" s="289"/>
      <c r="K97" s="290"/>
      <c r="L97" s="127" t="s">
        <v>253</v>
      </c>
    </row>
    <row r="98" spans="2:22" s="4" customFormat="1" ht="27" customHeight="1" x14ac:dyDescent="0.3">
      <c r="B98" s="274" t="s">
        <v>166</v>
      </c>
      <c r="C98" s="275"/>
      <c r="D98" s="275"/>
      <c r="E98" s="21" t="s">
        <v>104</v>
      </c>
      <c r="F98" s="59" t="str">
        <f>IF(AND(OR(F95="Conventional",F95="Pilot Operated"),F96="Moderate"),"15.5",IF(AND(OR(F95="Conventional",F95="Pilot Operated"),F96="Severe"),"13.1",IF(AND(F95="Balanced Bellows",F96="Mild"),"16",IF(AND(F95="Balanced Bellows",F96="Moderate"),"14",IF(AND(F95="Balanced Bellows",F96="Severe"),"11.5","17.5")))))</f>
        <v>14</v>
      </c>
      <c r="G98" s="394">
        <v>14</v>
      </c>
      <c r="H98" s="39" t="s">
        <v>52</v>
      </c>
      <c r="I98" s="209" t="s">
        <v>193</v>
      </c>
      <c r="J98" s="209"/>
      <c r="K98" s="210"/>
      <c r="L98" s="127" t="s">
        <v>233</v>
      </c>
    </row>
    <row r="99" spans="2:22" s="4" customFormat="1" ht="27" customHeight="1" x14ac:dyDescent="0.3">
      <c r="B99" s="274" t="s">
        <v>117</v>
      </c>
      <c r="C99" s="275"/>
      <c r="D99" s="275"/>
      <c r="E99" s="43" t="s">
        <v>103</v>
      </c>
      <c r="F99" s="50">
        <f>Y30</f>
        <v>2.0027397260273974</v>
      </c>
      <c r="G99" s="395">
        <v>2.0027397260000002</v>
      </c>
      <c r="H99" s="39" t="s">
        <v>52</v>
      </c>
      <c r="I99" s="209" t="s">
        <v>392</v>
      </c>
      <c r="J99" s="209"/>
      <c r="K99" s="210"/>
      <c r="L99" s="127" t="s">
        <v>233</v>
      </c>
    </row>
    <row r="100" spans="2:22" s="4" customFormat="1" ht="27" customHeight="1" x14ac:dyDescent="0.3">
      <c r="B100" s="274" t="s">
        <v>53</v>
      </c>
      <c r="C100" s="275"/>
      <c r="D100" s="275"/>
      <c r="E100" s="21" t="s">
        <v>194</v>
      </c>
      <c r="F100" s="7">
        <v>1</v>
      </c>
      <c r="G100" s="405">
        <v>1</v>
      </c>
      <c r="H100" s="35" t="s">
        <v>155</v>
      </c>
      <c r="I100" s="209" t="s">
        <v>341</v>
      </c>
      <c r="J100" s="209"/>
      <c r="K100" s="210"/>
      <c r="L100" s="127" t="s">
        <v>234</v>
      </c>
    </row>
    <row r="101" spans="2:22" s="4" customFormat="1" ht="27" customHeight="1" x14ac:dyDescent="0.3">
      <c r="B101" s="220" t="s">
        <v>240</v>
      </c>
      <c r="C101" s="221"/>
      <c r="D101" s="222"/>
      <c r="E101" s="22" t="s">
        <v>41</v>
      </c>
      <c r="F101" s="6" t="s">
        <v>342</v>
      </c>
      <c r="G101" s="393" t="s">
        <v>342</v>
      </c>
      <c r="H101" s="33" t="s">
        <v>41</v>
      </c>
      <c r="I101" s="300" t="s">
        <v>251</v>
      </c>
      <c r="J101" s="301"/>
      <c r="K101" s="302"/>
      <c r="L101" s="127" t="s">
        <v>234</v>
      </c>
    </row>
    <row r="102" spans="2:22" s="4" customFormat="1" ht="21.75" customHeight="1" x14ac:dyDescent="0.3">
      <c r="B102" s="274" t="s">
        <v>42</v>
      </c>
      <c r="C102" s="275"/>
      <c r="D102" s="275"/>
      <c r="E102" s="21" t="s">
        <v>102</v>
      </c>
      <c r="F102" s="59">
        <f>IF(OR(F101="Operating Ratio &gt;90% for spring-loaded PRVs or &gt;95% for pilot-operated PRVs",F101="History of Excessive Actuation in Service (greater than 5 times per year)", F101="History of Chatter"),0.5,IF(F101="Operating Temperature &gt; 500oF",0.6,0.8))</f>
        <v>0.8</v>
      </c>
      <c r="G102" s="394">
        <v>0.8</v>
      </c>
      <c r="H102" s="35" t="s">
        <v>155</v>
      </c>
      <c r="I102" s="300" t="s">
        <v>344</v>
      </c>
      <c r="J102" s="301"/>
      <c r="K102" s="302"/>
      <c r="L102" s="127" t="s">
        <v>233</v>
      </c>
      <c r="N102" s="98"/>
      <c r="O102" s="98"/>
      <c r="P102" s="98"/>
      <c r="Q102" s="98"/>
    </row>
    <row r="103" spans="2:22" s="4" customFormat="1" ht="94.5" customHeight="1" thickBot="1" x14ac:dyDescent="0.35">
      <c r="B103" s="291" t="s">
        <v>54</v>
      </c>
      <c r="C103" s="292"/>
      <c r="D103" s="292"/>
      <c r="E103" s="49" t="s">
        <v>209</v>
      </c>
      <c r="F103" s="13">
        <f>F100*F102*F98</f>
        <v>11.200000000000001</v>
      </c>
      <c r="G103" s="396">
        <v>11.2</v>
      </c>
      <c r="H103" s="52" t="s">
        <v>52</v>
      </c>
      <c r="I103" s="303" t="s">
        <v>343</v>
      </c>
      <c r="J103" s="303"/>
      <c r="K103" s="304"/>
      <c r="L103" s="127" t="s">
        <v>233</v>
      </c>
      <c r="M103" s="98"/>
      <c r="R103" s="98"/>
      <c r="S103" s="98"/>
      <c r="T103" s="98"/>
      <c r="U103" s="98"/>
      <c r="V103" s="98"/>
    </row>
    <row r="104" spans="2:22" s="4" customFormat="1" ht="25.2" customHeight="1" thickBot="1" x14ac:dyDescent="0.35">
      <c r="B104" s="276" t="s">
        <v>345</v>
      </c>
      <c r="C104" s="277"/>
      <c r="D104" s="277"/>
      <c r="E104" s="277"/>
      <c r="F104" s="277"/>
      <c r="G104" s="277"/>
      <c r="H104" s="277"/>
      <c r="I104" s="277"/>
      <c r="J104" s="278"/>
    </row>
    <row r="105" spans="2:22" s="4" customFormat="1" ht="22.5" customHeight="1" x14ac:dyDescent="0.3">
      <c r="B105" s="271" t="s">
        <v>72</v>
      </c>
      <c r="C105" s="272"/>
      <c r="D105" s="272"/>
      <c r="E105" s="80" t="s">
        <v>76</v>
      </c>
      <c r="F105" s="80" t="s">
        <v>73</v>
      </c>
      <c r="G105" s="397" t="s">
        <v>510</v>
      </c>
      <c r="H105" s="80" t="s">
        <v>74</v>
      </c>
      <c r="I105" s="272" t="s">
        <v>75</v>
      </c>
      <c r="J105" s="272"/>
      <c r="K105" s="273"/>
      <c r="L105" s="127"/>
    </row>
    <row r="106" spans="2:22" s="4" customFormat="1" ht="27" customHeight="1" x14ac:dyDescent="0.3">
      <c r="B106" s="274" t="s">
        <v>55</v>
      </c>
      <c r="C106" s="275"/>
      <c r="D106" s="275"/>
      <c r="E106" s="21" t="s">
        <v>95</v>
      </c>
      <c r="F106" s="44">
        <f>P39</f>
        <v>6.1673789452930672E-2</v>
      </c>
      <c r="G106" s="407">
        <v>6.1756235622999998E-2</v>
      </c>
      <c r="H106" s="39" t="s">
        <v>49</v>
      </c>
      <c r="I106" s="293" t="s">
        <v>216</v>
      </c>
      <c r="J106" s="205"/>
      <c r="K106" s="206"/>
      <c r="L106" s="127" t="s">
        <v>233</v>
      </c>
    </row>
    <row r="107" spans="2:22" s="4" customFormat="1" ht="27" customHeight="1" x14ac:dyDescent="0.3">
      <c r="B107" s="274" t="s">
        <v>118</v>
      </c>
      <c r="C107" s="275"/>
      <c r="D107" s="275"/>
      <c r="E107" s="20" t="s">
        <v>96</v>
      </c>
      <c r="F107" s="55">
        <f>R39</f>
        <v>0.93832621054706933</v>
      </c>
      <c r="G107" s="408">
        <v>0.93833452352000002</v>
      </c>
      <c r="H107" s="39" t="s">
        <v>49</v>
      </c>
      <c r="I107" s="293" t="s">
        <v>217</v>
      </c>
      <c r="J107" s="205"/>
      <c r="K107" s="206"/>
      <c r="L107" s="127" t="s">
        <v>233</v>
      </c>
    </row>
    <row r="108" spans="2:22" s="4" customFormat="1" ht="27" customHeight="1" x14ac:dyDescent="0.3">
      <c r="B108" s="274" t="s">
        <v>2</v>
      </c>
      <c r="C108" s="275"/>
      <c r="D108" s="275"/>
      <c r="E108" s="19" t="s">
        <v>155</v>
      </c>
      <c r="F108" s="6" t="s">
        <v>89</v>
      </c>
      <c r="G108" s="393" t="s">
        <v>89</v>
      </c>
      <c r="H108" s="35" t="s">
        <v>155</v>
      </c>
      <c r="I108" s="289" t="s">
        <v>264</v>
      </c>
      <c r="J108" s="289"/>
      <c r="K108" s="290"/>
      <c r="L108" s="127" t="s">
        <v>234</v>
      </c>
    </row>
    <row r="109" spans="2:22" s="4" customFormat="1" ht="27" customHeight="1" x14ac:dyDescent="0.3">
      <c r="B109" s="294" t="s">
        <v>346</v>
      </c>
      <c r="C109" s="295"/>
      <c r="D109" s="296"/>
      <c r="E109" s="19" t="s">
        <v>155</v>
      </c>
      <c r="F109" s="6" t="s">
        <v>377</v>
      </c>
      <c r="G109" s="393" t="s">
        <v>377</v>
      </c>
      <c r="H109" s="35" t="s">
        <v>155</v>
      </c>
      <c r="I109" s="297" t="s">
        <v>271</v>
      </c>
      <c r="J109" s="298"/>
      <c r="K109" s="299"/>
      <c r="L109" s="127" t="s">
        <v>234</v>
      </c>
    </row>
    <row r="110" spans="2:22" s="4" customFormat="1" ht="27" customHeight="1" x14ac:dyDescent="0.3">
      <c r="B110" s="274" t="s">
        <v>93</v>
      </c>
      <c r="C110" s="275"/>
      <c r="D110" s="275"/>
      <c r="E110" s="20" t="s">
        <v>119</v>
      </c>
      <c r="F110" s="59">
        <f>IF(AND(F108="Highly Effective",F109="Leak"),0.9,IF(AND(F108="Usually Effective",F109="Leak"),0.7,IF(AND(F108="Fairly Effective",F109="Leak"),0.5,IF(AND(F108="Ineffective",F109="Leak"),0,""))))</f>
        <v>0.5</v>
      </c>
      <c r="G110" s="394">
        <v>0.5</v>
      </c>
      <c r="H110" s="35" t="s">
        <v>155</v>
      </c>
      <c r="I110" s="209" t="s">
        <v>387</v>
      </c>
      <c r="J110" s="209"/>
      <c r="K110" s="210"/>
      <c r="L110" s="127" t="s">
        <v>233</v>
      </c>
    </row>
    <row r="111" spans="2:22" s="4" customFormat="1" ht="50.25" customHeight="1" x14ac:dyDescent="0.3">
      <c r="B111" s="291" t="s">
        <v>218</v>
      </c>
      <c r="C111" s="292"/>
      <c r="D111" s="292"/>
      <c r="E111" s="120" t="s">
        <v>94</v>
      </c>
      <c r="F111" s="145">
        <f>IF(AND(F108="Highly Effective",F109="Leak"),0.95,IF(AND(F108="Usually Effective",F109="Leak"),0.95,IF(AND(F108="Fairly Effective",F109="Leak"),0.7,IF(AND(F108="Ineffective",F109="Leak"),0,""))))</f>
        <v>0.7</v>
      </c>
      <c r="G111" s="409">
        <v>0.7</v>
      </c>
      <c r="H111" s="121" t="s">
        <v>155</v>
      </c>
      <c r="I111" s="209" t="s">
        <v>387</v>
      </c>
      <c r="J111" s="209"/>
      <c r="K111" s="210"/>
      <c r="L111" s="127" t="s">
        <v>233</v>
      </c>
    </row>
    <row r="112" spans="2:22" s="4" customFormat="1" ht="92.25" customHeight="1" x14ac:dyDescent="0.3">
      <c r="B112" s="274" t="s">
        <v>437</v>
      </c>
      <c r="C112" s="275"/>
      <c r="D112" s="275"/>
      <c r="E112" s="20" t="s">
        <v>98</v>
      </c>
      <c r="F112" s="146">
        <f>IF(F111="","",((F111*F106)+((1-M84)*F107)))</f>
        <v>0.7</v>
      </c>
      <c r="G112" s="410">
        <v>0.70034525352999999</v>
      </c>
      <c r="H112" s="38" t="s">
        <v>97</v>
      </c>
      <c r="I112" s="287" t="s">
        <v>389</v>
      </c>
      <c r="J112" s="287"/>
      <c r="K112" s="288"/>
      <c r="L112" s="127" t="s">
        <v>233</v>
      </c>
    </row>
    <row r="113" spans="2:17" s="4" customFormat="1" ht="43.95" customHeight="1" x14ac:dyDescent="0.3">
      <c r="B113" s="274" t="s">
        <v>438</v>
      </c>
      <c r="C113" s="275"/>
      <c r="D113" s="275"/>
      <c r="E113" s="20" t="s">
        <v>99</v>
      </c>
      <c r="F113" s="55">
        <f>IF(F110="","",(1-F110)*F107)</f>
        <v>0.46916310527353466</v>
      </c>
      <c r="G113" s="408">
        <v>0.46916235125</v>
      </c>
      <c r="H113" s="38" t="s">
        <v>97</v>
      </c>
      <c r="I113" s="289" t="s">
        <v>390</v>
      </c>
      <c r="J113" s="289"/>
      <c r="K113" s="290"/>
      <c r="L113" s="128" t="s">
        <v>233</v>
      </c>
    </row>
    <row r="114" spans="2:17" s="4" customFormat="1" ht="27" customHeight="1" x14ac:dyDescent="0.3">
      <c r="B114" s="274" t="s">
        <v>385</v>
      </c>
      <c r="C114" s="275"/>
      <c r="D114" s="275"/>
      <c r="E114" s="20" t="s">
        <v>386</v>
      </c>
      <c r="F114" s="97">
        <f>IF(AND(OR(F108="Highly Effective",F108="Usually Effective",F108="Fairly Effective"),F109="No Leak"),((F107)-(0.2*F107*(F99/F103))+(0.2*F113*(F99/F103))),IF(AND(OR(F108="Highly Effective",F108="Usually Effective"),F109="Leak"),F112,IF(AND(F108="Fairly Effective",F109="Leak"),((0.5*F106)+(0.5*F113)),"")))</f>
        <v>0.26541844736323267</v>
      </c>
      <c r="G114" s="399">
        <v>0.26542352352999998</v>
      </c>
      <c r="H114" s="38" t="s">
        <v>97</v>
      </c>
      <c r="I114" s="205" t="s">
        <v>388</v>
      </c>
      <c r="J114" s="205"/>
      <c r="K114" s="206"/>
      <c r="L114" s="128" t="s">
        <v>233</v>
      </c>
    </row>
    <row r="115" spans="2:17" s="4" customFormat="1" ht="54" customHeight="1" x14ac:dyDescent="0.3">
      <c r="B115" s="274" t="s">
        <v>120</v>
      </c>
      <c r="C115" s="275"/>
      <c r="D115" s="275"/>
      <c r="E115" s="20" t="s">
        <v>100</v>
      </c>
      <c r="F115" s="56">
        <f>X39</f>
        <v>4.1771520243058315</v>
      </c>
      <c r="G115" s="411">
        <v>4.1769999999999996</v>
      </c>
      <c r="H115" s="39" t="s">
        <v>52</v>
      </c>
      <c r="I115" s="281" t="s">
        <v>220</v>
      </c>
      <c r="J115" s="282"/>
      <c r="K115" s="283"/>
      <c r="L115" s="128" t="s">
        <v>233</v>
      </c>
      <c r="N115" s="98"/>
      <c r="O115" s="98"/>
      <c r="P115" s="98"/>
      <c r="Q115" s="98"/>
    </row>
    <row r="116" spans="2:17" s="98" customFormat="1" ht="64.5" customHeight="1" thickBot="1" x14ac:dyDescent="0.35">
      <c r="B116" s="264" t="s">
        <v>56</v>
      </c>
      <c r="C116" s="265"/>
      <c r="D116" s="265"/>
      <c r="E116" s="54" t="s">
        <v>171</v>
      </c>
      <c r="F116" s="46">
        <f>1-((EXP(-O47/F115)^F97))</f>
        <v>0.99939604495616707</v>
      </c>
      <c r="G116" s="406">
        <v>0.99923523150000004</v>
      </c>
      <c r="H116" s="37" t="s">
        <v>101</v>
      </c>
      <c r="I116" s="284" t="s">
        <v>221</v>
      </c>
      <c r="J116" s="285"/>
      <c r="K116" s="286"/>
      <c r="L116" s="128" t="s">
        <v>233</v>
      </c>
      <c r="N116" s="4"/>
      <c r="O116" s="4"/>
      <c r="P116" s="4"/>
      <c r="Q116" s="4"/>
    </row>
    <row r="117" spans="2:17" s="4" customFormat="1" ht="90.75" customHeight="1" thickBot="1" x14ac:dyDescent="0.35">
      <c r="B117" s="268" t="s">
        <v>413</v>
      </c>
      <c r="C117" s="269"/>
      <c r="D117" s="269"/>
      <c r="E117" s="269"/>
      <c r="F117" s="269"/>
      <c r="G117" s="269"/>
      <c r="H117" s="269"/>
      <c r="I117" s="269"/>
      <c r="J117" s="270"/>
      <c r="M117" s="98"/>
      <c r="N117" s="98"/>
      <c r="O117" s="98"/>
      <c r="P117" s="98"/>
    </row>
    <row r="118" spans="2:17" s="4" customFormat="1" ht="79.5" customHeight="1" x14ac:dyDescent="0.3">
      <c r="B118" s="271" t="s">
        <v>72</v>
      </c>
      <c r="C118" s="272"/>
      <c r="D118" s="272"/>
      <c r="E118" s="80" t="s">
        <v>76</v>
      </c>
      <c r="F118" s="80" t="s">
        <v>73</v>
      </c>
      <c r="G118" s="391" t="s">
        <v>510</v>
      </c>
      <c r="H118" s="80" t="s">
        <v>74</v>
      </c>
      <c r="I118" s="272" t="s">
        <v>75</v>
      </c>
      <c r="J118" s="272"/>
      <c r="K118" s="273"/>
      <c r="L118" s="127"/>
      <c r="M118" s="98"/>
      <c r="N118" s="98"/>
      <c r="O118" s="98"/>
      <c r="P118" s="98"/>
      <c r="Q118" s="98"/>
    </row>
    <row r="119" spans="2:17" s="4" customFormat="1" ht="42.75" customHeight="1" x14ac:dyDescent="0.3">
      <c r="B119" s="274" t="s">
        <v>0</v>
      </c>
      <c r="C119" s="275"/>
      <c r="D119" s="275"/>
      <c r="E119" s="47" t="s">
        <v>41</v>
      </c>
      <c r="F119" s="6" t="s">
        <v>285</v>
      </c>
      <c r="G119" s="393" t="s">
        <v>285</v>
      </c>
      <c r="H119" s="51" t="s">
        <v>155</v>
      </c>
      <c r="I119" s="205" t="s">
        <v>352</v>
      </c>
      <c r="J119" s="205"/>
      <c r="K119" s="206"/>
      <c r="L119" s="128" t="s">
        <v>234</v>
      </c>
      <c r="M119" s="98"/>
    </row>
    <row r="120" spans="2:17" s="4" customFormat="1" ht="27" customHeight="1" x14ac:dyDescent="0.3">
      <c r="B120" s="274" t="s">
        <v>57</v>
      </c>
      <c r="C120" s="275"/>
      <c r="D120" s="275"/>
      <c r="E120" s="21" t="s">
        <v>38</v>
      </c>
      <c r="F120" s="58">
        <f>I14</f>
        <v>75</v>
      </c>
      <c r="G120" s="392">
        <v>75</v>
      </c>
      <c r="H120" s="38" t="s">
        <v>39</v>
      </c>
      <c r="I120" s="209" t="s">
        <v>161</v>
      </c>
      <c r="J120" s="209"/>
      <c r="K120" s="210"/>
      <c r="L120" s="127" t="s">
        <v>233</v>
      </c>
    </row>
    <row r="121" spans="2:17" s="4" customFormat="1" ht="45" customHeight="1" thickBot="1" x14ac:dyDescent="0.35">
      <c r="B121" s="279" t="s">
        <v>167</v>
      </c>
      <c r="C121" s="280"/>
      <c r="D121" s="280"/>
      <c r="E121" s="57" t="s">
        <v>157</v>
      </c>
      <c r="F121" s="122">
        <v>609</v>
      </c>
      <c r="G121" s="412">
        <v>609</v>
      </c>
      <c r="H121" s="57" t="s">
        <v>39</v>
      </c>
      <c r="I121" s="214" t="s">
        <v>353</v>
      </c>
      <c r="J121" s="214"/>
      <c r="K121" s="215"/>
      <c r="L121" s="127" t="s">
        <v>320</v>
      </c>
    </row>
    <row r="122" spans="2:17" s="4" customFormat="1" ht="69" customHeight="1" thickBot="1" x14ac:dyDescent="0.35">
      <c r="B122" s="276" t="s">
        <v>354</v>
      </c>
      <c r="C122" s="277"/>
      <c r="D122" s="277"/>
      <c r="E122" s="277"/>
      <c r="F122" s="277"/>
      <c r="G122" s="277"/>
      <c r="H122" s="277"/>
      <c r="I122" s="277"/>
      <c r="J122" s="278"/>
    </row>
    <row r="123" spans="2:17" s="4" customFormat="1" ht="24.9" customHeight="1" x14ac:dyDescent="0.3">
      <c r="B123" s="271" t="s">
        <v>72</v>
      </c>
      <c r="C123" s="272"/>
      <c r="D123" s="272"/>
      <c r="E123" s="80" t="s">
        <v>76</v>
      </c>
      <c r="F123" s="80" t="s">
        <v>73</v>
      </c>
      <c r="G123" s="397" t="s">
        <v>510</v>
      </c>
      <c r="H123" s="80" t="s">
        <v>74</v>
      </c>
      <c r="I123" s="272" t="s">
        <v>75</v>
      </c>
      <c r="J123" s="272"/>
      <c r="K123" s="273"/>
      <c r="L123" s="127"/>
    </row>
    <row r="124" spans="2:17" s="4" customFormat="1" ht="18" customHeight="1" x14ac:dyDescent="0.3">
      <c r="B124" s="274" t="s">
        <v>355</v>
      </c>
      <c r="C124" s="275"/>
      <c r="D124" s="275"/>
      <c r="E124" s="48" t="s">
        <v>41</v>
      </c>
      <c r="F124" s="9" t="s">
        <v>85</v>
      </c>
      <c r="G124" s="413" t="s">
        <v>85</v>
      </c>
      <c r="H124" s="39" t="s">
        <v>41</v>
      </c>
      <c r="I124" s="209" t="s">
        <v>41</v>
      </c>
      <c r="J124" s="209"/>
      <c r="K124" s="210"/>
      <c r="L124" s="127" t="s">
        <v>234</v>
      </c>
    </row>
    <row r="125" spans="2:17" s="4" customFormat="1" ht="42" customHeight="1" x14ac:dyDescent="0.3">
      <c r="B125" s="274" t="s">
        <v>195</v>
      </c>
      <c r="C125" s="275"/>
      <c r="D125" s="275"/>
      <c r="E125" s="48" t="s">
        <v>124</v>
      </c>
      <c r="F125" s="9">
        <v>20</v>
      </c>
      <c r="G125" s="413">
        <v>20</v>
      </c>
      <c r="H125" s="39" t="s">
        <v>127</v>
      </c>
      <c r="I125" s="209" t="s">
        <v>401</v>
      </c>
      <c r="J125" s="209"/>
      <c r="K125" s="210"/>
      <c r="L125" s="127" t="s">
        <v>356</v>
      </c>
    </row>
    <row r="126" spans="2:17" s="4" customFormat="1" ht="24.9" customHeight="1" x14ac:dyDescent="0.3">
      <c r="B126" s="274" t="s">
        <v>153</v>
      </c>
      <c r="C126" s="275"/>
      <c r="D126" s="275"/>
      <c r="E126" s="48" t="s">
        <v>124</v>
      </c>
      <c r="F126" s="9">
        <v>80</v>
      </c>
      <c r="G126" s="413">
        <v>80</v>
      </c>
      <c r="H126" s="39" t="s">
        <v>127</v>
      </c>
      <c r="I126" s="209" t="s">
        <v>402</v>
      </c>
      <c r="J126" s="209"/>
      <c r="K126" s="210"/>
      <c r="L126" s="127" t="s">
        <v>356</v>
      </c>
    </row>
    <row r="127" spans="2:17" s="4" customFormat="1" ht="24.9" customHeight="1" x14ac:dyDescent="0.3">
      <c r="B127" s="274" t="s">
        <v>58</v>
      </c>
      <c r="C127" s="275"/>
      <c r="D127" s="275"/>
      <c r="E127" s="20" t="s">
        <v>125</v>
      </c>
      <c r="F127" s="59" t="str">
        <f>IF(F124="Single","",(F125+F126))</f>
        <v/>
      </c>
      <c r="G127" s="394"/>
      <c r="H127" s="39" t="s">
        <v>127</v>
      </c>
      <c r="I127" s="209" t="s">
        <v>357</v>
      </c>
      <c r="J127" s="209"/>
      <c r="K127" s="210"/>
      <c r="L127" s="127" t="s">
        <v>233</v>
      </c>
    </row>
    <row r="128" spans="2:17" s="4" customFormat="1" ht="24.9" customHeight="1" x14ac:dyDescent="0.3">
      <c r="B128" s="274" t="s">
        <v>60</v>
      </c>
      <c r="C128" s="275"/>
      <c r="D128" s="275"/>
      <c r="E128" s="43" t="s">
        <v>126</v>
      </c>
      <c r="F128" s="125" t="str">
        <f>IF(F124="Single","",(SQRT(F125/F127)))</f>
        <v/>
      </c>
      <c r="G128" s="414"/>
      <c r="H128" s="35" t="s">
        <v>155</v>
      </c>
      <c r="I128" s="209" t="s">
        <v>403</v>
      </c>
      <c r="J128" s="209"/>
      <c r="K128" s="210"/>
      <c r="L128" s="127" t="s">
        <v>233</v>
      </c>
    </row>
    <row r="129" spans="2:17" s="4" customFormat="1" ht="26.25" customHeight="1" x14ac:dyDescent="0.3">
      <c r="B129" s="274" t="s">
        <v>59</v>
      </c>
      <c r="C129" s="275"/>
      <c r="D129" s="275"/>
      <c r="E129" s="21" t="s">
        <v>157</v>
      </c>
      <c r="F129" s="125" t="str">
        <f>IF(F124="Single","",(F128*F121))</f>
        <v/>
      </c>
      <c r="G129" s="414"/>
      <c r="H129" s="39" t="s">
        <v>39</v>
      </c>
      <c r="I129" s="205" t="s">
        <v>404</v>
      </c>
      <c r="J129" s="205"/>
      <c r="K129" s="206"/>
      <c r="L129" s="127" t="s">
        <v>233</v>
      </c>
    </row>
    <row r="130" spans="2:17" s="4" customFormat="1" ht="24.9" customHeight="1" x14ac:dyDescent="0.3">
      <c r="B130" s="261" t="s">
        <v>415</v>
      </c>
      <c r="C130" s="262"/>
      <c r="D130" s="262"/>
      <c r="E130" s="262"/>
      <c r="F130" s="262"/>
      <c r="G130" s="262"/>
      <c r="H130" s="262"/>
      <c r="I130" s="262"/>
      <c r="J130" s="263"/>
    </row>
    <row r="131" spans="2:17" s="4" customFormat="1" ht="24.75" customHeight="1" thickBot="1" x14ac:dyDescent="0.35">
      <c r="B131" s="264" t="s">
        <v>416</v>
      </c>
      <c r="C131" s="265"/>
      <c r="D131" s="265"/>
      <c r="E131" s="60" t="s">
        <v>128</v>
      </c>
      <c r="F131" s="12">
        <v>100</v>
      </c>
      <c r="G131" s="415">
        <v>100</v>
      </c>
      <c r="H131" s="37" t="s">
        <v>81</v>
      </c>
      <c r="I131" s="266" t="s">
        <v>422</v>
      </c>
      <c r="J131" s="266"/>
      <c r="K131" s="267"/>
      <c r="L131" s="134" t="s">
        <v>320</v>
      </c>
    </row>
    <row r="132" spans="2:17" s="4" customFormat="1" ht="24.9" customHeight="1" thickBot="1" x14ac:dyDescent="0.35">
      <c r="B132" s="268" t="s">
        <v>417</v>
      </c>
      <c r="C132" s="269"/>
      <c r="D132" s="269"/>
      <c r="E132" s="269"/>
      <c r="F132" s="269"/>
      <c r="G132" s="269"/>
      <c r="H132" s="269"/>
      <c r="I132" s="269"/>
      <c r="J132" s="270"/>
    </row>
    <row r="133" spans="2:17" s="4" customFormat="1" ht="38.25" customHeight="1" x14ac:dyDescent="0.3">
      <c r="B133" s="271" t="s">
        <v>72</v>
      </c>
      <c r="C133" s="272"/>
      <c r="D133" s="272"/>
      <c r="E133" s="80" t="s">
        <v>76</v>
      </c>
      <c r="F133" s="80" t="s">
        <v>73</v>
      </c>
      <c r="G133" s="397" t="s">
        <v>510</v>
      </c>
      <c r="H133" s="80" t="s">
        <v>74</v>
      </c>
      <c r="I133" s="272" t="s">
        <v>75</v>
      </c>
      <c r="J133" s="272"/>
      <c r="K133" s="273"/>
      <c r="L133" s="127"/>
      <c r="N133" s="98"/>
      <c r="O133" s="98"/>
      <c r="P133" s="98"/>
      <c r="Q133" s="98"/>
    </row>
    <row r="134" spans="2:17" s="4" customFormat="1" ht="37.5" customHeight="1" x14ac:dyDescent="0.3">
      <c r="B134" s="183" t="s">
        <v>66</v>
      </c>
      <c r="C134" s="184"/>
      <c r="D134" s="184"/>
      <c r="E134" s="43" t="s">
        <v>129</v>
      </c>
      <c r="F134" s="50">
        <f>C11</f>
        <v>76953</v>
      </c>
      <c r="G134" s="395">
        <v>76953</v>
      </c>
      <c r="H134" s="64" t="s">
        <v>65</v>
      </c>
      <c r="I134" s="209" t="s">
        <v>405</v>
      </c>
      <c r="J134" s="209"/>
      <c r="K134" s="210"/>
      <c r="L134" s="127" t="s">
        <v>233</v>
      </c>
      <c r="M134" s="98"/>
    </row>
    <row r="135" spans="2:17" s="4" customFormat="1" ht="63.75" customHeight="1" x14ac:dyDescent="0.3">
      <c r="B135" s="183" t="s">
        <v>123</v>
      </c>
      <c r="C135" s="184"/>
      <c r="D135" s="184"/>
      <c r="E135" s="21" t="s">
        <v>130</v>
      </c>
      <c r="F135" s="50">
        <f>0.01*F134</f>
        <v>769.53</v>
      </c>
      <c r="G135" s="395">
        <v>769.53</v>
      </c>
      <c r="H135" s="64" t="s">
        <v>65</v>
      </c>
      <c r="I135" s="185" t="s">
        <v>222</v>
      </c>
      <c r="J135" s="185"/>
      <c r="K135" s="186"/>
      <c r="L135" s="127" t="s">
        <v>233</v>
      </c>
      <c r="N135" s="1"/>
      <c r="O135" s="1"/>
      <c r="P135" s="1"/>
      <c r="Q135" s="1"/>
    </row>
    <row r="136" spans="2:17" ht="30" customHeight="1" x14ac:dyDescent="0.3">
      <c r="B136" s="183" t="s">
        <v>67</v>
      </c>
      <c r="C136" s="184"/>
      <c r="D136" s="184"/>
      <c r="E136" s="21" t="s">
        <v>131</v>
      </c>
      <c r="F136" s="50">
        <f>0.25*F134</f>
        <v>19238.25</v>
      </c>
      <c r="G136" s="395">
        <v>19238.25</v>
      </c>
      <c r="H136" s="64" t="s">
        <v>65</v>
      </c>
      <c r="I136" s="185" t="s">
        <v>223</v>
      </c>
      <c r="J136" s="185"/>
      <c r="K136" s="186"/>
      <c r="L136" s="127" t="s">
        <v>233</v>
      </c>
    </row>
    <row r="137" spans="2:17" ht="24.75" customHeight="1" x14ac:dyDescent="0.3">
      <c r="B137" s="183" t="s">
        <v>358</v>
      </c>
      <c r="C137" s="184"/>
      <c r="D137" s="184"/>
      <c r="E137" s="21" t="s">
        <v>41</v>
      </c>
      <c r="F137" s="7" t="s">
        <v>436</v>
      </c>
      <c r="G137" s="405" t="s">
        <v>436</v>
      </c>
      <c r="H137" s="39" t="s">
        <v>365</v>
      </c>
      <c r="I137" s="185" t="s">
        <v>364</v>
      </c>
      <c r="J137" s="185"/>
      <c r="K137" s="186"/>
      <c r="L137" s="127" t="s">
        <v>234</v>
      </c>
    </row>
    <row r="138" spans="2:17" ht="31.5" customHeight="1" x14ac:dyDescent="0.3">
      <c r="B138" s="183" t="s">
        <v>122</v>
      </c>
      <c r="C138" s="184"/>
      <c r="D138" s="184"/>
      <c r="E138" s="21" t="s">
        <v>132</v>
      </c>
      <c r="F138" s="59">
        <f>IF(AND(OR(I11="Flare",I11="Closed Process"),F137="&lt;= 0.75 Inch"),60,IF(AND(OR(I11="Flare",I11="Closed Process"),F137="0.75 &lt; Inlet size &lt;= 1.5"),30,IF(AND(OR(I11="Flare",I11="Closed Process"),F137="1.5 &lt; Inlet size &lt;= 3"),15,IF(AND(OR(I11="Flare",I11="Closed Process"),F137="3 &lt; Inlet size &lt;= 6"),7,IF(AND(OR(I11="Flare",I11="Closed Process"),F137="&gt; 6"),2,IF(AND(I11="Atmosphere",F137="&lt;= 0.75 Inch"),8,IF(AND(I11="Atmosphere",F137="0.75 &lt; Inlet size &lt;= 1.5"),4,IF(AND(I11="Atmosphere",F137="1.5 &lt; Inlet size &lt;= 3"),2,IF(AND(I11="Atmosphere",F137="3 &lt; Inlet size &lt;= 6"),1,0.33)))))))))</f>
        <v>15</v>
      </c>
      <c r="G138" s="394">
        <v>15</v>
      </c>
      <c r="H138" s="39" t="s">
        <v>63</v>
      </c>
      <c r="I138" s="185" t="s">
        <v>196</v>
      </c>
      <c r="J138" s="185"/>
      <c r="K138" s="186"/>
      <c r="L138" s="127" t="s">
        <v>233</v>
      </c>
    </row>
    <row r="139" spans="2:17" ht="38.25" customHeight="1" x14ac:dyDescent="0.3">
      <c r="B139" s="183" t="s">
        <v>64</v>
      </c>
      <c r="C139" s="184"/>
      <c r="D139" s="184"/>
      <c r="E139" s="21" t="s">
        <v>133</v>
      </c>
      <c r="F139" s="50">
        <v>2.1000000000000001E-2</v>
      </c>
      <c r="G139" s="395">
        <v>2.1000000000000001E-2</v>
      </c>
      <c r="H139" s="39" t="s">
        <v>63</v>
      </c>
      <c r="I139" s="185" t="s">
        <v>367</v>
      </c>
      <c r="J139" s="185"/>
      <c r="K139" s="186"/>
      <c r="L139" s="127" t="s">
        <v>368</v>
      </c>
    </row>
    <row r="140" spans="2:17" ht="24" customHeight="1" x14ac:dyDescent="0.3">
      <c r="B140" s="183" t="s">
        <v>61</v>
      </c>
      <c r="C140" s="184"/>
      <c r="D140" s="184"/>
      <c r="E140" s="43" t="s">
        <v>134</v>
      </c>
      <c r="F140" s="7">
        <v>0.5</v>
      </c>
      <c r="G140" s="405">
        <v>0.5</v>
      </c>
      <c r="H140" s="35" t="s">
        <v>155</v>
      </c>
      <c r="I140" s="260" t="s">
        <v>369</v>
      </c>
      <c r="J140" s="185"/>
      <c r="K140" s="186"/>
      <c r="L140" s="127" t="s">
        <v>234</v>
      </c>
    </row>
    <row r="141" spans="2:17" ht="37.5" customHeight="1" x14ac:dyDescent="0.3">
      <c r="B141" s="183" t="s">
        <v>121</v>
      </c>
      <c r="C141" s="184"/>
      <c r="D141" s="184"/>
      <c r="E141" s="43" t="s">
        <v>137</v>
      </c>
      <c r="F141" s="7">
        <v>0.36</v>
      </c>
      <c r="G141" s="405">
        <v>0.36</v>
      </c>
      <c r="H141" s="39" t="s">
        <v>62</v>
      </c>
      <c r="I141" s="247" t="s">
        <v>406</v>
      </c>
      <c r="J141" s="247"/>
      <c r="K141" s="248"/>
      <c r="L141" s="127" t="s">
        <v>320</v>
      </c>
    </row>
    <row r="142" spans="2:17" ht="37.5" customHeight="1" x14ac:dyDescent="0.3">
      <c r="B142" s="183" t="s">
        <v>139</v>
      </c>
      <c r="C142" s="184"/>
      <c r="D142" s="184"/>
      <c r="E142" s="21" t="s">
        <v>135</v>
      </c>
      <c r="F142" s="58">
        <f>24*F140*F141*F138*F135</f>
        <v>49865.544000000009</v>
      </c>
      <c r="G142" s="392">
        <v>49865.544000000002</v>
      </c>
      <c r="H142" s="38" t="s">
        <v>81</v>
      </c>
      <c r="I142" s="185" t="s">
        <v>224</v>
      </c>
      <c r="J142" s="185"/>
      <c r="K142" s="186"/>
      <c r="L142" s="127" t="s">
        <v>233</v>
      </c>
    </row>
    <row r="143" spans="2:17" ht="28.5" customHeight="1" x14ac:dyDescent="0.3">
      <c r="B143" s="183" t="s">
        <v>138</v>
      </c>
      <c r="C143" s="184"/>
      <c r="D143" s="184"/>
      <c r="E143" s="21" t="s">
        <v>136</v>
      </c>
      <c r="F143" s="67">
        <f>24*F140*F141*F139*F136</f>
        <v>1745.2940400000002</v>
      </c>
      <c r="G143" s="416">
        <v>1745.29</v>
      </c>
      <c r="H143" s="38" t="s">
        <v>81</v>
      </c>
      <c r="I143" s="185" t="s">
        <v>225</v>
      </c>
      <c r="J143" s="185"/>
      <c r="K143" s="186"/>
      <c r="L143" s="129" t="s">
        <v>412</v>
      </c>
    </row>
    <row r="144" spans="2:17" ht="24" customHeight="1" x14ac:dyDescent="0.3">
      <c r="B144" s="207" t="s">
        <v>68</v>
      </c>
      <c r="C144" s="208"/>
      <c r="D144" s="208"/>
      <c r="E144" s="82" t="s">
        <v>140</v>
      </c>
      <c r="F144" s="7">
        <v>0.15</v>
      </c>
      <c r="G144" s="405">
        <v>0.15</v>
      </c>
      <c r="H144" s="83" t="s">
        <v>81</v>
      </c>
      <c r="I144" s="258" t="s">
        <v>407</v>
      </c>
      <c r="J144" s="258"/>
      <c r="K144" s="259"/>
      <c r="L144" s="128" t="s">
        <v>320</v>
      </c>
    </row>
    <row r="145" spans="2:12" ht="24" customHeight="1" thickBot="1" x14ac:dyDescent="0.35">
      <c r="B145" s="240" t="s">
        <v>371</v>
      </c>
      <c r="C145" s="241"/>
      <c r="D145" s="241"/>
      <c r="E145" s="53" t="s">
        <v>141</v>
      </c>
      <c r="F145" s="31">
        <v>1000</v>
      </c>
      <c r="G145" s="417">
        <v>1000</v>
      </c>
      <c r="H145" s="65" t="s">
        <v>81</v>
      </c>
      <c r="I145" s="242" t="s">
        <v>370</v>
      </c>
      <c r="J145" s="243"/>
      <c r="K145" s="244"/>
      <c r="L145" s="127" t="s">
        <v>234</v>
      </c>
    </row>
    <row r="146" spans="2:12" ht="54" customHeight="1" x14ac:dyDescent="0.3">
      <c r="B146" s="234" t="s">
        <v>143</v>
      </c>
      <c r="C146" s="235"/>
      <c r="D146" s="235"/>
      <c r="E146" s="61" t="s">
        <v>142</v>
      </c>
      <c r="F146" s="32">
        <v>0</v>
      </c>
      <c r="G146" s="418">
        <v>0</v>
      </c>
      <c r="H146" s="66" t="s">
        <v>81</v>
      </c>
      <c r="I146" s="245" t="s">
        <v>372</v>
      </c>
      <c r="J146" s="245"/>
      <c r="K146" s="246"/>
      <c r="L146" s="128" t="s">
        <v>320</v>
      </c>
    </row>
    <row r="147" spans="2:12" ht="34.5" customHeight="1" x14ac:dyDescent="0.3">
      <c r="B147" s="234" t="s">
        <v>144</v>
      </c>
      <c r="C147" s="235"/>
      <c r="D147" s="235"/>
      <c r="E147" s="61" t="s">
        <v>145</v>
      </c>
      <c r="F147" s="32">
        <v>100</v>
      </c>
      <c r="G147" s="418">
        <v>100</v>
      </c>
      <c r="H147" s="66" t="s">
        <v>81</v>
      </c>
      <c r="I147" s="236" t="s">
        <v>152</v>
      </c>
      <c r="J147" s="237"/>
      <c r="K147" s="238"/>
      <c r="L147" s="128" t="s">
        <v>320</v>
      </c>
    </row>
    <row r="148" spans="2:12" ht="39.75" customHeight="1" x14ac:dyDescent="0.3">
      <c r="B148" s="216" t="s">
        <v>146</v>
      </c>
      <c r="C148" s="217"/>
      <c r="D148" s="217"/>
      <c r="E148" s="20" t="s">
        <v>147</v>
      </c>
      <c r="F148" s="50">
        <f>F142+F144+F145+F146</f>
        <v>50865.69400000001</v>
      </c>
      <c r="G148" s="395">
        <v>50865.694000000003</v>
      </c>
      <c r="H148" s="39" t="s">
        <v>81</v>
      </c>
      <c r="I148" s="239" t="s">
        <v>226</v>
      </c>
      <c r="J148" s="185"/>
      <c r="K148" s="186"/>
      <c r="L148" s="127" t="s">
        <v>233</v>
      </c>
    </row>
    <row r="149" spans="2:12" ht="22.5" customHeight="1" x14ac:dyDescent="0.3">
      <c r="B149" s="216" t="s">
        <v>148</v>
      </c>
      <c r="C149" s="217"/>
      <c r="D149" s="217"/>
      <c r="E149" s="20" t="s">
        <v>149</v>
      </c>
      <c r="F149" s="25">
        <f>F143+F144+F145+F147</f>
        <v>2845.4440400000003</v>
      </c>
      <c r="G149" s="400">
        <v>2845.44</v>
      </c>
      <c r="H149" s="39" t="s">
        <v>81</v>
      </c>
      <c r="I149" s="239" t="s">
        <v>227</v>
      </c>
      <c r="J149" s="185"/>
      <c r="K149" s="186"/>
      <c r="L149" s="127" t="s">
        <v>233</v>
      </c>
    </row>
    <row r="150" spans="2:12" ht="37.5" customHeight="1" thickBot="1" x14ac:dyDescent="0.35">
      <c r="B150" s="191" t="s">
        <v>418</v>
      </c>
      <c r="C150" s="192"/>
      <c r="D150" s="192"/>
      <c r="E150" s="62" t="s">
        <v>172</v>
      </c>
      <c r="F150" s="63">
        <f>(0.9*F148)+(0.1*F149)</f>
        <v>46063.66900400001</v>
      </c>
      <c r="G150" s="419">
        <v>46063.7</v>
      </c>
      <c r="H150" s="37" t="s">
        <v>81</v>
      </c>
      <c r="I150" s="189" t="s">
        <v>419</v>
      </c>
      <c r="J150" s="189"/>
      <c r="K150" s="190"/>
      <c r="L150" s="127" t="s">
        <v>233</v>
      </c>
    </row>
    <row r="151" spans="2:12" ht="18" thickBot="1" x14ac:dyDescent="0.35">
      <c r="B151" s="231" t="s">
        <v>5</v>
      </c>
      <c r="C151" s="232"/>
      <c r="D151" s="232"/>
      <c r="E151" s="232"/>
      <c r="F151" s="232"/>
      <c r="G151" s="232"/>
      <c r="H151" s="232"/>
      <c r="I151" s="232"/>
      <c r="J151" s="233"/>
      <c r="K151" s="4"/>
    </row>
    <row r="152" spans="2:12" ht="29.25" customHeight="1" x14ac:dyDescent="0.3">
      <c r="B152" s="193" t="s">
        <v>289</v>
      </c>
      <c r="C152" s="194"/>
      <c r="D152" s="194"/>
      <c r="E152" s="194"/>
      <c r="F152" s="194"/>
      <c r="G152" s="194"/>
      <c r="H152" s="194"/>
      <c r="I152" s="194"/>
      <c r="J152" s="195"/>
      <c r="K152" s="4"/>
    </row>
    <row r="153" spans="2:12" x14ac:dyDescent="0.3">
      <c r="B153" s="202" t="s">
        <v>72</v>
      </c>
      <c r="C153" s="203"/>
      <c r="D153" s="203"/>
      <c r="E153" s="81" t="s">
        <v>76</v>
      </c>
      <c r="F153" s="68" t="s">
        <v>73</v>
      </c>
      <c r="G153" s="423" t="s">
        <v>510</v>
      </c>
      <c r="H153" s="68" t="s">
        <v>74</v>
      </c>
      <c r="I153" s="203" t="s">
        <v>75</v>
      </c>
      <c r="J153" s="203"/>
      <c r="K153" s="204"/>
      <c r="L153" s="127"/>
    </row>
    <row r="154" spans="2:12" ht="40.5" customHeight="1" x14ac:dyDescent="0.3">
      <c r="B154" s="183" t="s">
        <v>69</v>
      </c>
      <c r="C154" s="184"/>
      <c r="D154" s="184"/>
      <c r="E154" s="69" t="s">
        <v>179</v>
      </c>
      <c r="F154" s="71">
        <f>F58</f>
        <v>1.1993828143258369E-6</v>
      </c>
      <c r="G154" s="420">
        <v>1.199345634E-6</v>
      </c>
      <c r="H154" s="38" t="s">
        <v>101</v>
      </c>
      <c r="I154" s="185" t="s">
        <v>187</v>
      </c>
      <c r="J154" s="185"/>
      <c r="K154" s="186"/>
      <c r="L154" s="127" t="s">
        <v>233</v>
      </c>
    </row>
    <row r="155" spans="2:12" ht="24.75" customHeight="1" x14ac:dyDescent="0.3">
      <c r="B155" s="183" t="s">
        <v>420</v>
      </c>
      <c r="C155" s="184"/>
      <c r="D155" s="184"/>
      <c r="E155" s="69" t="s">
        <v>180</v>
      </c>
      <c r="F155" s="72">
        <f>F131</f>
        <v>100</v>
      </c>
      <c r="G155" s="421">
        <v>100</v>
      </c>
      <c r="H155" s="38" t="s">
        <v>81</v>
      </c>
      <c r="I155" s="185" t="s">
        <v>185</v>
      </c>
      <c r="J155" s="185"/>
      <c r="K155" s="186"/>
      <c r="L155" s="127" t="s">
        <v>233</v>
      </c>
    </row>
    <row r="156" spans="2:12" ht="36" customHeight="1" x14ac:dyDescent="0.3">
      <c r="B156" s="187" t="s">
        <v>70</v>
      </c>
      <c r="C156" s="188"/>
      <c r="D156" s="188"/>
      <c r="E156" s="70" t="s">
        <v>491</v>
      </c>
      <c r="F156" s="73">
        <f>F154*F155</f>
        <v>1.1993828143258369E-4</v>
      </c>
      <c r="G156" s="422">
        <v>0</v>
      </c>
      <c r="H156" s="42" t="s">
        <v>150</v>
      </c>
      <c r="I156" s="189" t="s">
        <v>176</v>
      </c>
      <c r="J156" s="189"/>
      <c r="K156" s="190"/>
      <c r="L156" s="127" t="s">
        <v>233</v>
      </c>
    </row>
    <row r="157" spans="2:12" ht="28.5" customHeight="1" x14ac:dyDescent="0.3">
      <c r="B157" s="193" t="s">
        <v>290</v>
      </c>
      <c r="C157" s="194"/>
      <c r="D157" s="194"/>
      <c r="E157" s="194"/>
      <c r="F157" s="194"/>
      <c r="G157" s="194"/>
      <c r="H157" s="194"/>
      <c r="I157" s="194"/>
      <c r="J157" s="195"/>
      <c r="K157" s="4"/>
    </row>
    <row r="158" spans="2:12" ht="27" customHeight="1" x14ac:dyDescent="0.3">
      <c r="B158" s="202" t="s">
        <v>72</v>
      </c>
      <c r="C158" s="203"/>
      <c r="D158" s="203"/>
      <c r="E158" s="173" t="s">
        <v>76</v>
      </c>
      <c r="F158" s="68" t="s">
        <v>73</v>
      </c>
      <c r="G158" s="423" t="s">
        <v>510</v>
      </c>
      <c r="H158" s="68" t="s">
        <v>74</v>
      </c>
      <c r="I158" s="203" t="s">
        <v>75</v>
      </c>
      <c r="J158" s="203"/>
      <c r="K158" s="204"/>
      <c r="L158" s="174"/>
    </row>
    <row r="159" spans="2:12" ht="40.5" customHeight="1" x14ac:dyDescent="0.3">
      <c r="B159" s="183" t="s">
        <v>69</v>
      </c>
      <c r="C159" s="184"/>
      <c r="D159" s="184"/>
      <c r="E159" s="69" t="s">
        <v>179</v>
      </c>
      <c r="F159" s="71">
        <f>F73</f>
        <v>9.644365867049606E-3</v>
      </c>
      <c r="G159" s="420">
        <v>9.6442355230000002E-3</v>
      </c>
      <c r="H159" s="38" t="s">
        <v>101</v>
      </c>
      <c r="I159" s="185" t="s">
        <v>187</v>
      </c>
      <c r="J159" s="185"/>
      <c r="K159" s="186"/>
      <c r="L159" s="174" t="s">
        <v>233</v>
      </c>
    </row>
    <row r="160" spans="2:12" ht="26.25" customHeight="1" x14ac:dyDescent="0.3">
      <c r="B160" s="183" t="s">
        <v>420</v>
      </c>
      <c r="C160" s="184"/>
      <c r="D160" s="184"/>
      <c r="E160" s="69" t="s">
        <v>180</v>
      </c>
      <c r="F160" s="72">
        <f>F131</f>
        <v>100</v>
      </c>
      <c r="G160" s="421">
        <v>100</v>
      </c>
      <c r="H160" s="38" t="s">
        <v>81</v>
      </c>
      <c r="I160" s="185" t="s">
        <v>185</v>
      </c>
      <c r="J160" s="185"/>
      <c r="K160" s="186"/>
      <c r="L160" s="174" t="s">
        <v>233</v>
      </c>
    </row>
    <row r="161" spans="2:12" ht="40.5" customHeight="1" x14ac:dyDescent="0.3">
      <c r="B161" s="187" t="s">
        <v>70</v>
      </c>
      <c r="C161" s="188"/>
      <c r="D161" s="188"/>
      <c r="E161" s="70" t="s">
        <v>491</v>
      </c>
      <c r="F161" s="73">
        <f>F159*F160</f>
        <v>0.96443658670496057</v>
      </c>
      <c r="G161" s="422">
        <v>0.96399999999999997</v>
      </c>
      <c r="H161" s="42" t="s">
        <v>150</v>
      </c>
      <c r="I161" s="189" t="s">
        <v>176</v>
      </c>
      <c r="J161" s="189"/>
      <c r="K161" s="190"/>
      <c r="L161" s="174" t="s">
        <v>233</v>
      </c>
    </row>
    <row r="162" spans="2:12" ht="27" customHeight="1" x14ac:dyDescent="0.3">
      <c r="B162" s="193" t="s">
        <v>475</v>
      </c>
      <c r="C162" s="194"/>
      <c r="D162" s="194"/>
      <c r="E162" s="194"/>
      <c r="F162" s="194"/>
      <c r="G162" s="194"/>
      <c r="H162" s="194"/>
      <c r="I162" s="194"/>
      <c r="J162" s="195"/>
      <c r="K162" s="4"/>
    </row>
    <row r="163" spans="2:12" ht="26.25" customHeight="1" x14ac:dyDescent="0.3">
      <c r="B163" s="202" t="s">
        <v>72</v>
      </c>
      <c r="C163" s="203"/>
      <c r="D163" s="203"/>
      <c r="E163" s="173" t="s">
        <v>76</v>
      </c>
      <c r="F163" s="68" t="s">
        <v>73</v>
      </c>
      <c r="G163" s="423" t="s">
        <v>510</v>
      </c>
      <c r="H163" s="68" t="s">
        <v>74</v>
      </c>
      <c r="I163" s="203" t="s">
        <v>75</v>
      </c>
      <c r="J163" s="203"/>
      <c r="K163" s="204"/>
      <c r="L163" s="174"/>
    </row>
    <row r="164" spans="2:12" ht="41.25" customHeight="1" x14ac:dyDescent="0.3">
      <c r="B164" s="183" t="s">
        <v>69</v>
      </c>
      <c r="C164" s="184"/>
      <c r="D164" s="184"/>
      <c r="E164" s="69" t="s">
        <v>179</v>
      </c>
      <c r="F164" s="71">
        <f>F88</f>
        <v>3.8888307248572881E-3</v>
      </c>
      <c r="G164" s="420">
        <v>3.8893452350000001E-3</v>
      </c>
      <c r="H164" s="38" t="s">
        <v>101</v>
      </c>
      <c r="I164" s="185" t="s">
        <v>187</v>
      </c>
      <c r="J164" s="185"/>
      <c r="K164" s="186"/>
      <c r="L164" s="174" t="s">
        <v>233</v>
      </c>
    </row>
    <row r="165" spans="2:12" ht="28.5" customHeight="1" x14ac:dyDescent="0.3">
      <c r="B165" s="183" t="s">
        <v>420</v>
      </c>
      <c r="C165" s="184"/>
      <c r="D165" s="184"/>
      <c r="E165" s="69" t="s">
        <v>180</v>
      </c>
      <c r="F165" s="72">
        <f>F131</f>
        <v>100</v>
      </c>
      <c r="G165" s="421">
        <v>100</v>
      </c>
      <c r="H165" s="38" t="s">
        <v>81</v>
      </c>
      <c r="I165" s="185" t="s">
        <v>185</v>
      </c>
      <c r="J165" s="185"/>
      <c r="K165" s="186"/>
      <c r="L165" s="174" t="s">
        <v>233</v>
      </c>
    </row>
    <row r="166" spans="2:12" ht="39.75" customHeight="1" x14ac:dyDescent="0.3">
      <c r="B166" s="187" t="s">
        <v>70</v>
      </c>
      <c r="C166" s="188"/>
      <c r="D166" s="188"/>
      <c r="E166" s="70" t="s">
        <v>491</v>
      </c>
      <c r="F166" s="73">
        <f>F164*F165</f>
        <v>0.38888307248572884</v>
      </c>
      <c r="G166" s="422">
        <v>0.38900000000000001</v>
      </c>
      <c r="H166" s="42" t="s">
        <v>150</v>
      </c>
      <c r="I166" s="189" t="s">
        <v>176</v>
      </c>
      <c r="J166" s="189"/>
      <c r="K166" s="190"/>
      <c r="L166" s="174" t="s">
        <v>233</v>
      </c>
    </row>
    <row r="167" spans="2:12" ht="29.25" customHeight="1" x14ac:dyDescent="0.3">
      <c r="B167" s="193" t="s">
        <v>492</v>
      </c>
      <c r="C167" s="194"/>
      <c r="D167" s="194"/>
      <c r="E167" s="194"/>
      <c r="F167" s="194"/>
      <c r="G167" s="194"/>
      <c r="H167" s="194"/>
      <c r="I167" s="194"/>
      <c r="J167" s="195"/>
      <c r="K167" s="4"/>
    </row>
    <row r="168" spans="2:12" ht="30" customHeight="1" thickBot="1" x14ac:dyDescent="0.35">
      <c r="B168" s="191" t="s">
        <v>490</v>
      </c>
      <c r="C168" s="192"/>
      <c r="D168" s="192"/>
      <c r="E168" s="70" t="s">
        <v>181</v>
      </c>
      <c r="F168" s="73">
        <f>F156+F161+F166</f>
        <v>1.3534395974721218</v>
      </c>
      <c r="G168" s="422">
        <v>1.353</v>
      </c>
      <c r="H168" s="42" t="s">
        <v>150</v>
      </c>
      <c r="I168" s="189"/>
      <c r="J168" s="189"/>
      <c r="K168" s="190"/>
      <c r="L168" s="174" t="s">
        <v>233</v>
      </c>
    </row>
    <row r="169" spans="2:12" ht="32.25" customHeight="1" thickBot="1" x14ac:dyDescent="0.35">
      <c r="B169" s="231" t="s">
        <v>6</v>
      </c>
      <c r="C169" s="232"/>
      <c r="D169" s="232"/>
      <c r="E169" s="232"/>
      <c r="F169" s="232"/>
      <c r="G169" s="232"/>
      <c r="H169" s="232"/>
      <c r="I169" s="232"/>
      <c r="J169" s="233"/>
      <c r="K169" s="4"/>
    </row>
    <row r="170" spans="2:12" x14ac:dyDescent="0.3">
      <c r="B170" s="202" t="s">
        <v>72</v>
      </c>
      <c r="C170" s="203"/>
      <c r="D170" s="203"/>
      <c r="E170" s="81" t="s">
        <v>76</v>
      </c>
      <c r="F170" s="68" t="s">
        <v>73</v>
      </c>
      <c r="G170" s="423" t="s">
        <v>510</v>
      </c>
      <c r="H170" s="68" t="s">
        <v>74</v>
      </c>
      <c r="I170" s="203" t="s">
        <v>75</v>
      </c>
      <c r="J170" s="203"/>
      <c r="K170" s="204"/>
      <c r="L170" s="127"/>
    </row>
    <row r="171" spans="2:12" ht="27.75" customHeight="1" x14ac:dyDescent="0.3">
      <c r="B171" s="183" t="s">
        <v>91</v>
      </c>
      <c r="C171" s="184"/>
      <c r="D171" s="184"/>
      <c r="E171" s="74" t="s">
        <v>182</v>
      </c>
      <c r="F171" s="71">
        <f>F116</f>
        <v>0.99939604495616707</v>
      </c>
      <c r="G171" s="420">
        <v>0.99945254559999996</v>
      </c>
      <c r="H171" s="38" t="s">
        <v>151</v>
      </c>
      <c r="I171" s="185" t="s">
        <v>186</v>
      </c>
      <c r="J171" s="185"/>
      <c r="K171" s="186"/>
      <c r="L171" s="127" t="s">
        <v>233</v>
      </c>
    </row>
    <row r="172" spans="2:12" ht="30" customHeight="1" x14ac:dyDescent="0.3">
      <c r="B172" s="183" t="s">
        <v>414</v>
      </c>
      <c r="C172" s="184"/>
      <c r="D172" s="184"/>
      <c r="E172" s="74" t="s">
        <v>183</v>
      </c>
      <c r="F172" s="72">
        <f>F150</f>
        <v>46063.66900400001</v>
      </c>
      <c r="G172" s="421">
        <v>46063.67</v>
      </c>
      <c r="H172" s="38" t="s">
        <v>81</v>
      </c>
      <c r="I172" s="185" t="s">
        <v>178</v>
      </c>
      <c r="J172" s="185"/>
      <c r="K172" s="186"/>
      <c r="L172" s="127" t="s">
        <v>233</v>
      </c>
    </row>
    <row r="173" spans="2:12" ht="26.25" customHeight="1" thickBot="1" x14ac:dyDescent="0.35">
      <c r="B173" s="187" t="s">
        <v>92</v>
      </c>
      <c r="C173" s="188"/>
      <c r="D173" s="188"/>
      <c r="E173" s="75" t="s">
        <v>184</v>
      </c>
      <c r="F173" s="76">
        <f>F171*F172</f>
        <v>46035.848618767595</v>
      </c>
      <c r="G173" s="424">
        <v>46035.85</v>
      </c>
      <c r="H173" s="42" t="s">
        <v>150</v>
      </c>
      <c r="I173" s="189" t="s">
        <v>177</v>
      </c>
      <c r="J173" s="189"/>
      <c r="K173" s="190"/>
      <c r="L173" s="127" t="s">
        <v>233</v>
      </c>
    </row>
    <row r="174" spans="2:12" ht="18" thickBot="1" x14ac:dyDescent="0.35">
      <c r="B174" s="252" t="s">
        <v>7</v>
      </c>
      <c r="C174" s="253"/>
      <c r="D174" s="253"/>
      <c r="E174" s="253"/>
      <c r="F174" s="253"/>
      <c r="G174" s="253"/>
      <c r="H174" s="253"/>
      <c r="I174" s="253"/>
      <c r="J174" s="254"/>
      <c r="K174" s="4"/>
    </row>
    <row r="175" spans="2:12" ht="42.75" customHeight="1" thickBot="1" x14ac:dyDescent="0.35">
      <c r="B175" s="255" t="s">
        <v>197</v>
      </c>
      <c r="C175" s="256"/>
      <c r="D175" s="256"/>
      <c r="E175" s="77" t="s">
        <v>168</v>
      </c>
      <c r="F175" s="78">
        <f>F168+F173</f>
        <v>46037.202058365066</v>
      </c>
      <c r="G175" s="425">
        <v>46037.210919999998</v>
      </c>
      <c r="H175" s="77" t="s">
        <v>150</v>
      </c>
      <c r="I175" s="256" t="s">
        <v>198</v>
      </c>
      <c r="J175" s="256"/>
      <c r="K175" s="257"/>
      <c r="L175" s="127" t="s">
        <v>233</v>
      </c>
    </row>
    <row r="176" spans="2:12" ht="16.2" thickBot="1" x14ac:dyDescent="0.35">
      <c r="B176" s="249" t="s">
        <v>206</v>
      </c>
      <c r="C176" s="250"/>
      <c r="D176" s="250"/>
      <c r="E176" s="250"/>
      <c r="F176" s="250"/>
      <c r="G176" s="250"/>
      <c r="H176" s="250"/>
      <c r="I176" s="250"/>
      <c r="J176" s="251"/>
      <c r="K176" s="4"/>
    </row>
  </sheetData>
  <sheetProtection formatCells="0" formatColumns="0" formatRows="0" insertColumns="0" insertRows="0" insertHyperlinks="0" deleteColumns="0" deleteRows="0" sort="0" autoFilter="0" pivotTables="0"/>
  <dataConsolidate/>
  <mergeCells count="371">
    <mergeCell ref="AA5:AA6"/>
    <mergeCell ref="AC5:AC6"/>
    <mergeCell ref="AE5:AE6"/>
    <mergeCell ref="B81:D81"/>
    <mergeCell ref="I81:K81"/>
    <mergeCell ref="B82:D82"/>
    <mergeCell ref="I82:K82"/>
    <mergeCell ref="B70:D70"/>
    <mergeCell ref="I70:K70"/>
    <mergeCell ref="B72:D72"/>
    <mergeCell ref="I72:K72"/>
    <mergeCell ref="B73:D73"/>
    <mergeCell ref="I73:K73"/>
    <mergeCell ref="N56:P56"/>
    <mergeCell ref="O52:P52"/>
    <mergeCell ref="O53:P53"/>
    <mergeCell ref="O54:P54"/>
    <mergeCell ref="R52:S52"/>
    <mergeCell ref="R53:S53"/>
    <mergeCell ref="R54:S54"/>
    <mergeCell ref="R51:S51"/>
    <mergeCell ref="O51:P51"/>
    <mergeCell ref="C2:I2"/>
    <mergeCell ref="B3:C3"/>
    <mergeCell ref="D3:F3"/>
    <mergeCell ref="G3:H3"/>
    <mergeCell ref="I3:J3"/>
    <mergeCell ref="B4:C4"/>
    <mergeCell ref="D4:F4"/>
    <mergeCell ref="G4:H4"/>
    <mergeCell ref="I4:J4"/>
    <mergeCell ref="B8:B9"/>
    <mergeCell ref="C8:D9"/>
    <mergeCell ref="F8:G8"/>
    <mergeCell ref="I8:J8"/>
    <mergeCell ref="F9:G9"/>
    <mergeCell ref="I9:J9"/>
    <mergeCell ref="C5:D5"/>
    <mergeCell ref="F5:G5"/>
    <mergeCell ref="I5:J5"/>
    <mergeCell ref="C7:D7"/>
    <mergeCell ref="F7:G7"/>
    <mergeCell ref="I7:J7"/>
    <mergeCell ref="C12:D12"/>
    <mergeCell ref="F12:G12"/>
    <mergeCell ref="I12:J12"/>
    <mergeCell ref="C13:D13"/>
    <mergeCell ref="F13:G13"/>
    <mergeCell ref="I13:J13"/>
    <mergeCell ref="C10:D10"/>
    <mergeCell ref="F10:G10"/>
    <mergeCell ref="I10:J10"/>
    <mergeCell ref="C11:D11"/>
    <mergeCell ref="F11:G11"/>
    <mergeCell ref="I11:J11"/>
    <mergeCell ref="B16:J16"/>
    <mergeCell ref="B17:J17"/>
    <mergeCell ref="B18:D18"/>
    <mergeCell ref="I18:K18"/>
    <mergeCell ref="B19:D19"/>
    <mergeCell ref="I19:K19"/>
    <mergeCell ref="C14:D14"/>
    <mergeCell ref="F14:G14"/>
    <mergeCell ref="I14:J14"/>
    <mergeCell ref="C15:D15"/>
    <mergeCell ref="F15:G15"/>
    <mergeCell ref="I15:J15"/>
    <mergeCell ref="B28:D28"/>
    <mergeCell ref="I28:K28"/>
    <mergeCell ref="B29:J29"/>
    <mergeCell ref="B30:D30"/>
    <mergeCell ref="I30:K30"/>
    <mergeCell ref="B31:D31"/>
    <mergeCell ref="I31:K31"/>
    <mergeCell ref="B20:D20"/>
    <mergeCell ref="I20:K20"/>
    <mergeCell ref="B21:D21"/>
    <mergeCell ref="I21:K21"/>
    <mergeCell ref="B22:D22"/>
    <mergeCell ref="I22:K22"/>
    <mergeCell ref="B27:D27"/>
    <mergeCell ref="I27:K27"/>
    <mergeCell ref="B26:D26"/>
    <mergeCell ref="I26:K26"/>
    <mergeCell ref="B23:D23"/>
    <mergeCell ref="I23:K23"/>
    <mergeCell ref="B24:D24"/>
    <mergeCell ref="I24:K24"/>
    <mergeCell ref="B25:D25"/>
    <mergeCell ref="I25:K25"/>
    <mergeCell ref="B51:D51"/>
    <mergeCell ref="I51:K51"/>
    <mergeCell ref="B32:D32"/>
    <mergeCell ref="I32:K32"/>
    <mergeCell ref="B33:D33"/>
    <mergeCell ref="I33:K33"/>
    <mergeCell ref="B35:D35"/>
    <mergeCell ref="I35:K35"/>
    <mergeCell ref="B34:D34"/>
    <mergeCell ref="I34:K34"/>
    <mergeCell ref="B39:D39"/>
    <mergeCell ref="I39:K39"/>
    <mergeCell ref="B40:D40"/>
    <mergeCell ref="I40:K40"/>
    <mergeCell ref="B41:D41"/>
    <mergeCell ref="I41:K41"/>
    <mergeCell ref="B36:D36"/>
    <mergeCell ref="I36:K36"/>
    <mergeCell ref="B37:D37"/>
    <mergeCell ref="I37:K37"/>
    <mergeCell ref="B38:D38"/>
    <mergeCell ref="I38:K38"/>
    <mergeCell ref="B50:D50"/>
    <mergeCell ref="I50:K50"/>
    <mergeCell ref="I62:K62"/>
    <mergeCell ref="B63:D63"/>
    <mergeCell ref="B42:J42"/>
    <mergeCell ref="B43:D43"/>
    <mergeCell ref="H43:J43"/>
    <mergeCell ref="B45:D45"/>
    <mergeCell ref="I45:K45"/>
    <mergeCell ref="B46:D46"/>
    <mergeCell ref="I46:K46"/>
    <mergeCell ref="B44:J44"/>
    <mergeCell ref="I63:K63"/>
    <mergeCell ref="B47:D47"/>
    <mergeCell ref="I47:K47"/>
    <mergeCell ref="B48:D48"/>
    <mergeCell ref="I48:K48"/>
    <mergeCell ref="B59:J59"/>
    <mergeCell ref="B60:D60"/>
    <mergeCell ref="I60:K60"/>
    <mergeCell ref="B61:D61"/>
    <mergeCell ref="I61:K61"/>
    <mergeCell ref="B62:D62"/>
    <mergeCell ref="B49:D49"/>
    <mergeCell ref="I49:K49"/>
    <mergeCell ref="B52:D52"/>
    <mergeCell ref="B83:D83"/>
    <mergeCell ref="I83:K83"/>
    <mergeCell ref="B84:D84"/>
    <mergeCell ref="I84:K84"/>
    <mergeCell ref="B93:J93"/>
    <mergeCell ref="B94:D94"/>
    <mergeCell ref="I94:K94"/>
    <mergeCell ref="B74:J74"/>
    <mergeCell ref="B75:D75"/>
    <mergeCell ref="I75:K75"/>
    <mergeCell ref="B76:D76"/>
    <mergeCell ref="I76:K76"/>
    <mergeCell ref="B77:D77"/>
    <mergeCell ref="I77:K77"/>
    <mergeCell ref="B78:D78"/>
    <mergeCell ref="I78:K78"/>
    <mergeCell ref="B85:D85"/>
    <mergeCell ref="I85:K85"/>
    <mergeCell ref="B86:D86"/>
    <mergeCell ref="I86:K86"/>
    <mergeCell ref="B79:D79"/>
    <mergeCell ref="I79:K79"/>
    <mergeCell ref="B80:D80"/>
    <mergeCell ref="I80:K80"/>
    <mergeCell ref="B95:D95"/>
    <mergeCell ref="I95:K95"/>
    <mergeCell ref="B96:D96"/>
    <mergeCell ref="I96:K96"/>
    <mergeCell ref="B87:D87"/>
    <mergeCell ref="I87:K87"/>
    <mergeCell ref="B88:D88"/>
    <mergeCell ref="I88:K88"/>
    <mergeCell ref="B100:D100"/>
    <mergeCell ref="I100:K100"/>
    <mergeCell ref="B91:J91"/>
    <mergeCell ref="B92:D92"/>
    <mergeCell ref="H92:J92"/>
    <mergeCell ref="B89:J89"/>
    <mergeCell ref="B90:D90"/>
    <mergeCell ref="I90:K90"/>
    <mergeCell ref="B102:D102"/>
    <mergeCell ref="I102:K102"/>
    <mergeCell ref="B103:D103"/>
    <mergeCell ref="I103:K103"/>
    <mergeCell ref="B97:D97"/>
    <mergeCell ref="I97:K97"/>
    <mergeCell ref="B98:D98"/>
    <mergeCell ref="I98:K98"/>
    <mergeCell ref="B99:D99"/>
    <mergeCell ref="I99:K99"/>
    <mergeCell ref="B101:D101"/>
    <mergeCell ref="I101:K101"/>
    <mergeCell ref="B104:J104"/>
    <mergeCell ref="B105:D105"/>
    <mergeCell ref="I105:K105"/>
    <mergeCell ref="B106:D106"/>
    <mergeCell ref="I106:K106"/>
    <mergeCell ref="B107:D107"/>
    <mergeCell ref="I107:K107"/>
    <mergeCell ref="B109:D109"/>
    <mergeCell ref="I109:K109"/>
    <mergeCell ref="B112:D112"/>
    <mergeCell ref="I112:K112"/>
    <mergeCell ref="B113:D113"/>
    <mergeCell ref="I113:K113"/>
    <mergeCell ref="B114:D114"/>
    <mergeCell ref="I114:K114"/>
    <mergeCell ref="B108:D108"/>
    <mergeCell ref="I108:K108"/>
    <mergeCell ref="B110:D110"/>
    <mergeCell ref="I110:K110"/>
    <mergeCell ref="B111:D111"/>
    <mergeCell ref="I111:K111"/>
    <mergeCell ref="B119:D119"/>
    <mergeCell ref="I119:K119"/>
    <mergeCell ref="B120:D120"/>
    <mergeCell ref="I120:K120"/>
    <mergeCell ref="B121:D121"/>
    <mergeCell ref="I121:K121"/>
    <mergeCell ref="B124:D124"/>
    <mergeCell ref="I124:K124"/>
    <mergeCell ref="B115:D115"/>
    <mergeCell ref="I115:K115"/>
    <mergeCell ref="B116:D116"/>
    <mergeCell ref="I116:K116"/>
    <mergeCell ref="B117:J117"/>
    <mergeCell ref="B118:D118"/>
    <mergeCell ref="I118:K118"/>
    <mergeCell ref="B127:D127"/>
    <mergeCell ref="I127:K127"/>
    <mergeCell ref="B128:D128"/>
    <mergeCell ref="I128:K128"/>
    <mergeCell ref="B129:D129"/>
    <mergeCell ref="I129:K129"/>
    <mergeCell ref="B122:J122"/>
    <mergeCell ref="B123:D123"/>
    <mergeCell ref="I123:K123"/>
    <mergeCell ref="B125:D125"/>
    <mergeCell ref="I125:K125"/>
    <mergeCell ref="B126:D126"/>
    <mergeCell ref="I126:K126"/>
    <mergeCell ref="B134:D134"/>
    <mergeCell ref="I134:K134"/>
    <mergeCell ref="B135:D135"/>
    <mergeCell ref="I135:K135"/>
    <mergeCell ref="B136:D136"/>
    <mergeCell ref="I136:K136"/>
    <mergeCell ref="B137:D137"/>
    <mergeCell ref="I137:K137"/>
    <mergeCell ref="B130:J130"/>
    <mergeCell ref="B131:D131"/>
    <mergeCell ref="I131:K131"/>
    <mergeCell ref="B132:J132"/>
    <mergeCell ref="B133:D133"/>
    <mergeCell ref="I133:K133"/>
    <mergeCell ref="I143:K143"/>
    <mergeCell ref="B144:D144"/>
    <mergeCell ref="I144:K144"/>
    <mergeCell ref="B138:D138"/>
    <mergeCell ref="I138:K138"/>
    <mergeCell ref="B139:D139"/>
    <mergeCell ref="I139:K139"/>
    <mergeCell ref="B140:D140"/>
    <mergeCell ref="I140:K140"/>
    <mergeCell ref="B176:J176"/>
    <mergeCell ref="B171:D171"/>
    <mergeCell ref="I171:K171"/>
    <mergeCell ref="B172:D172"/>
    <mergeCell ref="I172:K172"/>
    <mergeCell ref="B173:D173"/>
    <mergeCell ref="I173:K173"/>
    <mergeCell ref="B155:D155"/>
    <mergeCell ref="I155:K155"/>
    <mergeCell ref="B156:D156"/>
    <mergeCell ref="I156:K156"/>
    <mergeCell ref="B169:J169"/>
    <mergeCell ref="B170:D170"/>
    <mergeCell ref="I170:K170"/>
    <mergeCell ref="B174:J174"/>
    <mergeCell ref="B175:D175"/>
    <mergeCell ref="I175:K175"/>
    <mergeCell ref="B160:D160"/>
    <mergeCell ref="I160:K160"/>
    <mergeCell ref="B161:D161"/>
    <mergeCell ref="I161:K161"/>
    <mergeCell ref="B162:J162"/>
    <mergeCell ref="B163:D163"/>
    <mergeCell ref="I163:K163"/>
    <mergeCell ref="AB5:AB6"/>
    <mergeCell ref="AD5:AD6"/>
    <mergeCell ref="B150:D150"/>
    <mergeCell ref="I150:K150"/>
    <mergeCell ref="B151:J151"/>
    <mergeCell ref="B153:D153"/>
    <mergeCell ref="I153:K153"/>
    <mergeCell ref="B154:D154"/>
    <mergeCell ref="I154:K154"/>
    <mergeCell ref="B147:D147"/>
    <mergeCell ref="I147:K147"/>
    <mergeCell ref="B148:D148"/>
    <mergeCell ref="I148:K148"/>
    <mergeCell ref="B149:D149"/>
    <mergeCell ref="I149:K149"/>
    <mergeCell ref="B145:D145"/>
    <mergeCell ref="I145:K145"/>
    <mergeCell ref="B146:D146"/>
    <mergeCell ref="I146:K146"/>
    <mergeCell ref="B141:D141"/>
    <mergeCell ref="I141:K141"/>
    <mergeCell ref="B142:D142"/>
    <mergeCell ref="I142:K142"/>
    <mergeCell ref="B143:D143"/>
    <mergeCell ref="R3:S3"/>
    <mergeCell ref="T5:T6"/>
    <mergeCell ref="M5:M6"/>
    <mergeCell ref="N5:N6"/>
    <mergeCell ref="P5:P6"/>
    <mergeCell ref="R5:R6"/>
    <mergeCell ref="V5:V6"/>
    <mergeCell ref="X5:X6"/>
    <mergeCell ref="Z5:Z6"/>
    <mergeCell ref="O5:O6"/>
    <mergeCell ref="Q5:Q6"/>
    <mergeCell ref="S5:S6"/>
    <mergeCell ref="U5:U6"/>
    <mergeCell ref="W5:W6"/>
    <mergeCell ref="Y5:Y6"/>
    <mergeCell ref="I64:K64"/>
    <mergeCell ref="B67:D67"/>
    <mergeCell ref="I67:K67"/>
    <mergeCell ref="B68:D68"/>
    <mergeCell ref="I68:K68"/>
    <mergeCell ref="B69:D69"/>
    <mergeCell ref="I69:K69"/>
    <mergeCell ref="B71:D71"/>
    <mergeCell ref="I71:K71"/>
    <mergeCell ref="B65:D65"/>
    <mergeCell ref="I65:K65"/>
    <mergeCell ref="B66:D66"/>
    <mergeCell ref="I66:K66"/>
    <mergeCell ref="V52:X52"/>
    <mergeCell ref="V53:X53"/>
    <mergeCell ref="V54:X54"/>
    <mergeCell ref="V51:X51"/>
    <mergeCell ref="B158:D158"/>
    <mergeCell ref="I158:K158"/>
    <mergeCell ref="B159:D159"/>
    <mergeCell ref="I159:K159"/>
    <mergeCell ref="B152:J152"/>
    <mergeCell ref="B157:J157"/>
    <mergeCell ref="I52:K52"/>
    <mergeCell ref="B57:D57"/>
    <mergeCell ref="I57:K57"/>
    <mergeCell ref="B58:D58"/>
    <mergeCell ref="I58:K58"/>
    <mergeCell ref="B53:D53"/>
    <mergeCell ref="I53:K53"/>
    <mergeCell ref="B54:D54"/>
    <mergeCell ref="I54:K54"/>
    <mergeCell ref="B55:D55"/>
    <mergeCell ref="I55:K55"/>
    <mergeCell ref="B56:D56"/>
    <mergeCell ref="I56:K56"/>
    <mergeCell ref="B64:D64"/>
    <mergeCell ref="B164:D164"/>
    <mergeCell ref="I164:K164"/>
    <mergeCell ref="B165:D165"/>
    <mergeCell ref="I165:K165"/>
    <mergeCell ref="B166:D166"/>
    <mergeCell ref="I166:K166"/>
    <mergeCell ref="B168:D168"/>
    <mergeCell ref="I168:K168"/>
    <mergeCell ref="B167:J167"/>
  </mergeCells>
  <dataValidations count="7">
    <dataValidation type="list" allowBlank="1" showInputMessage="1" showErrorMessage="1" sqref="F34:G34" xr:uid="{00000000-0002-0000-0200-000000000000}">
      <formula1>"Pass,Fail"</formula1>
    </dataValidation>
    <dataValidation type="list" allowBlank="1" showInputMessage="1" showErrorMessage="1" sqref="F100:G100" xr:uid="{00000000-0002-0000-0200-000001000000}">
      <formula1>"1.25,1"</formula1>
    </dataValidation>
    <dataValidation type="list" allowBlank="1" showInputMessage="1" showErrorMessage="1" sqref="F109:G109" xr:uid="{00000000-0002-0000-0200-000002000000}">
      <formula1>"No Leak,Leak"</formula1>
    </dataValidation>
    <dataValidation type="list" allowBlank="1" showInputMessage="1" showErrorMessage="1" sqref="F124:G124" xr:uid="{00000000-0002-0000-0200-000003000000}">
      <formula1>"Single, Multiple"</formula1>
    </dataValidation>
    <dataValidation type="list" allowBlank="1" showInputMessage="1" showErrorMessage="1" sqref="F140:G140" xr:uid="{00000000-0002-0000-0200-000004000000}">
      <formula1>"0.5,0,1"</formula1>
    </dataValidation>
    <dataValidation type="list" allowBlank="1" showInputMessage="1" showErrorMessage="1" sqref="F145:G145" xr:uid="{00000000-0002-0000-0200-000005000000}">
      <formula1>"1000,2000,0"</formula1>
    </dataValidation>
    <dataValidation type="list" allowBlank="1" showInputMessage="1" showErrorMessage="1" sqref="T7:W12 U30:X36" xr:uid="{00000000-0002-0000-0200-000006000000}">
      <formula1>"Yes,No"</formula1>
    </dataValidation>
  </dataValidations>
  <pageMargins left="0.75" right="0.2" top="0.75" bottom="0.5" header="0.28999999999999998" footer="0.3"/>
  <pageSetup paperSize="9" scale="68" orientation="portrait" r:id="rId1"/>
  <headerFooter>
    <oddFooter>&amp;LPRD RBI Calculation As Per API RP 581 V2016&amp;CPrepared by Aliasgar BHARMAL &amp;D&amp;RPage &amp;P</oddFooter>
  </headerFooter>
  <rowBreaks count="3" manualBreakCount="3">
    <brk id="43" max="16383" man="1"/>
    <brk id="83" max="16383" man="1"/>
    <brk id="117" max="16383" man="1"/>
  </rowBreaks>
  <ignoredErrors>
    <ignoredError sqref="F111:F112 F19 F22 F27 F36 F46:F47 F76:F77 F95 F98 F102 F138 F113 M84 F24" unlockedFormula="1"/>
    <ignoredError sqref="M40" evalError="1" unlockedFormula="1"/>
  </ignoredErrors>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7000000}">
          <x14:formula1>
            <xm:f>'API Tables'!$B$3:$B$7</xm:f>
          </x14:formula1>
          <xm:sqref>F7:G7</xm:sqref>
        </x14:dataValidation>
        <x14:dataValidation type="list" allowBlank="1" showInputMessage="1" showErrorMessage="1" xr:uid="{00000000-0002-0000-0200-000008000000}">
          <x14:formula1>
            <xm:f>'API Tables'!$B$11:$B$13</xm:f>
          </x14:formula1>
          <xm:sqref>F20:G20 F96:G96</xm:sqref>
        </x14:dataValidation>
        <x14:dataValidation type="list" allowBlank="1" showInputMessage="1" showErrorMessage="1" xr:uid="{00000000-0002-0000-0200-000009000000}">
          <x14:formula1>
            <xm:f>'API Tables'!$B$17:$B$19</xm:f>
          </x14:formula1>
          <xm:sqref>I11:J11</xm:sqref>
        </x14:dataValidation>
        <x14:dataValidation type="list" allowBlank="1" showInputMessage="1" showErrorMessage="1" xr:uid="{00000000-0002-0000-0200-00000A000000}">
          <x14:formula1>
            <xm:f>'API Tables'!$B$24:$B$30</xm:f>
          </x14:formula1>
          <xm:sqref>F26:G26 F101:G101</xm:sqref>
        </x14:dataValidation>
        <x14:dataValidation type="list" allowBlank="1" showInputMessage="1" showErrorMessage="1" xr:uid="{00000000-0002-0000-0200-00000B000000}">
          <x14:formula1>
            <xm:f>'API Tables'!$D$3:$D$6</xm:f>
          </x14:formula1>
          <xm:sqref>F33:G33 F108:G108</xm:sqref>
        </x14:dataValidation>
        <x14:dataValidation type="list" allowBlank="1" showInputMessage="1" showErrorMessage="1" xr:uid="{00000000-0002-0000-0200-00000C000000}">
          <x14:formula1>
            <xm:f>'API Tables'!$B$72:$B$85</xm:f>
          </x14:formula1>
          <xm:sqref>I13:J13 F45:G45 F60:G60 F75:G75 F119:G119</xm:sqref>
        </x14:dataValidation>
        <x14:dataValidation type="list" allowBlank="1" showInputMessage="1" showErrorMessage="1" xr:uid="{00000000-0002-0000-0200-00000D000000}">
          <x14:formula1>
            <xm:f>'API Tables'!$B$90:$B$99</xm:f>
          </x14:formula1>
          <xm:sqref>F52:G52 F67:G67 F82:G82</xm:sqref>
        </x14:dataValidation>
        <x14:dataValidation type="list" allowBlank="1" showInputMessage="1" showErrorMessage="1" xr:uid="{00000000-0002-0000-0200-00000E000000}">
          <x14:formula1>
            <xm:f>'API Tables'!$B$133:$B$137</xm:f>
          </x14:formula1>
          <xm:sqref>F55:G55 F70:G70 F85:G85</xm:sqref>
        </x14:dataValidation>
        <x14:dataValidation type="list" allowBlank="1" showInputMessage="1" showErrorMessage="1" xr:uid="{00000000-0002-0000-0200-00000F000000}">
          <x14:formula1>
            <xm:f>'API Tables'!$D$11:$D$15</xm:f>
          </x14:formula1>
          <xm:sqref>F137:G137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2:J180"/>
  <sheetViews>
    <sheetView topLeftCell="A99" workbookViewId="0">
      <selection activeCell="K168" sqref="K168"/>
    </sheetView>
  </sheetViews>
  <sheetFormatPr defaultRowHeight="15.6" x14ac:dyDescent="0.3"/>
  <cols>
    <col min="2" max="2" width="34" customWidth="1"/>
    <col min="3" max="3" width="13.69921875" customWidth="1"/>
    <col min="4" max="4" width="19.3984375" bestFit="1" customWidth="1"/>
    <col min="5" max="5" width="13.3984375" customWidth="1"/>
    <col min="8" max="8" width="13.8984375" customWidth="1"/>
    <col min="10" max="10" width="15.19921875" customWidth="1"/>
  </cols>
  <sheetData>
    <row r="2" spans="2:4" ht="46.8" x14ac:dyDescent="0.3">
      <c r="B2" s="85" t="s">
        <v>230</v>
      </c>
      <c r="D2" s="91" t="s">
        <v>263</v>
      </c>
    </row>
    <row r="3" spans="2:4" x14ac:dyDescent="0.3">
      <c r="B3" s="86" t="s">
        <v>77</v>
      </c>
      <c r="D3" s="86" t="s">
        <v>266</v>
      </c>
    </row>
    <row r="4" spans="2:4" x14ac:dyDescent="0.3">
      <c r="B4" s="86" t="s">
        <v>235</v>
      </c>
      <c r="D4" s="86" t="s">
        <v>267</v>
      </c>
    </row>
    <row r="5" spans="2:4" x14ac:dyDescent="0.3">
      <c r="B5" s="86" t="s">
        <v>260</v>
      </c>
      <c r="D5" s="96" t="s">
        <v>89</v>
      </c>
    </row>
    <row r="6" spans="2:4" x14ac:dyDescent="0.3">
      <c r="B6" s="86" t="s">
        <v>228</v>
      </c>
      <c r="D6" s="96" t="s">
        <v>268</v>
      </c>
    </row>
    <row r="7" spans="2:4" x14ac:dyDescent="0.3">
      <c r="B7" s="86" t="s">
        <v>229</v>
      </c>
    </row>
    <row r="10" spans="2:4" x14ac:dyDescent="0.3">
      <c r="B10" s="85" t="s">
        <v>231</v>
      </c>
      <c r="D10" s="85" t="s">
        <v>359</v>
      </c>
    </row>
    <row r="11" spans="2:4" x14ac:dyDescent="0.3">
      <c r="B11" s="86" t="s">
        <v>78</v>
      </c>
      <c r="D11" s="123" t="s">
        <v>360</v>
      </c>
    </row>
    <row r="12" spans="2:4" x14ac:dyDescent="0.3">
      <c r="B12" s="86" t="s">
        <v>232</v>
      </c>
      <c r="D12" s="86" t="s">
        <v>361</v>
      </c>
    </row>
    <row r="13" spans="2:4" x14ac:dyDescent="0.3">
      <c r="B13" s="86" t="s">
        <v>79</v>
      </c>
      <c r="D13" s="86" t="s">
        <v>362</v>
      </c>
    </row>
    <row r="14" spans="2:4" x14ac:dyDescent="0.3">
      <c r="D14" s="86" t="s">
        <v>363</v>
      </c>
    </row>
    <row r="15" spans="2:4" x14ac:dyDescent="0.3">
      <c r="D15" s="123" t="s">
        <v>366</v>
      </c>
    </row>
    <row r="16" spans="2:4" x14ac:dyDescent="0.3">
      <c r="B16" s="85" t="s">
        <v>236</v>
      </c>
    </row>
    <row r="17" spans="2:4" x14ac:dyDescent="0.3">
      <c r="B17" s="86" t="s">
        <v>237</v>
      </c>
    </row>
    <row r="18" spans="2:4" x14ac:dyDescent="0.3">
      <c r="B18" s="86" t="s">
        <v>239</v>
      </c>
    </row>
    <row r="19" spans="2:4" x14ac:dyDescent="0.3">
      <c r="B19" s="86" t="s">
        <v>238</v>
      </c>
    </row>
    <row r="22" spans="2:4" x14ac:dyDescent="0.3">
      <c r="B22" s="374" t="s">
        <v>243</v>
      </c>
      <c r="C22" s="374"/>
      <c r="D22" s="374"/>
    </row>
    <row r="23" spans="2:4" ht="46.8" x14ac:dyDescent="0.3">
      <c r="B23" s="90" t="s">
        <v>241</v>
      </c>
      <c r="C23" s="91" t="s">
        <v>249</v>
      </c>
      <c r="D23" s="91" t="s">
        <v>242</v>
      </c>
    </row>
    <row r="24" spans="2:4" ht="17.399999999999999" x14ac:dyDescent="0.3">
      <c r="B24" s="86" t="s">
        <v>244</v>
      </c>
      <c r="C24" s="87">
        <v>1</v>
      </c>
      <c r="D24" s="89">
        <v>0.8</v>
      </c>
    </row>
    <row r="25" spans="2:4" ht="17.399999999999999" x14ac:dyDescent="0.3">
      <c r="B25" s="86" t="s">
        <v>245</v>
      </c>
      <c r="C25" s="87">
        <v>1</v>
      </c>
      <c r="D25" s="89">
        <v>0.6</v>
      </c>
    </row>
    <row r="26" spans="2:4" ht="46.8" x14ac:dyDescent="0.3">
      <c r="B26" s="88" t="s">
        <v>246</v>
      </c>
      <c r="C26" s="87">
        <v>1</v>
      </c>
      <c r="D26" s="89">
        <v>0.5</v>
      </c>
    </row>
    <row r="27" spans="2:4" x14ac:dyDescent="0.3">
      <c r="B27" s="86" t="s">
        <v>247</v>
      </c>
      <c r="C27" s="87">
        <v>1</v>
      </c>
      <c r="D27" s="89">
        <v>0.8</v>
      </c>
    </row>
    <row r="28" spans="2:4" ht="46.8" x14ac:dyDescent="0.3">
      <c r="B28" s="88" t="s">
        <v>248</v>
      </c>
      <c r="C28" s="87">
        <v>1</v>
      </c>
      <c r="D28" s="89">
        <v>0.8</v>
      </c>
    </row>
    <row r="29" spans="2:4" ht="31.2" x14ac:dyDescent="0.3">
      <c r="B29" s="88" t="s">
        <v>250</v>
      </c>
      <c r="C29" s="87">
        <v>0.5</v>
      </c>
      <c r="D29" s="89">
        <v>0.5</v>
      </c>
    </row>
    <row r="30" spans="2:4" x14ac:dyDescent="0.3">
      <c r="B30" s="88" t="s">
        <v>28</v>
      </c>
      <c r="C30" s="87">
        <v>0.5</v>
      </c>
      <c r="D30" s="89">
        <v>0.5</v>
      </c>
    </row>
    <row r="33" spans="2:8" ht="15.75" customHeight="1" x14ac:dyDescent="0.3">
      <c r="B33" s="376" t="s">
        <v>254</v>
      </c>
      <c r="C33" s="376"/>
      <c r="D33" s="376"/>
      <c r="E33" s="376"/>
      <c r="F33" s="376"/>
      <c r="G33" s="376"/>
      <c r="H33" s="376"/>
    </row>
    <row r="34" spans="2:8" ht="31.5" customHeight="1" x14ac:dyDescent="0.3">
      <c r="B34" s="369" t="s">
        <v>255</v>
      </c>
      <c r="C34" s="375" t="s">
        <v>256</v>
      </c>
      <c r="D34" s="375"/>
      <c r="E34" s="369" t="s">
        <v>257</v>
      </c>
      <c r="F34" s="369"/>
      <c r="G34" s="369" t="s">
        <v>258</v>
      </c>
      <c r="H34" s="369"/>
    </row>
    <row r="35" spans="2:8" x14ac:dyDescent="0.3">
      <c r="B35" s="369"/>
      <c r="C35" s="93" t="s">
        <v>34</v>
      </c>
      <c r="D35" s="94" t="s">
        <v>259</v>
      </c>
      <c r="E35" s="93" t="s">
        <v>34</v>
      </c>
      <c r="F35" s="94" t="s">
        <v>259</v>
      </c>
      <c r="G35" s="93" t="s">
        <v>34</v>
      </c>
      <c r="H35" s="94" t="s">
        <v>259</v>
      </c>
    </row>
    <row r="36" spans="2:8" x14ac:dyDescent="0.3">
      <c r="B36" s="87" t="s">
        <v>78</v>
      </c>
      <c r="C36" s="87">
        <v>1.8</v>
      </c>
      <c r="D36" s="89">
        <v>50.5</v>
      </c>
      <c r="E36" s="87">
        <v>1.8</v>
      </c>
      <c r="F36" s="89">
        <v>33.700000000000003</v>
      </c>
      <c r="G36" s="87">
        <v>1.8</v>
      </c>
      <c r="H36" s="89">
        <v>50.5</v>
      </c>
    </row>
    <row r="37" spans="2:8" x14ac:dyDescent="0.3">
      <c r="B37" s="87" t="s">
        <v>232</v>
      </c>
      <c r="C37" s="87">
        <v>1.8</v>
      </c>
      <c r="D37" s="89">
        <v>23.9</v>
      </c>
      <c r="E37" s="87">
        <v>1.8</v>
      </c>
      <c r="F37" s="89">
        <v>8</v>
      </c>
      <c r="G37" s="87">
        <v>1.8</v>
      </c>
      <c r="H37" s="89">
        <v>50.5</v>
      </c>
    </row>
    <row r="38" spans="2:8" x14ac:dyDescent="0.3">
      <c r="B38" s="87" t="s">
        <v>79</v>
      </c>
      <c r="C38" s="87">
        <v>1.8</v>
      </c>
      <c r="D38" s="89">
        <v>17.600000000000001</v>
      </c>
      <c r="E38" s="87">
        <v>1.8</v>
      </c>
      <c r="F38" s="89">
        <v>3.5</v>
      </c>
      <c r="G38" s="87">
        <v>1.8</v>
      </c>
      <c r="H38" s="89">
        <v>50.5</v>
      </c>
    </row>
    <row r="39" spans="2:8" x14ac:dyDescent="0.3">
      <c r="B39" s="92"/>
      <c r="C39" s="92"/>
      <c r="D39" s="92"/>
      <c r="E39" s="92"/>
      <c r="F39" s="92"/>
      <c r="G39" s="92"/>
      <c r="H39" s="92"/>
    </row>
    <row r="40" spans="2:8" x14ac:dyDescent="0.3">
      <c r="B40" s="92"/>
      <c r="C40" s="92"/>
      <c r="D40" s="92"/>
      <c r="E40" s="92"/>
      <c r="F40" s="92"/>
      <c r="G40" s="92"/>
      <c r="H40" s="92"/>
    </row>
    <row r="41" spans="2:8" x14ac:dyDescent="0.3">
      <c r="B41" s="92"/>
      <c r="C41" s="92"/>
      <c r="D41" s="92"/>
      <c r="E41" s="92"/>
      <c r="F41" s="92"/>
      <c r="G41" s="92"/>
      <c r="H41" s="92"/>
    </row>
    <row r="42" spans="2:8" x14ac:dyDescent="0.3">
      <c r="B42" s="92"/>
      <c r="C42" s="92"/>
      <c r="D42" s="92"/>
      <c r="E42" s="92"/>
      <c r="F42" s="92"/>
      <c r="G42" s="92"/>
      <c r="H42" s="92"/>
    </row>
    <row r="70" spans="2:8" ht="15.75" customHeight="1" x14ac:dyDescent="0.3">
      <c r="B70" s="377" t="s">
        <v>272</v>
      </c>
      <c r="C70" s="377"/>
      <c r="D70" s="377"/>
      <c r="E70" s="99"/>
      <c r="F70" s="99"/>
      <c r="G70" s="99"/>
      <c r="H70" s="99"/>
    </row>
    <row r="71" spans="2:8" ht="33.6" x14ac:dyDescent="0.3">
      <c r="B71" s="100" t="s">
        <v>4</v>
      </c>
      <c r="C71" s="101" t="s">
        <v>273</v>
      </c>
      <c r="D71" s="101" t="s">
        <v>274</v>
      </c>
      <c r="E71" s="92"/>
      <c r="F71" s="92"/>
      <c r="G71" s="92"/>
      <c r="H71" s="92"/>
    </row>
    <row r="72" spans="2:8" x14ac:dyDescent="0.3">
      <c r="B72" s="86" t="s">
        <v>275</v>
      </c>
      <c r="C72" s="109">
        <v>4.0000000000000001E-3</v>
      </c>
      <c r="D72" s="89">
        <v>0.1</v>
      </c>
      <c r="E72" s="92"/>
    </row>
    <row r="73" spans="2:8" x14ac:dyDescent="0.3">
      <c r="B73" s="86" t="s">
        <v>276</v>
      </c>
      <c r="C73" s="110">
        <v>0.1</v>
      </c>
      <c r="D73" s="89">
        <v>1</v>
      </c>
      <c r="E73" s="92"/>
    </row>
    <row r="74" spans="2:8" x14ac:dyDescent="0.3">
      <c r="B74" s="86" t="s">
        <v>277</v>
      </c>
      <c r="C74" s="110">
        <v>0.08</v>
      </c>
      <c r="D74" s="89">
        <v>1</v>
      </c>
      <c r="E74" s="92"/>
    </row>
    <row r="75" spans="2:8" ht="31.2" x14ac:dyDescent="0.3">
      <c r="B75" s="88" t="s">
        <v>285</v>
      </c>
      <c r="C75" s="110">
        <v>0.01</v>
      </c>
      <c r="D75" s="89">
        <v>1</v>
      </c>
      <c r="E75" s="92"/>
    </row>
    <row r="76" spans="2:8" ht="31.2" x14ac:dyDescent="0.3">
      <c r="B76" s="88" t="s">
        <v>278</v>
      </c>
      <c r="C76" s="110">
        <v>0.1</v>
      </c>
      <c r="D76" s="89">
        <v>1</v>
      </c>
      <c r="E76" s="92"/>
    </row>
    <row r="77" spans="2:8" ht="46.8" x14ac:dyDescent="0.3">
      <c r="B77" s="88" t="s">
        <v>284</v>
      </c>
      <c r="C77" s="110">
        <v>0.1</v>
      </c>
      <c r="D77" s="89">
        <v>1</v>
      </c>
      <c r="E77" s="92"/>
    </row>
    <row r="78" spans="2:8" ht="46.8" x14ac:dyDescent="0.3">
      <c r="B78" s="88" t="s">
        <v>286</v>
      </c>
      <c r="C78" s="110">
        <v>0.02</v>
      </c>
      <c r="D78" s="89">
        <v>1</v>
      </c>
      <c r="E78" s="92"/>
    </row>
    <row r="79" spans="2:8" x14ac:dyDescent="0.3">
      <c r="B79" s="86" t="s">
        <v>279</v>
      </c>
      <c r="C79" s="110">
        <v>1</v>
      </c>
      <c r="D79" s="89">
        <v>1</v>
      </c>
      <c r="E79" s="92"/>
    </row>
    <row r="80" spans="2:8" x14ac:dyDescent="0.3">
      <c r="B80" s="102" t="s">
        <v>280</v>
      </c>
      <c r="C80" s="110">
        <v>1E-3</v>
      </c>
      <c r="D80" s="89">
        <v>1</v>
      </c>
      <c r="E80" s="92"/>
    </row>
    <row r="81" spans="2:5" x14ac:dyDescent="0.3">
      <c r="B81" s="102" t="s">
        <v>281</v>
      </c>
      <c r="C81" s="110">
        <v>0.2</v>
      </c>
      <c r="D81" s="89">
        <v>1</v>
      </c>
      <c r="E81" s="92"/>
    </row>
    <row r="82" spans="2:5" ht="31.2" x14ac:dyDescent="0.3">
      <c r="B82" s="88" t="s">
        <v>282</v>
      </c>
      <c r="C82" s="110">
        <v>0.01</v>
      </c>
      <c r="D82" s="89">
        <v>1</v>
      </c>
      <c r="E82" s="92"/>
    </row>
    <row r="83" spans="2:5" ht="31.2" x14ac:dyDescent="0.3">
      <c r="B83" s="88" t="s">
        <v>287</v>
      </c>
      <c r="C83" s="110">
        <v>0.1</v>
      </c>
      <c r="D83" s="89">
        <v>1</v>
      </c>
      <c r="E83" s="92"/>
    </row>
    <row r="84" spans="2:5" ht="31.2" x14ac:dyDescent="0.3">
      <c r="B84" s="88" t="s">
        <v>288</v>
      </c>
      <c r="C84" s="110">
        <v>0.01</v>
      </c>
      <c r="D84" s="89">
        <v>0.1</v>
      </c>
      <c r="E84" s="92"/>
    </row>
    <row r="85" spans="2:5" ht="31.2" x14ac:dyDescent="0.3">
      <c r="B85" s="88" t="s">
        <v>283</v>
      </c>
      <c r="C85" s="110">
        <v>0.1</v>
      </c>
      <c r="D85" s="89">
        <v>0.1</v>
      </c>
      <c r="E85" s="92"/>
    </row>
    <row r="88" spans="2:5" ht="31.5" customHeight="1" x14ac:dyDescent="0.3">
      <c r="B88" s="372" t="s">
        <v>306</v>
      </c>
      <c r="C88" s="372"/>
    </row>
    <row r="89" spans="2:5" ht="18" x14ac:dyDescent="0.4">
      <c r="B89" s="100" t="s">
        <v>307</v>
      </c>
      <c r="C89" s="100" t="s">
        <v>318</v>
      </c>
    </row>
    <row r="90" spans="2:5" hidden="1" x14ac:dyDescent="0.3">
      <c r="B90" s="86" t="s">
        <v>308</v>
      </c>
      <c r="C90" s="111">
        <v>3.0000000000000001E-5</v>
      </c>
    </row>
    <row r="91" spans="2:5" x14ac:dyDescent="0.3">
      <c r="B91" s="86" t="s">
        <v>309</v>
      </c>
      <c r="C91" s="111">
        <v>3.0599999999999998E-5</v>
      </c>
    </row>
    <row r="92" spans="2:5" x14ac:dyDescent="0.3">
      <c r="B92" s="86" t="s">
        <v>310</v>
      </c>
      <c r="C92" s="111">
        <v>3.0599999999999998E-5</v>
      </c>
    </row>
    <row r="93" spans="2:5" x14ac:dyDescent="0.3">
      <c r="B93" s="86" t="s">
        <v>311</v>
      </c>
      <c r="C93" s="111">
        <v>3.0599999999999998E-5</v>
      </c>
    </row>
    <row r="94" spans="2:5" x14ac:dyDescent="0.3">
      <c r="B94" s="86" t="s">
        <v>312</v>
      </c>
      <c r="C94" s="111">
        <v>3.0599999999999998E-5</v>
      </c>
    </row>
    <row r="95" spans="2:5" x14ac:dyDescent="0.3">
      <c r="B95" s="86" t="s">
        <v>313</v>
      </c>
      <c r="C95" s="111">
        <v>3.0599999999999998E-5</v>
      </c>
    </row>
    <row r="96" spans="2:5" x14ac:dyDescent="0.3">
      <c r="B96" s="86" t="s">
        <v>314</v>
      </c>
      <c r="C96" s="111">
        <v>3.0599999999999998E-5</v>
      </c>
    </row>
    <row r="97" spans="2:3" hidden="1" x14ac:dyDescent="0.3">
      <c r="B97" s="86" t="s">
        <v>315</v>
      </c>
      <c r="C97" s="111">
        <v>7.2000000000000005E-4</v>
      </c>
    </row>
    <row r="98" spans="2:3" hidden="1" x14ac:dyDescent="0.3">
      <c r="B98" s="86" t="s">
        <v>316</v>
      </c>
      <c r="C98" s="111">
        <v>1E-4</v>
      </c>
    </row>
    <row r="99" spans="2:3" x14ac:dyDescent="0.3">
      <c r="B99" s="86" t="s">
        <v>317</v>
      </c>
      <c r="C99" s="111">
        <v>3.0599999999999998E-5</v>
      </c>
    </row>
    <row r="131" spans="2:4" x14ac:dyDescent="0.3">
      <c r="B131" s="373" t="s">
        <v>321</v>
      </c>
      <c r="C131" s="373"/>
      <c r="D131" s="373"/>
    </row>
    <row r="132" spans="2:4" x14ac:dyDescent="0.3">
      <c r="B132" s="113" t="s">
        <v>322</v>
      </c>
      <c r="C132" s="113" t="s">
        <v>80</v>
      </c>
      <c r="D132" s="113" t="s">
        <v>72</v>
      </c>
    </row>
    <row r="133" spans="2:4" ht="46.8" x14ac:dyDescent="0.3">
      <c r="B133" s="103" t="s">
        <v>323</v>
      </c>
      <c r="C133" s="103">
        <v>1</v>
      </c>
      <c r="D133" s="104" t="s">
        <v>326</v>
      </c>
    </row>
    <row r="134" spans="2:4" ht="171.6" x14ac:dyDescent="0.3">
      <c r="B134" s="103" t="s">
        <v>324</v>
      </c>
      <c r="C134" s="103">
        <v>20</v>
      </c>
      <c r="D134" s="104" t="s">
        <v>327</v>
      </c>
    </row>
    <row r="135" spans="2:4" ht="218.4" x14ac:dyDescent="0.3">
      <c r="B135" s="103" t="s">
        <v>325</v>
      </c>
      <c r="C135" s="103">
        <v>200</v>
      </c>
      <c r="D135" s="104" t="s">
        <v>328</v>
      </c>
    </row>
    <row r="136" spans="2:4" ht="140.4" x14ac:dyDescent="0.3">
      <c r="B136" s="103" t="s">
        <v>232</v>
      </c>
      <c r="C136" s="103">
        <v>750</v>
      </c>
      <c r="D136" s="104" t="s">
        <v>329</v>
      </c>
    </row>
    <row r="137" spans="2:4" ht="156" x14ac:dyDescent="0.3">
      <c r="B137" s="103" t="s">
        <v>79</v>
      </c>
      <c r="C137" s="112">
        <v>2000</v>
      </c>
      <c r="D137" s="104" t="s">
        <v>330</v>
      </c>
    </row>
    <row r="159" spans="2:10" x14ac:dyDescent="0.3">
      <c r="B159" s="376" t="s">
        <v>338</v>
      </c>
      <c r="C159" s="376"/>
      <c r="D159" s="376"/>
      <c r="E159" s="376"/>
      <c r="F159" s="376"/>
      <c r="G159" s="376"/>
      <c r="H159" s="376"/>
    </row>
    <row r="160" spans="2:10" ht="15.75" customHeight="1" x14ac:dyDescent="0.3">
      <c r="B160" s="369" t="s">
        <v>255</v>
      </c>
      <c r="C160" s="370" t="s">
        <v>340</v>
      </c>
      <c r="D160" s="371"/>
      <c r="E160" s="370" t="s">
        <v>339</v>
      </c>
      <c r="F160" s="371"/>
      <c r="G160" s="369" t="s">
        <v>257</v>
      </c>
      <c r="H160" s="369"/>
      <c r="I160" s="367" t="s">
        <v>258</v>
      </c>
      <c r="J160" s="368"/>
    </row>
    <row r="161" spans="2:10" x14ac:dyDescent="0.3">
      <c r="B161" s="369"/>
      <c r="C161" s="93" t="s">
        <v>34</v>
      </c>
      <c r="D161" s="94" t="s">
        <v>259</v>
      </c>
      <c r="E161" s="93" t="s">
        <v>34</v>
      </c>
      <c r="F161" s="94" t="s">
        <v>259</v>
      </c>
      <c r="G161" s="93" t="s">
        <v>34</v>
      </c>
      <c r="H161" s="94" t="s">
        <v>259</v>
      </c>
      <c r="I161" s="93" t="s">
        <v>34</v>
      </c>
      <c r="J161" s="94" t="s">
        <v>259</v>
      </c>
    </row>
    <row r="162" spans="2:10" x14ac:dyDescent="0.3">
      <c r="B162" s="87" t="s">
        <v>78</v>
      </c>
      <c r="C162" s="87">
        <v>1.6</v>
      </c>
      <c r="D162" s="118">
        <v>17.5</v>
      </c>
      <c r="E162" s="87">
        <v>1.6</v>
      </c>
      <c r="F162" s="115">
        <v>16</v>
      </c>
      <c r="G162" s="87">
        <v>1.6</v>
      </c>
      <c r="H162" s="118">
        <v>17.5</v>
      </c>
      <c r="I162" s="87">
        <v>1.6</v>
      </c>
      <c r="J162" s="118">
        <v>17.5</v>
      </c>
    </row>
    <row r="163" spans="2:10" x14ac:dyDescent="0.3">
      <c r="B163" s="87" t="s">
        <v>232</v>
      </c>
      <c r="C163" s="87">
        <v>1.6</v>
      </c>
      <c r="D163" s="114">
        <v>15.5</v>
      </c>
      <c r="E163" s="87">
        <v>1.6</v>
      </c>
      <c r="F163" s="117">
        <v>14</v>
      </c>
      <c r="G163" s="87">
        <v>1.6</v>
      </c>
      <c r="H163" s="114">
        <v>15.5</v>
      </c>
      <c r="I163" s="87">
        <v>1.6</v>
      </c>
      <c r="J163" s="118">
        <v>17.5</v>
      </c>
    </row>
    <row r="164" spans="2:10" x14ac:dyDescent="0.3">
      <c r="B164" s="87" t="s">
        <v>79</v>
      </c>
      <c r="C164" s="87">
        <v>1.6</v>
      </c>
      <c r="D164" s="119">
        <v>13.1</v>
      </c>
      <c r="E164" s="87">
        <v>1.6</v>
      </c>
      <c r="F164" s="116">
        <v>11.5</v>
      </c>
      <c r="G164" s="87">
        <v>1.6</v>
      </c>
      <c r="H164" s="119">
        <v>13.1</v>
      </c>
      <c r="I164" s="87">
        <v>1.6</v>
      </c>
      <c r="J164" s="118">
        <v>17.5</v>
      </c>
    </row>
    <row r="168" spans="2:10" ht="31.2" x14ac:dyDescent="0.3">
      <c r="B168" s="101" t="s">
        <v>384</v>
      </c>
    </row>
    <row r="169" spans="2:10" x14ac:dyDescent="0.3">
      <c r="B169" s="366" t="s">
        <v>378</v>
      </c>
    </row>
    <row r="170" spans="2:10" x14ac:dyDescent="0.3">
      <c r="B170" s="366"/>
    </row>
    <row r="171" spans="2:10" x14ac:dyDescent="0.3">
      <c r="B171" s="366" t="s">
        <v>379</v>
      </c>
    </row>
    <row r="172" spans="2:10" x14ac:dyDescent="0.3">
      <c r="B172" s="366"/>
    </row>
    <row r="173" spans="2:10" x14ac:dyDescent="0.3">
      <c r="B173" s="366" t="s">
        <v>380</v>
      </c>
    </row>
    <row r="174" spans="2:10" x14ac:dyDescent="0.3">
      <c r="B174" s="366"/>
    </row>
    <row r="175" spans="2:10" x14ac:dyDescent="0.3">
      <c r="B175" s="366" t="s">
        <v>381</v>
      </c>
    </row>
    <row r="176" spans="2:10" x14ac:dyDescent="0.3">
      <c r="B176" s="366"/>
    </row>
    <row r="177" spans="2:2" x14ac:dyDescent="0.3">
      <c r="B177" s="366" t="s">
        <v>382</v>
      </c>
    </row>
    <row r="178" spans="2:2" x14ac:dyDescent="0.3">
      <c r="B178" s="366"/>
    </row>
    <row r="179" spans="2:2" x14ac:dyDescent="0.3">
      <c r="B179" s="366" t="s">
        <v>383</v>
      </c>
    </row>
    <row r="180" spans="2:2" x14ac:dyDescent="0.3">
      <c r="B180" s="366"/>
    </row>
  </sheetData>
  <autoFilter ref="B89:C99" xr:uid="{00000000-0009-0000-0000-000003000000}">
    <filterColumn colId="1">
      <filters>
        <filter val="3.06E-05"/>
      </filters>
    </filterColumn>
  </autoFilter>
  <mergeCells count="21">
    <mergeCell ref="B88:C88"/>
    <mergeCell ref="B131:D131"/>
    <mergeCell ref="B22:D22"/>
    <mergeCell ref="C34:D34"/>
    <mergeCell ref="B159:H159"/>
    <mergeCell ref="E34:F34"/>
    <mergeCell ref="G34:H34"/>
    <mergeCell ref="B33:H33"/>
    <mergeCell ref="B34:B35"/>
    <mergeCell ref="B70:D70"/>
    <mergeCell ref="I160:J160"/>
    <mergeCell ref="B160:B161"/>
    <mergeCell ref="C160:D160"/>
    <mergeCell ref="G160:H160"/>
    <mergeCell ref="E160:F160"/>
    <mergeCell ref="B179:B180"/>
    <mergeCell ref="B169:B170"/>
    <mergeCell ref="B171:B172"/>
    <mergeCell ref="B173:B174"/>
    <mergeCell ref="B175:B176"/>
    <mergeCell ref="B177:B17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List of Revisions</vt:lpstr>
      <vt:lpstr>Read Me</vt:lpstr>
      <vt:lpstr>PRDs-RBI Calculation</vt:lpstr>
      <vt:lpstr>API Tables</vt:lpstr>
      <vt:lpstr>'PRDs-RBI Calculation'!Print_Area</vt:lpstr>
      <vt:lpstr>'PRDs-RBI Calculation'!Print_Titles</vt:lpstr>
    </vt:vector>
  </TitlesOfParts>
  <Company>Bureau Veritas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Lead RBI/Integrity Consultant</dc:title>
  <dc:subject>PRD RBI Sheet V2016</dc:subject>
  <dc:creator>Aliasgar BHARMAL</dc:creator>
  <cp:lastModifiedBy>Januario Cipriano</cp:lastModifiedBy>
  <cp:lastPrinted>2017-03-08T06:29:29Z</cp:lastPrinted>
  <dcterms:created xsi:type="dcterms:W3CDTF">2016-02-08T10:59:25Z</dcterms:created>
  <dcterms:modified xsi:type="dcterms:W3CDTF">2020-11-19T06:44:34Z</dcterms:modified>
</cp:coreProperties>
</file>