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jaque\Desktop\Excel com IA (Santander)\"/>
    </mc:Choice>
  </mc:AlternateContent>
  <xr:revisionPtr revIDLastSave="0" documentId="13_ncr:1_{7A37AFCD-FE87-4827-89BE-A7CE8AF87797}" xr6:coauthVersionLast="45" xr6:coauthVersionMax="47" xr10:uidLastSave="{00000000-0000-0000-0000-000000000000}"/>
  <bookViews>
    <workbookView xWindow="-120" yWindow="-120" windowWidth="20730" windowHeight="1104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patrimonio_sugerido">APP!$H$20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36" i="1"/>
  <c r="C36" i="1"/>
  <c r="H37" i="1" l="1"/>
  <c r="H38" i="1"/>
  <c r="H39" i="1"/>
  <c r="H40" i="1"/>
  <c r="H41" i="1"/>
  <c r="H36" i="1"/>
  <c r="G33" i="1"/>
  <c r="G25" i="1"/>
  <c r="H25" i="1" s="1"/>
  <c r="G26" i="1"/>
  <c r="H26" i="1" s="1"/>
  <c r="G27" i="1"/>
  <c r="H27" i="1" s="1"/>
  <c r="G28" i="1"/>
  <c r="G24" i="1"/>
  <c r="H24" i="1"/>
  <c r="C24" i="1"/>
  <c r="H28" i="1"/>
  <c r="H20" i="1"/>
  <c r="H21" i="1" s="1"/>
  <c r="H17" i="1"/>
  <c r="D14" i="1"/>
  <c r="H42" i="1" l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D24" i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<sst xmlns="http://schemas.openxmlformats.org/spreadsheetml/2006/main" count="94" uniqueCount="36">
  <si>
    <t>Quanto investir por mês ?</t>
  </si>
  <si>
    <t>Por Quantos Anos ?</t>
  </si>
  <si>
    <t>Taxa de Rendimento mensal ?</t>
  </si>
  <si>
    <t>Patrimônio acumulado ?</t>
  </si>
  <si>
    <t>Dividendos Mensais ?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</si>
  <si>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</si>
  <si>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</si>
  <si>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</si>
  <si>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</si>
  <si>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</si>
  <si>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</si>
  <si>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</si>
  <si>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</si>
  <si>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</si>
  <si>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</si>
  <si>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</si>
  <si>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</si>
  <si>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</si>
  <si>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</si>
  <si>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</si>
  <si>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</si>
  <si>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</si>
  <si>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</si>
  <si>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</si>
  <si>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</si>
  <si>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</si>
  <si>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</si>
  <si>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</si>
  <si>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</si>
  <si>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</si>
  <si>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</si>
  <si>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</si>
  <si>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</si>
  <si>
    <t>INVESTIMENTO MENSAL SUGERIDO</t>
  </si>
  <si>
    <t xml:space="preserve"> Cenários com Investimento Sugerido</t>
  </si>
  <si>
    <t>INVESTIMENTO MENSAL DESEJADO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</si>
</sst>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9"/>
      <color theme="1"/>
      <name val="Aptos Narrow"/>
      <family val="2"/>
      <scheme val="minor"/>
    </font>
    <font>
      <b/>
      <sz val="11"/>
      <color rgb="FF9C5700"/>
      <name val="Aptos Narrow"/>
      <scheme val="minor"/>
    </font>
    <font>
      <b/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164" fontId="8" fillId="4" borderId="6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4" borderId="9" xfId="0" applyNumberFormat="1" applyFont="1" applyFill="1" applyBorder="1" applyAlignment="1">
      <alignment horizontal="center"/>
    </xf>
    <xf numFmtId="164" fontId="8" fillId="4" borderId="10" xfId="0" applyNumberFormat="1" applyFont="1" applyFill="1" applyBorder="1" applyAlignment="1">
      <alignment horizontal="center"/>
    </xf>
    <xf numFmtId="164" fontId="8" fillId="4" borderId="12" xfId="0" applyNumberFormat="1" applyFont="1" applyFill="1" applyBorder="1" applyAlignment="1">
      <alignment horizontal="center"/>
    </xf>
    <xf numFmtId="164" fontId="8" fillId="4" borderId="13" xfId="0" applyNumberFormat="1" applyFont="1" applyFill="1" applyBorder="1" applyAlignment="1">
      <alignment horizontal="center"/>
    </xf>
    <xf numFmtId="164" fontId="9" fillId="0" borderId="16" xfId="0" applyNumberFormat="1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0" fontId="9" fillId="0" borderId="19" xfId="0" applyNumberFormat="1" applyFont="1" applyBorder="1" applyAlignment="1">
      <alignment horizontal="center"/>
    </xf>
    <xf numFmtId="8" fontId="9" fillId="4" borderId="19" xfId="0" applyNumberFormat="1" applyFont="1" applyFill="1" applyBorder="1" applyAlignment="1">
      <alignment horizontal="center"/>
    </xf>
    <xf numFmtId="8" fontId="9" fillId="4" borderId="22" xfId="0" applyNumberFormat="1" applyFont="1" applyFill="1" applyBorder="1" applyAlignment="1">
      <alignment horizontal="center"/>
    </xf>
    <xf numFmtId="164" fontId="8" fillId="0" borderId="16" xfId="1" applyNumberFormat="1" applyFont="1" applyBorder="1" applyAlignment="1">
      <alignment horizontal="center"/>
    </xf>
    <xf numFmtId="10" fontId="8" fillId="0" borderId="19" xfId="0" applyNumberFormat="1" applyFont="1" applyBorder="1" applyAlignment="1">
      <alignment horizontal="center"/>
    </xf>
    <xf numFmtId="164" fontId="8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3" fillId="7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 vertical="top" wrapText="1"/>
    </xf>
    <xf numFmtId="0" fontId="7" fillId="4" borderId="5" xfId="0" applyFont="1" applyFill="1" applyBorder="1" applyAlignment="1"/>
    <xf numFmtId="0" fontId="7" fillId="4" borderId="8" xfId="0" applyFont="1" applyFill="1" applyBorder="1" applyAlignment="1"/>
    <xf numFmtId="0" fontId="7" fillId="4" borderId="11" xfId="0" applyFont="1" applyFill="1" applyBorder="1" applyAlignment="1"/>
    <xf numFmtId="164" fontId="9" fillId="0" borderId="19" xfId="0" applyNumberFormat="1" applyFont="1" applyBorder="1" applyAlignment="1">
      <alignment horizontal="center"/>
    </xf>
    <xf numFmtId="0" fontId="12" fillId="2" borderId="0" xfId="3" applyFont="1" applyAlignment="1">
      <alignment horizontal="center"/>
    </xf>
    <xf numFmtId="164" fontId="9" fillId="6" borderId="19" xfId="0" applyNumberFormat="1" applyFont="1" applyFill="1" applyBorder="1" applyAlignment="1">
      <alignment horizontal="center" vertical="center"/>
    </xf>
    <xf numFmtId="0" fontId="3" fillId="0" borderId="0" xfId="0" applyFont="1" applyFill="1"/>
    <xf numFmtId="164" fontId="13" fillId="10" borderId="0" xfId="0" applyNumberFormat="1" applyFont="1" applyFill="1" applyAlignment="1">
      <alignment horizontal="center"/>
    </xf>
    <xf numFmtId="0" fontId="12" fillId="2" borderId="0" xfId="3" applyFont="1" applyAlignment="1"/>
    <xf numFmtId="0" fontId="10" fillId="4" borderId="17" xfId="0" applyFont="1" applyFill="1" applyBorder="1" applyAlignment="1"/>
    <xf numFmtId="0" fontId="10" fillId="4" borderId="18" xfId="0" applyFont="1" applyFill="1" applyBorder="1" applyAlignment="1"/>
    <xf numFmtId="0" fontId="10" fillId="4" borderId="20" xfId="0" applyFont="1" applyFill="1" applyBorder="1" applyAlignment="1"/>
    <xf numFmtId="0" fontId="10" fillId="4" borderId="21" xfId="0" applyFont="1" applyFill="1" applyBorder="1" applyAlignment="1"/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6" borderId="14" xfId="0" applyFont="1" applyFill="1" applyBorder="1" applyAlignment="1"/>
    <xf numFmtId="0" fontId="7" fillId="6" borderId="15" xfId="0" applyFont="1" applyFill="1" applyBorder="1" applyAlignment="1"/>
    <xf numFmtId="0" fontId="7" fillId="6" borderId="17" xfId="0" applyFont="1" applyFill="1" applyBorder="1" applyAlignment="1"/>
    <xf numFmtId="0" fontId="7" fillId="6" borderId="18" xfId="0" applyFont="1" applyFill="1" applyBorder="1" applyAlignment="1"/>
    <xf numFmtId="0" fontId="7" fillId="6" borderId="20" xfId="0" applyFont="1" applyFill="1" applyBorder="1" applyAlignment="1"/>
    <xf numFmtId="0" fontId="7" fillId="6" borderId="21" xfId="0" applyFont="1" applyFill="1" applyBorder="1" applyAlignment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76-4E57-B279-B9A186032D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76-4E57-B279-B9A186032D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76-4E57-B279-B9A186032DD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76-4E57-B279-B9A186032DD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676-4E57-B279-B9A186032DD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676-4E57-B279-B9A186032D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34637</xdr:colOff>
      <xdr:row>0</xdr:row>
      <xdr:rowOff>79788</xdr:rowOff>
    </xdr:from>
    <xdr:to>
      <xdr:col>8</xdr:col>
      <xdr:colOff>34637</xdr:colOff>
      <xdr:row>8</xdr:row>
      <xdr:rowOff>160293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450273" y="79788"/>
          <a:ext cx="7975023" cy="1535232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8659</xdr:colOff>
      <xdr:row>10</xdr:row>
      <xdr:rowOff>103908</xdr:rowOff>
    </xdr:from>
    <xdr:to>
      <xdr:col>5</xdr:col>
      <xdr:colOff>741218</xdr:colOff>
      <xdr:row>13</xdr:row>
      <xdr:rowOff>65808</xdr:rowOff>
    </xdr:to>
    <xdr:pic>
      <xdr:nvPicPr>
        <xdr:cNvPr id="4" name="Gráfico 3" descr="Dólar">
          <a:extLst>
            <a:ext uri="{FF2B5EF4-FFF2-40B4-BE49-F238E27FC236}">
              <a16:creationId xmlns:a16="http://schemas.microsoft.com/office/drawing/2014/main" id="{90341FAE-CE1E-46B7-A3C7-E6329391D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424795" y="1930976"/>
          <a:ext cx="732559" cy="732559"/>
        </a:xfrm>
        <a:prstGeom prst="rect">
          <a:avLst/>
        </a:prstGeom>
      </xdr:spPr>
    </xdr:pic>
    <xdr:clientData/>
  </xdr:twoCellAnchor>
  <xdr:twoCellAnchor>
    <xdr:from>
      <xdr:col>3</xdr:col>
      <xdr:colOff>155863</xdr:colOff>
      <xdr:row>31</xdr:row>
      <xdr:rowOff>77932</xdr:rowOff>
    </xdr:from>
    <xdr:to>
      <xdr:col>3</xdr:col>
      <xdr:colOff>978477</xdr:colOff>
      <xdr:row>31</xdr:row>
      <xdr:rowOff>147205</xdr:rowOff>
    </xdr:to>
    <xdr:sp macro="" textlink="">
      <xdr:nvSpPr>
        <xdr:cNvPr id="8" name="Seta: para a Direita 7">
          <a:extLst>
            <a:ext uri="{FF2B5EF4-FFF2-40B4-BE49-F238E27FC236}">
              <a16:creationId xmlns:a16="http://schemas.microsoft.com/office/drawing/2014/main" id="{FC3E4BB9-53C6-4425-8B31-7EDFD9B1324B}"/>
            </a:ext>
          </a:extLst>
        </xdr:cNvPr>
        <xdr:cNvSpPr/>
      </xdr:nvSpPr>
      <xdr:spPr>
        <a:xfrm>
          <a:off x="3160568" y="6468341"/>
          <a:ext cx="822614" cy="69273"/>
        </a:xfrm>
        <a:prstGeom prst="rightArrow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42"/>
  <sheetViews>
    <sheetView showGridLines="0" tabSelected="1" topLeftCell="A24" zoomScale="110" zoomScaleNormal="110" workbookViewId="0">
      <selection activeCell="I32" sqref="I32"/>
    </sheetView>
  </sheetViews>
  <sheetFormatPr defaultColWidth="0" defaultRowHeight="14.25"/>
  <cols>
    <col min="1" max="1" width="5.5" customWidth="1"/>
    <col min="2" max="2" width="21.375" customWidth="1"/>
    <col min="3" max="3" width="12.625" customWidth="1"/>
    <col min="4" max="4" width="15" customWidth="1"/>
    <col min="5" max="5" width="3.5" customWidth="1"/>
    <col min="6" max="6" width="17.875" customWidth="1"/>
    <col min="7" max="7" width="21.75" customWidth="1"/>
    <col min="8" max="16378" width="12.625" customWidth="1"/>
    <col min="16379" max="16379" width="17.5" customWidth="1"/>
    <col min="16380" max="16380" width="9.625" customWidth="1"/>
    <col min="16381" max="16381" width="3.125" customWidth="1"/>
    <col min="16382" max="16382" width="10.25" customWidth="1"/>
    <col min="16383" max="16383" width="6.5" customWidth="1"/>
    <col min="16384" max="16384" width="18.875" customWidth="1"/>
  </cols>
  <sheetData>
    <row r="10" spans="2:8" ht="15" thickBot="1"/>
    <row r="11" spans="2:8" ht="26.25">
      <c r="B11" s="51" t="s">
        <v>14</v>
      </c>
      <c r="C11" s="52"/>
      <c r="D11" s="53"/>
    </row>
    <row r="12" spans="2:8" ht="17.25">
      <c r="B12" s="55" t="s">
        <v>13</v>
      </c>
      <c r="C12" s="56"/>
      <c r="D12" s="16">
        <v>20000</v>
      </c>
    </row>
    <row r="13" spans="2:8" ht="17.25">
      <c r="B13" s="57" t="s">
        <v>12</v>
      </c>
      <c r="C13" s="58"/>
      <c r="D13" s="17">
        <v>6.0000000000000001E-3</v>
      </c>
    </row>
    <row r="14" spans="2:8" ht="18" thickBot="1">
      <c r="B14" s="59" t="s">
        <v>32</v>
      </c>
      <c r="C14" s="60"/>
      <c r="D14" s="18">
        <f>$D$12*30%</f>
        <v>6000</v>
      </c>
    </row>
    <row r="15" spans="2:8" ht="15" thickBot="1"/>
    <row r="16" spans="2:8" ht="28.5" customHeight="1">
      <c r="B16" s="49" t="s">
        <v>35</v>
      </c>
      <c r="C16" s="50"/>
      <c r="D16" s="54"/>
      <c r="F16" s="49" t="s">
        <v>33</v>
      </c>
      <c r="G16" s="50"/>
      <c r="H16" s="54"/>
    </row>
    <row r="17" spans="1:8" ht="17.25">
      <c r="B17" s="55" t="s">
        <v>0</v>
      </c>
      <c r="C17" s="56"/>
      <c r="D17" s="11">
        <v>200</v>
      </c>
      <c r="F17" s="55" t="s">
        <v>0</v>
      </c>
      <c r="G17" s="56"/>
      <c r="H17" s="39">
        <f>$D$12*30%</f>
        <v>6000</v>
      </c>
    </row>
    <row r="18" spans="1:8" ht="17.25">
      <c r="B18" s="57" t="s">
        <v>1</v>
      </c>
      <c r="C18" s="58"/>
      <c r="D18" s="12">
        <v>5</v>
      </c>
      <c r="F18" s="57" t="s">
        <v>1</v>
      </c>
      <c r="G18" s="58"/>
      <c r="H18" s="12">
        <v>5</v>
      </c>
    </row>
    <row r="19" spans="1:8" ht="17.25">
      <c r="B19" s="57" t="s">
        <v>2</v>
      </c>
      <c r="C19" s="58"/>
      <c r="D19" s="13">
        <v>1.0789999999999999E-2</v>
      </c>
      <c r="F19" s="57" t="s">
        <v>2</v>
      </c>
      <c r="G19" s="58"/>
      <c r="H19" s="13">
        <v>1.0789999999999999E-2</v>
      </c>
    </row>
    <row r="20" spans="1:8" ht="17.25">
      <c r="B20" s="45" t="s">
        <v>3</v>
      </c>
      <c r="C20" s="46"/>
      <c r="D20" s="14">
        <f>FV(taxa_mensal,qtd_anos*12,aporte*-1)</f>
        <v>16755.382799697527</v>
      </c>
      <c r="F20" s="45" t="s">
        <v>3</v>
      </c>
      <c r="G20" s="46"/>
      <c r="H20" s="14">
        <f>FV(taxa_mensal,qtd_anos*12,H17*-1)</f>
        <v>502661.48399092589</v>
      </c>
    </row>
    <row r="21" spans="1:8" ht="18" thickBot="1">
      <c r="B21" s="47" t="s">
        <v>4</v>
      </c>
      <c r="C21" s="48"/>
      <c r="D21" s="15">
        <f>patrimonio*rendimento_carteira</f>
        <v>100.53229679818516</v>
      </c>
      <c r="F21" s="47" t="s">
        <v>4</v>
      </c>
      <c r="G21" s="48"/>
      <c r="H21" s="15">
        <f>patrimonio_sugerido*rendimento_carteira</f>
        <v>3015.9689039455552</v>
      </c>
    </row>
    <row r="22" spans="1:8" ht="15" thickBot="1"/>
    <row r="23" spans="1:8" ht="17.25">
      <c r="B23" s="49" t="s">
        <v>10</v>
      </c>
      <c r="C23" s="50"/>
      <c r="D23" s="4" t="s">
        <v>11</v>
      </c>
      <c r="F23" s="49" t="s">
        <v>34</v>
      </c>
      <c r="G23" s="50"/>
      <c r="H23" s="4" t="s">
        <v>11</v>
      </c>
    </row>
    <row r="24" spans="1:8" ht="17.25">
      <c r="A24" s="1">
        <v>2</v>
      </c>
      <c r="B24" s="36" t="s">
        <v>5</v>
      </c>
      <c r="C24" s="5">
        <f>FV($D$19,$A24*12,$D$17*-1)</f>
        <v>5445.5254595290435</v>
      </c>
      <c r="D24" s="6">
        <f>C24*rendimento_carteira</f>
        <v>32.673152757174265</v>
      </c>
      <c r="E24" s="1">
        <v>2</v>
      </c>
      <c r="F24" s="36" t="s">
        <v>5</v>
      </c>
      <c r="G24" s="5">
        <f>FV($H$19,$E24*12,$H$17*-1)</f>
        <v>163365.7637858713</v>
      </c>
      <c r="H24" s="6">
        <f>G24*rendimento_carteira</f>
        <v>980.19458271522785</v>
      </c>
    </row>
    <row r="25" spans="1:8" ht="17.25">
      <c r="A25" s="1">
        <v>5</v>
      </c>
      <c r="B25" s="37" t="s">
        <v>6</v>
      </c>
      <c r="C25" s="7">
        <f>FV($D$19,$A25*12,$D$17*-1)</f>
        <v>16755.382799697527</v>
      </c>
      <c r="D25" s="8">
        <f>C25*rendimento_carteira</f>
        <v>100.53229679818516</v>
      </c>
      <c r="E25" s="1">
        <v>5</v>
      </c>
      <c r="F25" s="37" t="s">
        <v>6</v>
      </c>
      <c r="G25" s="5">
        <f t="shared" ref="G25:G28" si="0">FV($H$19,$E25*12,$H$17*-1)</f>
        <v>502661.48399092589</v>
      </c>
      <c r="H25" s="8">
        <f>G25*rendimento_carteira</f>
        <v>3015.9689039455552</v>
      </c>
    </row>
    <row r="26" spans="1:8" ht="17.25">
      <c r="A26" s="1">
        <v>10</v>
      </c>
      <c r="B26" s="37" t="s">
        <v>7</v>
      </c>
      <c r="C26" s="7">
        <f>FV($D$19,$A26*12,$D$17*-1)</f>
        <v>48656.842506034438</v>
      </c>
      <c r="D26" s="8">
        <f>C26*rendimento_carteira</f>
        <v>291.94105503620665</v>
      </c>
      <c r="E26" s="1">
        <v>10</v>
      </c>
      <c r="F26" s="37" t="s">
        <v>7</v>
      </c>
      <c r="G26" s="5">
        <f t="shared" si="0"/>
        <v>1459705.2751810332</v>
      </c>
      <c r="H26" s="8">
        <f>G26*rendimento_carteira</f>
        <v>8758.2316510862001</v>
      </c>
    </row>
    <row r="27" spans="1:8" ht="17.25">
      <c r="A27" s="1">
        <v>20</v>
      </c>
      <c r="B27" s="37" t="s">
        <v>8</v>
      </c>
      <c r="C27" s="7">
        <f>FV($D$19,$A27*12,$D$17*-1)</f>
        <v>225039.68001941612</v>
      </c>
      <c r="D27" s="8">
        <f>C27*rendimento_carteira</f>
        <v>1350.2380801164968</v>
      </c>
      <c r="E27" s="1">
        <v>20</v>
      </c>
      <c r="F27" s="37" t="s">
        <v>8</v>
      </c>
      <c r="G27" s="5">
        <f t="shared" si="0"/>
        <v>6751190.400582484</v>
      </c>
      <c r="H27" s="8">
        <f>G27*rendimento_carteira</f>
        <v>40507.142403494901</v>
      </c>
    </row>
    <row r="28" spans="1:8" ht="18" thickBot="1">
      <c r="A28" s="1">
        <v>30</v>
      </c>
      <c r="B28" s="38" t="s">
        <v>9</v>
      </c>
      <c r="C28" s="9">
        <f>FV($D$19,$A28*12,$D$17*-1)</f>
        <v>864433.93100094295</v>
      </c>
      <c r="D28" s="10">
        <f>C28*rendimento_carteira</f>
        <v>5186.6035860056581</v>
      </c>
      <c r="E28" s="1">
        <v>30</v>
      </c>
      <c r="F28" s="38" t="s">
        <v>9</v>
      </c>
      <c r="G28" s="9">
        <f t="shared" si="0"/>
        <v>25933017.930028286</v>
      </c>
      <c r="H28" s="10">
        <f>G28*rendimento_carteira</f>
        <v>155598.10758016972</v>
      </c>
    </row>
    <row r="30" spans="1:8" ht="12.75" customHeight="1"/>
    <row r="31" spans="1:8" ht="6" customHeight="1"/>
    <row r="32" spans="1:8" ht="17.25" customHeight="1">
      <c r="B32" s="19"/>
      <c r="C32" s="40" t="s">
        <v>19</v>
      </c>
      <c r="D32" s="40"/>
      <c r="E32" s="19"/>
      <c r="F32" s="44" t="s">
        <v>16</v>
      </c>
      <c r="G32" s="20"/>
      <c r="H32" s="19"/>
    </row>
    <row r="33" spans="2:8" ht="27.75" customHeight="1">
      <c r="B33" s="35" t="s">
        <v>18</v>
      </c>
      <c r="C33" s="41">
        <f>aporte</f>
        <v>200</v>
      </c>
      <c r="D33" s="42"/>
      <c r="F33" s="35" t="s">
        <v>18</v>
      </c>
      <c r="G33" s="41">
        <f>$D$12*30%</f>
        <v>6000</v>
      </c>
    </row>
    <row r="35" spans="2:8" ht="27.75" customHeight="1">
      <c r="B35" s="21" t="s">
        <v>20</v>
      </c>
      <c r="C35" s="34" t="s">
        <v>21</v>
      </c>
      <c r="D35" s="21" t="s">
        <v>22</v>
      </c>
      <c r="F35" s="21" t="s">
        <v>20</v>
      </c>
      <c r="G35" s="34" t="s">
        <v>21</v>
      </c>
      <c r="H35" s="21" t="s">
        <v>22</v>
      </c>
    </row>
    <row r="36" spans="2:8">
      <c r="B36" s="2" t="s">
        <v>23</v>
      </c>
      <c r="C36" s="3">
        <f>VLOOKUP($F$32&amp;"-"&amp;B36,Planilha2!$A:$D,4,FALSE)</f>
        <v>0.32</v>
      </c>
      <c r="D36" s="24">
        <f>C36*$C$33</f>
        <v>64</v>
      </c>
      <c r="F36" s="2" t="s">
        <v>23</v>
      </c>
      <c r="G36" s="3">
        <f>VLOOKUP($F$32&amp;"-"&amp;F36,Planilha2!$A:$D,4,FALSE)</f>
        <v>0.32</v>
      </c>
      <c r="H36" s="24">
        <f t="shared" ref="H36:H41" si="1">G36*$G$33</f>
        <v>1920</v>
      </c>
    </row>
    <row r="37" spans="2:8">
      <c r="B37" s="2" t="s">
        <v>24</v>
      </c>
      <c r="C37" s="3">
        <f>VLOOKUP($F$32&amp;"-"&amp;B37,Planilha2!$A:$D,4,FALSE)</f>
        <v>0.35</v>
      </c>
      <c r="D37" s="24">
        <f t="shared" ref="D37:D41" si="2">C37*$C$33</f>
        <v>70</v>
      </c>
      <c r="F37" s="2" t="s">
        <v>24</v>
      </c>
      <c r="G37" s="3">
        <f>VLOOKUP($F$32&amp;"-"&amp;F37,Planilha2!$A:$D,4,FALSE)</f>
        <v>0.35</v>
      </c>
      <c r="H37" s="24">
        <f t="shared" si="1"/>
        <v>2100</v>
      </c>
    </row>
    <row r="38" spans="2:8">
      <c r="B38" s="2" t="s">
        <v>25</v>
      </c>
      <c r="C38" s="3">
        <f>VLOOKUP($F$32&amp;"-"&amp;B38,Planilha2!$A:$D,4,FALSE)</f>
        <v>0.08</v>
      </c>
      <c r="D38" s="24">
        <f t="shared" si="2"/>
        <v>16</v>
      </c>
      <c r="F38" s="2" t="s">
        <v>25</v>
      </c>
      <c r="G38" s="3">
        <f>VLOOKUP($F$32&amp;"-"&amp;F38,Planilha2!$A:$D,4,FALSE)</f>
        <v>0.08</v>
      </c>
      <c r="H38" s="24">
        <f t="shared" si="1"/>
        <v>480</v>
      </c>
    </row>
    <row r="39" spans="2:8">
      <c r="B39" s="2" t="s">
        <v>26</v>
      </c>
      <c r="C39" s="3">
        <f>VLOOKUP($F$32&amp;"-"&amp;B39,Planilha2!$A:$D,4,FALSE)</f>
        <v>0.05</v>
      </c>
      <c r="D39" s="24">
        <f t="shared" si="2"/>
        <v>10</v>
      </c>
      <c r="F39" s="2" t="s">
        <v>26</v>
      </c>
      <c r="G39" s="3">
        <f>VLOOKUP($F$32&amp;"-"&amp;F39,Planilha2!$A:$D,4,FALSE)</f>
        <v>0.05</v>
      </c>
      <c r="H39" s="24">
        <f t="shared" si="1"/>
        <v>300</v>
      </c>
    </row>
    <row r="40" spans="2:8">
      <c r="B40" s="2" t="s">
        <v>27</v>
      </c>
      <c r="C40" s="3">
        <f>VLOOKUP($F$32&amp;"-"&amp;B40,Planilha2!$A:$D,4,FALSE)</f>
        <v>0.1</v>
      </c>
      <c r="D40" s="24">
        <f t="shared" si="2"/>
        <v>20</v>
      </c>
      <c r="F40" s="2" t="s">
        <v>27</v>
      </c>
      <c r="G40" s="3">
        <f>VLOOKUP($F$32&amp;"-"&amp;F40,Planilha2!$A:$D,4,FALSE)</f>
        <v>0.1</v>
      </c>
      <c r="H40" s="24">
        <f t="shared" si="1"/>
        <v>600</v>
      </c>
    </row>
    <row r="41" spans="2:8">
      <c r="B41" s="2" t="s">
        <v>28</v>
      </c>
      <c r="C41" s="3">
        <f>VLOOKUP($F$32&amp;"-"&amp;B41,Planilha2!$A:$D,4,FALSE)</f>
        <v>0.1</v>
      </c>
      <c r="D41" s="24">
        <f t="shared" si="2"/>
        <v>20</v>
      </c>
      <c r="F41" s="2" t="s">
        <v>28</v>
      </c>
      <c r="G41" s="3">
        <f>VLOOKUP($F$32&amp;"-"&amp;F41,Planilha2!$A:$D,4,FALSE)</f>
        <v>0.1</v>
      </c>
      <c r="H41" s="24">
        <f t="shared" si="1"/>
        <v>600</v>
      </c>
    </row>
    <row r="42" spans="2:8" ht="15">
      <c r="B42" s="22"/>
      <c r="C42" s="22"/>
      <c r="D42" s="23">
        <f>SUM(D36:D41)</f>
        <v>200</v>
      </c>
      <c r="F42" s="22"/>
      <c r="G42" s="22"/>
      <c r="H42" s="43">
        <f>SUM(H36:H41)</f>
        <v>6000</v>
      </c>
    </row>
  </sheetData>
  <mergeCells count="18">
    <mergeCell ref="B21:C21"/>
    <mergeCell ref="B16:D16"/>
    <mergeCell ref="F20:G20"/>
    <mergeCell ref="F21:G21"/>
    <mergeCell ref="F23:G23"/>
    <mergeCell ref="B11:D11"/>
    <mergeCell ref="F16:H16"/>
    <mergeCell ref="F17:G17"/>
    <mergeCell ref="F18:G18"/>
    <mergeCell ref="F19:G19"/>
    <mergeCell ref="B12:C12"/>
    <mergeCell ref="B13:C13"/>
    <mergeCell ref="B14:C14"/>
    <mergeCell ref="B20:C20"/>
    <mergeCell ref="B23:C23"/>
    <mergeCell ref="B17:C17"/>
    <mergeCell ref="B18:C18"/>
    <mergeCell ref="B19:C19"/>
  </mergeCells>
  <dataValidations count="1">
    <dataValidation type="list" allowBlank="1" showInputMessage="1" showErrorMessage="1" sqref="F32:G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4.25"/>
  <cols>
    <col min="1" max="1" width="29.125" bestFit="1" customWidth="1"/>
    <col min="2" max="2" width="11.5" bestFit="1" customWidth="1"/>
    <col min="3" max="3" width="17.75" bestFit="1" customWidth="1"/>
    <col min="7" max="7" width="15.375" bestFit="1" customWidth="1"/>
  </cols>
  <sheetData>
    <row r="2" spans="1:8">
      <c r="A2" s="32" t="s">
        <v>30</v>
      </c>
      <c r="B2" s="32" t="s">
        <v>19</v>
      </c>
      <c r="C2" s="33" t="s">
        <v>20</v>
      </c>
      <c r="D2" s="33" t="s">
        <v>29</v>
      </c>
    </row>
    <row r="3" spans="1:8">
      <c r="A3" t="str">
        <f>B3&amp;"-"&amp;C3</f>
        <v>Conservador-PAPEL</v>
      </c>
      <c r="B3" t="s">
        <v>15</v>
      </c>
      <c r="C3" s="2" t="s">
        <v>23</v>
      </c>
      <c r="D3" s="3">
        <v>0.3</v>
      </c>
      <c r="H3" t="s">
        <v>29</v>
      </c>
    </row>
    <row r="4" spans="1:8">
      <c r="A4" t="str">
        <f t="shared" ref="A4:A20" si="0">B4&amp;"-"&amp;C4</f>
        <v>Conservador-TIJOLO</v>
      </c>
      <c r="B4" t="s">
        <v>15</v>
      </c>
      <c r="C4" s="2" t="s">
        <v>24</v>
      </c>
      <c r="D4" s="3">
        <v>0.5</v>
      </c>
      <c r="G4" s="19" t="s">
        <v>31</v>
      </c>
      <c r="H4" s="31">
        <f>VLOOKUP(G4,$A:$D,4,FALSE)</f>
        <v>0.35</v>
      </c>
    </row>
    <row r="5" spans="1:8">
      <c r="A5" t="str">
        <f t="shared" si="0"/>
        <v>Conservador-HÍBRIDOS</v>
      </c>
      <c r="B5" t="s">
        <v>15</v>
      </c>
      <c r="C5" s="2" t="s">
        <v>25</v>
      </c>
      <c r="D5" s="3">
        <v>0.1</v>
      </c>
    </row>
    <row r="6" spans="1:8">
      <c r="A6" t="str">
        <f t="shared" si="0"/>
        <v>Conservador-FOFs</v>
      </c>
      <c r="B6" t="s">
        <v>15</v>
      </c>
      <c r="C6" s="2" t="s">
        <v>26</v>
      </c>
      <c r="D6" s="3">
        <v>0.1</v>
      </c>
    </row>
    <row r="7" spans="1:8">
      <c r="A7" t="str">
        <f t="shared" si="0"/>
        <v>Conservador-DESENVOLVIMENTO</v>
      </c>
      <c r="B7" t="s">
        <v>15</v>
      </c>
      <c r="C7" s="2" t="s">
        <v>27</v>
      </c>
      <c r="D7" s="3">
        <v>0</v>
      </c>
    </row>
    <row r="8" spans="1:8" ht="15" thickBot="1">
      <c r="A8" s="25" t="str">
        <f t="shared" si="0"/>
        <v>Conservador-HOTELARIAS</v>
      </c>
      <c r="B8" s="25" t="s">
        <v>15</v>
      </c>
      <c r="C8" s="26" t="s">
        <v>28</v>
      </c>
      <c r="D8" s="27">
        <v>0</v>
      </c>
    </row>
    <row r="9" spans="1:8">
      <c r="A9" t="str">
        <f t="shared" si="0"/>
        <v>Moderado-PAPEL</v>
      </c>
      <c r="B9" t="s">
        <v>16</v>
      </c>
      <c r="C9" s="2" t="s">
        <v>23</v>
      </c>
      <c r="D9" s="3">
        <v>0.32</v>
      </c>
    </row>
    <row r="10" spans="1:8">
      <c r="A10" s="28" t="str">
        <f t="shared" si="0"/>
        <v>Moderado-TIJOLO</v>
      </c>
      <c r="B10" s="28" t="s">
        <v>16</v>
      </c>
      <c r="C10" s="29" t="s">
        <v>24</v>
      </c>
      <c r="D10" s="30">
        <v>0.35</v>
      </c>
    </row>
    <row r="11" spans="1:8">
      <c r="A11" t="str">
        <f t="shared" si="0"/>
        <v>Moderado-HÍBRIDOS</v>
      </c>
      <c r="B11" t="s">
        <v>16</v>
      </c>
      <c r="C11" s="2" t="s">
        <v>25</v>
      </c>
      <c r="D11" s="3">
        <v>0.08</v>
      </c>
    </row>
    <row r="12" spans="1:8">
      <c r="A12" t="str">
        <f t="shared" si="0"/>
        <v>Moderado-FOFs</v>
      </c>
      <c r="B12" t="s">
        <v>16</v>
      </c>
      <c r="C12" s="2" t="s">
        <v>26</v>
      </c>
      <c r="D12" s="3">
        <v>0.05</v>
      </c>
    </row>
    <row r="13" spans="1:8">
      <c r="A13" t="str">
        <f t="shared" si="0"/>
        <v>Moderado-DESENVOLVIMENTO</v>
      </c>
      <c r="B13" t="s">
        <v>16</v>
      </c>
      <c r="C13" s="2" t="s">
        <v>27</v>
      </c>
      <c r="D13" s="3">
        <v>0.1</v>
      </c>
    </row>
    <row r="14" spans="1:8" ht="15" thickBot="1">
      <c r="A14" s="25" t="str">
        <f t="shared" si="0"/>
        <v>Moderado-HOTELARIAS</v>
      </c>
      <c r="B14" s="25" t="s">
        <v>16</v>
      </c>
      <c r="C14" s="26" t="s">
        <v>28</v>
      </c>
      <c r="D14" s="27">
        <v>0.1</v>
      </c>
    </row>
    <row r="15" spans="1:8">
      <c r="A15" t="str">
        <f t="shared" si="0"/>
        <v>Agressivo-PAPEL</v>
      </c>
      <c r="B15" t="s">
        <v>17</v>
      </c>
      <c r="C15" s="2" t="s">
        <v>23</v>
      </c>
      <c r="D15" s="3">
        <v>0.5</v>
      </c>
    </row>
    <row r="16" spans="1:8">
      <c r="A16" t="str">
        <f t="shared" si="0"/>
        <v>Agressivo-TIJOLO</v>
      </c>
      <c r="B16" t="s">
        <v>17</v>
      </c>
      <c r="C16" s="2" t="s">
        <v>24</v>
      </c>
      <c r="D16" s="3">
        <v>0.1</v>
      </c>
    </row>
    <row r="17" spans="1:4">
      <c r="A17" t="str">
        <f t="shared" si="0"/>
        <v>Agressivo-HÍBRIDOS</v>
      </c>
      <c r="B17" t="s">
        <v>17</v>
      </c>
      <c r="C17" s="2" t="s">
        <v>25</v>
      </c>
      <c r="D17" s="3">
        <v>0.05</v>
      </c>
    </row>
    <row r="18" spans="1:4">
      <c r="A18" t="str">
        <f t="shared" si="0"/>
        <v>Agressivo-FOFs</v>
      </c>
      <c r="B18" t="s">
        <v>17</v>
      </c>
      <c r="C18" s="2" t="s">
        <v>26</v>
      </c>
      <c r="D18" s="3">
        <v>0.05</v>
      </c>
    </row>
    <row r="19" spans="1:4">
      <c r="A19" t="str">
        <f t="shared" si="0"/>
        <v>Agressivo-DESENVOLVIMENTO</v>
      </c>
      <c r="B19" t="s">
        <v>17</v>
      </c>
      <c r="C19" s="2" t="s">
        <v>27</v>
      </c>
      <c r="D19" s="3">
        <v>0.2</v>
      </c>
    </row>
    <row r="20" spans="1:4">
      <c r="A20" t="str">
        <f t="shared" si="0"/>
        <v>Agressivo-HOTELARIAS</v>
      </c>
      <c r="B20" t="s">
        <v>17</v>
      </c>
      <c r="C20" s="2" t="s">
        <v>28</v>
      </c>
      <c r="D20" s="3">
        <v>0.1</v>
      </c>
    </row>
    <row r="21" spans="1:4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APP</vt:lpstr>
      <vt:lpstr>Planilha2</vt:lpstr>
      <vt:lpstr>aporte</vt:lpstr>
      <vt:lpstr>patrimonio</vt:lpstr>
      <vt:lpstr>patrimonio_sugerido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Jaqueline Mantezi</cp:lastModifiedBy>
  <cp:lastPrinted>2025-06-25T13:31:35Z</cp:lastPrinted>
  <dcterms:created xsi:type="dcterms:W3CDTF">2025-04-16T18:38:03Z</dcterms:created>
  <dcterms:modified xsi:type="dcterms:W3CDTF">2025-06-27T02:11:47Z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