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Fukushima Radiation Boar Snake project/Fukushima-disaster-eval-safety/excel data/raw/"/>
    </mc:Choice>
  </mc:AlternateContent>
  <xr:revisionPtr revIDLastSave="0" documentId="13_ncr:1_{2B80C687-BF22-D24B-8041-C125BAA281D3}" xr6:coauthVersionLast="43" xr6:coauthVersionMax="43" xr10:uidLastSave="{00000000-0000-0000-0000-000000000000}"/>
  <bookViews>
    <workbookView xWindow="0" yWindow="460" windowWidth="27120" windowHeight="12620" tabRatio="691" xr2:uid="{00000000-000D-0000-FFFF-FFFF00000000}"/>
  </bookViews>
  <sheets>
    <sheet name="2016+2018 boar" sheetId="1" r:id="rId1"/>
    <sheet name="134Cs backcals" sheetId="4" r:id="rId2"/>
    <sheet name="Cs soil" sheetId="3" r:id="rId3"/>
    <sheet name="Cs Data (Boar)" sheetId="2" r:id="rId4"/>
  </sheets>
  <definedNames>
    <definedName name="_xlnm.Print_Area" localSheetId="0">'2016+2018 boar'!$B$5:$T$48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45" i="1" l="1"/>
  <c r="AL46" i="1"/>
  <c r="AK45" i="1"/>
  <c r="AK46" i="1"/>
  <c r="AJ45" i="1"/>
  <c r="AJ46" i="1"/>
  <c r="AH45" i="1"/>
  <c r="AH46" i="1"/>
  <c r="AF45" i="1"/>
  <c r="AF46" i="1"/>
  <c r="AF44" i="1"/>
  <c r="Z46" i="1" l="1"/>
  <c r="Z45" i="1"/>
  <c r="G49" i="1" l="1"/>
  <c r="G120" i="1" l="1"/>
  <c r="G119" i="1"/>
  <c r="G50" i="1"/>
  <c r="K50" i="1"/>
  <c r="K49" i="1"/>
  <c r="K120" i="1"/>
  <c r="K119" i="1"/>
  <c r="Z1" i="1"/>
  <c r="AD120" i="1"/>
  <c r="AD119" i="1"/>
  <c r="O94" i="1"/>
  <c r="AD50" i="1"/>
  <c r="AD49" i="1"/>
  <c r="AG94" i="1" l="1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E97" i="4"/>
  <c r="E96" i="4"/>
  <c r="E89" i="4"/>
  <c r="E88" i="4"/>
  <c r="E81" i="4"/>
  <c r="E80" i="4"/>
  <c r="E73" i="4"/>
  <c r="E72" i="4"/>
  <c r="E64" i="4"/>
  <c r="E56" i="4"/>
  <c r="I97" i="4"/>
  <c r="I96" i="4"/>
  <c r="I95" i="4"/>
  <c r="I94" i="4"/>
  <c r="I89" i="4"/>
  <c r="I88" i="4"/>
  <c r="I87" i="4"/>
  <c r="I86" i="4"/>
  <c r="I81" i="4"/>
  <c r="I80" i="4"/>
  <c r="I79" i="4"/>
  <c r="I78" i="4"/>
  <c r="I73" i="4"/>
  <c r="I72" i="4"/>
  <c r="I71" i="4"/>
  <c r="I70" i="4"/>
  <c r="I64" i="4"/>
  <c r="I63" i="4"/>
  <c r="I62" i="4"/>
  <c r="I56" i="4"/>
  <c r="I55" i="4"/>
  <c r="I54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D97" i="4"/>
  <c r="D96" i="4"/>
  <c r="D95" i="4"/>
  <c r="E95" i="4" s="1"/>
  <c r="D94" i="4"/>
  <c r="E94" i="4" s="1"/>
  <c r="D93" i="4"/>
  <c r="I93" i="4" s="1"/>
  <c r="D92" i="4"/>
  <c r="I92" i="4" s="1"/>
  <c r="D91" i="4"/>
  <c r="I91" i="4" s="1"/>
  <c r="D90" i="4"/>
  <c r="I90" i="4" s="1"/>
  <c r="D89" i="4"/>
  <c r="D88" i="4"/>
  <c r="D87" i="4"/>
  <c r="E87" i="4" s="1"/>
  <c r="D86" i="4"/>
  <c r="E86" i="4" s="1"/>
  <c r="D85" i="4"/>
  <c r="I85" i="4" s="1"/>
  <c r="D84" i="4"/>
  <c r="I84" i="4" s="1"/>
  <c r="D83" i="4"/>
  <c r="E83" i="4" s="1"/>
  <c r="D82" i="4"/>
  <c r="I82" i="4" s="1"/>
  <c r="D81" i="4"/>
  <c r="D80" i="4"/>
  <c r="D79" i="4"/>
  <c r="E79" i="4" s="1"/>
  <c r="D78" i="4"/>
  <c r="E78" i="4" s="1"/>
  <c r="D77" i="4"/>
  <c r="I77" i="4" s="1"/>
  <c r="D76" i="4"/>
  <c r="E76" i="4" s="1"/>
  <c r="D75" i="4"/>
  <c r="I75" i="4" s="1"/>
  <c r="D74" i="4"/>
  <c r="I74" i="4" s="1"/>
  <c r="D72" i="4"/>
  <c r="D71" i="4"/>
  <c r="E71" i="4" s="1"/>
  <c r="D70" i="4"/>
  <c r="E70" i="4" s="1"/>
  <c r="D69" i="4"/>
  <c r="I69" i="4" s="1"/>
  <c r="D68" i="4"/>
  <c r="I68" i="4" s="1"/>
  <c r="D67" i="4"/>
  <c r="E67" i="4" s="1"/>
  <c r="D66" i="4"/>
  <c r="I66" i="4" s="1"/>
  <c r="D65" i="4"/>
  <c r="E65" i="4" s="1"/>
  <c r="D64" i="4"/>
  <c r="D63" i="4"/>
  <c r="E63" i="4" s="1"/>
  <c r="D62" i="4"/>
  <c r="E62" i="4" s="1"/>
  <c r="D61" i="4"/>
  <c r="I61" i="4" s="1"/>
  <c r="D60" i="4"/>
  <c r="E60" i="4" s="1"/>
  <c r="D59" i="4"/>
  <c r="I59" i="4" s="1"/>
  <c r="D58" i="4"/>
  <c r="I58" i="4" s="1"/>
  <c r="D57" i="4"/>
  <c r="I57" i="4" s="1"/>
  <c r="D56" i="4"/>
  <c r="D55" i="4"/>
  <c r="E55" i="4" s="1"/>
  <c r="D54" i="4"/>
  <c r="E54" i="4" s="1"/>
  <c r="D53" i="4"/>
  <c r="I53" i="4" s="1"/>
  <c r="D52" i="4"/>
  <c r="I52" i="4" s="1"/>
  <c r="E58" i="4" l="1"/>
  <c r="E66" i="4"/>
  <c r="E74" i="4"/>
  <c r="E82" i="4"/>
  <c r="E90" i="4"/>
  <c r="E91" i="4"/>
  <c r="E57" i="4"/>
  <c r="I65" i="4"/>
  <c r="E59" i="4"/>
  <c r="E75" i="4"/>
  <c r="E68" i="4"/>
  <c r="E84" i="4"/>
  <c r="I67" i="4"/>
  <c r="I83" i="4"/>
  <c r="E53" i="4"/>
  <c r="E61" i="4"/>
  <c r="E69" i="4"/>
  <c r="E77" i="4"/>
  <c r="E85" i="4"/>
  <c r="E93" i="4"/>
  <c r="E52" i="4"/>
  <c r="E92" i="4"/>
  <c r="I60" i="4"/>
  <c r="I76" i="4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AE94" i="1" s="1"/>
  <c r="Z94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B77" i="1" s="1"/>
  <c r="AA76" i="1"/>
  <c r="Z76" i="1"/>
  <c r="AA75" i="1"/>
  <c r="Z75" i="1"/>
  <c r="AA74" i="1"/>
  <c r="Z74" i="1"/>
  <c r="AA73" i="1"/>
  <c r="Z73" i="1"/>
  <c r="AL94" i="1" l="1"/>
  <c r="AB94" i="1"/>
  <c r="AL82" i="1"/>
  <c r="AB82" i="1"/>
  <c r="AL99" i="1"/>
  <c r="AB99" i="1"/>
  <c r="AL73" i="1"/>
  <c r="AB73" i="1"/>
  <c r="AL89" i="1"/>
  <c r="AB89" i="1"/>
  <c r="AL110" i="1"/>
  <c r="AB110" i="1"/>
  <c r="AL86" i="1"/>
  <c r="AB86" i="1"/>
  <c r="AL107" i="1"/>
  <c r="AB107" i="1"/>
  <c r="AL83" i="1"/>
  <c r="AB83" i="1"/>
  <c r="AL96" i="1"/>
  <c r="AB96" i="1"/>
  <c r="AL116" i="1"/>
  <c r="AB116" i="1"/>
  <c r="AL102" i="1"/>
  <c r="AB102" i="1"/>
  <c r="AL90" i="1"/>
  <c r="AB90" i="1"/>
  <c r="AL75" i="1"/>
  <c r="AB75" i="1"/>
  <c r="AL91" i="1"/>
  <c r="AB91" i="1"/>
  <c r="AL104" i="1"/>
  <c r="AB104" i="1"/>
  <c r="AL112" i="1"/>
  <c r="AB112" i="1"/>
  <c r="AL81" i="1"/>
  <c r="AB81" i="1"/>
  <c r="AL98" i="1"/>
  <c r="AB98" i="1"/>
  <c r="AL114" i="1"/>
  <c r="AB114" i="1"/>
  <c r="AL78" i="1"/>
  <c r="AB78" i="1"/>
  <c r="AL103" i="1"/>
  <c r="AB103" i="1"/>
  <c r="AL79" i="1"/>
  <c r="AB79" i="1"/>
  <c r="AL100" i="1"/>
  <c r="AB100" i="1"/>
  <c r="AL84" i="1"/>
  <c r="AB84" i="1"/>
  <c r="AL92" i="1"/>
  <c r="AB92" i="1"/>
  <c r="AL101" i="1"/>
  <c r="AB101" i="1"/>
  <c r="AL105" i="1"/>
  <c r="AB105" i="1"/>
  <c r="AL109" i="1"/>
  <c r="AB109" i="1"/>
  <c r="AL113" i="1"/>
  <c r="AB113" i="1"/>
  <c r="AL117" i="1"/>
  <c r="AB117" i="1"/>
  <c r="AL85" i="1"/>
  <c r="AB85" i="1"/>
  <c r="AL106" i="1"/>
  <c r="AB106" i="1"/>
  <c r="AL74" i="1"/>
  <c r="AB74" i="1"/>
  <c r="AL95" i="1"/>
  <c r="AB95" i="1"/>
  <c r="AL111" i="1"/>
  <c r="AB111" i="1"/>
  <c r="AL115" i="1"/>
  <c r="AB115" i="1"/>
  <c r="AL87" i="1"/>
  <c r="AB87" i="1"/>
  <c r="AL108" i="1"/>
  <c r="AB108" i="1"/>
  <c r="AL76" i="1"/>
  <c r="AB76" i="1"/>
  <c r="AL80" i="1"/>
  <c r="AB80" i="1"/>
  <c r="AL88" i="1"/>
  <c r="AB88" i="1"/>
  <c r="AL97" i="1"/>
  <c r="AB97" i="1"/>
  <c r="AL120" i="1"/>
  <c r="AL119" i="1"/>
  <c r="AC94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AB120" i="1" l="1"/>
  <c r="AB119" i="1"/>
  <c r="W120" i="1"/>
  <c r="W119" i="1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H14" i="4"/>
  <c r="H7" i="4"/>
  <c r="O98" i="1" l="1"/>
  <c r="O97" i="1"/>
  <c r="O117" i="1"/>
  <c r="O116" i="1"/>
  <c r="O115" i="1"/>
  <c r="O114" i="1"/>
  <c r="O113" i="1"/>
  <c r="O109" i="1"/>
  <c r="O107" i="1"/>
  <c r="O108" i="1"/>
  <c r="O106" i="1"/>
  <c r="O105" i="1"/>
  <c r="O104" i="1"/>
  <c r="O103" i="1"/>
  <c r="O102" i="1"/>
  <c r="O118" i="1"/>
  <c r="AG118" i="1" s="1"/>
  <c r="O112" i="1"/>
  <c r="O111" i="1"/>
  <c r="O99" i="1"/>
  <c r="O96" i="1"/>
  <c r="O95" i="1"/>
  <c r="O93" i="1"/>
  <c r="AG93" i="1" s="1"/>
  <c r="O88" i="1"/>
  <c r="O90" i="1"/>
  <c r="O91" i="1"/>
  <c r="O92" i="1"/>
  <c r="O89" i="1"/>
  <c r="O110" i="1"/>
  <c r="O101" i="1"/>
  <c r="O100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AG78" i="1" l="1"/>
  <c r="AC78" i="1"/>
  <c r="AE78" i="1"/>
  <c r="AF78" i="1" s="1"/>
  <c r="AH78" i="1" s="1"/>
  <c r="AG86" i="1"/>
  <c r="AC86" i="1"/>
  <c r="AE86" i="1"/>
  <c r="AF86" i="1" s="1"/>
  <c r="AG109" i="1"/>
  <c r="AE109" i="1"/>
  <c r="AF109" i="1" s="1"/>
  <c r="AH109" i="1" s="1"/>
  <c r="AC109" i="1"/>
  <c r="AG75" i="1"/>
  <c r="AC75" i="1"/>
  <c r="AE75" i="1"/>
  <c r="AF75" i="1" s="1"/>
  <c r="AH75" i="1" s="1"/>
  <c r="AG83" i="1"/>
  <c r="AC83" i="1"/>
  <c r="AE83" i="1"/>
  <c r="AF83" i="1" s="1"/>
  <c r="AG89" i="1"/>
  <c r="AJ89" i="1" s="1"/>
  <c r="AC89" i="1"/>
  <c r="AE89" i="1"/>
  <c r="AF89" i="1" s="1"/>
  <c r="AG99" i="1"/>
  <c r="AC99" i="1"/>
  <c r="AE99" i="1"/>
  <c r="AF99" i="1" s="1"/>
  <c r="AG106" i="1"/>
  <c r="AC106" i="1"/>
  <c r="AE106" i="1"/>
  <c r="AF106" i="1" s="1"/>
  <c r="AH106" i="1" s="1"/>
  <c r="AG113" i="1"/>
  <c r="AE113" i="1"/>
  <c r="AF113" i="1" s="1"/>
  <c r="AH113" i="1" s="1"/>
  <c r="AC113" i="1"/>
  <c r="AG76" i="1"/>
  <c r="AE76" i="1"/>
  <c r="AF76" i="1" s="1"/>
  <c r="AC76" i="1"/>
  <c r="AG84" i="1"/>
  <c r="AE84" i="1"/>
  <c r="AF84" i="1" s="1"/>
  <c r="AH84" i="1" s="1"/>
  <c r="AC84" i="1"/>
  <c r="AG100" i="1"/>
  <c r="AC100" i="1"/>
  <c r="AE100" i="1"/>
  <c r="AF100" i="1" s="1"/>
  <c r="AH100" i="1" s="1"/>
  <c r="AG92" i="1"/>
  <c r="AE92" i="1"/>
  <c r="AF92" i="1" s="1"/>
  <c r="AC92" i="1"/>
  <c r="AG111" i="1"/>
  <c r="AJ111" i="1" s="1"/>
  <c r="AC111" i="1"/>
  <c r="AE111" i="1"/>
  <c r="AF111" i="1" s="1"/>
  <c r="AG103" i="1"/>
  <c r="AC103" i="1"/>
  <c r="AE103" i="1"/>
  <c r="AF103" i="1" s="1"/>
  <c r="AG108" i="1"/>
  <c r="AC108" i="1"/>
  <c r="AE108" i="1"/>
  <c r="AF108" i="1" s="1"/>
  <c r="AH108" i="1" s="1"/>
  <c r="AG114" i="1"/>
  <c r="AE114" i="1"/>
  <c r="AF114" i="1" s="1"/>
  <c r="AH114" i="1" s="1"/>
  <c r="AC114" i="1"/>
  <c r="AG97" i="1"/>
  <c r="AE97" i="1"/>
  <c r="AF97" i="1" s="1"/>
  <c r="AC97" i="1"/>
  <c r="AG74" i="1"/>
  <c r="AJ74" i="1" s="1"/>
  <c r="AC74" i="1"/>
  <c r="AE74" i="1"/>
  <c r="AF74" i="1" s="1"/>
  <c r="AG82" i="1"/>
  <c r="AC82" i="1"/>
  <c r="AE82" i="1"/>
  <c r="AF82" i="1" s="1"/>
  <c r="AH82" i="1" s="1"/>
  <c r="AG110" i="1"/>
  <c r="AE110" i="1"/>
  <c r="AF110" i="1" s="1"/>
  <c r="AC110" i="1"/>
  <c r="AG90" i="1"/>
  <c r="AJ90" i="1" s="1"/>
  <c r="AC90" i="1"/>
  <c r="AE90" i="1"/>
  <c r="AF90" i="1" s="1"/>
  <c r="AG96" i="1"/>
  <c r="AE96" i="1"/>
  <c r="AF96" i="1" s="1"/>
  <c r="AH96" i="1" s="1"/>
  <c r="AC96" i="1"/>
  <c r="AG105" i="1"/>
  <c r="AE105" i="1"/>
  <c r="AF105" i="1" s="1"/>
  <c r="AC105" i="1"/>
  <c r="AG116" i="1"/>
  <c r="AC116" i="1"/>
  <c r="AE116" i="1"/>
  <c r="AF116" i="1" s="1"/>
  <c r="AH116" i="1" s="1"/>
  <c r="AG79" i="1"/>
  <c r="AE79" i="1"/>
  <c r="AF79" i="1" s="1"/>
  <c r="AC79" i="1"/>
  <c r="AG87" i="1"/>
  <c r="AE87" i="1"/>
  <c r="AF87" i="1" s="1"/>
  <c r="AH87" i="1" s="1"/>
  <c r="AC87" i="1"/>
  <c r="AG88" i="1"/>
  <c r="AE88" i="1"/>
  <c r="AF88" i="1" s="1"/>
  <c r="AH88" i="1" s="1"/>
  <c r="AC88" i="1"/>
  <c r="AG102" i="1"/>
  <c r="AC102" i="1"/>
  <c r="AE102" i="1"/>
  <c r="AF102" i="1" s="1"/>
  <c r="AH102" i="1" s="1"/>
  <c r="AG117" i="1"/>
  <c r="AJ117" i="1" s="1"/>
  <c r="AC117" i="1"/>
  <c r="AE117" i="1"/>
  <c r="AF117" i="1" s="1"/>
  <c r="AG80" i="1"/>
  <c r="AE80" i="1"/>
  <c r="AF80" i="1" s="1"/>
  <c r="AH80" i="1" s="1"/>
  <c r="AC80" i="1"/>
  <c r="O120" i="1"/>
  <c r="O119" i="1"/>
  <c r="AG73" i="1"/>
  <c r="AE73" i="1"/>
  <c r="AC73" i="1"/>
  <c r="AG77" i="1"/>
  <c r="AC77" i="1"/>
  <c r="AE77" i="1"/>
  <c r="AF77" i="1" s="1"/>
  <c r="AG81" i="1"/>
  <c r="AC81" i="1"/>
  <c r="AE81" i="1"/>
  <c r="AF81" i="1" s="1"/>
  <c r="AH81" i="1" s="1"/>
  <c r="AG85" i="1"/>
  <c r="AE85" i="1"/>
  <c r="AF85" i="1" s="1"/>
  <c r="AH85" i="1" s="1"/>
  <c r="AC85" i="1"/>
  <c r="AG101" i="1"/>
  <c r="AE101" i="1"/>
  <c r="AF101" i="1" s="1"/>
  <c r="AC101" i="1"/>
  <c r="AG91" i="1"/>
  <c r="AE91" i="1"/>
  <c r="AF91" i="1" s="1"/>
  <c r="AH91" i="1" s="1"/>
  <c r="AC91" i="1"/>
  <c r="AG95" i="1"/>
  <c r="AC95" i="1"/>
  <c r="AE95" i="1"/>
  <c r="AF95" i="1" s="1"/>
  <c r="AH95" i="1" s="1"/>
  <c r="AG112" i="1"/>
  <c r="AE112" i="1"/>
  <c r="AF112" i="1" s="1"/>
  <c r="AH112" i="1" s="1"/>
  <c r="AC112" i="1"/>
  <c r="AG104" i="1"/>
  <c r="AJ104" i="1" s="1"/>
  <c r="AC104" i="1"/>
  <c r="AE104" i="1"/>
  <c r="AF104" i="1" s="1"/>
  <c r="AG107" i="1"/>
  <c r="AC107" i="1"/>
  <c r="AE107" i="1"/>
  <c r="AF107" i="1" s="1"/>
  <c r="AG115" i="1"/>
  <c r="AC115" i="1"/>
  <c r="AE115" i="1"/>
  <c r="AF115" i="1" s="1"/>
  <c r="AH115" i="1" s="1"/>
  <c r="AG98" i="1"/>
  <c r="AE98" i="1"/>
  <c r="AF98" i="1" s="1"/>
  <c r="AH98" i="1" s="1"/>
  <c r="AC98" i="1"/>
  <c r="V120" i="1"/>
  <c r="U120" i="1"/>
  <c r="V119" i="1"/>
  <c r="U119" i="1"/>
  <c r="T49" i="1"/>
  <c r="T50" i="1"/>
  <c r="S50" i="1"/>
  <c r="S49" i="1"/>
  <c r="P120" i="1"/>
  <c r="P119" i="1"/>
  <c r="AH105" i="1" l="1"/>
  <c r="AH83" i="1"/>
  <c r="AH110" i="1"/>
  <c r="AH92" i="1"/>
  <c r="AJ79" i="1"/>
  <c r="AJ97" i="1"/>
  <c r="AJ76" i="1"/>
  <c r="AJ86" i="1"/>
  <c r="AJ101" i="1"/>
  <c r="AJ77" i="1"/>
  <c r="AJ103" i="1"/>
  <c r="AJ99" i="1"/>
  <c r="AJ107" i="1"/>
  <c r="AG119" i="1"/>
  <c r="AG120" i="1"/>
  <c r="AJ91" i="1"/>
  <c r="AJ87" i="1"/>
  <c r="AJ84" i="1"/>
  <c r="AJ109" i="1"/>
  <c r="AJ115" i="1"/>
  <c r="AH104" i="1"/>
  <c r="AJ95" i="1"/>
  <c r="AJ81" i="1"/>
  <c r="AC119" i="1"/>
  <c r="AC120" i="1"/>
  <c r="AH117" i="1"/>
  <c r="AJ88" i="1"/>
  <c r="AJ105" i="1"/>
  <c r="AH90" i="1"/>
  <c r="AJ82" i="1"/>
  <c r="AJ108" i="1"/>
  <c r="AH111" i="1"/>
  <c r="AJ100" i="1"/>
  <c r="AJ106" i="1"/>
  <c r="AH89" i="1"/>
  <c r="AJ75" i="1"/>
  <c r="AH86" i="1"/>
  <c r="AJ80" i="1"/>
  <c r="AJ96" i="1"/>
  <c r="AJ98" i="1"/>
  <c r="AH107" i="1"/>
  <c r="AJ112" i="1"/>
  <c r="AH101" i="1"/>
  <c r="AJ85" i="1"/>
  <c r="AH77" i="1"/>
  <c r="AE119" i="1"/>
  <c r="AE120" i="1"/>
  <c r="AF73" i="1"/>
  <c r="AJ73" i="1" s="1"/>
  <c r="AJ102" i="1"/>
  <c r="AH79" i="1"/>
  <c r="AJ116" i="1"/>
  <c r="AJ110" i="1"/>
  <c r="AH74" i="1"/>
  <c r="AH97" i="1"/>
  <c r="AJ114" i="1"/>
  <c r="AH103" i="1"/>
  <c r="AJ92" i="1"/>
  <c r="AH76" i="1"/>
  <c r="AJ113" i="1"/>
  <c r="AH99" i="1"/>
  <c r="AJ83" i="1"/>
  <c r="AJ78" i="1"/>
  <c r="V48" i="1"/>
  <c r="AA48" i="1" s="1"/>
  <c r="O48" i="1"/>
  <c r="AI48" i="1" s="1"/>
  <c r="V47" i="1"/>
  <c r="AA47" i="1" s="1"/>
  <c r="O47" i="1"/>
  <c r="AI47" i="1" s="1"/>
  <c r="V46" i="1"/>
  <c r="AA46" i="1" s="1"/>
  <c r="AB46" i="1" s="1"/>
  <c r="O46" i="1"/>
  <c r="AI46" i="1" s="1"/>
  <c r="V45" i="1"/>
  <c r="AA45" i="1" s="1"/>
  <c r="AB45" i="1" s="1"/>
  <c r="O45" i="1"/>
  <c r="AI45" i="1" s="1"/>
  <c r="V44" i="1"/>
  <c r="AA44" i="1" s="1"/>
  <c r="O44" i="1"/>
  <c r="AG44" i="1" s="1"/>
  <c r="V43" i="1"/>
  <c r="AA43" i="1" s="1"/>
  <c r="O43" i="1"/>
  <c r="AG43" i="1" s="1"/>
  <c r="V42" i="1"/>
  <c r="AA42" i="1" s="1"/>
  <c r="O42" i="1"/>
  <c r="AI42" i="1" s="1"/>
  <c r="V41" i="1"/>
  <c r="O41" i="1"/>
  <c r="AI41" i="1" s="1"/>
  <c r="V40" i="1"/>
  <c r="AA40" i="1" s="1"/>
  <c r="O40" i="1"/>
  <c r="AI40" i="1" s="1"/>
  <c r="V39" i="1"/>
  <c r="O39" i="1"/>
  <c r="AI39" i="1" s="1"/>
  <c r="AA38" i="1"/>
  <c r="O38" i="1"/>
  <c r="AG38" i="1" s="1"/>
  <c r="AA37" i="1"/>
  <c r="O37" i="1"/>
  <c r="AG37" i="1" s="1"/>
  <c r="V36" i="1"/>
  <c r="AA36" i="1" s="1"/>
  <c r="O36" i="1"/>
  <c r="AI36" i="1" s="1"/>
  <c r="V35" i="1"/>
  <c r="AA35" i="1" s="1"/>
  <c r="O35" i="1"/>
  <c r="AI35" i="1" s="1"/>
  <c r="V34" i="1"/>
  <c r="AA34" i="1" s="1"/>
  <c r="O34" i="1"/>
  <c r="AI34" i="1" s="1"/>
  <c r="AA33" i="1"/>
  <c r="O33" i="1"/>
  <c r="AG33" i="1" s="1"/>
  <c r="V32" i="1"/>
  <c r="AA32" i="1" s="1"/>
  <c r="O32" i="1"/>
  <c r="AI32" i="1" s="1"/>
  <c r="V31" i="1"/>
  <c r="AA31" i="1" s="1"/>
  <c r="O31" i="1"/>
  <c r="AI31" i="1" s="1"/>
  <c r="V30" i="1"/>
  <c r="AA30" i="1" s="1"/>
  <c r="O30" i="1"/>
  <c r="AG30" i="1" s="1"/>
  <c r="AA29" i="1"/>
  <c r="O29" i="1"/>
  <c r="AG29" i="1" s="1"/>
  <c r="V28" i="1"/>
  <c r="AA28" i="1" s="1"/>
  <c r="O28" i="1"/>
  <c r="AG28" i="1" s="1"/>
  <c r="V27" i="1"/>
  <c r="AA27" i="1" s="1"/>
  <c r="O27" i="1"/>
  <c r="AI27" i="1" s="1"/>
  <c r="V26" i="1"/>
  <c r="AA26" i="1" s="1"/>
  <c r="O26" i="1"/>
  <c r="AI26" i="1" s="1"/>
  <c r="V25" i="1"/>
  <c r="AA25" i="1" s="1"/>
  <c r="AE25" i="1" s="1"/>
  <c r="AA24" i="1"/>
  <c r="O24" i="1"/>
  <c r="AG24" i="1" s="1"/>
  <c r="V1" i="1"/>
  <c r="AA1" i="1" s="1"/>
  <c r="O1" i="1"/>
  <c r="AC1" i="1" s="1"/>
  <c r="AA23" i="1"/>
  <c r="O23" i="1"/>
  <c r="AI23" i="1" s="1"/>
  <c r="V22" i="1"/>
  <c r="AA22" i="1" s="1"/>
  <c r="O22" i="1"/>
  <c r="AG22" i="1" s="1"/>
  <c r="V21" i="1"/>
  <c r="AA21" i="1" s="1"/>
  <c r="O21" i="1"/>
  <c r="AG21" i="1" s="1"/>
  <c r="V20" i="1"/>
  <c r="AA20" i="1" s="1"/>
  <c r="O20" i="1"/>
  <c r="AG20" i="1" s="1"/>
  <c r="V19" i="1"/>
  <c r="AA19" i="1" s="1"/>
  <c r="O19" i="1"/>
  <c r="AI19" i="1" s="1"/>
  <c r="V18" i="1"/>
  <c r="AA18" i="1" s="1"/>
  <c r="O18" i="1"/>
  <c r="AI18" i="1" s="1"/>
  <c r="V17" i="1"/>
  <c r="AA17" i="1" s="1"/>
  <c r="O17" i="1"/>
  <c r="AG17" i="1" s="1"/>
  <c r="V16" i="1"/>
  <c r="AA16" i="1" s="1"/>
  <c r="O16" i="1"/>
  <c r="AI16" i="1" s="1"/>
  <c r="V15" i="1"/>
  <c r="AA15" i="1" s="1"/>
  <c r="O15" i="1"/>
  <c r="AG15" i="1" s="1"/>
  <c r="V14" i="1"/>
  <c r="AA14" i="1" s="1"/>
  <c r="O14" i="1"/>
  <c r="AI14" i="1" s="1"/>
  <c r="V13" i="1"/>
  <c r="AA13" i="1" s="1"/>
  <c r="O13" i="1"/>
  <c r="AG13" i="1" s="1"/>
  <c r="V12" i="1"/>
  <c r="AA12" i="1" s="1"/>
  <c r="O12" i="1"/>
  <c r="AI12" i="1" s="1"/>
  <c r="V11" i="1"/>
  <c r="AA11" i="1" s="1"/>
  <c r="O11" i="1"/>
  <c r="AI11" i="1" s="1"/>
  <c r="V10" i="1"/>
  <c r="AA10" i="1" s="1"/>
  <c r="O10" i="1"/>
  <c r="AG10" i="1" s="1"/>
  <c r="V9" i="1"/>
  <c r="O9" i="1"/>
  <c r="AI9" i="1" s="1"/>
  <c r="L45" i="4"/>
  <c r="L44" i="4"/>
  <c r="L41" i="4"/>
  <c r="L40" i="4"/>
  <c r="L39" i="4"/>
  <c r="L38" i="4"/>
  <c r="L37" i="4"/>
  <c r="L36" i="4"/>
  <c r="L35" i="4"/>
  <c r="L33" i="4"/>
  <c r="L32" i="4"/>
  <c r="L31" i="4"/>
  <c r="L30" i="4"/>
  <c r="L29" i="4"/>
  <c r="L28" i="4"/>
  <c r="L27" i="4"/>
  <c r="L26" i="4"/>
  <c r="L25" i="4"/>
  <c r="L24" i="4"/>
  <c r="L23" i="4"/>
  <c r="L21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H23" i="4"/>
  <c r="I23" i="4" s="1"/>
  <c r="E23" i="4"/>
  <c r="H19" i="4"/>
  <c r="E19" i="4"/>
  <c r="I19" i="4"/>
  <c r="H10" i="4"/>
  <c r="I10" i="4" s="1"/>
  <c r="E10" i="4"/>
  <c r="H45" i="4"/>
  <c r="E45" i="4"/>
  <c r="H44" i="4"/>
  <c r="I44" i="4" s="1"/>
  <c r="E44" i="4"/>
  <c r="H41" i="4"/>
  <c r="E41" i="4"/>
  <c r="H40" i="4"/>
  <c r="I40" i="4" s="1"/>
  <c r="E40" i="4"/>
  <c r="H39" i="4"/>
  <c r="E39" i="4"/>
  <c r="H38" i="4"/>
  <c r="I38" i="4" s="1"/>
  <c r="E38" i="4"/>
  <c r="H37" i="4"/>
  <c r="I37" i="4" s="1"/>
  <c r="E37" i="4"/>
  <c r="H36" i="4"/>
  <c r="I36" i="4" s="1"/>
  <c r="E36" i="4"/>
  <c r="H35" i="4"/>
  <c r="E35" i="4"/>
  <c r="H33" i="4"/>
  <c r="I33" i="4" s="1"/>
  <c r="E33" i="4"/>
  <c r="H32" i="4"/>
  <c r="I32" i="4" s="1"/>
  <c r="E32" i="4"/>
  <c r="H31" i="4"/>
  <c r="I31" i="4" s="1"/>
  <c r="E31" i="4"/>
  <c r="H30" i="4"/>
  <c r="E30" i="4"/>
  <c r="H29" i="4"/>
  <c r="I29" i="4" s="1"/>
  <c r="E29" i="4"/>
  <c r="H28" i="4"/>
  <c r="I28" i="4" s="1"/>
  <c r="E28" i="4"/>
  <c r="H27" i="4"/>
  <c r="I27" i="4" s="1"/>
  <c r="E27" i="4"/>
  <c r="E26" i="4"/>
  <c r="H25" i="4"/>
  <c r="I25" i="4" s="1"/>
  <c r="E25" i="4"/>
  <c r="H24" i="4"/>
  <c r="E24" i="4"/>
  <c r="H21" i="4"/>
  <c r="E21" i="4"/>
  <c r="H18" i="4"/>
  <c r="E18" i="4"/>
  <c r="H17" i="4"/>
  <c r="E17" i="4"/>
  <c r="H16" i="4"/>
  <c r="E16" i="4"/>
  <c r="H15" i="4"/>
  <c r="E15" i="4"/>
  <c r="E14" i="4"/>
  <c r="I14" i="4" s="1"/>
  <c r="H13" i="4"/>
  <c r="I13" i="4" s="1"/>
  <c r="E13" i="4"/>
  <c r="H12" i="4"/>
  <c r="E12" i="4"/>
  <c r="H11" i="4"/>
  <c r="E11" i="4"/>
  <c r="H9" i="4"/>
  <c r="E9" i="4"/>
  <c r="H8" i="4"/>
  <c r="I8" i="4" s="1"/>
  <c r="E8" i="4"/>
  <c r="E7" i="4"/>
  <c r="I7" i="4" s="1"/>
  <c r="H6" i="4"/>
  <c r="E6" i="4"/>
  <c r="H5" i="4"/>
  <c r="E5" i="4"/>
  <c r="E43" i="4"/>
  <c r="E42" i="4"/>
  <c r="E34" i="4"/>
  <c r="E20" i="4"/>
  <c r="U14" i="1"/>
  <c r="U26" i="1"/>
  <c r="Z26" i="1" s="1"/>
  <c r="R61" i="1"/>
  <c r="Q61" i="1"/>
  <c r="R60" i="1"/>
  <c r="Q60" i="1"/>
  <c r="J57" i="1"/>
  <c r="W38" i="1"/>
  <c r="W24" i="1"/>
  <c r="U9" i="1"/>
  <c r="U10" i="1"/>
  <c r="U11" i="1"/>
  <c r="U12" i="1"/>
  <c r="Z12" i="1" s="1"/>
  <c r="U13" i="1"/>
  <c r="Z13" i="1" s="1"/>
  <c r="U15" i="1"/>
  <c r="Z15" i="1" s="1"/>
  <c r="U16" i="1"/>
  <c r="Z16" i="1" s="1"/>
  <c r="AB16" i="1" s="1"/>
  <c r="U17" i="1"/>
  <c r="U18" i="1"/>
  <c r="Z18" i="1" s="1"/>
  <c r="U19" i="1"/>
  <c r="Z19" i="1" s="1"/>
  <c r="U20" i="1"/>
  <c r="Z20" i="1" s="1"/>
  <c r="U21" i="1"/>
  <c r="U22" i="1"/>
  <c r="W23" i="1"/>
  <c r="U25" i="1"/>
  <c r="Z25" i="1" s="1"/>
  <c r="U27" i="1"/>
  <c r="Z27" i="1" s="1"/>
  <c r="U28" i="1"/>
  <c r="U30" i="1"/>
  <c r="Z30" i="1" s="1"/>
  <c r="U31" i="1"/>
  <c r="U32" i="1"/>
  <c r="Z32" i="1" s="1"/>
  <c r="U34" i="1"/>
  <c r="Z34" i="1" s="1"/>
  <c r="U35" i="1"/>
  <c r="Z35" i="1" s="1"/>
  <c r="U36" i="1"/>
  <c r="Z36" i="1" s="1"/>
  <c r="U39" i="1"/>
  <c r="Z39" i="1" s="1"/>
  <c r="U40" i="1"/>
  <c r="U41" i="1"/>
  <c r="Z41" i="1" s="1"/>
  <c r="U42" i="1"/>
  <c r="W42" i="1" s="1"/>
  <c r="U43" i="1"/>
  <c r="U44" i="1"/>
  <c r="U47" i="1"/>
  <c r="Z47" i="1" s="1"/>
  <c r="U48" i="1"/>
  <c r="Z48" i="1" s="1"/>
  <c r="J58" i="1"/>
  <c r="I58" i="1"/>
  <c r="I57" i="1"/>
  <c r="U29" i="1"/>
  <c r="Z29" i="1" s="1"/>
  <c r="Z38" i="1"/>
  <c r="AB38" i="1" s="1"/>
  <c r="Z37" i="1"/>
  <c r="Z33" i="1"/>
  <c r="AB33" i="1" s="1"/>
  <c r="Z28" i="1"/>
  <c r="Z24" i="1"/>
  <c r="Z23" i="1"/>
  <c r="Z9" i="1"/>
  <c r="AI28" i="1"/>
  <c r="AI25" i="1"/>
  <c r="AI1" i="1"/>
  <c r="AI22" i="1"/>
  <c r="AI21" i="1"/>
  <c r="AI13" i="1"/>
  <c r="AG47" i="1"/>
  <c r="AG35" i="1"/>
  <c r="AG25" i="1"/>
  <c r="AG1" i="1"/>
  <c r="P50" i="1"/>
  <c r="P49" i="1"/>
  <c r="W16" i="3"/>
  <c r="V16" i="3"/>
  <c r="R16" i="3"/>
  <c r="Q16" i="3"/>
  <c r="M16" i="3"/>
  <c r="L16" i="3"/>
  <c r="H16" i="3"/>
  <c r="G16" i="3"/>
  <c r="W9" i="3"/>
  <c r="V9" i="3"/>
  <c r="R9" i="3"/>
  <c r="Q9" i="3"/>
  <c r="M9" i="3"/>
  <c r="L9" i="3"/>
  <c r="H9" i="3"/>
  <c r="G9" i="3"/>
  <c r="W6" i="3"/>
  <c r="V6" i="3"/>
  <c r="R6" i="3"/>
  <c r="Q6" i="3"/>
  <c r="M6" i="3"/>
  <c r="L6" i="3"/>
  <c r="H6" i="3"/>
  <c r="G6" i="3"/>
  <c r="W5" i="3"/>
  <c r="V5" i="3"/>
  <c r="M5" i="3"/>
  <c r="L5" i="3"/>
  <c r="R5" i="3"/>
  <c r="Q5" i="3"/>
  <c r="H5" i="3"/>
  <c r="G5" i="3"/>
  <c r="I139" i="2"/>
  <c r="J139" i="2"/>
  <c r="J140" i="2"/>
  <c r="J141" i="2"/>
  <c r="J142" i="2"/>
  <c r="I138" i="2"/>
  <c r="I260" i="2"/>
  <c r="I261" i="2"/>
  <c r="I258" i="2"/>
  <c r="I259" i="2"/>
  <c r="J259" i="2"/>
  <c r="J258" i="2"/>
  <c r="J261" i="2"/>
  <c r="J260" i="2"/>
  <c r="J138" i="2"/>
  <c r="J208" i="2"/>
  <c r="J206" i="2"/>
  <c r="I171" i="2"/>
  <c r="J171" i="2"/>
  <c r="J135" i="2"/>
  <c r="J136" i="2"/>
  <c r="J137" i="2"/>
  <c r="J236" i="2"/>
  <c r="J237" i="2"/>
  <c r="J235" i="2"/>
  <c r="J132" i="2"/>
  <c r="J243" i="2"/>
  <c r="J3" i="2"/>
  <c r="J234" i="2"/>
  <c r="J232" i="2"/>
  <c r="J227" i="2"/>
  <c r="J231" i="2"/>
  <c r="I231" i="2"/>
  <c r="J228" i="2"/>
  <c r="I228" i="2"/>
  <c r="J229" i="2"/>
  <c r="I229" i="2"/>
  <c r="J230" i="2"/>
  <c r="I230" i="2"/>
  <c r="I218" i="2"/>
  <c r="J143" i="2"/>
  <c r="J134" i="2"/>
  <c r="J130" i="2"/>
  <c r="J126" i="2"/>
  <c r="J128" i="2"/>
  <c r="J124" i="2"/>
  <c r="J129" i="2"/>
  <c r="J125" i="2"/>
  <c r="J127" i="2"/>
  <c r="J123" i="2"/>
  <c r="I123" i="2"/>
  <c r="J118" i="2"/>
  <c r="J108" i="2"/>
  <c r="I108" i="2"/>
  <c r="J109" i="2"/>
  <c r="I109" i="2"/>
  <c r="J99" i="2"/>
  <c r="I99" i="2"/>
  <c r="J103" i="2"/>
  <c r="I103" i="2"/>
  <c r="J105" i="2"/>
  <c r="I105" i="2"/>
  <c r="J107" i="2"/>
  <c r="I107" i="2"/>
  <c r="J101" i="2"/>
  <c r="I101" i="2"/>
  <c r="J106" i="2"/>
  <c r="I106" i="2"/>
  <c r="J102" i="2"/>
  <c r="I102" i="2"/>
  <c r="J104" i="2"/>
  <c r="I104" i="2"/>
  <c r="J100" i="2"/>
  <c r="I100" i="2"/>
  <c r="J216" i="2"/>
  <c r="I216" i="2"/>
  <c r="J201" i="2"/>
  <c r="I201" i="2"/>
  <c r="J194" i="2"/>
  <c r="I194" i="2"/>
  <c r="J186" i="2"/>
  <c r="I186" i="2"/>
  <c r="J182" i="2"/>
  <c r="I182" i="2"/>
  <c r="J176" i="2"/>
  <c r="I176" i="2"/>
  <c r="J167" i="2"/>
  <c r="I167" i="2"/>
  <c r="J158" i="2"/>
  <c r="I158" i="2"/>
  <c r="J160" i="2"/>
  <c r="I160" i="2"/>
  <c r="J163" i="2"/>
  <c r="I163" i="2"/>
  <c r="J165" i="2"/>
  <c r="I165" i="2"/>
  <c r="J153" i="2"/>
  <c r="I153" i="2"/>
  <c r="J196" i="2"/>
  <c r="I196" i="2"/>
  <c r="J198" i="2"/>
  <c r="I198" i="2"/>
  <c r="J199" i="2"/>
  <c r="I199" i="2"/>
  <c r="J192" i="2"/>
  <c r="I192" i="2"/>
  <c r="J184" i="2"/>
  <c r="I184" i="2"/>
  <c r="J188" i="2"/>
  <c r="I188" i="2"/>
  <c r="J190" i="2"/>
  <c r="I190" i="2"/>
  <c r="J180" i="2"/>
  <c r="I180" i="2"/>
  <c r="J174" i="2"/>
  <c r="I174" i="2"/>
  <c r="J178" i="2"/>
  <c r="I178" i="2"/>
  <c r="I57" i="2"/>
  <c r="I113" i="2"/>
  <c r="I119" i="2"/>
  <c r="I120" i="2"/>
  <c r="I121" i="2"/>
  <c r="I115" i="2"/>
  <c r="I170" i="2"/>
  <c r="I202" i="2"/>
  <c r="J202" i="2"/>
  <c r="J170" i="2"/>
  <c r="J115" i="2"/>
  <c r="J121" i="2"/>
  <c r="J120" i="2"/>
  <c r="J119" i="2"/>
  <c r="J113" i="2"/>
  <c r="J57" i="2"/>
  <c r="J111" i="2"/>
  <c r="J215" i="2"/>
  <c r="I215" i="2"/>
  <c r="J200" i="2"/>
  <c r="I200" i="2"/>
  <c r="J193" i="2"/>
  <c r="I193" i="2"/>
  <c r="J185" i="2"/>
  <c r="I185" i="2"/>
  <c r="J181" i="2"/>
  <c r="I181" i="2"/>
  <c r="J175" i="2"/>
  <c r="I175" i="2"/>
  <c r="J166" i="2"/>
  <c r="I166" i="2"/>
  <c r="J157" i="2"/>
  <c r="I157" i="2"/>
  <c r="J159" i="2"/>
  <c r="I159" i="2"/>
  <c r="J162" i="2"/>
  <c r="I162" i="2"/>
  <c r="J164" i="2"/>
  <c r="I164" i="2"/>
  <c r="J161" i="2"/>
  <c r="I161" i="2"/>
  <c r="J195" i="2"/>
  <c r="I195" i="2"/>
  <c r="J197" i="2"/>
  <c r="I197" i="2"/>
  <c r="J191" i="2"/>
  <c r="I191" i="2"/>
  <c r="J183" i="2"/>
  <c r="I183" i="2"/>
  <c r="J187" i="2"/>
  <c r="I187" i="2"/>
  <c r="J189" i="2"/>
  <c r="I189" i="2"/>
  <c r="J179" i="2"/>
  <c r="I179" i="2"/>
  <c r="J172" i="2"/>
  <c r="I172" i="2"/>
  <c r="J173" i="2"/>
  <c r="I173" i="2"/>
  <c r="J177" i="2"/>
  <c r="I177" i="2"/>
  <c r="I223" i="2"/>
  <c r="I238" i="2"/>
  <c r="I239" i="2"/>
  <c r="I71" i="2"/>
  <c r="I110" i="2"/>
  <c r="I112" i="2"/>
  <c r="I117" i="2"/>
  <c r="I133" i="2"/>
  <c r="I144" i="2"/>
  <c r="I146" i="2"/>
  <c r="I168" i="2"/>
  <c r="I219" i="2"/>
  <c r="I220" i="2"/>
  <c r="I221" i="2"/>
  <c r="I224" i="2"/>
  <c r="I226" i="2"/>
  <c r="I225" i="2"/>
  <c r="I233" i="2"/>
  <c r="I152" i="2"/>
  <c r="I211" i="2"/>
  <c r="I210" i="2"/>
  <c r="I213" i="2"/>
  <c r="I214" i="2"/>
  <c r="I217" i="2"/>
  <c r="J217" i="2"/>
  <c r="J214" i="2"/>
  <c r="J213" i="2"/>
  <c r="J210" i="2"/>
  <c r="J211" i="2"/>
  <c r="J152" i="2"/>
  <c r="J233" i="2"/>
  <c r="J225" i="2"/>
  <c r="J226" i="2"/>
  <c r="J224" i="2"/>
  <c r="J221" i="2"/>
  <c r="J220" i="2"/>
  <c r="J219" i="2"/>
  <c r="J168" i="2"/>
  <c r="J146" i="2"/>
  <c r="J144" i="2"/>
  <c r="J133" i="2"/>
  <c r="J117" i="2"/>
  <c r="J112" i="2"/>
  <c r="J110" i="2"/>
  <c r="J71" i="2"/>
  <c r="J239" i="2"/>
  <c r="J238" i="2"/>
  <c r="J223" i="2"/>
  <c r="J222" i="2"/>
  <c r="J212" i="2"/>
  <c r="I212" i="2"/>
  <c r="J122" i="2"/>
  <c r="I122" i="2"/>
  <c r="J114" i="2"/>
  <c r="I114" i="2"/>
  <c r="J116" i="2"/>
  <c r="I116" i="2"/>
  <c r="J98" i="2"/>
  <c r="I98" i="2"/>
  <c r="J145" i="2"/>
  <c r="I145" i="2"/>
  <c r="J169" i="2"/>
  <c r="I169" i="2"/>
  <c r="L16" i="2"/>
  <c r="M16" i="2" s="1"/>
  <c r="L17" i="2"/>
  <c r="M17" i="2"/>
  <c r="L18" i="2"/>
  <c r="M18" i="2"/>
  <c r="L19" i="2"/>
  <c r="M19" i="2" s="1"/>
  <c r="L20" i="2"/>
  <c r="M20" i="2" s="1"/>
  <c r="L21" i="2"/>
  <c r="M21" i="2"/>
  <c r="L22" i="2"/>
  <c r="M22" i="2"/>
  <c r="L23" i="2"/>
  <c r="M23" i="2" s="1"/>
  <c r="L24" i="2"/>
  <c r="M24" i="2" s="1"/>
  <c r="L25" i="2"/>
  <c r="M25" i="2"/>
  <c r="L29" i="2"/>
  <c r="M29" i="2"/>
  <c r="L33" i="2"/>
  <c r="M33" i="2" s="1"/>
  <c r="L34" i="2"/>
  <c r="M34" i="2" s="1"/>
  <c r="L35" i="2"/>
  <c r="M35" i="2"/>
  <c r="L37" i="2"/>
  <c r="M37" i="2"/>
  <c r="L39" i="2"/>
  <c r="M39" i="2" s="1"/>
  <c r="L43" i="2"/>
  <c r="M43" i="2" s="1"/>
  <c r="L44" i="2"/>
  <c r="M44" i="2"/>
  <c r="L49" i="2"/>
  <c r="M49" i="2"/>
  <c r="L51" i="2"/>
  <c r="M51" i="2" s="1"/>
  <c r="L52" i="2"/>
  <c r="M52" i="2" s="1"/>
  <c r="L54" i="2"/>
  <c r="M54" i="2"/>
  <c r="L55" i="2"/>
  <c r="M55" i="2"/>
  <c r="L58" i="2"/>
  <c r="M58" i="2" s="1"/>
  <c r="L59" i="2"/>
  <c r="M59" i="2" s="1"/>
  <c r="L60" i="2"/>
  <c r="M60" i="2"/>
  <c r="L61" i="2"/>
  <c r="M61" i="2"/>
  <c r="L62" i="2"/>
  <c r="M62" i="2" s="1"/>
  <c r="L63" i="2"/>
  <c r="M63" i="2" s="1"/>
  <c r="L64" i="2"/>
  <c r="M64" i="2"/>
  <c r="L66" i="2"/>
  <c r="M66" i="2"/>
  <c r="L67" i="2"/>
  <c r="M67" i="2" s="1"/>
  <c r="L68" i="2"/>
  <c r="M68" i="2" s="1"/>
  <c r="L69" i="2"/>
  <c r="M69" i="2"/>
  <c r="L70" i="2"/>
  <c r="M70" i="2"/>
  <c r="L72" i="2"/>
  <c r="M72" i="2" s="1"/>
  <c r="L73" i="2"/>
  <c r="M73" i="2" s="1"/>
  <c r="L74" i="2"/>
  <c r="M74" i="2"/>
  <c r="L75" i="2"/>
  <c r="M75" i="2"/>
  <c r="L76" i="2"/>
  <c r="M76" i="2" s="1"/>
  <c r="L77" i="2"/>
  <c r="M77" i="2" s="1"/>
  <c r="L78" i="2"/>
  <c r="M78" i="2"/>
  <c r="L79" i="2"/>
  <c r="M79" i="2"/>
  <c r="L80" i="2"/>
  <c r="M80" i="2" s="1"/>
  <c r="L81" i="2"/>
  <c r="M81" i="2" s="1"/>
  <c r="L82" i="2"/>
  <c r="M82" i="2"/>
  <c r="L83" i="2"/>
  <c r="M83" i="2"/>
  <c r="L84" i="2"/>
  <c r="M84" i="2" s="1"/>
  <c r="L85" i="2"/>
  <c r="M85" i="2" s="1"/>
  <c r="L86" i="2"/>
  <c r="M86" i="2"/>
  <c r="L87" i="2"/>
  <c r="M87" i="2"/>
  <c r="L88" i="2"/>
  <c r="M88" i="2" s="1"/>
  <c r="L89" i="2"/>
  <c r="M89" i="2" s="1"/>
  <c r="L91" i="2"/>
  <c r="M91" i="2"/>
  <c r="L92" i="2"/>
  <c r="M92" i="2"/>
  <c r="L93" i="2"/>
  <c r="M93" i="2" s="1"/>
  <c r="L94" i="2"/>
  <c r="M94" i="2" s="1"/>
  <c r="L95" i="2"/>
  <c r="M95" i="2"/>
  <c r="L96" i="2"/>
  <c r="M96" i="2"/>
  <c r="L97" i="2"/>
  <c r="M97" i="2" s="1"/>
  <c r="L147" i="2"/>
  <c r="M147" i="2" s="1"/>
  <c r="L152" i="2"/>
  <c r="M152" i="2"/>
  <c r="L148" i="2"/>
  <c r="M148" i="2"/>
  <c r="L149" i="2"/>
  <c r="M149" i="2" s="1"/>
  <c r="L150" i="2"/>
  <c r="M150" i="2" s="1"/>
  <c r="L151" i="2"/>
  <c r="M151" i="2"/>
  <c r="L154" i="2"/>
  <c r="M154" i="2"/>
  <c r="L155" i="2"/>
  <c r="M155" i="2" s="1"/>
  <c r="L156" i="2"/>
  <c r="M156" i="2" s="1"/>
  <c r="L15" i="2"/>
  <c r="M15" i="2"/>
  <c r="I20" i="2"/>
  <c r="J20" i="2"/>
  <c r="I61" i="2"/>
  <c r="J61" i="2"/>
  <c r="I59" i="2"/>
  <c r="J59" i="2"/>
  <c r="I94" i="2"/>
  <c r="J94" i="2"/>
  <c r="I96" i="2"/>
  <c r="J96" i="2"/>
  <c r="I148" i="2"/>
  <c r="J148" i="2"/>
  <c r="I150" i="2"/>
  <c r="J150" i="2"/>
  <c r="I155" i="2"/>
  <c r="J155" i="2"/>
  <c r="I149" i="2"/>
  <c r="J149" i="2"/>
  <c r="I154" i="2"/>
  <c r="J154" i="2"/>
  <c r="I151" i="2"/>
  <c r="J151" i="2"/>
  <c r="I147" i="2"/>
  <c r="J147" i="2"/>
  <c r="I156" i="2"/>
  <c r="J156" i="2"/>
  <c r="I63" i="2"/>
  <c r="J63" i="2"/>
  <c r="I62" i="2"/>
  <c r="J62" i="2"/>
  <c r="I66" i="2"/>
  <c r="J66" i="2"/>
  <c r="I64" i="2"/>
  <c r="J64" i="2"/>
  <c r="I65" i="2"/>
  <c r="J65" i="2"/>
  <c r="I95" i="2"/>
  <c r="J95" i="2"/>
  <c r="I93" i="2"/>
  <c r="J93" i="2"/>
  <c r="I92" i="2"/>
  <c r="J92" i="2"/>
  <c r="I97" i="2"/>
  <c r="J97" i="2"/>
  <c r="I60" i="2"/>
  <c r="J60" i="2"/>
  <c r="I58" i="2"/>
  <c r="J58" i="2"/>
  <c r="I69" i="2"/>
  <c r="J69" i="2"/>
  <c r="I68" i="2"/>
  <c r="J68" i="2"/>
  <c r="I70" i="2"/>
  <c r="J70" i="2"/>
  <c r="J88" i="2"/>
  <c r="I88" i="2"/>
  <c r="J87" i="2"/>
  <c r="I87" i="2"/>
  <c r="I77" i="2"/>
  <c r="J77" i="2"/>
  <c r="I75" i="2"/>
  <c r="J75" i="2"/>
  <c r="I79" i="2"/>
  <c r="J79" i="2"/>
  <c r="I74" i="2"/>
  <c r="J74" i="2"/>
  <c r="I78" i="2"/>
  <c r="J78" i="2"/>
  <c r="I76" i="2"/>
  <c r="J76" i="2"/>
  <c r="I72" i="2"/>
  <c r="J72" i="2"/>
  <c r="I81" i="2"/>
  <c r="J81" i="2"/>
  <c r="I80" i="2"/>
  <c r="J80" i="2"/>
  <c r="I91" i="2"/>
  <c r="J91" i="2"/>
  <c r="I85" i="2"/>
  <c r="J85" i="2"/>
  <c r="I82" i="2"/>
  <c r="J82" i="2"/>
  <c r="I86" i="2"/>
  <c r="J86" i="2"/>
  <c r="I83" i="2"/>
  <c r="J83" i="2"/>
  <c r="I89" i="2"/>
  <c r="J89" i="2"/>
  <c r="I90" i="2"/>
  <c r="J90" i="2"/>
  <c r="I84" i="2"/>
  <c r="J84" i="2"/>
  <c r="J47" i="2"/>
  <c r="I47" i="2"/>
  <c r="J73" i="2"/>
  <c r="I73" i="2"/>
  <c r="L90" i="2"/>
  <c r="J54" i="2"/>
  <c r="I54" i="2"/>
  <c r="J55" i="2"/>
  <c r="I55" i="2"/>
  <c r="J40" i="2"/>
  <c r="I40" i="2"/>
  <c r="J39" i="2"/>
  <c r="I39" i="2"/>
  <c r="J48" i="2"/>
  <c r="I48" i="2"/>
  <c r="J51" i="2"/>
  <c r="I51" i="2"/>
  <c r="J56" i="2"/>
  <c r="I56" i="2"/>
  <c r="J41" i="2"/>
  <c r="I41" i="2"/>
  <c r="J44" i="2"/>
  <c r="I44" i="2"/>
  <c r="J45" i="2"/>
  <c r="I45" i="2"/>
  <c r="J52" i="2"/>
  <c r="I52" i="2"/>
  <c r="J43" i="2"/>
  <c r="I43" i="2"/>
  <c r="J53" i="2"/>
  <c r="I53" i="2"/>
  <c r="J46" i="2"/>
  <c r="I46" i="2"/>
  <c r="J50" i="2"/>
  <c r="I50" i="2"/>
  <c r="J49" i="2"/>
  <c r="I49" i="2"/>
  <c r="J42" i="2"/>
  <c r="I42" i="2"/>
  <c r="J32" i="2"/>
  <c r="I32" i="2"/>
  <c r="J36" i="2"/>
  <c r="I36" i="2"/>
  <c r="J34" i="2"/>
  <c r="I34" i="2"/>
  <c r="J38" i="2"/>
  <c r="I38" i="2"/>
  <c r="J35" i="2"/>
  <c r="I35" i="2"/>
  <c r="J37" i="2"/>
  <c r="I37" i="2"/>
  <c r="J33" i="2"/>
  <c r="I33" i="2"/>
  <c r="J26" i="2"/>
  <c r="I26" i="2"/>
  <c r="J30" i="2"/>
  <c r="I30" i="2"/>
  <c r="J28" i="2"/>
  <c r="I28" i="2"/>
  <c r="J31" i="2"/>
  <c r="I31" i="2"/>
  <c r="J29" i="2"/>
  <c r="I29" i="2"/>
  <c r="J27" i="2"/>
  <c r="I27" i="2"/>
  <c r="J18" i="2"/>
  <c r="J22" i="2"/>
  <c r="J17" i="2"/>
  <c r="J23" i="2"/>
  <c r="J21" i="2"/>
  <c r="J19" i="2"/>
  <c r="J15" i="2"/>
  <c r="J25" i="2"/>
  <c r="J24" i="2"/>
  <c r="I18" i="2"/>
  <c r="I22" i="2"/>
  <c r="I17" i="2"/>
  <c r="I23" i="2"/>
  <c r="I21" i="2"/>
  <c r="I19" i="2"/>
  <c r="I15" i="2"/>
  <c r="I25" i="2"/>
  <c r="I24" i="2"/>
  <c r="J16" i="2"/>
  <c r="I16" i="2"/>
  <c r="AB20" i="1" l="1"/>
  <c r="AB30" i="1"/>
  <c r="AB19" i="1"/>
  <c r="W11" i="1"/>
  <c r="W21" i="1"/>
  <c r="AI10" i="1"/>
  <c r="AI15" i="1"/>
  <c r="AB24" i="1"/>
  <c r="AB26" i="1"/>
  <c r="AL13" i="1"/>
  <c r="AB13" i="1"/>
  <c r="AC12" i="1"/>
  <c r="AB12" i="1"/>
  <c r="AL29" i="1"/>
  <c r="AB29" i="1"/>
  <c r="AL23" i="1"/>
  <c r="AB23" i="1"/>
  <c r="AL25" i="1"/>
  <c r="AB25" i="1"/>
  <c r="I30" i="4"/>
  <c r="I35" i="4"/>
  <c r="I39" i="4"/>
  <c r="I45" i="4"/>
  <c r="AL28" i="1"/>
  <c r="AB28" i="1"/>
  <c r="AL27" i="1"/>
  <c r="AB27" i="1"/>
  <c r="AL18" i="1"/>
  <c r="AB18" i="1"/>
  <c r="I5" i="4"/>
  <c r="I9" i="4"/>
  <c r="I18" i="4"/>
  <c r="AL48" i="1"/>
  <c r="AB48" i="1"/>
  <c r="AL36" i="1"/>
  <c r="AB36" i="1"/>
  <c r="AL47" i="1"/>
  <c r="AB47" i="1"/>
  <c r="AL35" i="1"/>
  <c r="AB35" i="1"/>
  <c r="I6" i="4"/>
  <c r="I11" i="4"/>
  <c r="I15" i="4"/>
  <c r="I21" i="4"/>
  <c r="AL37" i="1"/>
  <c r="AB37" i="1"/>
  <c r="AL34" i="1"/>
  <c r="AB34" i="1"/>
  <c r="W15" i="1"/>
  <c r="I41" i="4"/>
  <c r="Z21" i="1"/>
  <c r="AC21" i="1" s="1"/>
  <c r="AL32" i="1"/>
  <c r="AB32" i="1"/>
  <c r="AL15" i="1"/>
  <c r="AB15" i="1"/>
  <c r="I12" i="4"/>
  <c r="I16" i="4"/>
  <c r="I24" i="4"/>
  <c r="R62" i="1"/>
  <c r="AG16" i="1"/>
  <c r="AI30" i="1"/>
  <c r="AL19" i="1"/>
  <c r="AE21" i="1"/>
  <c r="AF21" i="1" s="1"/>
  <c r="AK21" i="1" s="1"/>
  <c r="AG26" i="1"/>
  <c r="AI38" i="1"/>
  <c r="AL33" i="1"/>
  <c r="W31" i="1"/>
  <c r="AF120" i="1"/>
  <c r="AF119" i="1"/>
  <c r="AH73" i="1"/>
  <c r="AG18" i="1"/>
  <c r="AG40" i="1"/>
  <c r="AL16" i="1"/>
  <c r="AA9" i="1"/>
  <c r="AE9" i="1" s="1"/>
  <c r="V49" i="1"/>
  <c r="V50" i="1"/>
  <c r="AE18" i="1"/>
  <c r="AF18" i="1" s="1"/>
  <c r="AK18" i="1" s="1"/>
  <c r="AG42" i="1"/>
  <c r="AL24" i="1"/>
  <c r="AL38" i="1"/>
  <c r="W30" i="1"/>
  <c r="U50" i="1"/>
  <c r="U49" i="1"/>
  <c r="AL26" i="1"/>
  <c r="AE13" i="1"/>
  <c r="AF13" i="1" s="1"/>
  <c r="AH13" i="1" s="1"/>
  <c r="O49" i="1"/>
  <c r="O50" i="1"/>
  <c r="AG9" i="1"/>
  <c r="AG48" i="1"/>
  <c r="AI44" i="1"/>
  <c r="AE38" i="1"/>
  <c r="AF38" i="1" s="1"/>
  <c r="AH38" i="1" s="1"/>
  <c r="AG32" i="1"/>
  <c r="AG46" i="1"/>
  <c r="AI20" i="1"/>
  <c r="AC24" i="1"/>
  <c r="AL12" i="1"/>
  <c r="AL20" i="1"/>
  <c r="W44" i="1"/>
  <c r="W40" i="1"/>
  <c r="W34" i="1"/>
  <c r="AL30" i="1"/>
  <c r="W16" i="1"/>
  <c r="W12" i="1"/>
  <c r="AE22" i="1"/>
  <c r="AF22" i="1" s="1"/>
  <c r="AH22" i="1" s="1"/>
  <c r="AE1" i="1"/>
  <c r="AF1" i="1" s="1"/>
  <c r="AH1" i="1" s="1"/>
  <c r="AL1" i="1"/>
  <c r="AF25" i="1"/>
  <c r="AH25" i="1" s="1"/>
  <c r="AC47" i="1"/>
  <c r="AC41" i="1"/>
  <c r="AG39" i="1"/>
  <c r="AI33" i="1"/>
  <c r="AC25" i="1"/>
  <c r="Z31" i="1"/>
  <c r="AC35" i="1"/>
  <c r="AE14" i="1"/>
  <c r="AF14" i="1" s="1"/>
  <c r="AK14" i="1" s="1"/>
  <c r="AE17" i="1"/>
  <c r="AF17" i="1" s="1"/>
  <c r="AH17" i="1" s="1"/>
  <c r="AG45" i="1"/>
  <c r="AI17" i="1"/>
  <c r="AC33" i="1"/>
  <c r="AC32" i="1"/>
  <c r="I59" i="1"/>
  <c r="Q62" i="1"/>
  <c r="AE10" i="1"/>
  <c r="AF10" i="1" s="1"/>
  <c r="AH10" i="1" s="1"/>
  <c r="AG23" i="1"/>
  <c r="AG41" i="1"/>
  <c r="AC9" i="1"/>
  <c r="AC18" i="1"/>
  <c r="W19" i="1"/>
  <c r="W9" i="1"/>
  <c r="W32" i="1"/>
  <c r="AC23" i="1"/>
  <c r="AC38" i="1"/>
  <c r="AE32" i="1"/>
  <c r="AF32" i="1" s="1"/>
  <c r="AA39" i="1"/>
  <c r="AE39" i="1" s="1"/>
  <c r="AF39" i="1" s="1"/>
  <c r="AH39" i="1" s="1"/>
  <c r="W39" i="1"/>
  <c r="AA41" i="1"/>
  <c r="AE41" i="1" s="1"/>
  <c r="AF41" i="1" s="1"/>
  <c r="W41" i="1"/>
  <c r="AC15" i="1"/>
  <c r="AG34" i="1"/>
  <c r="AC20" i="1"/>
  <c r="AC37" i="1"/>
  <c r="W47" i="1"/>
  <c r="W27" i="1"/>
  <c r="W22" i="1"/>
  <c r="Z22" i="1"/>
  <c r="AC36" i="1"/>
  <c r="Z40" i="1"/>
  <c r="W43" i="1"/>
  <c r="Z43" i="1"/>
  <c r="Z10" i="1"/>
  <c r="W10" i="1"/>
  <c r="AC30" i="1"/>
  <c r="AG12" i="1"/>
  <c r="AG31" i="1"/>
  <c r="AG36" i="1"/>
  <c r="AC16" i="1"/>
  <c r="AC19" i="1"/>
  <c r="AE36" i="1"/>
  <c r="AF36" i="1" s="1"/>
  <c r="AK36" i="1" s="1"/>
  <c r="AC26" i="1"/>
  <c r="W25" i="1"/>
  <c r="W18" i="1"/>
  <c r="AE11" i="1"/>
  <c r="AF11" i="1" s="1"/>
  <c r="AE15" i="1"/>
  <c r="AF15" i="1" s="1"/>
  <c r="AE19" i="1"/>
  <c r="AF19" i="1" s="1"/>
  <c r="AK19" i="1" s="1"/>
  <c r="AE23" i="1"/>
  <c r="AF23" i="1" s="1"/>
  <c r="AK23" i="1" s="1"/>
  <c r="AE24" i="1"/>
  <c r="AF24" i="1" s="1"/>
  <c r="AH24" i="1" s="1"/>
  <c r="AE26" i="1"/>
  <c r="AF26" i="1" s="1"/>
  <c r="AE28" i="1"/>
  <c r="AF28" i="1" s="1"/>
  <c r="AH28" i="1" s="1"/>
  <c r="AE30" i="1"/>
  <c r="AF30" i="1" s="1"/>
  <c r="AJ30" i="1" s="1"/>
  <c r="AE40" i="1"/>
  <c r="AF40" i="1" s="1"/>
  <c r="AE42" i="1"/>
  <c r="AF42" i="1" s="1"/>
  <c r="AJ42" i="1" s="1"/>
  <c r="AE44" i="1"/>
  <c r="AJ44" i="1" s="1"/>
  <c r="AE48" i="1"/>
  <c r="AF48" i="1" s="1"/>
  <c r="AC34" i="1"/>
  <c r="AE12" i="1"/>
  <c r="AF12" i="1" s="1"/>
  <c r="AK12" i="1" s="1"/>
  <c r="AE16" i="1"/>
  <c r="AF16" i="1" s="1"/>
  <c r="AE20" i="1"/>
  <c r="AF20" i="1" s="1"/>
  <c r="AE31" i="1"/>
  <c r="AF31" i="1" s="1"/>
  <c r="AK31" i="1" s="1"/>
  <c r="AE34" i="1"/>
  <c r="AF34" i="1" s="1"/>
  <c r="AK34" i="1" s="1"/>
  <c r="AC48" i="1"/>
  <c r="AG11" i="1"/>
  <c r="AG19" i="1"/>
  <c r="J59" i="1"/>
  <c r="AG14" i="1"/>
  <c r="AI24" i="1"/>
  <c r="AI37" i="1"/>
  <c r="Z11" i="1"/>
  <c r="Z44" i="1"/>
  <c r="W48" i="1"/>
  <c r="W36" i="1"/>
  <c r="W28" i="1"/>
  <c r="W20" i="1"/>
  <c r="W17" i="1"/>
  <c r="W13" i="1"/>
  <c r="W14" i="1"/>
  <c r="AE33" i="1"/>
  <c r="AF33" i="1" s="1"/>
  <c r="AH33" i="1" s="1"/>
  <c r="AE35" i="1"/>
  <c r="AF35" i="1" s="1"/>
  <c r="AH35" i="1" s="1"/>
  <c r="AE37" i="1"/>
  <c r="AF37" i="1" s="1"/>
  <c r="AJ37" i="1" s="1"/>
  <c r="AK13" i="1"/>
  <c r="AC27" i="1"/>
  <c r="AI43" i="1"/>
  <c r="Z14" i="1"/>
  <c r="AE27" i="1"/>
  <c r="AF27" i="1" s="1"/>
  <c r="AK27" i="1" s="1"/>
  <c r="AE43" i="1"/>
  <c r="AF43" i="1" s="1"/>
  <c r="AH43" i="1" s="1"/>
  <c r="AE45" i="1"/>
  <c r="AE47" i="1"/>
  <c r="AF47" i="1" s="1"/>
  <c r="AH47" i="1" s="1"/>
  <c r="AC13" i="1"/>
  <c r="AC28" i="1"/>
  <c r="AC39" i="1"/>
  <c r="Z17" i="1"/>
  <c r="AE29" i="1"/>
  <c r="AF29" i="1" s="1"/>
  <c r="AH29" i="1" s="1"/>
  <c r="AI29" i="1"/>
  <c r="Z42" i="1"/>
  <c r="AG27" i="1"/>
  <c r="AC29" i="1"/>
  <c r="W35" i="1"/>
  <c r="AE46" i="1"/>
  <c r="AH21" i="1" l="1"/>
  <c r="AJ21" i="1"/>
  <c r="AJ22" i="1"/>
  <c r="AK1" i="1"/>
  <c r="AK20" i="1"/>
  <c r="AJ40" i="1"/>
  <c r="AJ14" i="1"/>
  <c r="AH16" i="1"/>
  <c r="AJ10" i="1"/>
  <c r="AL22" i="1"/>
  <c r="AB22" i="1"/>
  <c r="AL17" i="1"/>
  <c r="AB17" i="1"/>
  <c r="AG50" i="1"/>
  <c r="AL21" i="1"/>
  <c r="AB21" i="1"/>
  <c r="AL14" i="1"/>
  <c r="AB14" i="1"/>
  <c r="AL11" i="1"/>
  <c r="AB11" i="1"/>
  <c r="AL43" i="1"/>
  <c r="AB43" i="1"/>
  <c r="AL44" i="1"/>
  <c r="AB44" i="1"/>
  <c r="AL10" i="1"/>
  <c r="AB10" i="1"/>
  <c r="AL31" i="1"/>
  <c r="AB31" i="1"/>
  <c r="AB9" i="1"/>
  <c r="AB39" i="1"/>
  <c r="AK38" i="1"/>
  <c r="AL42" i="1"/>
  <c r="AB42" i="1"/>
  <c r="AK10" i="1"/>
  <c r="AL40" i="1"/>
  <c r="AB40" i="1"/>
  <c r="AH32" i="1"/>
  <c r="AB41" i="1"/>
  <c r="AE50" i="1"/>
  <c r="AJ13" i="1"/>
  <c r="AJ48" i="1"/>
  <c r="AH18" i="1"/>
  <c r="AJ17" i="1"/>
  <c r="AJ1" i="1"/>
  <c r="AK22" i="1"/>
  <c r="AH19" i="1"/>
  <c r="AJ38" i="1"/>
  <c r="AJ18" i="1"/>
  <c r="AK17" i="1"/>
  <c r="AG49" i="1"/>
  <c r="AJ119" i="1"/>
  <c r="AJ120" i="1"/>
  <c r="AH119" i="1"/>
  <c r="AH120" i="1"/>
  <c r="AH41" i="1"/>
  <c r="AF9" i="1"/>
  <c r="AH9" i="1" s="1"/>
  <c r="AE49" i="1"/>
  <c r="AL41" i="1"/>
  <c r="AL9" i="1"/>
  <c r="AC10" i="1"/>
  <c r="AC43" i="1"/>
  <c r="AL39" i="1"/>
  <c r="AJ25" i="1"/>
  <c r="AK25" i="1"/>
  <c r="AC22" i="1"/>
  <c r="AH42" i="1"/>
  <c r="AH14" i="1"/>
  <c r="AC31" i="1"/>
  <c r="AH34" i="1"/>
  <c r="AH48" i="1"/>
  <c r="AJ32" i="1"/>
  <c r="AK48" i="1"/>
  <c r="AH23" i="1"/>
  <c r="AJ23" i="1"/>
  <c r="AH44" i="1"/>
  <c r="AK37" i="1"/>
  <c r="AH37" i="1"/>
  <c r="AH30" i="1"/>
  <c r="AK30" i="1"/>
  <c r="AJ12" i="1"/>
  <c r="AH12" i="1"/>
  <c r="AK42" i="1"/>
  <c r="AK40" i="1"/>
  <c r="AH40" i="1"/>
  <c r="AJ31" i="1"/>
  <c r="AJ24" i="1"/>
  <c r="AK24" i="1"/>
  <c r="AJ11" i="1"/>
  <c r="AK28" i="1"/>
  <c r="AJ20" i="1"/>
  <c r="AJ28" i="1"/>
  <c r="W50" i="1"/>
  <c r="AJ27" i="1"/>
  <c r="AH36" i="1"/>
  <c r="AH20" i="1"/>
  <c r="AH26" i="1"/>
  <c r="AJ26" i="1"/>
  <c r="AH15" i="1"/>
  <c r="AJ15" i="1"/>
  <c r="AK15" i="1"/>
  <c r="AJ16" i="1"/>
  <c r="AK26" i="1"/>
  <c r="AK44" i="1"/>
  <c r="AC44" i="1"/>
  <c r="AJ33" i="1"/>
  <c r="AK43" i="1"/>
  <c r="AK47" i="1"/>
  <c r="AJ43" i="1"/>
  <c r="AC11" i="1"/>
  <c r="AH11" i="1"/>
  <c r="AK11" i="1"/>
  <c r="AH31" i="1"/>
  <c r="AK33" i="1"/>
  <c r="AK32" i="1"/>
  <c r="AK35" i="1"/>
  <c r="AJ35" i="1"/>
  <c r="AJ19" i="1"/>
  <c r="AK16" i="1"/>
  <c r="AJ36" i="1"/>
  <c r="AC40" i="1"/>
  <c r="AJ34" i="1"/>
  <c r="AH27" i="1"/>
  <c r="W49" i="1"/>
  <c r="AC17" i="1"/>
  <c r="AC14" i="1"/>
  <c r="AK41" i="1"/>
  <c r="AJ47" i="1"/>
  <c r="AC42" i="1"/>
  <c r="AK29" i="1"/>
  <c r="AK39" i="1"/>
  <c r="AJ29" i="1"/>
  <c r="AJ39" i="1"/>
  <c r="AJ41" i="1"/>
  <c r="AB49" i="1" l="1"/>
  <c r="AB50" i="1"/>
  <c r="AC49" i="1"/>
  <c r="AC50" i="1"/>
  <c r="AK9" i="1"/>
  <c r="AH50" i="1"/>
  <c r="AH49" i="1"/>
  <c r="AJ9" i="1"/>
  <c r="AF50" i="1"/>
  <c r="AL49" i="1"/>
  <c r="AL50" i="1"/>
  <c r="AF49" i="1"/>
  <c r="H26" i="4"/>
  <c r="I26" i="4" s="1"/>
  <c r="AJ50" i="1" l="1"/>
  <c r="AJ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remove from data set because boar is from Nagasaki and not exposed to Fukushima contamination</t>
        </r>
      </text>
    </comment>
    <comment ref="T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not detected, after 10 h count, used half of detection limit</t>
        </r>
      </text>
    </comment>
    <comment ref="Q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missing sample, used 160728-1</t>
        </r>
      </text>
    </comment>
    <comment ref="Q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V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Hinton:
tissue sample missing, estimated Cs-134 and 137 concentrations from 3 boar taken at the same location (160726-2; 161206 O-229; 161208 O-237)</t>
        </r>
      </text>
    </comment>
    <comment ref="Q2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tissue sample missing, estimated Cs-134 and 137 concentrations from 3 boar taken at the same location (160726-2; 161206 O-229; 161208 O-237)</t>
        </r>
      </text>
    </comment>
    <comment ref="V2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B2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  <comment ref="N2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age by dental wear not determined, I guessed age based on size of boar</t>
        </r>
      </text>
    </comment>
    <comment ref="V2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used data from same location 161216 F-117</t>
        </r>
      </text>
    </comment>
    <comment ref="U29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134Cs  estimated as 18% of 137Cs activity</t>
        </r>
      </text>
    </comment>
    <comment ref="V3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V3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sample not found, used avg value from other  boar taken from okuma, Ottozawa-chuodai</t>
        </r>
      </text>
    </comment>
    <comment ref="O9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age from dental condtions awas not made, I based it on size of animal.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Hinton</author>
  </authors>
  <commentList>
    <comment ref="G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Dose Conversion Factor (DCF) from ERICA</t>
        </r>
      </text>
    </comment>
    <comment ref="C2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Janelle, died after release, took tissue sample</t>
        </r>
      </text>
    </comment>
    <comment ref="D7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Hinton:</t>
        </r>
        <r>
          <rPr>
            <sz val="9"/>
            <color indexed="81"/>
            <rFont val="Tahoma"/>
            <family val="2"/>
          </rPr>
          <t xml:space="preserve">
estimated based on size</t>
        </r>
      </text>
    </comment>
  </commentList>
</comments>
</file>

<file path=xl/sharedStrings.xml><?xml version="1.0" encoding="utf-8"?>
<sst xmlns="http://schemas.openxmlformats.org/spreadsheetml/2006/main" count="2349" uniqueCount="676">
  <si>
    <t>ID</t>
    <phoneticPr fontId="1"/>
  </si>
  <si>
    <t>Capture location</t>
    <phoneticPr fontId="1"/>
  </si>
  <si>
    <t>Place name</t>
    <phoneticPr fontId="1"/>
  </si>
  <si>
    <t>Sex</t>
    <phoneticPr fontId="1"/>
  </si>
  <si>
    <t>Age (weeks)</t>
    <phoneticPr fontId="1"/>
  </si>
  <si>
    <t>Lung</t>
    <phoneticPr fontId="1"/>
  </si>
  <si>
    <t>Liver</t>
    <phoneticPr fontId="1"/>
  </si>
  <si>
    <t>Spleen</t>
    <phoneticPr fontId="1"/>
  </si>
  <si>
    <t>Kidney</t>
    <phoneticPr fontId="1"/>
  </si>
  <si>
    <t>Biceps femoris</t>
    <phoneticPr fontId="1"/>
  </si>
  <si>
    <t>Longissimus</t>
    <phoneticPr fontId="1"/>
  </si>
  <si>
    <t>Masseter</t>
    <phoneticPr fontId="1"/>
  </si>
  <si>
    <t>Tongue</t>
    <phoneticPr fontId="1"/>
  </si>
  <si>
    <t>160603-1</t>
    <phoneticPr fontId="1"/>
  </si>
  <si>
    <t>160603-B</t>
    <phoneticPr fontId="1"/>
  </si>
  <si>
    <t>160603-D</t>
    <phoneticPr fontId="1"/>
  </si>
  <si>
    <t>160603-E</t>
    <phoneticPr fontId="1"/>
  </si>
  <si>
    <t>Weight (kg)</t>
    <phoneticPr fontId="1"/>
  </si>
  <si>
    <t>160610-1</t>
    <phoneticPr fontId="1"/>
  </si>
  <si>
    <t>160610-2</t>
    <phoneticPr fontId="1"/>
  </si>
  <si>
    <t>160617-1</t>
    <phoneticPr fontId="1"/>
  </si>
  <si>
    <t>Female</t>
    <phoneticPr fontId="1"/>
  </si>
  <si>
    <t>Male</t>
    <phoneticPr fontId="1"/>
  </si>
  <si>
    <t>Male</t>
    <phoneticPr fontId="1"/>
  </si>
  <si>
    <t>Fukushima</t>
    <phoneticPr fontId="1"/>
  </si>
  <si>
    <t>Namie</t>
    <phoneticPr fontId="1"/>
  </si>
  <si>
    <t>Heart</t>
    <phoneticPr fontId="1"/>
  </si>
  <si>
    <t>160610-3</t>
    <phoneticPr fontId="1"/>
  </si>
  <si>
    <t>Sakai-Matsukiuchi</t>
    <phoneticPr fontId="1"/>
  </si>
  <si>
    <t>Akougi-Koakuto</t>
    <phoneticPr fontId="1"/>
  </si>
  <si>
    <t>33-39</t>
    <phoneticPr fontId="1"/>
  </si>
  <si>
    <t>27-31</t>
    <phoneticPr fontId="1"/>
  </si>
  <si>
    <t>Thyroid</t>
  </si>
  <si>
    <t>Thyroid</t>
    <phoneticPr fontId="1"/>
  </si>
  <si>
    <t>Cs-134 (Bq/kg)</t>
    <phoneticPr fontId="1"/>
  </si>
  <si>
    <t>Activity</t>
    <phoneticPr fontId="1"/>
  </si>
  <si>
    <t>Act. err</t>
    <phoneticPr fontId="1"/>
  </si>
  <si>
    <t>err/Activity</t>
    <phoneticPr fontId="1"/>
  </si>
  <si>
    <t>Cs-134</t>
    <phoneticPr fontId="1"/>
  </si>
  <si>
    <t>Cs-137</t>
    <phoneticPr fontId="1"/>
  </si>
  <si>
    <t>Fresh weight (g)</t>
    <phoneticPr fontId="1"/>
  </si>
  <si>
    <t>Dry weight (g)</t>
    <phoneticPr fontId="1"/>
  </si>
  <si>
    <t>Live time (s)</t>
    <phoneticPr fontId="1"/>
  </si>
  <si>
    <t>Part</t>
    <phoneticPr fontId="1"/>
  </si>
  <si>
    <t>Fresh or Dry</t>
    <phoneticPr fontId="1"/>
  </si>
  <si>
    <t>Dry</t>
    <phoneticPr fontId="1"/>
  </si>
  <si>
    <t>Liver</t>
    <phoneticPr fontId="1"/>
  </si>
  <si>
    <t>Dry</t>
    <phoneticPr fontId="1"/>
  </si>
  <si>
    <t>Spleen</t>
    <phoneticPr fontId="1"/>
  </si>
  <si>
    <t>Testicle</t>
    <phoneticPr fontId="1"/>
  </si>
  <si>
    <t>Dry</t>
    <phoneticPr fontId="1"/>
  </si>
  <si>
    <t>Dry</t>
    <phoneticPr fontId="1"/>
  </si>
  <si>
    <t>Fresh</t>
    <phoneticPr fontId="1"/>
  </si>
  <si>
    <t>Liver</t>
    <phoneticPr fontId="1"/>
  </si>
  <si>
    <t>Fresh</t>
    <phoneticPr fontId="1"/>
  </si>
  <si>
    <t>Spleen</t>
    <phoneticPr fontId="1"/>
  </si>
  <si>
    <t>Fresh</t>
    <phoneticPr fontId="1"/>
  </si>
  <si>
    <t>Kidney</t>
    <phoneticPr fontId="1"/>
  </si>
  <si>
    <t>Fresh</t>
    <phoneticPr fontId="1"/>
  </si>
  <si>
    <t>Dry</t>
    <phoneticPr fontId="1"/>
  </si>
  <si>
    <t>Spleen</t>
    <phoneticPr fontId="1"/>
  </si>
  <si>
    <t>Bladder</t>
    <phoneticPr fontId="1"/>
  </si>
  <si>
    <t>Urine</t>
    <phoneticPr fontId="1"/>
  </si>
  <si>
    <t>Dry</t>
    <phoneticPr fontId="1"/>
  </si>
  <si>
    <t>160617-2</t>
    <phoneticPr fontId="1"/>
  </si>
  <si>
    <t>Heart</t>
    <phoneticPr fontId="1"/>
  </si>
  <si>
    <t>?</t>
    <phoneticPr fontId="1"/>
  </si>
  <si>
    <t>Liver</t>
    <phoneticPr fontId="1"/>
  </si>
  <si>
    <t>Fresh</t>
    <phoneticPr fontId="1"/>
  </si>
  <si>
    <t>Fresh</t>
    <phoneticPr fontId="1"/>
  </si>
  <si>
    <t>Heart?</t>
    <phoneticPr fontId="1"/>
  </si>
  <si>
    <t>Fresh</t>
    <phoneticPr fontId="1"/>
  </si>
  <si>
    <t>Namie</t>
  </si>
  <si>
    <t>Male</t>
  </si>
  <si>
    <t>Female</t>
  </si>
  <si>
    <t>Fukushima</t>
  </si>
  <si>
    <t>160720-5</t>
  </si>
  <si>
    <t>6-9</t>
  </si>
  <si>
    <t>160722-1</t>
  </si>
  <si>
    <t>160726-1</t>
  </si>
  <si>
    <t>160726-2</t>
  </si>
  <si>
    <t>160726-3</t>
  </si>
  <si>
    <t>160726-4</t>
  </si>
  <si>
    <t>Okuma</t>
  </si>
  <si>
    <t>160723-1</t>
  </si>
  <si>
    <t>160801-1</t>
  </si>
  <si>
    <t>160801-2</t>
  </si>
  <si>
    <t>160801-3</t>
  </si>
  <si>
    <t xml:space="preserve">Tomioka </t>
  </si>
  <si>
    <t>160804-1</t>
  </si>
  <si>
    <t xml:space="preserve">Nagasaki </t>
  </si>
  <si>
    <t>160728-1</t>
  </si>
  <si>
    <t>Katsurao</t>
    <phoneticPr fontId="1"/>
  </si>
  <si>
    <t>Namie</t>
    <phoneticPr fontId="1"/>
  </si>
  <si>
    <t>160803-1</t>
    <phoneticPr fontId="1"/>
  </si>
  <si>
    <t>Okuma</t>
    <phoneticPr fontId="1"/>
  </si>
  <si>
    <t>63-68</t>
    <phoneticPr fontId="1"/>
  </si>
  <si>
    <t>82-86</t>
    <phoneticPr fontId="1"/>
  </si>
  <si>
    <t>160607-2</t>
    <phoneticPr fontId="1"/>
  </si>
  <si>
    <t>Thyroid</t>
    <phoneticPr fontId="1"/>
  </si>
  <si>
    <t>Dry</t>
    <phoneticPr fontId="1"/>
  </si>
  <si>
    <t>Masseter</t>
    <phoneticPr fontId="1"/>
  </si>
  <si>
    <t>160621-2</t>
    <phoneticPr fontId="1"/>
  </si>
  <si>
    <t>Masseter</t>
    <phoneticPr fontId="1"/>
  </si>
  <si>
    <t>Dry</t>
    <phoneticPr fontId="1"/>
  </si>
  <si>
    <t>160726-1</t>
    <phoneticPr fontId="1"/>
  </si>
  <si>
    <t>Heart</t>
    <phoneticPr fontId="1"/>
  </si>
  <si>
    <t>Dry</t>
    <phoneticPr fontId="1"/>
  </si>
  <si>
    <t>Liver</t>
    <phoneticPr fontId="1"/>
  </si>
  <si>
    <t>Dry</t>
    <phoneticPr fontId="1"/>
  </si>
  <si>
    <t>Longissimus</t>
    <phoneticPr fontId="1"/>
  </si>
  <si>
    <t>160610-1</t>
    <phoneticPr fontId="1"/>
  </si>
  <si>
    <t>Testicle</t>
    <phoneticPr fontId="1"/>
  </si>
  <si>
    <t>Dry</t>
    <phoneticPr fontId="1"/>
  </si>
  <si>
    <t>Masseter2</t>
    <phoneticPr fontId="1"/>
  </si>
  <si>
    <t>160621-2</t>
    <phoneticPr fontId="1"/>
  </si>
  <si>
    <t>Longissimus</t>
    <phoneticPr fontId="1"/>
  </si>
  <si>
    <t>160607-2</t>
    <phoneticPr fontId="1"/>
  </si>
  <si>
    <t>Dry</t>
    <phoneticPr fontId="1"/>
  </si>
  <si>
    <t>160610-2</t>
    <phoneticPr fontId="1"/>
  </si>
  <si>
    <t>Biceps femoris</t>
    <phoneticPr fontId="1"/>
  </si>
  <si>
    <t>160617-2</t>
    <phoneticPr fontId="1"/>
  </si>
  <si>
    <t>Masseter</t>
    <phoneticPr fontId="1"/>
  </si>
  <si>
    <t>160603-1</t>
    <phoneticPr fontId="1"/>
  </si>
  <si>
    <t>Lung</t>
    <phoneticPr fontId="1"/>
  </si>
  <si>
    <t>160617-2</t>
    <phoneticPr fontId="1"/>
  </si>
  <si>
    <t>Katsurao-Noyuki</t>
    <phoneticPr fontId="1"/>
  </si>
  <si>
    <t>Kumashin-machi</t>
    <phoneticPr fontId="1"/>
  </si>
  <si>
    <t>Watari-Kouya</t>
    <phoneticPr fontId="1"/>
  </si>
  <si>
    <t>Murohara-Kamiyachi</t>
    <phoneticPr fontId="1"/>
  </si>
  <si>
    <t>Kumanabedu</t>
    <phoneticPr fontId="1"/>
  </si>
  <si>
    <t>Kumanabedu</t>
    <phoneticPr fontId="1"/>
  </si>
  <si>
    <t>Yamaguchi-Gohonmatsu</t>
    <phoneticPr fontId="1"/>
  </si>
  <si>
    <t>Higashisonogicho-Nakaogo</t>
    <phoneticPr fontId="1"/>
  </si>
  <si>
    <t>Capture location</t>
    <phoneticPr fontId="1"/>
  </si>
  <si>
    <t>Katsurao</t>
    <phoneticPr fontId="1"/>
  </si>
  <si>
    <t>Katsurao-Kashiwabara</t>
    <phoneticPr fontId="1"/>
  </si>
  <si>
    <t>Kumaasahidai</t>
    <phoneticPr fontId="1"/>
  </si>
  <si>
    <t>Yonomoriminami</t>
    <phoneticPr fontId="1"/>
  </si>
  <si>
    <t>160726-1</t>
    <phoneticPr fontId="1"/>
  </si>
  <si>
    <t>Okuma</t>
    <phoneticPr fontId="1"/>
  </si>
  <si>
    <t>DW/FW</t>
    <phoneticPr fontId="1"/>
  </si>
  <si>
    <t>21</t>
    <phoneticPr fontId="1"/>
  </si>
  <si>
    <t>160726-4</t>
    <phoneticPr fontId="1"/>
  </si>
  <si>
    <t>Bile</t>
    <phoneticPr fontId="1"/>
  </si>
  <si>
    <t>Liquid</t>
    <phoneticPr fontId="1"/>
  </si>
  <si>
    <t>160722-1</t>
    <phoneticPr fontId="1"/>
  </si>
  <si>
    <t>160621-3</t>
    <phoneticPr fontId="1"/>
  </si>
  <si>
    <t>Dry</t>
    <phoneticPr fontId="1"/>
  </si>
  <si>
    <t>160720-11</t>
    <phoneticPr fontId="1"/>
  </si>
  <si>
    <t>Dry</t>
    <phoneticPr fontId="1"/>
  </si>
  <si>
    <t>160720-1</t>
    <phoneticPr fontId="1"/>
  </si>
  <si>
    <t>160720-7</t>
    <phoneticPr fontId="1"/>
  </si>
  <si>
    <t>160917-2</t>
    <phoneticPr fontId="1"/>
  </si>
  <si>
    <t>160919-2</t>
    <phoneticPr fontId="1"/>
  </si>
  <si>
    <t>160920-1</t>
    <phoneticPr fontId="1"/>
  </si>
  <si>
    <t>161101-3</t>
    <phoneticPr fontId="1"/>
  </si>
  <si>
    <t>161111-3</t>
    <phoneticPr fontId="1"/>
  </si>
  <si>
    <t>160610-3</t>
    <phoneticPr fontId="1"/>
  </si>
  <si>
    <t>160715-1</t>
    <phoneticPr fontId="1"/>
  </si>
  <si>
    <t>160720-2</t>
    <phoneticPr fontId="1"/>
  </si>
  <si>
    <t>160720-9</t>
    <phoneticPr fontId="1"/>
  </si>
  <si>
    <t>Dry</t>
    <phoneticPr fontId="1"/>
  </si>
  <si>
    <t>160722-2</t>
    <phoneticPr fontId="1"/>
  </si>
  <si>
    <t>160918-1</t>
    <phoneticPr fontId="1"/>
  </si>
  <si>
    <t>160918-3</t>
    <phoneticPr fontId="1"/>
  </si>
  <si>
    <t>160919-1</t>
    <phoneticPr fontId="1"/>
  </si>
  <si>
    <t>160928-1</t>
    <phoneticPr fontId="1"/>
  </si>
  <si>
    <t>161004-7</t>
    <phoneticPr fontId="1"/>
  </si>
  <si>
    <t>161004-4</t>
    <phoneticPr fontId="1"/>
  </si>
  <si>
    <t>161022-2</t>
    <phoneticPr fontId="1"/>
  </si>
  <si>
    <t>160916-1</t>
    <phoneticPr fontId="1"/>
  </si>
  <si>
    <t>160916-1</t>
    <phoneticPr fontId="1"/>
  </si>
  <si>
    <t>Heart</t>
    <phoneticPr fontId="1"/>
  </si>
  <si>
    <t>Kidney</t>
    <phoneticPr fontId="1"/>
  </si>
  <si>
    <t>Dry</t>
    <phoneticPr fontId="1"/>
  </si>
  <si>
    <t>Rectal content</t>
    <phoneticPr fontId="1"/>
  </si>
  <si>
    <t>160801-1</t>
    <phoneticPr fontId="1"/>
  </si>
  <si>
    <t>Dry</t>
    <phoneticPr fontId="1"/>
  </si>
  <si>
    <t>Dry</t>
    <phoneticPr fontId="1"/>
  </si>
  <si>
    <t>Thyroid</t>
    <phoneticPr fontId="1"/>
  </si>
  <si>
    <t>160801-2</t>
    <phoneticPr fontId="1"/>
  </si>
  <si>
    <t>Dry</t>
    <phoneticPr fontId="1"/>
  </si>
  <si>
    <t>160801-2</t>
    <phoneticPr fontId="1"/>
  </si>
  <si>
    <t>Masseter</t>
    <phoneticPr fontId="1"/>
  </si>
  <si>
    <t>160801-3</t>
    <phoneticPr fontId="1"/>
  </si>
  <si>
    <t>160726-3</t>
    <phoneticPr fontId="1"/>
  </si>
  <si>
    <t>Lung</t>
    <phoneticPr fontId="1"/>
  </si>
  <si>
    <t>160726-3</t>
    <phoneticPr fontId="1"/>
  </si>
  <si>
    <t>Spleen</t>
    <phoneticPr fontId="1"/>
  </si>
  <si>
    <t>Dry</t>
    <phoneticPr fontId="1"/>
  </si>
  <si>
    <t>160726-3</t>
    <phoneticPr fontId="1"/>
  </si>
  <si>
    <t>Longissimus</t>
    <phoneticPr fontId="1"/>
  </si>
  <si>
    <t>Biceps femoris</t>
    <phoneticPr fontId="1"/>
  </si>
  <si>
    <t>Thyroid</t>
    <phoneticPr fontId="1"/>
  </si>
  <si>
    <t>160801-1</t>
    <phoneticPr fontId="1"/>
  </si>
  <si>
    <t>Dry</t>
    <phoneticPr fontId="1"/>
  </si>
  <si>
    <t>Tongue</t>
    <phoneticPr fontId="1"/>
  </si>
  <si>
    <t>160801-3</t>
    <phoneticPr fontId="1"/>
  </si>
  <si>
    <t>160607-1</t>
    <phoneticPr fontId="1"/>
  </si>
  <si>
    <t>160720-3</t>
    <phoneticPr fontId="1"/>
  </si>
  <si>
    <t>160720-4</t>
    <phoneticPr fontId="1"/>
  </si>
  <si>
    <t>160720-5</t>
    <phoneticPr fontId="1"/>
  </si>
  <si>
    <t>160720-10</t>
    <phoneticPr fontId="1"/>
  </si>
  <si>
    <t>160728-1</t>
    <phoneticPr fontId="1"/>
  </si>
  <si>
    <t>160802-2</t>
    <phoneticPr fontId="1"/>
  </si>
  <si>
    <t>-</t>
    <phoneticPr fontId="1"/>
  </si>
  <si>
    <t>Okuma</t>
    <phoneticPr fontId="1"/>
  </si>
  <si>
    <t>Namie</t>
    <phoneticPr fontId="1"/>
  </si>
  <si>
    <t>Namie</t>
    <phoneticPr fontId="1"/>
  </si>
  <si>
    <t>Fukushima</t>
    <phoneticPr fontId="1"/>
  </si>
  <si>
    <t>Namie</t>
    <phoneticPr fontId="1"/>
  </si>
  <si>
    <t>Namie</t>
    <phoneticPr fontId="1"/>
  </si>
  <si>
    <t>Okuma</t>
    <phoneticPr fontId="1"/>
  </si>
  <si>
    <t>Okuma</t>
    <phoneticPr fontId="1"/>
  </si>
  <si>
    <t>Tomioka</t>
    <phoneticPr fontId="1"/>
  </si>
  <si>
    <t>Fukushima</t>
    <phoneticPr fontId="1"/>
  </si>
  <si>
    <t>Fukushima</t>
    <phoneticPr fontId="1"/>
  </si>
  <si>
    <t>Katsurao</t>
    <phoneticPr fontId="1"/>
  </si>
  <si>
    <t>Namie</t>
    <phoneticPr fontId="1"/>
  </si>
  <si>
    <t>160719-1?</t>
    <phoneticPr fontId="1"/>
  </si>
  <si>
    <t>1096.5</t>
    <phoneticPr fontId="1"/>
  </si>
  <si>
    <t>75.827</t>
    <phoneticPr fontId="1"/>
  </si>
  <si>
    <t>6287.7</t>
    <phoneticPr fontId="1"/>
  </si>
  <si>
    <t>Longissimus</t>
    <phoneticPr fontId="1"/>
  </si>
  <si>
    <t>Dry</t>
    <phoneticPr fontId="1"/>
  </si>
  <si>
    <t>2409.5</t>
    <phoneticPr fontId="1"/>
  </si>
  <si>
    <t>864.50</t>
    <phoneticPr fontId="1"/>
  </si>
  <si>
    <t>1108.2</t>
    <phoneticPr fontId="1"/>
  </si>
  <si>
    <t>90.425</t>
    <phoneticPr fontId="1"/>
  </si>
  <si>
    <t>5573.8</t>
    <phoneticPr fontId="1"/>
  </si>
  <si>
    <t>1115.4</t>
    <phoneticPr fontId="1"/>
  </si>
  <si>
    <t>63.624</t>
    <phoneticPr fontId="1"/>
  </si>
  <si>
    <t>5877.8</t>
    <phoneticPr fontId="1"/>
  </si>
  <si>
    <t>Masseter</t>
    <phoneticPr fontId="1"/>
  </si>
  <si>
    <t>1665.3</t>
    <phoneticPr fontId="1"/>
  </si>
  <si>
    <t>73.080</t>
    <phoneticPr fontId="1"/>
  </si>
  <si>
    <t>8419.7</t>
    <phoneticPr fontId="1"/>
  </si>
  <si>
    <t>1596.2</t>
    <phoneticPr fontId="1"/>
  </si>
  <si>
    <t>60.092</t>
    <phoneticPr fontId="1"/>
  </si>
  <si>
    <t>7856.4</t>
    <phoneticPr fontId="1"/>
  </si>
  <si>
    <t>Tongue</t>
    <phoneticPr fontId="1"/>
  </si>
  <si>
    <t>53.178</t>
    <phoneticPr fontId="1"/>
  </si>
  <si>
    <t>4867.8</t>
    <phoneticPr fontId="1"/>
  </si>
  <si>
    <t>23.562</t>
    <phoneticPr fontId="1"/>
  </si>
  <si>
    <t>76.499</t>
    <phoneticPr fontId="1"/>
  </si>
  <si>
    <t>36.476</t>
    <phoneticPr fontId="1"/>
  </si>
  <si>
    <t>1778.8</t>
    <phoneticPr fontId="1"/>
  </si>
  <si>
    <t>27.521</t>
    <phoneticPr fontId="1"/>
  </si>
  <si>
    <t>1693.3</t>
    <phoneticPr fontId="1"/>
  </si>
  <si>
    <t>92.507</t>
    <phoneticPr fontId="1"/>
  </si>
  <si>
    <t>1744.8</t>
    <phoneticPr fontId="1"/>
  </si>
  <si>
    <t>22.767</t>
    <phoneticPr fontId="1"/>
  </si>
  <si>
    <t>9339.5</t>
    <phoneticPr fontId="1"/>
  </si>
  <si>
    <t>72.482</t>
    <phoneticPr fontId="1"/>
  </si>
  <si>
    <t>160801-1</t>
    <phoneticPr fontId="1"/>
  </si>
  <si>
    <t>160801-2</t>
    <phoneticPr fontId="1"/>
  </si>
  <si>
    <t>160801-3</t>
    <phoneticPr fontId="1"/>
  </si>
  <si>
    <t>160801-3</t>
    <phoneticPr fontId="1"/>
  </si>
  <si>
    <t>Dry</t>
    <phoneticPr fontId="1"/>
  </si>
  <si>
    <t>1872.7</t>
    <phoneticPr fontId="1"/>
  </si>
  <si>
    <t>38.592</t>
    <phoneticPr fontId="1"/>
  </si>
  <si>
    <t>9776.2</t>
    <phoneticPr fontId="1"/>
  </si>
  <si>
    <t>115.71</t>
    <phoneticPr fontId="1"/>
  </si>
  <si>
    <t>3381.1</t>
    <phoneticPr fontId="1"/>
  </si>
  <si>
    <t>61.649</t>
    <phoneticPr fontId="1"/>
  </si>
  <si>
    <t>18191</t>
    <phoneticPr fontId="1"/>
  </si>
  <si>
    <t>3582.6</t>
    <phoneticPr fontId="1"/>
  </si>
  <si>
    <t>31.573</t>
    <phoneticPr fontId="1"/>
  </si>
  <si>
    <t>18614</t>
    <phoneticPr fontId="1"/>
  </si>
  <si>
    <t>99.489</t>
    <phoneticPr fontId="1"/>
  </si>
  <si>
    <t>4068.9</t>
    <phoneticPr fontId="1"/>
  </si>
  <si>
    <t>40.390</t>
    <phoneticPr fontId="1"/>
  </si>
  <si>
    <t>21366</t>
    <phoneticPr fontId="1"/>
  </si>
  <si>
    <t>4218.5</t>
    <phoneticPr fontId="1"/>
  </si>
  <si>
    <t>64.683</t>
    <phoneticPr fontId="1"/>
  </si>
  <si>
    <t>22370</t>
    <phoneticPr fontId="1"/>
  </si>
  <si>
    <t>1605.8</t>
    <phoneticPr fontId="1"/>
  </si>
  <si>
    <t>24.030</t>
    <phoneticPr fontId="1"/>
  </si>
  <si>
    <t>8373.3</t>
    <phoneticPr fontId="1"/>
  </si>
  <si>
    <t>74.442</t>
    <phoneticPr fontId="1"/>
  </si>
  <si>
    <t>15.154</t>
    <phoneticPr fontId="1"/>
  </si>
  <si>
    <t>3946.9</t>
    <phoneticPr fontId="1"/>
  </si>
  <si>
    <t>46.530</t>
    <phoneticPr fontId="1"/>
  </si>
  <si>
    <t>Longissimus</t>
    <phoneticPr fontId="1"/>
  </si>
  <si>
    <t>1315.8</t>
    <phoneticPr fontId="1"/>
  </si>
  <si>
    <t>17.934</t>
    <phoneticPr fontId="1"/>
  </si>
  <si>
    <t>7024.4</t>
    <phoneticPr fontId="1"/>
  </si>
  <si>
    <t>56.844</t>
    <phoneticPr fontId="1"/>
  </si>
  <si>
    <t>9.1825</t>
    <phoneticPr fontId="1"/>
  </si>
  <si>
    <t>1721.3</t>
    <phoneticPr fontId="1"/>
  </si>
  <si>
    <t>27.374</t>
    <phoneticPr fontId="1"/>
  </si>
  <si>
    <t>Tongue</t>
    <phoneticPr fontId="1"/>
  </si>
  <si>
    <t>Dry</t>
    <phoneticPr fontId="1"/>
  </si>
  <si>
    <t>7.7988</t>
    <phoneticPr fontId="1"/>
  </si>
  <si>
    <t>22.541</t>
    <phoneticPr fontId="1"/>
  </si>
  <si>
    <t>72.441</t>
    <phoneticPr fontId="1"/>
  </si>
  <si>
    <t>7.1631</t>
    <phoneticPr fontId="1"/>
  </si>
  <si>
    <t>160726-3</t>
    <phoneticPr fontId="1"/>
  </si>
  <si>
    <t>160726-3</t>
    <phoneticPr fontId="1"/>
  </si>
  <si>
    <t>160801-2</t>
    <phoneticPr fontId="1"/>
  </si>
  <si>
    <t>160917-2</t>
    <phoneticPr fontId="1"/>
  </si>
  <si>
    <t>20.015</t>
    <phoneticPr fontId="1"/>
  </si>
  <si>
    <t>Okuma</t>
    <phoneticPr fontId="1"/>
  </si>
  <si>
    <t>161209 O-242</t>
    <phoneticPr fontId="1"/>
  </si>
  <si>
    <t>Biceps femoris</t>
    <phoneticPr fontId="1"/>
  </si>
  <si>
    <t>Dry</t>
    <phoneticPr fontId="1"/>
  </si>
  <si>
    <t>160531-1</t>
    <phoneticPr fontId="1"/>
  </si>
  <si>
    <t>Namie</t>
    <phoneticPr fontId="1"/>
  </si>
  <si>
    <t>Longissimus</t>
    <phoneticPr fontId="1"/>
  </si>
  <si>
    <t>Dry</t>
    <phoneticPr fontId="1"/>
  </si>
  <si>
    <t>Biceps femoris</t>
    <phoneticPr fontId="1"/>
  </si>
  <si>
    <t>160531-2</t>
    <phoneticPr fontId="1"/>
  </si>
  <si>
    <t>160531-3</t>
    <phoneticPr fontId="1"/>
  </si>
  <si>
    <t>160531-4</t>
    <phoneticPr fontId="1"/>
  </si>
  <si>
    <t>160531-5</t>
    <phoneticPr fontId="1"/>
  </si>
  <si>
    <t>Testicle</t>
    <phoneticPr fontId="1"/>
  </si>
  <si>
    <t>160531-5</t>
    <phoneticPr fontId="1"/>
  </si>
  <si>
    <t>160531-5</t>
    <phoneticPr fontId="1"/>
  </si>
  <si>
    <t>160708-1</t>
    <phoneticPr fontId="1"/>
  </si>
  <si>
    <t>Heart</t>
    <phoneticPr fontId="1"/>
  </si>
  <si>
    <t>Masseter</t>
    <phoneticPr fontId="1"/>
  </si>
  <si>
    <t>Thyroid</t>
    <phoneticPr fontId="1"/>
  </si>
  <si>
    <t>Bile</t>
    <phoneticPr fontId="1"/>
  </si>
  <si>
    <t>Lung</t>
    <phoneticPr fontId="1"/>
  </si>
  <si>
    <t>Dry</t>
    <phoneticPr fontId="1"/>
  </si>
  <si>
    <t>Masseter</t>
    <phoneticPr fontId="1"/>
  </si>
  <si>
    <t>160721-1</t>
    <phoneticPr fontId="1"/>
  </si>
  <si>
    <t>160917-3</t>
    <phoneticPr fontId="1"/>
  </si>
  <si>
    <t>391.56</t>
    <phoneticPr fontId="1"/>
  </si>
  <si>
    <t>15.242</t>
    <phoneticPr fontId="1"/>
  </si>
  <si>
    <t>1938.3</t>
    <phoneticPr fontId="1"/>
  </si>
  <si>
    <t>45.259</t>
    <phoneticPr fontId="1"/>
  </si>
  <si>
    <t>161012 O-150</t>
    <phoneticPr fontId="1"/>
  </si>
  <si>
    <t>Okuma</t>
    <phoneticPr fontId="1"/>
  </si>
  <si>
    <t>3683..6</t>
    <phoneticPr fontId="1"/>
  </si>
  <si>
    <t>161025 O-174</t>
    <phoneticPr fontId="1"/>
  </si>
  <si>
    <t>161117 O-198</t>
    <phoneticPr fontId="1"/>
  </si>
  <si>
    <t>1457..0</t>
    <phoneticPr fontId="1"/>
  </si>
  <si>
    <t>161206 O-228</t>
  </si>
  <si>
    <t>160720-8</t>
    <phoneticPr fontId="1"/>
  </si>
  <si>
    <t>161026 O-175</t>
    <phoneticPr fontId="1"/>
  </si>
  <si>
    <t>161026 O-178</t>
    <phoneticPr fontId="1"/>
  </si>
  <si>
    <t>161026 O-176</t>
    <phoneticPr fontId="1"/>
  </si>
  <si>
    <t>161130-2</t>
    <phoneticPr fontId="1"/>
  </si>
  <si>
    <t>161130-3</t>
    <phoneticPr fontId="1"/>
  </si>
  <si>
    <t>161130-4</t>
    <phoneticPr fontId="1"/>
  </si>
  <si>
    <t>161206 O-229</t>
  </si>
  <si>
    <t>161206 O-229</t>
    <phoneticPr fontId="1"/>
  </si>
  <si>
    <t>161208 O-240</t>
    <phoneticPr fontId="1"/>
  </si>
  <si>
    <t>Okuma</t>
    <phoneticPr fontId="1"/>
  </si>
  <si>
    <t>161206 O-239</t>
    <phoneticPr fontId="1"/>
  </si>
  <si>
    <t>161206 O-238</t>
    <phoneticPr fontId="1"/>
  </si>
  <si>
    <t>161206 O-237</t>
    <phoneticPr fontId="1"/>
  </si>
  <si>
    <t>Male</t>
    <phoneticPr fontId="1"/>
  </si>
  <si>
    <t>Female</t>
    <phoneticPr fontId="7"/>
  </si>
  <si>
    <t>Female</t>
    <phoneticPr fontId="7"/>
  </si>
  <si>
    <t>Male</t>
    <phoneticPr fontId="7"/>
  </si>
  <si>
    <t>Futaba</t>
    <phoneticPr fontId="7"/>
  </si>
  <si>
    <t>Okuma</t>
    <phoneticPr fontId="7"/>
  </si>
  <si>
    <t>Ottozawa-Chuodai</t>
    <phoneticPr fontId="6"/>
  </si>
  <si>
    <t>161126-2 F-110 GPS</t>
    <phoneticPr fontId="7"/>
  </si>
  <si>
    <t>Kamihatori-Sawairi</t>
    <phoneticPr fontId="7"/>
  </si>
  <si>
    <t>?</t>
  </si>
  <si>
    <t>161128-1 O-206</t>
  </si>
  <si>
    <t>Okuma</t>
    <phoneticPr fontId="7"/>
  </si>
  <si>
    <t>Shimonogamihara</t>
    <phoneticPr fontId="7"/>
  </si>
  <si>
    <t>161128-2 O-207</t>
  </si>
  <si>
    <t>Okuma</t>
    <phoneticPr fontId="7"/>
  </si>
  <si>
    <t>Ottozawa-Chuodai</t>
    <phoneticPr fontId="6"/>
  </si>
  <si>
    <t>Male</t>
    <phoneticPr fontId="7"/>
  </si>
  <si>
    <t>161130-1 O-210 GPS</t>
  </si>
  <si>
    <t>161130-2 O-211</t>
  </si>
  <si>
    <t>Shimonogamihara</t>
    <phoneticPr fontId="7"/>
  </si>
  <si>
    <t>161130-3 O-212</t>
  </si>
  <si>
    <t>Kuma-Kuma</t>
    <phoneticPr fontId="7"/>
  </si>
  <si>
    <t>Male</t>
    <phoneticPr fontId="7"/>
  </si>
  <si>
    <t>161130-4 O-213</t>
  </si>
  <si>
    <t>Kuma-Kuma</t>
    <phoneticPr fontId="7"/>
  </si>
  <si>
    <t>161130-5 O-214 GPS</t>
  </si>
  <si>
    <t>Kumashin-machi</t>
    <phoneticPr fontId="6"/>
  </si>
  <si>
    <t>Kumanabetsu</t>
    <phoneticPr fontId="6"/>
  </si>
  <si>
    <t>161206 O-230</t>
  </si>
  <si>
    <t>161206 O-231 GPS</t>
    <phoneticPr fontId="7"/>
  </si>
  <si>
    <t>Ottozawa-Chojyahara</t>
    <phoneticPr fontId="7"/>
  </si>
  <si>
    <t>161208 O-236</t>
  </si>
  <si>
    <t>Female</t>
    <phoneticPr fontId="7"/>
  </si>
  <si>
    <t>161208 O-237</t>
  </si>
  <si>
    <t>22-25</t>
    <phoneticPr fontId="7"/>
  </si>
  <si>
    <t>Shimono-Kanayadaira</t>
    <phoneticPr fontId="7"/>
  </si>
  <si>
    <t>Shimono-Kanayadaira</t>
    <phoneticPr fontId="7"/>
  </si>
  <si>
    <t>22-25</t>
    <phoneticPr fontId="7"/>
  </si>
  <si>
    <t>161213 PF-26</t>
  </si>
  <si>
    <t>Nakanoshibue</t>
    <phoneticPr fontId="7"/>
  </si>
  <si>
    <t>161213 O-246</t>
  </si>
  <si>
    <t>27-31</t>
    <phoneticPr fontId="7"/>
  </si>
  <si>
    <t>161215 T-1</t>
  </si>
  <si>
    <t>Tochigi</t>
    <phoneticPr fontId="7"/>
  </si>
  <si>
    <t>Tochigi-Umesawa</t>
    <phoneticPr fontId="7"/>
  </si>
  <si>
    <t>161215 T-2</t>
  </si>
  <si>
    <t>Tochigi-Umesawa</t>
    <phoneticPr fontId="7"/>
  </si>
  <si>
    <t>161216 O-247</t>
  </si>
  <si>
    <t>Nogami</t>
    <phoneticPr fontId="7"/>
  </si>
  <si>
    <t>161216 F-117</t>
  </si>
  <si>
    <t>Futaba</t>
    <phoneticPr fontId="7"/>
  </si>
  <si>
    <t>161126-1 O-205</t>
    <phoneticPr fontId="1"/>
  </si>
  <si>
    <t>161126 F-109</t>
    <phoneticPr fontId="1"/>
  </si>
  <si>
    <t>Futaba</t>
    <phoneticPr fontId="1"/>
  </si>
  <si>
    <t>Shibukawakitasaku</t>
    <phoneticPr fontId="7"/>
  </si>
  <si>
    <t>160805-2</t>
    <phoneticPr fontId="1"/>
  </si>
  <si>
    <t>Nagasaki</t>
    <phoneticPr fontId="1"/>
  </si>
  <si>
    <t>-</t>
    <phoneticPr fontId="1"/>
  </si>
  <si>
    <t>-</t>
    <phoneticPr fontId="1"/>
  </si>
  <si>
    <t>160805-1</t>
    <phoneticPr fontId="1"/>
  </si>
  <si>
    <t>Nagasaki</t>
    <phoneticPr fontId="1"/>
  </si>
  <si>
    <t>Biceps femoris</t>
    <phoneticPr fontId="1"/>
  </si>
  <si>
    <t>Dry</t>
    <phoneticPr fontId="1"/>
  </si>
  <si>
    <t>-</t>
    <phoneticPr fontId="1"/>
  </si>
  <si>
    <t>160804-2</t>
    <phoneticPr fontId="1"/>
  </si>
  <si>
    <t>Nagasaki</t>
    <phoneticPr fontId="1"/>
  </si>
  <si>
    <t>-</t>
    <phoneticPr fontId="1"/>
  </si>
  <si>
    <t>160729-1</t>
    <phoneticPr fontId="1"/>
  </si>
  <si>
    <t>Dry</t>
    <phoneticPr fontId="1"/>
  </si>
  <si>
    <t>160720-9</t>
    <phoneticPr fontId="1"/>
  </si>
  <si>
    <t>160720-9</t>
    <phoneticPr fontId="1"/>
  </si>
  <si>
    <t>Dry</t>
    <phoneticPr fontId="1"/>
  </si>
  <si>
    <t>-</t>
    <phoneticPr fontId="1"/>
  </si>
  <si>
    <t>-</t>
    <phoneticPr fontId="1"/>
  </si>
  <si>
    <t>160720-9</t>
    <phoneticPr fontId="1"/>
  </si>
  <si>
    <t>Okuma</t>
    <phoneticPr fontId="1"/>
  </si>
  <si>
    <t>Biceps femoris</t>
    <phoneticPr fontId="1"/>
  </si>
  <si>
    <t>161216 F-117</t>
    <phoneticPr fontId="1"/>
  </si>
  <si>
    <t>Futaba</t>
    <phoneticPr fontId="1"/>
  </si>
  <si>
    <t>Biceps femoris</t>
    <phoneticPr fontId="1"/>
  </si>
  <si>
    <t>160804-2</t>
    <phoneticPr fontId="1"/>
  </si>
  <si>
    <t>Nagasaki</t>
    <phoneticPr fontId="1"/>
  </si>
  <si>
    <t>-</t>
    <phoneticPr fontId="1"/>
  </si>
  <si>
    <t>-</t>
    <phoneticPr fontId="1"/>
  </si>
  <si>
    <t>160720-7</t>
    <phoneticPr fontId="1"/>
  </si>
  <si>
    <t>Fukushima</t>
    <phoneticPr fontId="1"/>
  </si>
  <si>
    <t>Thyroid</t>
    <phoneticPr fontId="1"/>
  </si>
  <si>
    <t>Dry</t>
    <phoneticPr fontId="1"/>
  </si>
  <si>
    <t>160720-9</t>
    <phoneticPr fontId="1"/>
  </si>
  <si>
    <t>Fukushima</t>
    <phoneticPr fontId="1"/>
  </si>
  <si>
    <t>Heart</t>
    <phoneticPr fontId="1"/>
  </si>
  <si>
    <t>160720-9</t>
    <phoneticPr fontId="1"/>
  </si>
  <si>
    <t>Fukushima</t>
    <phoneticPr fontId="1"/>
  </si>
  <si>
    <t>Spleen</t>
    <phoneticPr fontId="1"/>
  </si>
  <si>
    <t>Dry</t>
    <phoneticPr fontId="1"/>
  </si>
  <si>
    <t>-</t>
    <phoneticPr fontId="1"/>
  </si>
  <si>
    <t>160720-9</t>
    <phoneticPr fontId="1"/>
  </si>
  <si>
    <t>Fukushima</t>
    <phoneticPr fontId="1"/>
  </si>
  <si>
    <t>Masseter</t>
    <phoneticPr fontId="1"/>
  </si>
  <si>
    <t>Fukushima</t>
    <phoneticPr fontId="1"/>
  </si>
  <si>
    <t>Thyroid</t>
    <phoneticPr fontId="1"/>
  </si>
  <si>
    <t>Dry</t>
    <phoneticPr fontId="1"/>
  </si>
  <si>
    <t>Nagasaki</t>
    <phoneticPr fontId="1"/>
  </si>
  <si>
    <t>160805-2</t>
    <phoneticPr fontId="1"/>
  </si>
  <si>
    <t>Nagasaki</t>
    <phoneticPr fontId="1"/>
  </si>
  <si>
    <t>160805-1</t>
    <phoneticPr fontId="1"/>
  </si>
  <si>
    <t>160621-2</t>
    <phoneticPr fontId="1"/>
  </si>
  <si>
    <t>-</t>
    <phoneticPr fontId="1"/>
  </si>
  <si>
    <t>-</t>
    <phoneticPr fontId="1"/>
  </si>
  <si>
    <t>Biceps femoris</t>
    <phoneticPr fontId="1"/>
  </si>
  <si>
    <t>Dose Calculations for Boar used by Kelly</t>
  </si>
  <si>
    <t>Tissue</t>
  </si>
  <si>
    <t>Biceps</t>
  </si>
  <si>
    <t>161208 O-239</t>
  </si>
  <si>
    <t>161208 O-240</t>
  </si>
  <si>
    <t>161208 O-242</t>
  </si>
  <si>
    <t>Age (hours)</t>
  </si>
  <si>
    <t xml:space="preserve"> </t>
  </si>
  <si>
    <t>QA/AC</t>
  </si>
  <si>
    <t>√</t>
  </si>
  <si>
    <t xml:space="preserve">Soil Rep 1 </t>
  </si>
  <si>
    <t xml:space="preserve">Soil Rep 2 </t>
  </si>
  <si>
    <t>avg</t>
  </si>
  <si>
    <t>sd</t>
  </si>
  <si>
    <t>Bq / m2</t>
  </si>
  <si>
    <t>Bq / kg</t>
  </si>
  <si>
    <t>137Cs</t>
  </si>
  <si>
    <t>134Cs</t>
  </si>
  <si>
    <t>no "A" core?  Ask Dononvan</t>
  </si>
  <si>
    <t>Nogamisuwa</t>
  </si>
  <si>
    <t>Ottozawa-Chuodai</t>
  </si>
  <si>
    <t>MEXT uSv/h @1m, from aircraft overfly</t>
  </si>
  <si>
    <t>MEXT uSv/h @1m, max in 1000 m of capture site</t>
  </si>
  <si>
    <t xml:space="preserve">Based on MEXT data from: </t>
  </si>
  <si>
    <t>1.9-3.8</t>
  </si>
  <si>
    <t>3.8-9.5</t>
  </si>
  <si>
    <t>0.5-1.0</t>
  </si>
  <si>
    <t>9.5-19</t>
  </si>
  <si>
    <t>1-1.9</t>
  </si>
  <si>
    <t> https://ramap.jmc.or.jp/map/eng/#lat=37.28458799999977&amp;lon=140.5831109999977&amp;z=9&amp;b=std&amp;t=air&amp;s=0,0,0,0&amp;c=20171116_dr</t>
  </si>
  <si>
    <t>Nov-13</t>
  </si>
  <si>
    <t>9.5-19.0</t>
  </si>
  <si>
    <t>Jun-12</t>
  </si>
  <si>
    <t>Janelle</t>
  </si>
  <si>
    <t>Cindy</t>
  </si>
  <si>
    <t>Grace</t>
  </si>
  <si>
    <t>jasmine</t>
  </si>
  <si>
    <t>MEXT uSv/h at capture (Nov-16), midpoint of range at trap site</t>
  </si>
  <si>
    <t>xx</t>
  </si>
  <si>
    <t>Wet or Dry wt</t>
  </si>
  <si>
    <t xml:space="preserve"> Cs-134 Bq/kg wet</t>
  </si>
  <si>
    <t>Cs-137 Bq/kg wet</t>
  </si>
  <si>
    <t>Cs-134 Bq/kg (dry)</t>
  </si>
  <si>
    <t xml:space="preserve"> Cs-137 Bq/kg (dry)</t>
  </si>
  <si>
    <t>Dry</t>
  </si>
  <si>
    <t>mean</t>
  </si>
  <si>
    <t>Whole-body</t>
  </si>
  <si>
    <t>58-65</t>
  </si>
  <si>
    <t>MEXT uSv/h, @ 1m, max,  at capture site</t>
  </si>
  <si>
    <t>MEXT uSv/h, reasonable, midpoint of column I</t>
  </si>
  <si>
    <t>Reasonable Total Life Time Dose mGy (Int+Ext,134+137)</t>
  </si>
  <si>
    <t>Maximum Total Life Time Dose mGy (Int+Ext,134+137)</t>
  </si>
  <si>
    <t>missing</t>
  </si>
  <si>
    <t>134/137 ratio in muscle</t>
  </si>
  <si>
    <t>none</t>
  </si>
  <si>
    <t>CV %</t>
  </si>
  <si>
    <t>161206 O229</t>
  </si>
  <si>
    <t>161208 O237</t>
  </si>
  <si>
    <t>Cs134</t>
  </si>
  <si>
    <t>Cs137</t>
  </si>
  <si>
    <t>not det.</t>
  </si>
  <si>
    <t>data used to estimate 134 and 137 for 161126-1 O-205</t>
  </si>
  <si>
    <t xml:space="preserve">data used to estimate 134 and 137 for 160803-1 </t>
  </si>
  <si>
    <t>161130 O214 and 161208 O236</t>
  </si>
  <si>
    <t>Age days</t>
  </si>
  <si>
    <t>integrate 1.57 e^(0.0009*t) from 0 to 343</t>
  </si>
  <si>
    <t>INTERNAL Dose, lifetime, Cs-134 uncorrected for 134 buildup (uGy)</t>
  </si>
  <si>
    <t xml:space="preserve">INTERNAL DCF, 134Cs uGy/h per Bq/kg (Beta&amp;Gama) </t>
  </si>
  <si>
    <t>(from wolfram) Build-up, corrected, Integrated INTERNAL LIFE-TIME dose uGy  Cs134</t>
  </si>
  <si>
    <t>uGy/d</t>
  </si>
  <si>
    <t>https://www.wolframalpha.com</t>
  </si>
  <si>
    <t>ID</t>
  </si>
  <si>
    <t>(from wolfram) Build-up, corrected, Integrated INTERNAL LIFE-TIME dose mGy  Cs134</t>
  </si>
  <si>
    <t>INTERNAL Life time dose, mGy 134+137</t>
  </si>
  <si>
    <t>EXTERNAL Dose Reasonable Life Time, mGy (134+137)</t>
  </si>
  <si>
    <t>% of INTERNAL to EXTERNAL dose</t>
  </si>
  <si>
    <t xml:space="preserve">  </t>
  </si>
  <si>
    <t>160803-1</t>
  </si>
  <si>
    <t>161126-1 O-205</t>
  </si>
  <si>
    <t>161126-2 F-110 GPS</t>
  </si>
  <si>
    <t>161126 F-109</t>
  </si>
  <si>
    <t>161206 O-231 GPS</t>
  </si>
  <si>
    <t>EXTERNAL Dose Maximum Life Time, mGy (134+137)</t>
  </si>
  <si>
    <t>Dose rate (uGy/h) at time of capture (Int+Ext; 134+137)</t>
  </si>
  <si>
    <t>Aryn's Data</t>
  </si>
  <si>
    <t>180526-C1</t>
  </si>
  <si>
    <t>180526-C2</t>
  </si>
  <si>
    <t>180526-C3</t>
  </si>
  <si>
    <t>180528-C1</t>
  </si>
  <si>
    <t>180528-C2</t>
  </si>
  <si>
    <t>180530-C1</t>
  </si>
  <si>
    <t>180601-C1</t>
  </si>
  <si>
    <t>180602-C1</t>
  </si>
  <si>
    <t>180604-C1</t>
  </si>
  <si>
    <t>180604-C2</t>
  </si>
  <si>
    <t>180607-N1</t>
  </si>
  <si>
    <t>180612-C1</t>
  </si>
  <si>
    <t>180614-N1</t>
  </si>
  <si>
    <t>180618-N1</t>
  </si>
  <si>
    <t>180618-N2</t>
  </si>
  <si>
    <t>180618-N3</t>
  </si>
  <si>
    <t>180625-N1</t>
  </si>
  <si>
    <t>180625-N2</t>
  </si>
  <si>
    <t>180625-N3</t>
  </si>
  <si>
    <t>180626-N1</t>
  </si>
  <si>
    <t>180626-N2</t>
  </si>
  <si>
    <t>180626-N3</t>
  </si>
  <si>
    <t>180627-C1</t>
  </si>
  <si>
    <t>180627-C2</t>
  </si>
  <si>
    <t>180629-N2</t>
  </si>
  <si>
    <t>180629-N3</t>
  </si>
  <si>
    <t>180629-N4</t>
  </si>
  <si>
    <t>180702-O2</t>
  </si>
  <si>
    <t>180703-O1</t>
  </si>
  <si>
    <t>180703-O2</t>
  </si>
  <si>
    <t>180704-O1</t>
  </si>
  <si>
    <t>180704-O2</t>
  </si>
  <si>
    <t>180704-O2_P1</t>
  </si>
  <si>
    <t>180704-O2_P2</t>
  </si>
  <si>
    <t>180704-O2_P3</t>
  </si>
  <si>
    <t>180704-O2_P4</t>
  </si>
  <si>
    <t>180704-O3</t>
  </si>
  <si>
    <t>180706-N1</t>
  </si>
  <si>
    <t>180706-N2</t>
  </si>
  <si>
    <t>180707-O1</t>
  </si>
  <si>
    <t>180707-O2</t>
  </si>
  <si>
    <t>180709-N1</t>
  </si>
  <si>
    <t>180709-N1_P1</t>
  </si>
  <si>
    <t>180709-N1_P2</t>
  </si>
  <si>
    <t>180709-N1_P3</t>
  </si>
  <si>
    <t>180709-O1</t>
  </si>
  <si>
    <t>Nihonmatsu</t>
  </si>
  <si>
    <t>Futaba</t>
  </si>
  <si>
    <t>japan</t>
  </si>
  <si>
    <t>M</t>
  </si>
  <si>
    <t>F</t>
  </si>
  <si>
    <t>8 mos</t>
  </si>
  <si>
    <t>1.25 yr</t>
  </si>
  <si>
    <t>&gt;3 yr</t>
  </si>
  <si>
    <t>1.5 yr</t>
  </si>
  <si>
    <t>1 yr</t>
  </si>
  <si>
    <t>3 weeks</t>
  </si>
  <si>
    <t>UNK</t>
  </si>
  <si>
    <t xml:space="preserve">10 mos  </t>
  </si>
  <si>
    <t>2.5 yr</t>
  </si>
  <si>
    <t>7 mos</t>
  </si>
  <si>
    <t>9 mos</t>
  </si>
  <si>
    <t>11 mos</t>
  </si>
  <si>
    <t>3+ yr</t>
  </si>
  <si>
    <t>1 mos?</t>
  </si>
  <si>
    <t>6 mos</t>
  </si>
  <si>
    <t>&gt; 4 yr</t>
  </si>
  <si>
    <t>2 mos</t>
  </si>
  <si>
    <t>2 est</t>
  </si>
  <si>
    <t>not collec.</t>
  </si>
  <si>
    <t>Lat.</t>
  </si>
  <si>
    <t>Long.</t>
  </si>
  <si>
    <t>-</t>
  </si>
  <si>
    <t>Ambient</t>
  </si>
  <si>
    <t>at capture</t>
  </si>
  <si>
    <t>uSv/h</t>
  </si>
  <si>
    <t>MEXT</t>
  </si>
  <si>
    <t>uSv/h @ 1m</t>
  </si>
  <si>
    <t>max in 1000m</t>
  </si>
  <si>
    <t>0.2-0.5</t>
  </si>
  <si>
    <t>1.0-1.9</t>
  </si>
  <si>
    <t xml:space="preserve"> 1.0-1.9</t>
  </si>
  <si>
    <t xml:space="preserve"> midpoint</t>
  </si>
  <si>
    <t>column I</t>
  </si>
  <si>
    <t>size-specfic</t>
  </si>
  <si>
    <t>ERICA INTERNAL Dose-Conversion-Factor, DCC, 134Cs uGy/h per Bq/kg</t>
  </si>
  <si>
    <t>ERICA INTERNAL Dose-Conversion-Factor, DCC, 137Cs uGy/h per Bq/kg</t>
  </si>
  <si>
    <t>Cs-137 (Bq/kg)</t>
  </si>
  <si>
    <t>size-specific</t>
  </si>
  <si>
    <t>(using sized DCC) Build-up, corrected, Integrated INTERNAL LIFE-TIME dose uGy  Cs134</t>
  </si>
  <si>
    <t>changed 13Nov19</t>
  </si>
  <si>
    <t>(using sized DCC) Build-up, corrected, Integrated INTERNAL LIFE-TIME dose mGy  Cs134</t>
  </si>
  <si>
    <t>INTERNAL Life time dose,   mGy Cs134</t>
  </si>
  <si>
    <t>√√</t>
  </si>
  <si>
    <t>Sex</t>
  </si>
  <si>
    <t>Age</t>
  </si>
  <si>
    <t>hours</t>
  </si>
  <si>
    <t>mass</t>
  </si>
  <si>
    <t>(kg)</t>
  </si>
  <si>
    <t>tissue</t>
  </si>
  <si>
    <t>bicep</t>
  </si>
  <si>
    <t>wet or</t>
  </si>
  <si>
    <t>dry wt.</t>
  </si>
  <si>
    <t>wet</t>
  </si>
  <si>
    <t>siz-specific</t>
  </si>
  <si>
    <t>size dependent DCC from ERICA</t>
  </si>
  <si>
    <t>piglet, 5 kg</t>
  </si>
  <si>
    <t>ERICA INTERNAL DCC, 134Cs uGy/h per Bq/kg</t>
  </si>
  <si>
    <t>ERICA INTERNAL DCC, 137Cs uGy/h per Bq/kg</t>
  </si>
  <si>
    <t>20-30 kg</t>
  </si>
  <si>
    <t>40-60 kg</t>
  </si>
  <si>
    <t>75 kg</t>
  </si>
  <si>
    <t xml:space="preserve">size specific, INTERNAL uGy/h Cs-134 </t>
  </si>
  <si>
    <t>size specific, INTERNAL uGy/h Cs-137</t>
  </si>
  <si>
    <t>Internal Lifetime Dose, Cs-134 (uGy)</t>
  </si>
  <si>
    <t>Age, hours</t>
  </si>
  <si>
    <t>Age, days</t>
  </si>
  <si>
    <t>(size-specific) INTERNAL Life time dose, mGy Cs137</t>
  </si>
  <si>
    <t>std</t>
  </si>
  <si>
    <t>(size-specific) Wolfram Build-up corrected, Integrated INTERNAL LIFE-TIME dose mGy  Cs134</t>
  </si>
  <si>
    <t xml:space="preserve">mean </t>
  </si>
  <si>
    <t>siz-specific INTERNAL Life time dose, mGy 137</t>
  </si>
  <si>
    <t>Dose rate (uGy/h, not lifetime) at time of capture (Int+Ext; 134+137)</t>
  </si>
  <si>
    <t xml:space="preserve">size specific, INTERNAL uGy/h Cs-137 </t>
  </si>
  <si>
    <t>Internal 134+137 dose rate (uGy/h)</t>
  </si>
  <si>
    <t>Sample ID</t>
  </si>
  <si>
    <t>Cs-137 Bq/kg (dry)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</si>
</sst>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.000"/>
    <numFmt numFmtId="165" formatCode="0.000_ "/>
    <numFmt numFmtId="166" formatCode="0.000000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_(* #,##0.0000_);_(* \(#,##0.0000\);_(* &quot;-&quot;??_);_(@_)"/>
    <numFmt numFmtId="171" formatCode="0.00000"/>
    <numFmt numFmtId="172" formatCode="0.0000"/>
    <numFmt numFmtId="173" formatCode="_(* #,##0.00000_);_(* \(#,##0.00000\);_(* &quot;-&quot;??_);_(@_)"/>
    <numFmt numFmtId="174" formatCode="_(* #,##0.000_);_(* \(#,##0.000\);_(* &quot;-&quot;??_);_(@_)"/>
  </numFmts>
  <fonts count="51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28"/>
      <scheme val="minor"/>
    </font>
    <font>
      <sz val="9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name val="Times New Roman"/>
      <family val="1"/>
    </font>
    <font>
      <sz val="10"/>
      <color rgb="FFFF0000"/>
      <name val="Calibri Light"/>
      <family val="2"/>
      <scheme val="major"/>
    </font>
    <font>
      <sz val="10"/>
      <color rgb="FFFF0000"/>
      <name val="Times New Roman"/>
      <family val="1"/>
    </font>
    <font>
      <sz val="10"/>
      <name val="Calibri Light"/>
      <family val="2"/>
      <scheme val="maj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Times New Roman"/>
      <family val="1"/>
    </font>
    <font>
      <b/>
      <sz val="10"/>
      <color theme="1"/>
      <name val="Calibri"/>
      <family val="2"/>
      <charset val="128"/>
      <scheme val="minor"/>
    </font>
    <font>
      <strike/>
      <sz val="11"/>
      <color rgb="FFC00000"/>
      <name val="Calibri"/>
      <family val="2"/>
      <scheme val="minor"/>
    </font>
    <font>
      <strike/>
      <sz val="11"/>
      <color theme="1"/>
      <name val="Times New Roman"/>
      <family val="1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charset val="128"/>
      <scheme val="minor"/>
    </font>
    <font>
      <strike/>
      <sz val="10"/>
      <color theme="1"/>
      <name val="Calibri Light"/>
      <family val="2"/>
      <scheme val="major"/>
    </font>
    <font>
      <strike/>
      <sz val="10"/>
      <color theme="1"/>
      <name val="Calibri"/>
      <family val="2"/>
    </font>
    <font>
      <strike/>
      <sz val="10"/>
      <color theme="1"/>
      <name val="Times New Roman"/>
      <family val="1"/>
    </font>
    <font>
      <strike/>
      <sz val="10"/>
      <color theme="1"/>
      <name val="Calibri"/>
      <family val="2"/>
      <scheme val="minor"/>
    </font>
    <font>
      <strike/>
      <sz val="10"/>
      <color rgb="FF000000"/>
      <name val="Calibri"/>
      <family val="2"/>
      <scheme val="minor"/>
    </font>
    <font>
      <strike/>
      <sz val="10"/>
      <color rgb="FFFF0000"/>
      <name val="Calibri Light"/>
      <family val="2"/>
      <scheme val="major"/>
    </font>
    <font>
      <b/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3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>
      <alignment vertical="center"/>
    </xf>
    <xf numFmtId="0" fontId="2" fillId="0" borderId="0" xfId="0" applyFont="1" applyBorder="1" applyAlignment="1"/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5" fillId="4" borderId="0" xfId="0" applyFont="1" applyFill="1" applyBorder="1" applyAlignment="1">
      <alignment horizontal="left" vertical="center"/>
    </xf>
    <xf numFmtId="0" fontId="2" fillId="4" borderId="0" xfId="0" applyFont="1" applyFill="1" applyBorder="1">
      <alignment vertical="center"/>
    </xf>
    <xf numFmtId="0" fontId="2" fillId="4" borderId="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10" fillId="0" borderId="0" xfId="0" applyFont="1" applyFill="1">
      <alignment vertical="center"/>
    </xf>
    <xf numFmtId="0" fontId="8" fillId="4" borderId="0" xfId="0" applyFont="1" applyFill="1" applyBorder="1" applyAlignment="1">
      <alignment horizontal="left" vertical="center"/>
    </xf>
    <xf numFmtId="11" fontId="0" fillId="0" borderId="0" xfId="0" applyNumberFormat="1">
      <alignment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2" borderId="5" xfId="0" applyFont="1" applyFill="1" applyBorder="1">
      <alignment vertical="center"/>
    </xf>
    <xf numFmtId="0" fontId="2" fillId="0" borderId="5" xfId="0" applyFont="1" applyFill="1" applyBorder="1" applyAlignment="1">
      <alignment horizontal="left" vertical="center"/>
    </xf>
    <xf numFmtId="11" fontId="0" fillId="0" borderId="5" xfId="0" applyNumberFormat="1" applyBorder="1">
      <alignment vertical="center"/>
    </xf>
    <xf numFmtId="11" fontId="0" fillId="3" borderId="5" xfId="0" applyNumberFormat="1" applyFill="1" applyBorder="1">
      <alignment vertical="center"/>
    </xf>
    <xf numFmtId="11" fontId="0" fillId="0" borderId="6" xfId="0" applyNumberFormat="1" applyBorder="1">
      <alignment vertical="center"/>
    </xf>
    <xf numFmtId="11" fontId="0" fillId="3" borderId="6" xfId="0" applyNumberFormat="1" applyFill="1" applyBorder="1">
      <alignment vertical="center"/>
    </xf>
    <xf numFmtId="11" fontId="0" fillId="0" borderId="0" xfId="0" applyNumberFormat="1" applyFill="1" applyBorder="1">
      <alignment vertical="center"/>
    </xf>
    <xf numFmtId="0" fontId="0" fillId="0" borderId="0" xfId="0" applyAlignment="1"/>
    <xf numFmtId="0" fontId="17" fillId="0" borderId="0" xfId="0" applyFont="1" applyFill="1">
      <alignment vertical="center"/>
    </xf>
    <xf numFmtId="0" fontId="17" fillId="0" borderId="1" xfId="0" applyFon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1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3" fillId="0" borderId="0" xfId="26" applyFill="1">
      <alignment vertical="center"/>
    </xf>
    <xf numFmtId="0" fontId="10" fillId="0" borderId="0" xfId="0" applyFont="1" applyFill="1" applyBorder="1">
      <alignment vertical="center"/>
    </xf>
    <xf numFmtId="0" fontId="10" fillId="5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Alignment="1"/>
    <xf numFmtId="169" fontId="10" fillId="0" borderId="0" xfId="0" applyNumberFormat="1" applyFont="1" applyFill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1" fontId="2" fillId="0" borderId="0" xfId="0" applyNumberFormat="1" applyFont="1" applyFill="1">
      <alignment vertical="center"/>
    </xf>
    <xf numFmtId="0" fontId="2" fillId="0" borderId="4" xfId="0" applyFont="1" applyFill="1" applyBorder="1">
      <alignment vertical="center"/>
    </xf>
    <xf numFmtId="2" fontId="10" fillId="0" borderId="0" xfId="0" applyNumberFormat="1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5" xfId="0" applyFont="1" applyFill="1" applyBorder="1">
      <alignment vertical="center"/>
    </xf>
    <xf numFmtId="0" fontId="10" fillId="7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2" fillId="7" borderId="0" xfId="0" applyFont="1" applyFill="1">
      <alignment vertical="center"/>
    </xf>
    <xf numFmtId="0" fontId="10" fillId="9" borderId="5" xfId="0" applyFont="1" applyFill="1" applyBorder="1" applyAlignment="1">
      <alignment horizontal="left" vertical="center" wrapText="1"/>
    </xf>
    <xf numFmtId="15" fontId="0" fillId="0" borderId="0" xfId="0" applyNumberFormat="1">
      <alignment vertical="center"/>
    </xf>
    <xf numFmtId="0" fontId="19" fillId="0" borderId="0" xfId="0" applyFont="1">
      <alignment vertical="center"/>
    </xf>
    <xf numFmtId="0" fontId="3" fillId="0" borderId="0" xfId="26">
      <alignment vertical="center"/>
    </xf>
    <xf numFmtId="0" fontId="20" fillId="0" borderId="0" xfId="0" applyFont="1">
      <alignment vertical="center"/>
    </xf>
    <xf numFmtId="0" fontId="10" fillId="2" borderId="5" xfId="0" applyFont="1" applyFill="1" applyBorder="1">
      <alignment vertical="center"/>
    </xf>
    <xf numFmtId="0" fontId="0" fillId="0" borderId="5" xfId="0" applyBorder="1">
      <alignment vertical="center"/>
    </xf>
    <xf numFmtId="1" fontId="0" fillId="0" borderId="5" xfId="0" applyNumberFormat="1" applyBorder="1">
      <alignment vertical="center"/>
    </xf>
    <xf numFmtId="0" fontId="18" fillId="2" borderId="5" xfId="0" applyFont="1" applyFill="1" applyBorder="1">
      <alignment vertical="center"/>
    </xf>
    <xf numFmtId="0" fontId="18" fillId="4" borderId="5" xfId="0" applyFont="1" applyFill="1" applyBorder="1">
      <alignment vertical="center"/>
    </xf>
    <xf numFmtId="167" fontId="0" fillId="0" borderId="5" xfId="25" applyNumberFormat="1" applyFont="1" applyBorder="1" applyAlignment="1">
      <alignment vertical="center"/>
    </xf>
    <xf numFmtId="0" fontId="10" fillId="7" borderId="5" xfId="0" applyFont="1" applyFill="1" applyBorder="1">
      <alignment vertical="center"/>
    </xf>
    <xf numFmtId="0" fontId="10" fillId="4" borderId="5" xfId="0" applyFont="1" applyFill="1" applyBorder="1">
      <alignment vertical="center"/>
    </xf>
    <xf numFmtId="0" fontId="12" fillId="3" borderId="5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vertical="center"/>
    </xf>
    <xf numFmtId="0" fontId="10" fillId="2" borderId="6" xfId="0" applyFont="1" applyFill="1" applyBorder="1">
      <alignment vertical="center"/>
    </xf>
    <xf numFmtId="0" fontId="0" fillId="0" borderId="6" xfId="0" applyBorder="1">
      <alignment vertical="center"/>
    </xf>
    <xf numFmtId="1" fontId="0" fillId="0" borderId="6" xfId="0" applyNumberFormat="1" applyBorder="1">
      <alignment vertical="center"/>
    </xf>
    <xf numFmtId="0" fontId="17" fillId="0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2" fontId="0" fillId="0" borderId="0" xfId="0" applyNumberFormat="1">
      <alignment vertical="center"/>
    </xf>
    <xf numFmtId="0" fontId="22" fillId="0" borderId="0" xfId="0" applyFont="1" applyFill="1" applyAlignment="1">
      <alignment horizontal="center"/>
    </xf>
    <xf numFmtId="0" fontId="23" fillId="11" borderId="5" xfId="0" applyFont="1" applyFill="1" applyBorder="1">
      <alignment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>
      <alignment vertical="center"/>
    </xf>
    <xf numFmtId="166" fontId="23" fillId="0" borderId="9" xfId="0" applyNumberFormat="1" applyFont="1" applyFill="1" applyBorder="1" applyAlignment="1">
      <alignment horizontal="left"/>
    </xf>
    <xf numFmtId="166" fontId="23" fillId="0" borderId="6" xfId="0" applyNumberFormat="1" applyFont="1" applyFill="1" applyBorder="1" applyAlignment="1">
      <alignment horizontal="left"/>
    </xf>
    <xf numFmtId="1" fontId="24" fillId="6" borderId="6" xfId="0" applyNumberFormat="1" applyFont="1" applyFill="1" applyBorder="1" applyAlignment="1">
      <alignment horizontal="center" wrapText="1"/>
    </xf>
    <xf numFmtId="169" fontId="24" fillId="8" borderId="6" xfId="0" applyNumberFormat="1" applyFont="1" applyFill="1" applyBorder="1" applyAlignment="1">
      <alignment horizontal="center" wrapText="1"/>
    </xf>
    <xf numFmtId="17" fontId="24" fillId="8" borderId="6" xfId="0" applyNumberFormat="1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/>
    </xf>
    <xf numFmtId="49" fontId="23" fillId="0" borderId="5" xfId="0" applyNumberFormat="1" applyFont="1" applyFill="1" applyBorder="1" applyAlignment="1">
      <alignment horizontal="center"/>
    </xf>
    <xf numFmtId="0" fontId="23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167" fontId="25" fillId="0" borderId="5" xfId="25" applyNumberFormat="1" applyFont="1" applyBorder="1" applyAlignment="1">
      <alignment horizontal="center"/>
    </xf>
    <xf numFmtId="43" fontId="25" fillId="0" borderId="5" xfId="25" applyNumberFormat="1" applyFont="1" applyBorder="1" applyAlignment="1">
      <alignment horizontal="center"/>
    </xf>
    <xf numFmtId="2" fontId="25" fillId="0" borderId="5" xfId="0" applyNumberFormat="1" applyFont="1" applyFill="1" applyBorder="1" applyAlignment="1">
      <alignment horizontal="center" vertical="center"/>
    </xf>
    <xf numFmtId="43" fontId="25" fillId="0" borderId="5" xfId="0" applyNumberFormat="1" applyFont="1" applyFill="1" applyBorder="1" applyAlignment="1">
      <alignment horizontal="center" vertical="center"/>
    </xf>
    <xf numFmtId="43" fontId="25" fillId="0" borderId="5" xfId="0" applyNumberFormat="1" applyFont="1" applyFill="1" applyBorder="1">
      <alignment vertical="center"/>
    </xf>
    <xf numFmtId="169" fontId="25" fillId="0" borderId="5" xfId="0" applyNumberFormat="1" applyFont="1" applyFill="1" applyBorder="1">
      <alignment vertical="center"/>
    </xf>
    <xf numFmtId="168" fontId="25" fillId="0" borderId="5" xfId="0" applyNumberFormat="1" applyFont="1" applyFill="1" applyBorder="1">
      <alignment vertical="center"/>
    </xf>
    <xf numFmtId="166" fontId="23" fillId="0" borderId="10" xfId="0" applyNumberFormat="1" applyFont="1" applyFill="1" applyBorder="1" applyAlignment="1">
      <alignment horizontal="left"/>
    </xf>
    <xf numFmtId="166" fontId="23" fillId="0" borderId="5" xfId="0" applyNumberFormat="1" applyFont="1" applyFill="1" applyBorder="1" applyAlignment="1">
      <alignment horizontal="left"/>
    </xf>
    <xf numFmtId="1" fontId="24" fillId="6" borderId="5" xfId="0" applyNumberFormat="1" applyFont="1" applyFill="1" applyBorder="1" applyAlignment="1">
      <alignment horizontal="center" wrapText="1"/>
    </xf>
    <xf numFmtId="0" fontId="26" fillId="11" borderId="5" xfId="0" applyFont="1" applyFill="1" applyBorder="1">
      <alignment vertical="center"/>
    </xf>
    <xf numFmtId="0" fontId="26" fillId="0" borderId="5" xfId="0" applyFont="1" applyFill="1" applyBorder="1">
      <alignment vertical="center"/>
    </xf>
    <xf numFmtId="169" fontId="24" fillId="6" borderId="5" xfId="0" applyNumberFormat="1" applyFont="1" applyFill="1" applyBorder="1" applyAlignment="1">
      <alignment horizontal="center" wrapText="1"/>
    </xf>
    <xf numFmtId="169" fontId="24" fillId="8" borderId="5" xfId="0" applyNumberFormat="1" applyFont="1" applyFill="1" applyBorder="1" applyAlignment="1">
      <alignment horizontal="center" wrapText="1"/>
    </xf>
    <xf numFmtId="0" fontId="26" fillId="0" borderId="5" xfId="0" applyFont="1" applyFill="1" applyBorder="1" applyAlignment="1">
      <alignment horizontal="center"/>
    </xf>
    <xf numFmtId="169" fontId="27" fillId="8" borderId="5" xfId="0" applyNumberFormat="1" applyFont="1" applyFill="1" applyBorder="1" applyAlignment="1">
      <alignment horizontal="center" wrapText="1"/>
    </xf>
    <xf numFmtId="169" fontId="27" fillId="8" borderId="6" xfId="0" applyNumberFormat="1" applyFont="1" applyFill="1" applyBorder="1" applyAlignment="1">
      <alignment horizontal="center" wrapText="1"/>
    </xf>
    <xf numFmtId="0" fontId="25" fillId="4" borderId="5" xfId="0" applyFont="1" applyFill="1" applyBorder="1" applyAlignment="1"/>
    <xf numFmtId="0" fontId="25" fillId="0" borderId="5" xfId="0" applyFont="1" applyFill="1" applyBorder="1" applyAlignment="1"/>
    <xf numFmtId="0" fontId="27" fillId="8" borderId="5" xfId="0" applyFont="1" applyFill="1" applyBorder="1" applyAlignment="1">
      <alignment horizontal="center" wrapText="1"/>
    </xf>
    <xf numFmtId="167" fontId="25" fillId="0" borderId="5" xfId="25" applyNumberFormat="1" applyFont="1" applyFill="1" applyBorder="1" applyAlignment="1">
      <alignment horizontal="center"/>
    </xf>
    <xf numFmtId="49" fontId="26" fillId="0" borderId="5" xfId="0" applyNumberFormat="1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5" xfId="0" applyNumberFormat="1" applyFont="1" applyFill="1" applyBorder="1" applyAlignment="1">
      <alignment horizontal="center"/>
    </xf>
    <xf numFmtId="0" fontId="23" fillId="9" borderId="5" xfId="0" applyFont="1" applyFill="1" applyBorder="1">
      <alignment vertical="center"/>
    </xf>
    <xf numFmtId="49" fontId="24" fillId="8" borderId="5" xfId="0" applyNumberFormat="1" applyFont="1" applyFill="1" applyBorder="1" applyAlignment="1">
      <alignment horizontal="center" wrapText="1"/>
    </xf>
    <xf numFmtId="0" fontId="25" fillId="9" borderId="5" xfId="0" applyFont="1" applyFill="1" applyBorder="1" applyAlignment="1"/>
    <xf numFmtId="0" fontId="29" fillId="0" borderId="5" xfId="0" applyFont="1" applyFill="1" applyBorder="1" applyAlignment="1">
      <alignment horizontal="center"/>
    </xf>
    <xf numFmtId="167" fontId="29" fillId="0" borderId="5" xfId="25" applyNumberFormat="1" applyFont="1" applyFill="1" applyBorder="1" applyAlignment="1">
      <alignment horizontal="center"/>
    </xf>
    <xf numFmtId="167" fontId="25" fillId="9" borderId="5" xfId="25" applyNumberFormat="1" applyFont="1" applyFill="1" applyBorder="1" applyAlignment="1">
      <alignment horizontal="center"/>
    </xf>
    <xf numFmtId="0" fontId="23" fillId="9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/>
    </xf>
    <xf numFmtId="0" fontId="27" fillId="8" borderId="7" xfId="0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/>
    </xf>
    <xf numFmtId="0" fontId="23" fillId="0" borderId="0" xfId="0" applyFont="1" applyFill="1">
      <alignment vertical="center"/>
    </xf>
    <xf numFmtId="0" fontId="28" fillId="11" borderId="5" xfId="0" applyFont="1" applyFill="1" applyBorder="1" applyAlignment="1">
      <alignment horizontal="left" vertical="center" wrapText="1"/>
    </xf>
    <xf numFmtId="166" fontId="23" fillId="0" borderId="0" xfId="0" applyNumberFormat="1" applyFont="1" applyFill="1" applyBorder="1" applyAlignment="1">
      <alignment horizontal="left"/>
    </xf>
    <xf numFmtId="166" fontId="23" fillId="0" borderId="0" xfId="0" applyNumberFormat="1" applyFont="1" applyFill="1" applyAlignment="1">
      <alignment horizontal="left"/>
    </xf>
    <xf numFmtId="0" fontId="30" fillId="9" borderId="5" xfId="0" applyFont="1" applyFill="1" applyBorder="1" applyAlignment="1">
      <alignment horizontal="center"/>
    </xf>
    <xf numFmtId="0" fontId="30" fillId="9" borderId="5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/>
    <xf numFmtId="0" fontId="31" fillId="0" borderId="5" xfId="0" applyFont="1" applyFill="1" applyBorder="1" applyAlignment="1"/>
    <xf numFmtId="0" fontId="23" fillId="0" borderId="5" xfId="0" applyFont="1" applyFill="1" applyBorder="1" applyAlignment="1">
      <alignment horizontal="left" vertical="center" wrapText="1"/>
    </xf>
    <xf numFmtId="0" fontId="28" fillId="7" borderId="5" xfId="0" applyFont="1" applyFill="1" applyBorder="1" applyAlignment="1">
      <alignment horizontal="left" vertical="center" wrapText="1"/>
    </xf>
    <xf numFmtId="3" fontId="31" fillId="0" borderId="5" xfId="0" applyNumberFormat="1" applyFont="1" applyFill="1" applyBorder="1" applyAlignment="1"/>
    <xf numFmtId="167" fontId="25" fillId="0" borderId="5" xfId="0" applyNumberFormat="1" applyFont="1" applyFill="1" applyBorder="1" applyAlignment="1"/>
    <xf numFmtId="167" fontId="25" fillId="0" borderId="5" xfId="25" applyNumberFormat="1" applyFont="1" applyFill="1" applyBorder="1" applyAlignment="1"/>
    <xf numFmtId="0" fontId="23" fillId="0" borderId="5" xfId="0" applyFont="1" applyBorder="1" applyAlignment="1">
      <alignment horizontal="left"/>
    </xf>
    <xf numFmtId="0" fontId="28" fillId="9" borderId="5" xfId="0" applyFont="1" applyFill="1" applyBorder="1" applyAlignment="1">
      <alignment horizontal="left" vertical="center" wrapText="1"/>
    </xf>
    <xf numFmtId="0" fontId="31" fillId="9" borderId="5" xfId="0" applyFont="1" applyFill="1" applyBorder="1" applyAlignment="1"/>
    <xf numFmtId="3" fontId="25" fillId="0" borderId="5" xfId="0" applyNumberFormat="1" applyFont="1" applyFill="1" applyBorder="1" applyAlignment="1"/>
    <xf numFmtId="0" fontId="26" fillId="11" borderId="5" xfId="0" applyFont="1" applyFill="1" applyBorder="1" applyAlignment="1">
      <alignment horizontal="left" vertical="center"/>
    </xf>
    <xf numFmtId="0" fontId="28" fillId="4" borderId="5" xfId="0" applyFont="1" applyFill="1" applyBorder="1" applyAlignment="1">
      <alignment horizontal="left" vertical="center"/>
    </xf>
    <xf numFmtId="0" fontId="26" fillId="9" borderId="5" xfId="0" applyFont="1" applyFill="1" applyBorder="1" applyAlignment="1">
      <alignment horizontal="left" vertical="center"/>
    </xf>
    <xf numFmtId="0" fontId="26" fillId="7" borderId="5" xfId="0" applyFont="1" applyFill="1" applyBorder="1" applyAlignment="1">
      <alignment horizontal="left" vertical="center"/>
    </xf>
    <xf numFmtId="0" fontId="23" fillId="0" borderId="5" xfId="0" applyNumberFormat="1" applyFont="1" applyBorder="1" applyAlignment="1">
      <alignment horizontal="center"/>
    </xf>
    <xf numFmtId="169" fontId="24" fillId="10" borderId="5" xfId="0" applyNumberFormat="1" applyFont="1" applyFill="1" applyBorder="1" applyAlignment="1">
      <alignment horizontal="center" wrapText="1"/>
    </xf>
    <xf numFmtId="43" fontId="25" fillId="0" borderId="5" xfId="25" applyNumberFormat="1" applyFont="1" applyFill="1" applyBorder="1" applyAlignment="1">
      <alignment horizontal="center"/>
    </xf>
    <xf numFmtId="170" fontId="25" fillId="0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left" vertical="center" wrapText="1"/>
    </xf>
    <xf numFmtId="1" fontId="0" fillId="4" borderId="5" xfId="0" applyNumberFormat="1" applyFill="1" applyBorder="1" applyAlignment="1">
      <alignment horizontal="center" vertical="center"/>
    </xf>
    <xf numFmtId="1" fontId="0" fillId="4" borderId="5" xfId="0" applyNumberFormat="1" applyFill="1" applyBorder="1">
      <alignment vertical="center"/>
    </xf>
    <xf numFmtId="169" fontId="25" fillId="4" borderId="5" xfId="0" applyNumberFormat="1" applyFont="1" applyFill="1" applyBorder="1">
      <alignment vertical="center"/>
    </xf>
    <xf numFmtId="0" fontId="32" fillId="8" borderId="5" xfId="0" applyFont="1" applyFill="1" applyBorder="1" applyAlignment="1">
      <alignment horizontal="center" wrapText="1"/>
    </xf>
    <xf numFmtId="169" fontId="32" fillId="8" borderId="6" xfId="0" applyNumberFormat="1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34" fillId="4" borderId="5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6" fillId="0" borderId="5" xfId="0" applyFon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171" fontId="34" fillId="0" borderId="5" xfId="0" applyNumberFormat="1" applyFont="1" applyBorder="1" applyAlignment="1">
      <alignment horizontal="center"/>
    </xf>
    <xf numFmtId="171" fontId="35" fillId="0" borderId="5" xfId="0" applyNumberFormat="1" applyFont="1" applyBorder="1" applyAlignment="1">
      <alignment horizontal="center"/>
    </xf>
    <xf numFmtId="171" fontId="36" fillId="0" borderId="5" xfId="0" applyNumberFormat="1" applyFont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15" fontId="0" fillId="0" borderId="5" xfId="0" applyNumberFormat="1" applyBorder="1" applyAlignment="1">
      <alignment horizontal="center"/>
    </xf>
    <xf numFmtId="15" fontId="34" fillId="0" borderId="5" xfId="0" applyNumberFormat="1" applyFont="1" applyBorder="1" applyAlignment="1">
      <alignment horizontal="center"/>
    </xf>
    <xf numFmtId="0" fontId="33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64" fontId="2" fillId="0" borderId="0" xfId="0" applyNumberFormat="1" applyFont="1" applyFill="1">
      <alignment vertical="center"/>
    </xf>
    <xf numFmtId="164" fontId="2" fillId="0" borderId="0" xfId="0" applyNumberFormat="1" applyFont="1" applyFill="1" applyAlignment="1">
      <alignment horizontal="center" vertical="center"/>
    </xf>
    <xf numFmtId="11" fontId="0" fillId="0" borderId="0" xfId="0" applyNumberFormat="1" applyAlignment="1"/>
    <xf numFmtId="0" fontId="23" fillId="9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2" fontId="0" fillId="4" borderId="6" xfId="0" applyNumberFormat="1" applyFill="1" applyBorder="1">
      <alignment vertical="center"/>
    </xf>
    <xf numFmtId="2" fontId="0" fillId="4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21" fillId="3" borderId="11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Alignment="1"/>
    <xf numFmtId="2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6" xfId="0" applyBorder="1" applyAlignment="1">
      <alignment horizontal="center"/>
    </xf>
    <xf numFmtId="0" fontId="25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>
      <alignment vertical="center"/>
    </xf>
    <xf numFmtId="15" fontId="0" fillId="0" borderId="6" xfId="0" applyNumberFormat="1" applyBorder="1" applyAlignment="1">
      <alignment horizontal="center"/>
    </xf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0" fontId="17" fillId="0" borderId="4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17" fillId="0" borderId="5" xfId="27" applyFont="1" applyFill="1" applyBorder="1" applyAlignment="1">
      <alignment vertical="center" wrapText="1"/>
    </xf>
    <xf numFmtId="0" fontId="38" fillId="0" borderId="5" xfId="27" applyFont="1" applyFill="1" applyBorder="1" applyAlignment="1">
      <alignment vertical="center" wrapText="1"/>
    </xf>
    <xf numFmtId="164" fontId="10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>
      <alignment vertical="center"/>
    </xf>
    <xf numFmtId="1" fontId="0" fillId="0" borderId="0" xfId="0" applyNumberFormat="1" applyAlignment="1">
      <alignment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1" fontId="0" fillId="0" borderId="0" xfId="0" applyNumberFormat="1" applyBorder="1">
      <alignment vertical="center"/>
    </xf>
    <xf numFmtId="2" fontId="0" fillId="4" borderId="0" xfId="0" applyNumberFormat="1" applyFill="1" applyBorder="1">
      <alignment vertical="center"/>
    </xf>
    <xf numFmtId="167" fontId="0" fillId="0" borderId="0" xfId="25" applyNumberFormat="1" applyFont="1" applyBorder="1" applyAlignment="1">
      <alignment vertical="center"/>
    </xf>
    <xf numFmtId="2" fontId="25" fillId="0" borderId="5" xfId="0" applyNumberFormat="1" applyFont="1" applyFill="1" applyBorder="1">
      <alignment vertical="center"/>
    </xf>
    <xf numFmtId="169" fontId="2" fillId="0" borderId="0" xfId="0" applyNumberFormat="1" applyFont="1" applyFill="1">
      <alignment vertical="center"/>
    </xf>
    <xf numFmtId="164" fontId="25" fillId="0" borderId="5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2" fontId="2" fillId="0" borderId="14" xfId="0" applyNumberFormat="1" applyFont="1" applyFill="1" applyBorder="1">
      <alignment vertical="center"/>
    </xf>
    <xf numFmtId="2" fontId="25" fillId="0" borderId="11" xfId="0" applyNumberFormat="1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1" fillId="0" borderId="0" xfId="0" applyFont="1" applyFill="1" applyBorder="1">
      <alignment vertical="center"/>
    </xf>
    <xf numFmtId="0" fontId="42" fillId="0" borderId="0" xfId="0" applyNumberFormat="1" applyFont="1" applyFill="1" applyBorder="1" applyAlignment="1" applyProtection="1">
      <alignment horizontal="center" vertical="center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15" fontId="40" fillId="0" borderId="5" xfId="0" applyNumberFormat="1" applyFont="1" applyBorder="1" applyAlignment="1">
      <alignment horizontal="center"/>
    </xf>
    <xf numFmtId="0" fontId="41" fillId="0" borderId="0" xfId="0" applyFont="1" applyFill="1" applyAlignment="1">
      <alignment horizontal="center" vertical="center"/>
    </xf>
    <xf numFmtId="0" fontId="44" fillId="0" borderId="5" xfId="0" applyFont="1" applyFill="1" applyBorder="1" applyAlignment="1">
      <alignment horizontal="center"/>
    </xf>
    <xf numFmtId="0" fontId="41" fillId="0" borderId="0" xfId="0" applyFont="1" applyFill="1">
      <alignment vertical="center"/>
    </xf>
    <xf numFmtId="2" fontId="41" fillId="0" borderId="0" xfId="0" applyNumberFormat="1" applyFont="1" applyFill="1">
      <alignment vertical="center"/>
    </xf>
    <xf numFmtId="11" fontId="43" fillId="0" borderId="0" xfId="0" applyNumberFormat="1" applyFont="1" applyAlignment="1"/>
    <xf numFmtId="164" fontId="41" fillId="0" borderId="0" xfId="0" applyNumberFormat="1" applyFont="1" applyFill="1">
      <alignment vertical="center"/>
    </xf>
    <xf numFmtId="164" fontId="41" fillId="0" borderId="0" xfId="0" applyNumberFormat="1" applyFont="1" applyFill="1" applyAlignment="1">
      <alignment horizontal="center" vertical="center"/>
    </xf>
    <xf numFmtId="2" fontId="44" fillId="0" borderId="5" xfId="0" applyNumberFormat="1" applyFont="1" applyFill="1" applyBorder="1" applyAlignment="1">
      <alignment horizontal="center" vertical="center"/>
    </xf>
    <xf numFmtId="2" fontId="44" fillId="0" borderId="5" xfId="0" applyNumberFormat="1" applyFont="1" applyFill="1" applyBorder="1">
      <alignment vertical="center"/>
    </xf>
    <xf numFmtId="169" fontId="44" fillId="0" borderId="5" xfId="0" applyNumberFormat="1" applyFont="1" applyFill="1" applyBorder="1">
      <alignment vertical="center"/>
    </xf>
    <xf numFmtId="168" fontId="44" fillId="0" borderId="5" xfId="0" applyNumberFormat="1" applyFont="1" applyFill="1" applyBorder="1">
      <alignment vertical="center"/>
    </xf>
    <xf numFmtId="0" fontId="33" fillId="0" borderId="14" xfId="0" applyNumberFormat="1" applyFont="1" applyFill="1" applyBorder="1" applyAlignment="1" applyProtection="1">
      <alignment horizontal="center" vertical="center"/>
    </xf>
    <xf numFmtId="174" fontId="25" fillId="0" borderId="5" xfId="0" applyNumberFormat="1" applyFont="1" applyFill="1" applyBorder="1">
      <alignment vertical="center"/>
    </xf>
    <xf numFmtId="2" fontId="2" fillId="0" borderId="15" xfId="0" applyNumberFormat="1" applyFont="1" applyFill="1" applyBorder="1">
      <alignment vertical="center"/>
    </xf>
    <xf numFmtId="2" fontId="2" fillId="0" borderId="0" xfId="0" applyNumberFormat="1" applyFont="1" applyFill="1" applyAlignment="1">
      <alignment horizontal="center" vertical="center"/>
    </xf>
    <xf numFmtId="43" fontId="44" fillId="0" borderId="5" xfId="0" applyNumberFormat="1" applyFont="1" applyFill="1" applyBorder="1">
      <alignment vertical="center"/>
    </xf>
    <xf numFmtId="0" fontId="45" fillId="0" borderId="0" xfId="0" applyFont="1" applyFill="1" applyAlignment="1">
      <alignment horizontal="center"/>
    </xf>
    <xf numFmtId="0" fontId="46" fillId="3" borderId="5" xfId="0" applyFont="1" applyFill="1" applyBorder="1">
      <alignment vertical="center"/>
    </xf>
    <xf numFmtId="0" fontId="46" fillId="9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166" fontId="46" fillId="0" borderId="10" xfId="0" applyNumberFormat="1" applyFont="1" applyFill="1" applyBorder="1" applyAlignment="1">
      <alignment horizontal="left"/>
    </xf>
    <xf numFmtId="166" fontId="46" fillId="0" borderId="5" xfId="0" applyNumberFormat="1" applyFont="1" applyFill="1" applyBorder="1" applyAlignment="1">
      <alignment horizontal="left"/>
    </xf>
    <xf numFmtId="0" fontId="47" fillId="6" borderId="5" xfId="0" applyNumberFormat="1" applyFont="1" applyFill="1" applyBorder="1" applyAlignment="1">
      <alignment horizontal="center" wrapText="1"/>
    </xf>
    <xf numFmtId="169" fontId="48" fillId="9" borderId="5" xfId="0" applyNumberFormat="1" applyFont="1" applyFill="1" applyBorder="1" applyAlignment="1">
      <alignment horizontal="center" wrapText="1"/>
    </xf>
    <xf numFmtId="169" fontId="48" fillId="9" borderId="6" xfId="0" applyNumberFormat="1" applyFont="1" applyFill="1" applyBorder="1" applyAlignment="1">
      <alignment horizontal="center" wrapText="1"/>
    </xf>
    <xf numFmtId="17" fontId="47" fillId="8" borderId="6" xfId="0" applyNumberFormat="1" applyFont="1" applyFill="1" applyBorder="1" applyAlignment="1">
      <alignment horizontal="center" wrapText="1"/>
    </xf>
    <xf numFmtId="0" fontId="46" fillId="0" borderId="5" xfId="0" applyFont="1" applyFill="1" applyBorder="1" applyAlignment="1">
      <alignment horizontal="center"/>
    </xf>
    <xf numFmtId="0" fontId="46" fillId="0" borderId="5" xfId="0" applyNumberFormat="1" applyFont="1" applyFill="1" applyBorder="1" applyAlignment="1">
      <alignment horizontal="center"/>
    </xf>
    <xf numFmtId="0" fontId="46" fillId="9" borderId="5" xfId="0" applyFont="1" applyFill="1" applyBorder="1" applyAlignment="1">
      <alignment horizontal="center"/>
    </xf>
    <xf numFmtId="167" fontId="49" fillId="9" borderId="5" xfId="25" applyNumberFormat="1" applyFont="1" applyFill="1" applyBorder="1" applyAlignment="1">
      <alignment horizontal="center"/>
    </xf>
    <xf numFmtId="168" fontId="49" fillId="9" borderId="5" xfId="25" applyNumberFormat="1" applyFont="1" applyFill="1" applyBorder="1" applyAlignment="1">
      <alignment horizontal="center"/>
    </xf>
    <xf numFmtId="0" fontId="44" fillId="0" borderId="5" xfId="0" applyFont="1" applyFill="1" applyBorder="1" applyAlignment="1"/>
    <xf numFmtId="168" fontId="44" fillId="0" borderId="5" xfId="0" applyNumberFormat="1" applyFont="1" applyFill="1" applyBorder="1" applyAlignment="1"/>
    <xf numFmtId="166" fontId="44" fillId="0" borderId="5" xfId="0" applyNumberFormat="1" applyFont="1" applyFill="1" applyBorder="1" applyAlignment="1">
      <alignment horizontal="center" vertical="center"/>
    </xf>
    <xf numFmtId="173" fontId="44" fillId="0" borderId="5" xfId="0" applyNumberFormat="1" applyFont="1" applyFill="1" applyBorder="1" applyAlignment="1">
      <alignment horizontal="center" vertical="center"/>
    </xf>
    <xf numFmtId="171" fontId="44" fillId="0" borderId="5" xfId="0" applyNumberFormat="1" applyFont="1" applyFill="1" applyBorder="1" applyAlignment="1">
      <alignment horizontal="center" vertical="center"/>
    </xf>
    <xf numFmtId="172" fontId="44" fillId="0" borderId="5" xfId="0" applyNumberFormat="1" applyFont="1" applyFill="1" applyBorder="1" applyAlignment="1">
      <alignment horizontal="center" vertical="center"/>
    </xf>
    <xf numFmtId="174" fontId="44" fillId="0" borderId="5" xfId="0" applyNumberFormat="1" applyFont="1" applyFill="1" applyBorder="1">
      <alignment vertical="center"/>
    </xf>
    <xf numFmtId="0" fontId="2" fillId="0" borderId="0" xfId="0" applyFont="1" applyFill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50" fillId="9" borderId="17" xfId="0" applyFont="1" applyFill="1" applyBorder="1">
      <alignment vertical="center"/>
    </xf>
    <xf numFmtId="0" fontId="2" fillId="7" borderId="18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10" fillId="0" borderId="7" xfId="27" applyFont="1" applyFill="1" applyBorder="1" applyAlignment="1">
      <alignment horizontal="center" vertical="center" wrapText="1"/>
    </xf>
    <xf numFmtId="0" fontId="10" fillId="0" borderId="6" xfId="27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3" borderId="0" xfId="0" applyFont="1" applyFill="1" applyBorder="1" applyAlignment="1">
      <alignment horizontal="center" vertical="center" wrapText="1"/>
    </xf>
    <xf numFmtId="0" fontId="39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8">
    <cellStyle name="Comma" xfId="2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/>
    <cellStyle name="Normal" xfId="0" builtinId="0"/>
    <cellStyle name="Normal 2" xfId="27" xr:uid="{00000000-0005-0000-0000-00001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wolframalpha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120"/>
  <sheetViews>
    <sheetView tabSelected="1" topLeftCell="W37" zoomScale="110" zoomScaleNormal="110" zoomScalePageLayoutView="90" workbookViewId="0">
      <selection activeCell="AE57" sqref="AE57"/>
    </sheetView>
  </sheetViews>
  <sheetFormatPr baseColWidth="10" defaultColWidth="8.83203125" defaultRowHeight="15" x14ac:dyDescent="0.2"/>
  <cols>
    <col min="1" max="1" width="8.83203125" style="8"/>
    <col min="2" max="2" width="16.83203125" style="8" customWidth="1"/>
    <col min="3" max="3" width="11.1640625" style="8" customWidth="1"/>
    <col min="4" max="4" width="17.5" style="8" customWidth="1"/>
    <col min="5" max="5" width="11.1640625" style="7" customWidth="1"/>
    <col min="6" max="6" width="12.1640625" style="7" customWidth="1"/>
    <col min="7" max="8" width="10.5" style="45" customWidth="1"/>
    <col min="9" max="9" width="12.33203125" style="45" customWidth="1"/>
    <col min="10" max="10" width="10.5" style="45" customWidth="1"/>
    <col min="11" max="11" width="12.1640625" style="45" customWidth="1"/>
    <col min="12" max="12" width="10.5" style="45" customWidth="1"/>
    <col min="13" max="13" width="9.6640625" style="7" customWidth="1"/>
    <col min="14" max="15" width="7.6640625" style="7" customWidth="1"/>
    <col min="16" max="16" width="10" style="7" customWidth="1"/>
    <col min="17" max="17" width="7.5" style="8" customWidth="1"/>
    <col min="18" max="18" width="6.83203125" style="8" customWidth="1"/>
    <col min="19" max="19" width="8.1640625" style="8" customWidth="1"/>
    <col min="20" max="20" width="12.33203125" style="8" customWidth="1"/>
    <col min="21" max="22" width="8.1640625" style="8" customWidth="1"/>
    <col min="23" max="23" width="10" style="8" customWidth="1"/>
    <col min="24" max="24" width="11.5" style="8" customWidth="1"/>
    <col min="25" max="26" width="12.5" style="8" customWidth="1"/>
    <col min="27" max="27" width="12.33203125" style="7" customWidth="1"/>
    <col min="28" max="28" width="12.33203125" style="292" customWidth="1"/>
    <col min="29" max="29" width="12.5" style="8" customWidth="1"/>
    <col min="30" max="30" width="14.5" style="8" customWidth="1"/>
    <col min="31" max="31" width="12" style="8" customWidth="1"/>
    <col min="32" max="32" width="12.1640625" style="8" customWidth="1"/>
    <col min="33" max="34" width="12" style="8" customWidth="1"/>
    <col min="35" max="35" width="13.83203125" style="8" customWidth="1"/>
    <col min="36" max="36" width="12.1640625" style="8" customWidth="1"/>
    <col min="37" max="37" width="11.1640625" style="8" customWidth="1"/>
    <col min="38" max="38" width="10.33203125" style="8" customWidth="1"/>
    <col min="39" max="16384" width="8.83203125" style="8"/>
  </cols>
  <sheetData>
    <row r="1" spans="1:39" s="254" customFormat="1" x14ac:dyDescent="0.2">
      <c r="A1" s="268" t="s">
        <v>473</v>
      </c>
      <c r="B1" s="269" t="s">
        <v>89</v>
      </c>
      <c r="C1" s="270" t="s">
        <v>90</v>
      </c>
      <c r="D1" s="271" t="s">
        <v>133</v>
      </c>
      <c r="E1" s="272">
        <v>33.045318000000002</v>
      </c>
      <c r="F1" s="273">
        <v>129.97683900000001</v>
      </c>
      <c r="G1" s="274">
        <v>0.1</v>
      </c>
      <c r="H1" s="275" t="s">
        <v>502</v>
      </c>
      <c r="I1" s="275" t="s">
        <v>502</v>
      </c>
      <c r="J1" s="275">
        <v>0.1</v>
      </c>
      <c r="K1" s="276">
        <v>0.1</v>
      </c>
      <c r="L1" s="277">
        <v>41944</v>
      </c>
      <c r="M1" s="278" t="s">
        <v>22</v>
      </c>
      <c r="N1" s="278">
        <v>56</v>
      </c>
      <c r="O1" s="279">
        <f>N1*7*24</f>
        <v>9408</v>
      </c>
      <c r="P1" s="280">
        <v>20</v>
      </c>
      <c r="Q1" s="253" t="s">
        <v>466</v>
      </c>
      <c r="R1" s="253" t="s">
        <v>45</v>
      </c>
      <c r="S1" s="281" t="s">
        <v>524</v>
      </c>
      <c r="T1" s="282">
        <v>6.4</v>
      </c>
      <c r="U1" s="283">
        <v>0.1</v>
      </c>
      <c r="V1" s="284">
        <f>T1*0.25</f>
        <v>1.6</v>
      </c>
      <c r="W1" s="283"/>
      <c r="X1" s="256">
        <v>3.5961668022628502E-4</v>
      </c>
      <c r="Y1" s="256">
        <v>2.4093427574034001E-4</v>
      </c>
      <c r="Z1" s="285">
        <f>X1*U1</f>
        <v>3.5961668022628503E-5</v>
      </c>
      <c r="AA1" s="286">
        <f t="shared" ref="AA1" si="0">Y1*V1</f>
        <v>3.8549484118454401E-4</v>
      </c>
      <c r="AB1" s="286"/>
      <c r="AC1" s="287">
        <f t="shared" ref="AC1" si="1">Z1*O1/1000</f>
        <v>3.3832737275688897E-4</v>
      </c>
      <c r="AD1" s="259">
        <v>7.08</v>
      </c>
      <c r="AE1" s="288">
        <f t="shared" ref="AE1" si="2">AA1*O1/1000</f>
        <v>3.62673546586419E-3</v>
      </c>
      <c r="AF1" s="289">
        <f t="shared" ref="AF1" si="3">AD1+AE1</f>
        <v>7.083626735465864</v>
      </c>
      <c r="AG1" s="261">
        <f>K1*O1/1000</f>
        <v>0.94080000000000008</v>
      </c>
      <c r="AH1" s="261">
        <f>(AF1/AG1)*100</f>
        <v>752.93651524934774</v>
      </c>
      <c r="AI1" s="261">
        <f>J1*O1/1000</f>
        <v>0.94080000000000008</v>
      </c>
      <c r="AJ1" s="267">
        <f>AG1+AF1</f>
        <v>8.0244267354658643</v>
      </c>
      <c r="AK1" s="262">
        <f>AI1+AF1</f>
        <v>8.0244267354658643</v>
      </c>
      <c r="AL1" s="267">
        <f>G1+Z1+AA1</f>
        <v>0.10042145650920717</v>
      </c>
    </row>
    <row r="2" spans="1:39" x14ac:dyDescent="0.2">
      <c r="H2" s="45" t="s">
        <v>493</v>
      </c>
    </row>
    <row r="3" spans="1:39" x14ac:dyDescent="0.2">
      <c r="X3" s="208" t="s">
        <v>473</v>
      </c>
      <c r="Y3" s="208" t="s">
        <v>473</v>
      </c>
    </row>
    <row r="4" spans="1:39" x14ac:dyDescent="0.2">
      <c r="X4" s="317" t="s">
        <v>633</v>
      </c>
      <c r="Y4" s="317"/>
    </row>
    <row r="5" spans="1:39" x14ac:dyDescent="0.2">
      <c r="C5" s="46" t="s">
        <v>464</v>
      </c>
      <c r="Q5" s="53"/>
      <c r="X5" s="318"/>
      <c r="Y5" s="318"/>
      <c r="Z5" s="208" t="s">
        <v>473</v>
      </c>
      <c r="AA5" s="208" t="s">
        <v>473</v>
      </c>
      <c r="AB5" s="208"/>
      <c r="AC5" s="208" t="s">
        <v>473</v>
      </c>
      <c r="AD5" s="208" t="s">
        <v>473</v>
      </c>
      <c r="AE5" s="208" t="s">
        <v>473</v>
      </c>
      <c r="AF5" s="208" t="s">
        <v>473</v>
      </c>
      <c r="AG5" s="208" t="s">
        <v>473</v>
      </c>
      <c r="AH5" s="208" t="s">
        <v>473</v>
      </c>
      <c r="AI5" s="208" t="s">
        <v>473</v>
      </c>
      <c r="AJ5" s="208" t="s">
        <v>642</v>
      </c>
      <c r="AL5" s="208" t="s">
        <v>642</v>
      </c>
    </row>
    <row r="6" spans="1:39" ht="14.5" customHeight="1" x14ac:dyDescent="0.2">
      <c r="C6" s="49"/>
      <c r="D6" s="49"/>
      <c r="E6" s="48"/>
      <c r="F6" s="48"/>
      <c r="G6" s="316" t="s">
        <v>501</v>
      </c>
      <c r="H6" s="316" t="s">
        <v>485</v>
      </c>
      <c r="I6" s="316" t="s">
        <v>486</v>
      </c>
      <c r="J6" s="60"/>
      <c r="K6" s="60"/>
      <c r="L6" s="316" t="s">
        <v>487</v>
      </c>
      <c r="P6" s="208" t="s">
        <v>473</v>
      </c>
      <c r="Q6" s="46"/>
      <c r="R6" s="46"/>
      <c r="S6" s="46"/>
      <c r="T6" s="46"/>
      <c r="U6" s="46"/>
      <c r="V6" s="46"/>
      <c r="W6" s="46"/>
      <c r="X6" s="307" t="s">
        <v>634</v>
      </c>
      <c r="Y6" s="307" t="s">
        <v>635</v>
      </c>
      <c r="Z6" s="307" t="s">
        <v>661</v>
      </c>
      <c r="AA6" s="307" t="s">
        <v>672</v>
      </c>
      <c r="AB6" s="307"/>
      <c r="AC6" s="307" t="s">
        <v>641</v>
      </c>
      <c r="AD6" s="305" t="s">
        <v>536</v>
      </c>
      <c r="AE6" s="307" t="s">
        <v>670</v>
      </c>
      <c r="AF6" s="304" t="s">
        <v>537</v>
      </c>
      <c r="AG6" s="307" t="s">
        <v>538</v>
      </c>
      <c r="AH6" s="305" t="s">
        <v>539</v>
      </c>
      <c r="AI6" s="307" t="s">
        <v>546</v>
      </c>
      <c r="AJ6" s="304" t="s">
        <v>514</v>
      </c>
      <c r="AK6" s="307" t="s">
        <v>515</v>
      </c>
      <c r="AL6" s="304" t="s">
        <v>671</v>
      </c>
    </row>
    <row r="7" spans="1:39" ht="14.25" customHeight="1" x14ac:dyDescent="0.2">
      <c r="A7" s="46"/>
      <c r="B7" s="310" t="s">
        <v>0</v>
      </c>
      <c r="C7" s="315" t="s">
        <v>1</v>
      </c>
      <c r="D7" s="315"/>
      <c r="E7" s="315"/>
      <c r="F7" s="315"/>
      <c r="G7" s="316"/>
      <c r="H7" s="316"/>
      <c r="I7" s="316"/>
      <c r="J7" s="60"/>
      <c r="K7" s="60"/>
      <c r="L7" s="316"/>
      <c r="M7" s="310" t="s">
        <v>3</v>
      </c>
      <c r="N7" s="312" t="s">
        <v>4</v>
      </c>
      <c r="O7" s="312"/>
      <c r="P7" s="307" t="s">
        <v>17</v>
      </c>
      <c r="Q7" s="46"/>
      <c r="R7" s="46" t="s">
        <v>471</v>
      </c>
      <c r="S7" s="46"/>
      <c r="T7" s="46" t="s">
        <v>471</v>
      </c>
      <c r="U7" s="208" t="s">
        <v>473</v>
      </c>
      <c r="V7" s="208" t="s">
        <v>473</v>
      </c>
      <c r="W7" s="208" t="s">
        <v>473</v>
      </c>
      <c r="X7" s="307"/>
      <c r="Y7" s="307"/>
      <c r="Z7" s="307"/>
      <c r="AA7" s="307"/>
      <c r="AB7" s="307"/>
      <c r="AC7" s="307"/>
      <c r="AD7" s="306"/>
      <c r="AE7" s="307"/>
      <c r="AF7" s="304"/>
      <c r="AG7" s="307"/>
      <c r="AH7" s="306"/>
      <c r="AI7" s="307"/>
      <c r="AJ7" s="304"/>
      <c r="AK7" s="307"/>
      <c r="AL7" s="304"/>
    </row>
    <row r="8" spans="1:39" ht="110.5" customHeight="1" x14ac:dyDescent="0.2">
      <c r="A8" s="47" t="s">
        <v>472</v>
      </c>
      <c r="B8" s="311" t="s">
        <v>674</v>
      </c>
      <c r="C8" s="315" t="s">
        <v>2</v>
      </c>
      <c r="D8" s="315"/>
      <c r="E8" s="314" t="s">
        <v>620</v>
      </c>
      <c r="F8" s="314" t="s">
        <v>619</v>
      </c>
      <c r="G8" s="316"/>
      <c r="H8" s="316"/>
      <c r="I8" s="316"/>
      <c r="J8" s="60" t="s">
        <v>512</v>
      </c>
      <c r="K8" s="60" t="s">
        <v>513</v>
      </c>
      <c r="L8" s="316"/>
      <c r="M8" s="310" t="s">
        <v>3</v>
      </c>
      <c r="N8" s="312" t="s">
        <v>4</v>
      </c>
      <c r="O8" s="313" t="s">
        <v>470</v>
      </c>
      <c r="P8" s="307"/>
      <c r="Q8" s="50" t="s">
        <v>465</v>
      </c>
      <c r="R8" s="51" t="s">
        <v>503</v>
      </c>
      <c r="S8" s="51" t="s">
        <v>506</v>
      </c>
      <c r="T8" s="51" t="s">
        <v>507</v>
      </c>
      <c r="U8" s="51" t="s">
        <v>504</v>
      </c>
      <c r="V8" s="52" t="s">
        <v>505</v>
      </c>
      <c r="W8" s="52" t="s">
        <v>517</v>
      </c>
      <c r="X8" s="307" t="s">
        <v>634</v>
      </c>
      <c r="Y8" s="307" t="s">
        <v>635</v>
      </c>
      <c r="Z8" s="307" t="s">
        <v>661</v>
      </c>
      <c r="AA8" s="307" t="s">
        <v>672</v>
      </c>
      <c r="AB8" s="307" t="s">
        <v>673</v>
      </c>
      <c r="AC8" s="307" t="s">
        <v>641</v>
      </c>
      <c r="AD8" s="305" t="s">
        <v>536</v>
      </c>
      <c r="AE8" s="307" t="s">
        <v>670</v>
      </c>
      <c r="AF8" s="304" t="s">
        <v>537</v>
      </c>
      <c r="AG8" s="307" t="s">
        <v>538</v>
      </c>
      <c r="AH8" s="305" t="s">
        <v>539</v>
      </c>
      <c r="AI8" s="307" t="s">
        <v>546</v>
      </c>
      <c r="AJ8" s="304" t="s">
        <v>514</v>
      </c>
      <c r="AK8" s="307" t="s">
        <v>515</v>
      </c>
      <c r="AL8" s="304" t="s">
        <v>671</v>
      </c>
      <c r="AM8" s="290" t="s">
        <v>471</v>
      </c>
    </row>
    <row r="9" spans="1:39" x14ac:dyDescent="0.2">
      <c r="A9" s="101" t="s">
        <v>473</v>
      </c>
      <c r="B9" s="102" t="s">
        <v>18</v>
      </c>
      <c r="C9" s="103" t="s">
        <v>25</v>
      </c>
      <c r="D9" s="104" t="s">
        <v>29</v>
      </c>
      <c r="E9" s="105">
        <v>37.568931999999997</v>
      </c>
      <c r="F9" s="106">
        <v>140.77801400000001</v>
      </c>
      <c r="G9" s="107">
        <v>7</v>
      </c>
      <c r="H9" s="108" t="s">
        <v>489</v>
      </c>
      <c r="I9" s="108">
        <v>9.5</v>
      </c>
      <c r="J9" s="108">
        <v>9.5</v>
      </c>
      <c r="K9" s="108">
        <v>9.5</v>
      </c>
      <c r="L9" s="109">
        <v>42309</v>
      </c>
      <c r="M9" s="110" t="s">
        <v>23</v>
      </c>
      <c r="N9" s="111" t="s">
        <v>30</v>
      </c>
      <c r="O9" s="112">
        <f>36*7*24</f>
        <v>6048</v>
      </c>
      <c r="P9" s="201">
        <v>30</v>
      </c>
      <c r="Q9" s="113" t="s">
        <v>466</v>
      </c>
      <c r="R9" s="113" t="s">
        <v>45</v>
      </c>
      <c r="S9" s="114">
        <v>883.62</v>
      </c>
      <c r="T9" s="114">
        <v>4465.8999999999996</v>
      </c>
      <c r="U9" s="114">
        <f>S9*0.25</f>
        <v>220.905</v>
      </c>
      <c r="V9" s="114">
        <f>T9*0.25</f>
        <v>1116.4749999999999</v>
      </c>
      <c r="W9" s="115">
        <f>U9/V9</f>
        <v>0.19785933406480219</v>
      </c>
      <c r="X9" s="200">
        <v>3.5961668022628502E-4</v>
      </c>
      <c r="Y9" s="200">
        <v>2.4093427574034001E-4</v>
      </c>
      <c r="Z9" s="116">
        <f>X9*U9</f>
        <v>7.9441122745387491E-2</v>
      </c>
      <c r="AA9" s="117">
        <f>Y9*V9</f>
        <v>0.26899709550719608</v>
      </c>
      <c r="AB9" s="117">
        <f>Z9+AA9</f>
        <v>0.34843821825258359</v>
      </c>
      <c r="AC9" s="116">
        <f>Z9*O9/1000</f>
        <v>0.48045991036410357</v>
      </c>
      <c r="AD9" s="116">
        <v>0.54</v>
      </c>
      <c r="AE9" s="116">
        <f>AA9*O9/1000</f>
        <v>1.626894433627522</v>
      </c>
      <c r="AF9" s="264">
        <f>AD9+AE9</f>
        <v>2.166894433627522</v>
      </c>
      <c r="AG9" s="119">
        <f>K9*O9/1000</f>
        <v>57.456000000000003</v>
      </c>
      <c r="AH9" s="119">
        <f>(AF9/AG9)*100</f>
        <v>3.7713979978201091</v>
      </c>
      <c r="AI9" s="119">
        <f>J9*O9/1000</f>
        <v>57.456000000000003</v>
      </c>
      <c r="AJ9" s="118">
        <f>AG9+AF9</f>
        <v>59.622894433627522</v>
      </c>
      <c r="AK9" s="120">
        <f>AI9+AF9</f>
        <v>59.622894433627522</v>
      </c>
      <c r="AL9" s="118">
        <f>G9+Z9+AA9</f>
        <v>7.3484382182525838</v>
      </c>
    </row>
    <row r="10" spans="1:39" x14ac:dyDescent="0.2">
      <c r="A10" s="101" t="s">
        <v>473</v>
      </c>
      <c r="B10" s="102" t="s">
        <v>19</v>
      </c>
      <c r="C10" s="103" t="s">
        <v>25</v>
      </c>
      <c r="D10" s="104" t="s">
        <v>28</v>
      </c>
      <c r="E10" s="121">
        <v>37.479072000000002</v>
      </c>
      <c r="F10" s="122">
        <v>140.97939199999999</v>
      </c>
      <c r="G10" s="123">
        <v>3</v>
      </c>
      <c r="H10" s="108" t="s">
        <v>489</v>
      </c>
      <c r="I10" s="108" t="s">
        <v>491</v>
      </c>
      <c r="J10" s="108">
        <v>19</v>
      </c>
      <c r="K10" s="108">
        <v>14</v>
      </c>
      <c r="L10" s="109">
        <v>42309</v>
      </c>
      <c r="M10" s="110" t="s">
        <v>21</v>
      </c>
      <c r="N10" s="112">
        <v>26</v>
      </c>
      <c r="O10" s="112">
        <f>N10*7*24</f>
        <v>4368</v>
      </c>
      <c r="P10" s="201" t="s">
        <v>516</v>
      </c>
      <c r="Q10" s="113" t="s">
        <v>466</v>
      </c>
      <c r="R10" s="113" t="s">
        <v>45</v>
      </c>
      <c r="S10" s="114">
        <v>1524.2</v>
      </c>
      <c r="T10" s="114">
        <v>8267.7000000000007</v>
      </c>
      <c r="U10" s="114">
        <f t="shared" ref="U10:U22" si="4">S10*0.25</f>
        <v>381.05</v>
      </c>
      <c r="V10" s="114">
        <f t="shared" ref="V10:V22" si="5">T10*0.25</f>
        <v>2066.9250000000002</v>
      </c>
      <c r="W10" s="115">
        <f t="shared" ref="W10:W14" si="6">U10/V10</f>
        <v>0.18435598775959455</v>
      </c>
      <c r="X10" s="200">
        <v>3.5961668022628502E-4</v>
      </c>
      <c r="Y10" s="200">
        <v>2.4093427574034001E-4</v>
      </c>
      <c r="Z10" s="116">
        <f t="shared" ref="Z10:Z48" si="7">X10*U10</f>
        <v>0.1370319360002259</v>
      </c>
      <c r="AA10" s="117">
        <f t="shared" ref="AA10:AA48" si="8">Y10*V10</f>
        <v>0.49799307788460229</v>
      </c>
      <c r="AB10" s="117">
        <f t="shared" ref="AB10:AB48" si="9">Z10+AA10</f>
        <v>0.63502501388482813</v>
      </c>
      <c r="AC10" s="116">
        <f t="shared" ref="AC10:AC48" si="10">Z10*O10/1000</f>
        <v>0.59855549644898665</v>
      </c>
      <c r="AD10" s="116">
        <v>0.65100000000000002</v>
      </c>
      <c r="AE10" s="116">
        <f t="shared" ref="AE10:AE48" si="11">AA10*O10/1000</f>
        <v>2.1752337641999429</v>
      </c>
      <c r="AF10" s="264">
        <f>AD10+AE10</f>
        <v>2.8262337641999427</v>
      </c>
      <c r="AG10" s="119">
        <f t="shared" ref="AG10:AG48" si="12">K10*O10/1000</f>
        <v>61.152000000000001</v>
      </c>
      <c r="AH10" s="119">
        <f t="shared" ref="AH10:AH48" si="13">(AF10/AG10)*100</f>
        <v>4.6216538530218845</v>
      </c>
      <c r="AI10" s="119">
        <f t="shared" ref="AI10:AI48" si="14">J10*O10/1000</f>
        <v>82.992000000000004</v>
      </c>
      <c r="AJ10" s="118">
        <f t="shared" ref="AJ10:AJ48" si="15">AG10+AF10</f>
        <v>63.978233764199942</v>
      </c>
      <c r="AK10" s="120">
        <f t="shared" ref="AK10:AK48" si="16">AI10+AF10</f>
        <v>85.818233764199945</v>
      </c>
      <c r="AL10" s="118">
        <f t="shared" ref="AL10:AL48" si="17">G10+Z10+AA10</f>
        <v>3.6350250138848286</v>
      </c>
    </row>
    <row r="11" spans="1:39" x14ac:dyDescent="0.2">
      <c r="A11" s="101" t="s">
        <v>473</v>
      </c>
      <c r="B11" s="102" t="s">
        <v>27</v>
      </c>
      <c r="C11" s="103" t="s">
        <v>25</v>
      </c>
      <c r="D11" s="104" t="s">
        <v>28</v>
      </c>
      <c r="E11" s="121">
        <v>37.479072000000002</v>
      </c>
      <c r="F11" s="122">
        <v>140.97939199999999</v>
      </c>
      <c r="G11" s="123">
        <v>3</v>
      </c>
      <c r="H11" s="108" t="s">
        <v>489</v>
      </c>
      <c r="I11" s="108" t="s">
        <v>491</v>
      </c>
      <c r="J11" s="108">
        <v>19</v>
      </c>
      <c r="K11" s="108">
        <v>14</v>
      </c>
      <c r="L11" s="109">
        <v>42309</v>
      </c>
      <c r="M11" s="110" t="s">
        <v>23</v>
      </c>
      <c r="N11" s="111" t="s">
        <v>31</v>
      </c>
      <c r="O11" s="112">
        <f>29*7*24</f>
        <v>4872</v>
      </c>
      <c r="P11" s="201" t="s">
        <v>516</v>
      </c>
      <c r="Q11" s="113" t="s">
        <v>466</v>
      </c>
      <c r="R11" s="113" t="s">
        <v>45</v>
      </c>
      <c r="S11" s="114">
        <v>1346</v>
      </c>
      <c r="T11" s="114">
        <v>7195.9</v>
      </c>
      <c r="U11" s="114">
        <f t="shared" si="4"/>
        <v>336.5</v>
      </c>
      <c r="V11" s="114">
        <f t="shared" si="5"/>
        <v>1798.9749999999999</v>
      </c>
      <c r="W11" s="115">
        <f t="shared" si="6"/>
        <v>0.18705095957420198</v>
      </c>
      <c r="X11" s="200">
        <v>3.5961668022628502E-4</v>
      </c>
      <c r="Y11" s="200">
        <v>2.4093427574034001E-4</v>
      </c>
      <c r="Z11" s="116">
        <f t="shared" si="7"/>
        <v>0.12101101289614491</v>
      </c>
      <c r="AA11" s="117">
        <f t="shared" si="8"/>
        <v>0.43343473869997812</v>
      </c>
      <c r="AB11" s="117">
        <f t="shared" si="9"/>
        <v>0.55444575159612297</v>
      </c>
      <c r="AC11" s="116">
        <f t="shared" si="10"/>
        <v>0.58956565483001799</v>
      </c>
      <c r="AD11" s="116">
        <v>0.64500000000000002</v>
      </c>
      <c r="AE11" s="116">
        <f t="shared" si="11"/>
        <v>2.1116940469462935</v>
      </c>
      <c r="AF11" s="264">
        <f>AD11+AE11</f>
        <v>2.7566940469462935</v>
      </c>
      <c r="AG11" s="119">
        <f t="shared" si="12"/>
        <v>68.207999999999998</v>
      </c>
      <c r="AH11" s="119">
        <f t="shared" si="13"/>
        <v>4.0415992947253887</v>
      </c>
      <c r="AI11" s="119">
        <f t="shared" si="14"/>
        <v>92.567999999999998</v>
      </c>
      <c r="AJ11" s="118">
        <f t="shared" si="15"/>
        <v>70.964694046946292</v>
      </c>
      <c r="AK11" s="120">
        <f t="shared" si="16"/>
        <v>95.324694046946291</v>
      </c>
      <c r="AL11" s="118">
        <f t="shared" si="17"/>
        <v>3.554445751596123</v>
      </c>
    </row>
    <row r="12" spans="1:39" x14ac:dyDescent="0.2">
      <c r="A12" s="101" t="s">
        <v>473</v>
      </c>
      <c r="B12" s="124" t="s">
        <v>76</v>
      </c>
      <c r="C12" s="125" t="s">
        <v>75</v>
      </c>
      <c r="D12" s="104" t="s">
        <v>132</v>
      </c>
      <c r="E12" s="121">
        <v>37.761529000000003</v>
      </c>
      <c r="F12" s="122">
        <v>140.50100900000001</v>
      </c>
      <c r="G12" s="126">
        <v>0.7</v>
      </c>
      <c r="H12" s="127" t="s">
        <v>490</v>
      </c>
      <c r="I12" s="127" t="s">
        <v>490</v>
      </c>
      <c r="J12" s="108">
        <v>1</v>
      </c>
      <c r="K12" s="108">
        <v>0.7</v>
      </c>
      <c r="L12" s="109">
        <v>42309</v>
      </c>
      <c r="M12" s="128" t="s">
        <v>73</v>
      </c>
      <c r="N12" s="111" t="s">
        <v>77</v>
      </c>
      <c r="O12" s="112">
        <f>7.5*7*24</f>
        <v>1260</v>
      </c>
      <c r="P12" s="202">
        <v>6.3</v>
      </c>
      <c r="Q12" s="113" t="s">
        <v>466</v>
      </c>
      <c r="R12" s="113" t="s">
        <v>45</v>
      </c>
      <c r="S12" s="114">
        <v>84.744</v>
      </c>
      <c r="T12" s="114">
        <v>416.47</v>
      </c>
      <c r="U12" s="114">
        <f t="shared" si="4"/>
        <v>21.186</v>
      </c>
      <c r="V12" s="114">
        <f t="shared" si="5"/>
        <v>104.11750000000001</v>
      </c>
      <c r="W12" s="115">
        <f t="shared" si="6"/>
        <v>0.20348164333565441</v>
      </c>
      <c r="X12" s="200">
        <v>2.7780133006720701E-4</v>
      </c>
      <c r="Y12" s="200">
        <v>2.1063702429833001E-4</v>
      </c>
      <c r="Z12" s="116">
        <f t="shared" si="7"/>
        <v>5.8854989788038473E-3</v>
      </c>
      <c r="AA12" s="117">
        <f t="shared" si="8"/>
        <v>2.1931000377381375E-2</v>
      </c>
      <c r="AB12" s="117">
        <f t="shared" si="9"/>
        <v>2.7816499356185222E-2</v>
      </c>
      <c r="AC12" s="116">
        <f t="shared" si="10"/>
        <v>7.4157287132928474E-3</v>
      </c>
      <c r="AD12" s="116">
        <v>7.0000000000000001E-3</v>
      </c>
      <c r="AE12" s="116">
        <f t="shared" si="11"/>
        <v>2.7633060475500532E-2</v>
      </c>
      <c r="AF12" s="264">
        <f t="shared" ref="AF12:AF48" si="18">AD12+AE12</f>
        <v>3.4633060475500535E-2</v>
      </c>
      <c r="AG12" s="119">
        <f t="shared" si="12"/>
        <v>0.88200000000000001</v>
      </c>
      <c r="AH12" s="119">
        <f t="shared" si="13"/>
        <v>3.9266508475624193</v>
      </c>
      <c r="AI12" s="119">
        <f t="shared" si="14"/>
        <v>1.26</v>
      </c>
      <c r="AJ12" s="118">
        <f t="shared" si="15"/>
        <v>0.91663306047550053</v>
      </c>
      <c r="AK12" s="120">
        <f t="shared" si="16"/>
        <v>1.2946330604755005</v>
      </c>
      <c r="AL12" s="118">
        <f t="shared" si="17"/>
        <v>0.7278164993561852</v>
      </c>
    </row>
    <row r="13" spans="1:39" x14ac:dyDescent="0.2">
      <c r="A13" s="101" t="s">
        <v>473</v>
      </c>
      <c r="B13" s="102" t="s">
        <v>78</v>
      </c>
      <c r="C13" s="104" t="s">
        <v>72</v>
      </c>
      <c r="D13" s="104" t="s">
        <v>129</v>
      </c>
      <c r="E13" s="121">
        <v>37.505422000000003</v>
      </c>
      <c r="F13" s="122">
        <v>140.92502200000001</v>
      </c>
      <c r="G13" s="123">
        <v>3</v>
      </c>
      <c r="H13" s="108" t="s">
        <v>489</v>
      </c>
      <c r="I13" s="108" t="s">
        <v>491</v>
      </c>
      <c r="J13" s="108">
        <v>19</v>
      </c>
      <c r="K13" s="108">
        <v>14</v>
      </c>
      <c r="L13" s="109">
        <v>42309</v>
      </c>
      <c r="M13" s="110" t="s">
        <v>73</v>
      </c>
      <c r="N13" s="111" t="s">
        <v>77</v>
      </c>
      <c r="O13" s="112">
        <f>7.5*7*24</f>
        <v>1260</v>
      </c>
      <c r="P13" s="201">
        <v>5.3</v>
      </c>
      <c r="Q13" s="113" t="s">
        <v>466</v>
      </c>
      <c r="R13" s="113" t="s">
        <v>45</v>
      </c>
      <c r="S13" s="114">
        <v>5596.8</v>
      </c>
      <c r="T13" s="114">
        <v>29576</v>
      </c>
      <c r="U13" s="114">
        <f t="shared" si="4"/>
        <v>1399.2</v>
      </c>
      <c r="V13" s="114">
        <f t="shared" si="5"/>
        <v>7394</v>
      </c>
      <c r="W13" s="115">
        <f t="shared" si="6"/>
        <v>0.18923451447119286</v>
      </c>
      <c r="X13" s="200">
        <v>2.7780133006720701E-4</v>
      </c>
      <c r="Y13" s="200">
        <v>2.1063702429833001E-4</v>
      </c>
      <c r="Z13" s="116">
        <f t="shared" si="7"/>
        <v>0.38869962103003608</v>
      </c>
      <c r="AA13" s="117">
        <f t="shared" si="8"/>
        <v>1.557450157661852</v>
      </c>
      <c r="AB13" s="117">
        <f t="shared" si="9"/>
        <v>1.946149778691888</v>
      </c>
      <c r="AC13" s="116">
        <f t="shared" si="10"/>
        <v>0.48976152249784549</v>
      </c>
      <c r="AD13" s="116">
        <v>0.497</v>
      </c>
      <c r="AE13" s="116">
        <f t="shared" si="11"/>
        <v>1.9623871986539336</v>
      </c>
      <c r="AF13" s="264">
        <f t="shared" si="18"/>
        <v>2.4593871986539337</v>
      </c>
      <c r="AG13" s="119">
        <f t="shared" si="12"/>
        <v>17.64</v>
      </c>
      <c r="AH13" s="119">
        <f t="shared" si="13"/>
        <v>13.942104300759262</v>
      </c>
      <c r="AI13" s="119">
        <f t="shared" si="14"/>
        <v>23.94</v>
      </c>
      <c r="AJ13" s="118">
        <f t="shared" si="15"/>
        <v>20.099387198653936</v>
      </c>
      <c r="AK13" s="120">
        <f t="shared" si="16"/>
        <v>26.399387198653933</v>
      </c>
      <c r="AL13" s="118">
        <f t="shared" si="17"/>
        <v>4.946149778691888</v>
      </c>
    </row>
    <row r="14" spans="1:39" x14ac:dyDescent="0.2">
      <c r="A14" s="101" t="s">
        <v>473</v>
      </c>
      <c r="B14" s="124" t="s">
        <v>84</v>
      </c>
      <c r="C14" s="104" t="s">
        <v>92</v>
      </c>
      <c r="D14" s="104" t="s">
        <v>126</v>
      </c>
      <c r="E14" s="121">
        <v>37.519649999999999</v>
      </c>
      <c r="F14" s="122">
        <v>140.81676999999999</v>
      </c>
      <c r="G14" s="126">
        <v>0.8</v>
      </c>
      <c r="H14" s="129" t="s">
        <v>492</v>
      </c>
      <c r="I14" s="129" t="s">
        <v>488</v>
      </c>
      <c r="J14" s="130">
        <v>3.8</v>
      </c>
      <c r="K14" s="130">
        <v>2.8</v>
      </c>
      <c r="L14" s="109">
        <v>42309</v>
      </c>
      <c r="M14" s="110" t="s">
        <v>21</v>
      </c>
      <c r="N14" s="111" t="s">
        <v>142</v>
      </c>
      <c r="O14" s="112">
        <f>N14*7*24</f>
        <v>3528</v>
      </c>
      <c r="P14" s="201">
        <v>8</v>
      </c>
      <c r="Q14" s="131" t="s">
        <v>516</v>
      </c>
      <c r="R14" s="132"/>
      <c r="S14" s="114">
        <v>3829.4</v>
      </c>
      <c r="T14" s="114">
        <v>20142</v>
      </c>
      <c r="U14" s="114">
        <f t="shared" ref="U14" si="19">S14*0.25</f>
        <v>957.35</v>
      </c>
      <c r="V14" s="114">
        <f t="shared" ref="V14" si="20">T14*0.25</f>
        <v>5035.5</v>
      </c>
      <c r="W14" s="115">
        <f t="shared" si="6"/>
        <v>0.19012014695660809</v>
      </c>
      <c r="X14" s="200">
        <v>2.7780133006720701E-4</v>
      </c>
      <c r="Y14" s="200">
        <v>2.1063702429833001E-4</v>
      </c>
      <c r="Z14" s="116">
        <f t="shared" si="7"/>
        <v>0.26595310333984062</v>
      </c>
      <c r="AA14" s="117">
        <f t="shared" si="8"/>
        <v>1.0606627358542409</v>
      </c>
      <c r="AB14" s="117">
        <f t="shared" si="9"/>
        <v>1.3266158391940814</v>
      </c>
      <c r="AC14" s="116">
        <f t="shared" si="10"/>
        <v>0.93828254858295768</v>
      </c>
      <c r="AD14" s="116">
        <v>1.002</v>
      </c>
      <c r="AE14" s="116">
        <f t="shared" si="11"/>
        <v>3.742018132093762</v>
      </c>
      <c r="AF14" s="264">
        <f t="shared" si="18"/>
        <v>4.7440181320937622</v>
      </c>
      <c r="AG14" s="119">
        <f t="shared" si="12"/>
        <v>9.8783999999999992</v>
      </c>
      <c r="AH14" s="177">
        <f t="shared" si="13"/>
        <v>48.024155046300642</v>
      </c>
      <c r="AI14" s="119">
        <f t="shared" si="14"/>
        <v>13.4064</v>
      </c>
      <c r="AJ14" s="118">
        <f t="shared" si="15"/>
        <v>14.622418132093761</v>
      </c>
      <c r="AK14" s="120">
        <f t="shared" si="16"/>
        <v>18.150418132093762</v>
      </c>
      <c r="AL14" s="118">
        <f t="shared" si="17"/>
        <v>2.1266158391940815</v>
      </c>
    </row>
    <row r="15" spans="1:39" x14ac:dyDescent="0.2">
      <c r="A15" s="101" t="s">
        <v>473</v>
      </c>
      <c r="B15" s="102" t="s">
        <v>79</v>
      </c>
      <c r="C15" s="104" t="s">
        <v>83</v>
      </c>
      <c r="D15" s="104" t="s">
        <v>484</v>
      </c>
      <c r="E15" s="121">
        <v>37.415958000000003</v>
      </c>
      <c r="F15" s="122">
        <v>141.012303</v>
      </c>
      <c r="G15" s="123">
        <v>14</v>
      </c>
      <c r="H15" s="129">
        <v>19</v>
      </c>
      <c r="I15" s="129">
        <v>19</v>
      </c>
      <c r="J15" s="179">
        <v>40</v>
      </c>
      <c r="K15" s="178">
        <v>40</v>
      </c>
      <c r="L15" s="109">
        <v>41944</v>
      </c>
      <c r="M15" s="110" t="s">
        <v>74</v>
      </c>
      <c r="N15" s="110">
        <v>87</v>
      </c>
      <c r="O15" s="112">
        <f>N15*7*24</f>
        <v>14616</v>
      </c>
      <c r="P15" s="201">
        <v>38.700000000000003</v>
      </c>
      <c r="Q15" s="113" t="s">
        <v>466</v>
      </c>
      <c r="R15" s="113" t="s">
        <v>45</v>
      </c>
      <c r="S15" s="114">
        <v>3811.1</v>
      </c>
      <c r="T15" s="114">
        <v>19863</v>
      </c>
      <c r="U15" s="114">
        <f t="shared" si="4"/>
        <v>952.77499999999998</v>
      </c>
      <c r="V15" s="114">
        <f t="shared" si="5"/>
        <v>4965.75</v>
      </c>
      <c r="W15" s="115">
        <f t="shared" ref="W15:W23" si="21">U15/V15</f>
        <v>0.19186930473745153</v>
      </c>
      <c r="X15" s="200">
        <v>4.7119091619184003E-4</v>
      </c>
      <c r="Y15" s="200">
        <v>2.8196803083546201E-4</v>
      </c>
      <c r="Z15" s="116">
        <f t="shared" si="7"/>
        <v>0.44893892517468037</v>
      </c>
      <c r="AA15" s="117">
        <f t="shared" si="8"/>
        <v>1.4001827491211956</v>
      </c>
      <c r="AB15" s="117">
        <f t="shared" si="9"/>
        <v>1.8491216742958758</v>
      </c>
      <c r="AC15" s="116">
        <f t="shared" si="10"/>
        <v>6.5616913303531286</v>
      </c>
      <c r="AD15" s="116">
        <v>8.7349999999999994</v>
      </c>
      <c r="AE15" s="116">
        <f t="shared" si="11"/>
        <v>20.465071061155395</v>
      </c>
      <c r="AF15" s="264">
        <f t="shared" si="18"/>
        <v>29.200071061155395</v>
      </c>
      <c r="AG15" s="119">
        <f t="shared" si="12"/>
        <v>584.64</v>
      </c>
      <c r="AH15" s="119">
        <f t="shared" si="13"/>
        <v>4.9945387009365412</v>
      </c>
      <c r="AI15" s="119">
        <f t="shared" si="14"/>
        <v>584.64</v>
      </c>
      <c r="AJ15" s="118">
        <f t="shared" si="15"/>
        <v>613.84007106115541</v>
      </c>
      <c r="AK15" s="120">
        <f t="shared" si="16"/>
        <v>613.84007106115541</v>
      </c>
      <c r="AL15" s="118">
        <f t="shared" si="17"/>
        <v>15.849121674295876</v>
      </c>
    </row>
    <row r="16" spans="1:39" x14ac:dyDescent="0.2">
      <c r="A16" s="101" t="s">
        <v>473</v>
      </c>
      <c r="B16" s="102" t="s">
        <v>80</v>
      </c>
      <c r="C16" s="104" t="s">
        <v>83</v>
      </c>
      <c r="D16" s="104" t="s">
        <v>131</v>
      </c>
      <c r="E16" s="121">
        <v>37.393036000000002</v>
      </c>
      <c r="F16" s="122">
        <v>140.995272</v>
      </c>
      <c r="G16" s="123">
        <v>3</v>
      </c>
      <c r="H16" s="108" t="s">
        <v>489</v>
      </c>
      <c r="I16" s="108" t="s">
        <v>491</v>
      </c>
      <c r="J16" s="108">
        <v>19</v>
      </c>
      <c r="K16" s="108">
        <v>14</v>
      </c>
      <c r="L16" s="109">
        <v>41944</v>
      </c>
      <c r="M16" s="110" t="s">
        <v>73</v>
      </c>
      <c r="N16" s="110">
        <v>87</v>
      </c>
      <c r="O16" s="112">
        <f>N16*7*24</f>
        <v>14616</v>
      </c>
      <c r="P16" s="201">
        <v>69</v>
      </c>
      <c r="Q16" s="113" t="s">
        <v>466</v>
      </c>
      <c r="R16" s="113" t="s">
        <v>45</v>
      </c>
      <c r="S16" s="134">
        <v>647</v>
      </c>
      <c r="T16" s="134">
        <v>3410</v>
      </c>
      <c r="U16" s="114">
        <f t="shared" si="4"/>
        <v>161.75</v>
      </c>
      <c r="V16" s="114">
        <f t="shared" si="5"/>
        <v>852.5</v>
      </c>
      <c r="W16" s="115">
        <f t="shared" si="21"/>
        <v>0.18973607038123166</v>
      </c>
      <c r="X16" s="200">
        <v>4.7119091619184003E-4</v>
      </c>
      <c r="Y16" s="200">
        <v>2.8196803083546201E-4</v>
      </c>
      <c r="Z16" s="116">
        <f t="shared" si="7"/>
        <v>7.6215130694030131E-2</v>
      </c>
      <c r="AA16" s="117">
        <f t="shared" si="8"/>
        <v>0.24037774628723135</v>
      </c>
      <c r="AB16" s="117">
        <f t="shared" si="9"/>
        <v>0.31659287698126148</v>
      </c>
      <c r="AC16" s="116">
        <f t="shared" si="10"/>
        <v>1.1139603502239446</v>
      </c>
      <c r="AD16" s="116">
        <v>1.484</v>
      </c>
      <c r="AE16" s="116">
        <f t="shared" si="11"/>
        <v>3.5133611397341733</v>
      </c>
      <c r="AF16" s="264">
        <f t="shared" si="18"/>
        <v>4.9973611397341733</v>
      </c>
      <c r="AG16" s="119">
        <f t="shared" si="12"/>
        <v>204.624</v>
      </c>
      <c r="AH16" s="119">
        <f t="shared" si="13"/>
        <v>2.4422165238359983</v>
      </c>
      <c r="AI16" s="119">
        <f t="shared" si="14"/>
        <v>277.70400000000001</v>
      </c>
      <c r="AJ16" s="118">
        <f t="shared" si="15"/>
        <v>209.62136113973418</v>
      </c>
      <c r="AK16" s="120">
        <f t="shared" si="16"/>
        <v>282.70136113973416</v>
      </c>
      <c r="AL16" s="118">
        <f t="shared" si="17"/>
        <v>3.3165928769812614</v>
      </c>
    </row>
    <row r="17" spans="1:38" x14ac:dyDescent="0.2">
      <c r="A17" s="101" t="s">
        <v>473</v>
      </c>
      <c r="B17" s="102" t="s">
        <v>81</v>
      </c>
      <c r="C17" s="104" t="s">
        <v>83</v>
      </c>
      <c r="D17" s="104" t="s">
        <v>127</v>
      </c>
      <c r="E17" s="121">
        <v>37.400027999999999</v>
      </c>
      <c r="F17" s="122">
        <v>140.98924400000001</v>
      </c>
      <c r="G17" s="123">
        <v>3</v>
      </c>
      <c r="H17" s="129" t="s">
        <v>489</v>
      </c>
      <c r="I17" s="129" t="s">
        <v>489</v>
      </c>
      <c r="J17" s="130">
        <v>9.5</v>
      </c>
      <c r="K17" s="130">
        <v>6.6</v>
      </c>
      <c r="L17" s="109">
        <v>42309</v>
      </c>
      <c r="M17" s="110" t="s">
        <v>73</v>
      </c>
      <c r="N17" s="135" t="s">
        <v>77</v>
      </c>
      <c r="O17" s="112">
        <f>7.5*7*24</f>
        <v>1260</v>
      </c>
      <c r="P17" s="201">
        <v>9</v>
      </c>
      <c r="Q17" s="113" t="s">
        <v>466</v>
      </c>
      <c r="R17" s="113" t="s">
        <v>45</v>
      </c>
      <c r="S17" s="114">
        <v>4068.9</v>
      </c>
      <c r="T17" s="114">
        <v>21366</v>
      </c>
      <c r="U17" s="114">
        <f t="shared" si="4"/>
        <v>1017.225</v>
      </c>
      <c r="V17" s="114">
        <f t="shared" si="5"/>
        <v>5341.5</v>
      </c>
      <c r="W17" s="115">
        <f t="shared" si="21"/>
        <v>0.19043807919123842</v>
      </c>
      <c r="X17" s="200">
        <v>2.7780133006720701E-4</v>
      </c>
      <c r="Y17" s="200">
        <v>2.1063702429833001E-4</v>
      </c>
      <c r="Z17" s="116">
        <f t="shared" si="7"/>
        <v>0.28258645797761467</v>
      </c>
      <c r="AA17" s="117">
        <f t="shared" si="8"/>
        <v>1.1251176652895298</v>
      </c>
      <c r="AB17" s="117">
        <f t="shared" si="9"/>
        <v>1.4077041232671446</v>
      </c>
      <c r="AC17" s="116">
        <f t="shared" si="10"/>
        <v>0.35605893705179448</v>
      </c>
      <c r="AD17" s="116">
        <v>0.36</v>
      </c>
      <c r="AE17" s="116">
        <f t="shared" si="11"/>
        <v>1.4176482582648076</v>
      </c>
      <c r="AF17" s="264">
        <f t="shared" si="18"/>
        <v>1.7776482582648074</v>
      </c>
      <c r="AG17" s="119">
        <f t="shared" si="12"/>
        <v>8.3160000000000007</v>
      </c>
      <c r="AH17" s="119">
        <f t="shared" si="13"/>
        <v>21.376241681875989</v>
      </c>
      <c r="AI17" s="119">
        <f t="shared" si="14"/>
        <v>11.97</v>
      </c>
      <c r="AJ17" s="118">
        <f t="shared" si="15"/>
        <v>10.093648258264809</v>
      </c>
      <c r="AK17" s="120">
        <f t="shared" si="16"/>
        <v>13.747648258264809</v>
      </c>
      <c r="AL17" s="118">
        <f t="shared" si="17"/>
        <v>4.4077041232671448</v>
      </c>
    </row>
    <row r="18" spans="1:38" x14ac:dyDescent="0.2">
      <c r="A18" s="101" t="s">
        <v>473</v>
      </c>
      <c r="B18" s="102" t="s">
        <v>82</v>
      </c>
      <c r="C18" s="104" t="s">
        <v>83</v>
      </c>
      <c r="D18" s="104" t="s">
        <v>127</v>
      </c>
      <c r="E18" s="121">
        <v>37.400027999999999</v>
      </c>
      <c r="F18" s="122">
        <v>140.98924400000001</v>
      </c>
      <c r="G18" s="123">
        <v>3</v>
      </c>
      <c r="H18" s="129" t="s">
        <v>489</v>
      </c>
      <c r="I18" s="129" t="s">
        <v>489</v>
      </c>
      <c r="J18" s="130">
        <v>9.5</v>
      </c>
      <c r="K18" s="130">
        <v>6.6</v>
      </c>
      <c r="L18" s="109">
        <v>41944</v>
      </c>
      <c r="M18" s="110" t="s">
        <v>74</v>
      </c>
      <c r="N18" s="110">
        <v>80</v>
      </c>
      <c r="O18" s="112">
        <f>N18*7*24</f>
        <v>13440</v>
      </c>
      <c r="P18" s="201">
        <v>43.6</v>
      </c>
      <c r="Q18" s="113" t="s">
        <v>466</v>
      </c>
      <c r="R18" s="113" t="s">
        <v>45</v>
      </c>
      <c r="S18" s="114">
        <v>4395.8999999999996</v>
      </c>
      <c r="T18" s="114">
        <v>23336</v>
      </c>
      <c r="U18" s="114">
        <f t="shared" si="4"/>
        <v>1098.9749999999999</v>
      </c>
      <c r="V18" s="114">
        <f t="shared" si="5"/>
        <v>5834</v>
      </c>
      <c r="W18" s="115">
        <f t="shared" si="21"/>
        <v>0.18837418580733628</v>
      </c>
      <c r="X18" s="200">
        <v>4.7119091619184003E-4</v>
      </c>
      <c r="Y18" s="200">
        <v>2.8196803083546201E-4</v>
      </c>
      <c r="Z18" s="116">
        <f t="shared" si="7"/>
        <v>0.51782703712192735</v>
      </c>
      <c r="AA18" s="117">
        <f t="shared" si="8"/>
        <v>1.6450014918940854</v>
      </c>
      <c r="AB18" s="117">
        <f t="shared" si="9"/>
        <v>2.1628285290160125</v>
      </c>
      <c r="AC18" s="116">
        <f t="shared" si="10"/>
        <v>6.9595953789187037</v>
      </c>
      <c r="AD18" s="116">
        <v>9.0289999999999999</v>
      </c>
      <c r="AE18" s="116">
        <f t="shared" si="11"/>
        <v>22.108820051056508</v>
      </c>
      <c r="AF18" s="264">
        <f t="shared" si="18"/>
        <v>31.137820051056508</v>
      </c>
      <c r="AG18" s="119">
        <f t="shared" si="12"/>
        <v>88.703999999999994</v>
      </c>
      <c r="AH18" s="119">
        <f t="shared" si="13"/>
        <v>35.103061926245168</v>
      </c>
      <c r="AI18" s="119">
        <f t="shared" si="14"/>
        <v>127.68</v>
      </c>
      <c r="AJ18" s="118">
        <f t="shared" si="15"/>
        <v>119.8418200510565</v>
      </c>
      <c r="AK18" s="120">
        <f t="shared" si="16"/>
        <v>158.81782005105651</v>
      </c>
      <c r="AL18" s="118">
        <f t="shared" si="17"/>
        <v>5.1628285290160125</v>
      </c>
    </row>
    <row r="19" spans="1:38" x14ac:dyDescent="0.2">
      <c r="A19" s="101" t="s">
        <v>473</v>
      </c>
      <c r="B19" s="102" t="s">
        <v>91</v>
      </c>
      <c r="C19" s="104" t="s">
        <v>135</v>
      </c>
      <c r="D19" s="104" t="s">
        <v>136</v>
      </c>
      <c r="E19" s="121">
        <v>37.528640000000003</v>
      </c>
      <c r="F19" s="122">
        <v>140.79847000000001</v>
      </c>
      <c r="G19" s="126">
        <v>0.7</v>
      </c>
      <c r="H19" s="129" t="s">
        <v>488</v>
      </c>
      <c r="I19" s="129" t="s">
        <v>489</v>
      </c>
      <c r="J19" s="130">
        <v>9.5</v>
      </c>
      <c r="K19" s="130">
        <v>6.6</v>
      </c>
      <c r="L19" s="109">
        <v>41944</v>
      </c>
      <c r="M19" s="110" t="s">
        <v>74</v>
      </c>
      <c r="N19" s="110" t="s">
        <v>96</v>
      </c>
      <c r="O19" s="112">
        <f>65.5*7*24</f>
        <v>11004</v>
      </c>
      <c r="P19" s="201">
        <v>34.6</v>
      </c>
      <c r="Q19" s="113" t="s">
        <v>466</v>
      </c>
      <c r="R19" s="113" t="s">
        <v>45</v>
      </c>
      <c r="S19" s="114">
        <v>3829.4</v>
      </c>
      <c r="T19" s="114">
        <v>20142</v>
      </c>
      <c r="U19" s="114">
        <f t="shared" si="4"/>
        <v>957.35</v>
      </c>
      <c r="V19" s="114">
        <f t="shared" si="5"/>
        <v>5035.5</v>
      </c>
      <c r="W19" s="115">
        <f t="shared" si="21"/>
        <v>0.19012014695660809</v>
      </c>
      <c r="X19" s="200">
        <v>3.5961668022628502E-4</v>
      </c>
      <c r="Y19" s="200">
        <v>2.4093427574034001E-4</v>
      </c>
      <c r="Z19" s="116">
        <f t="shared" si="7"/>
        <v>0.34427902881463396</v>
      </c>
      <c r="AA19" s="117">
        <f t="shared" si="8"/>
        <v>1.2132245454904822</v>
      </c>
      <c r="AB19" s="117">
        <f t="shared" si="9"/>
        <v>1.5575035743051162</v>
      </c>
      <c r="AC19" s="116">
        <f t="shared" si="10"/>
        <v>3.7884464330762322</v>
      </c>
      <c r="AD19" s="116">
        <v>4.681</v>
      </c>
      <c r="AE19" s="116">
        <f t="shared" si="11"/>
        <v>13.350322898577266</v>
      </c>
      <c r="AF19" s="264">
        <f t="shared" si="18"/>
        <v>18.031322898577265</v>
      </c>
      <c r="AG19" s="119">
        <f t="shared" si="12"/>
        <v>72.62639999999999</v>
      </c>
      <c r="AH19" s="119">
        <f t="shared" si="13"/>
        <v>24.827504734610649</v>
      </c>
      <c r="AI19" s="119">
        <f t="shared" si="14"/>
        <v>104.538</v>
      </c>
      <c r="AJ19" s="118">
        <f t="shared" si="15"/>
        <v>90.657722898577248</v>
      </c>
      <c r="AK19" s="120">
        <f t="shared" si="16"/>
        <v>122.56932289857727</v>
      </c>
      <c r="AL19" s="118">
        <f t="shared" si="17"/>
        <v>2.2575035743051162</v>
      </c>
    </row>
    <row r="20" spans="1:38" x14ac:dyDescent="0.2">
      <c r="A20" s="101" t="s">
        <v>473</v>
      </c>
      <c r="B20" s="102" t="s">
        <v>85</v>
      </c>
      <c r="C20" s="104" t="s">
        <v>83</v>
      </c>
      <c r="D20" s="104" t="s">
        <v>137</v>
      </c>
      <c r="E20" s="121">
        <v>37.395130000000002</v>
      </c>
      <c r="F20" s="122">
        <v>140.97357</v>
      </c>
      <c r="G20" s="126">
        <v>1.5</v>
      </c>
      <c r="H20" s="129" t="s">
        <v>492</v>
      </c>
      <c r="I20" s="129" t="s">
        <v>488</v>
      </c>
      <c r="J20" s="130">
        <v>3.8</v>
      </c>
      <c r="K20" s="130">
        <v>2.8</v>
      </c>
      <c r="L20" s="109">
        <v>41944</v>
      </c>
      <c r="M20" s="110" t="s">
        <v>22</v>
      </c>
      <c r="N20" s="110">
        <v>62</v>
      </c>
      <c r="O20" s="112">
        <f>62*7*24</f>
        <v>10416</v>
      </c>
      <c r="P20" s="201">
        <v>54.9</v>
      </c>
      <c r="Q20" s="113" t="s">
        <v>466</v>
      </c>
      <c r="R20" s="113" t="s">
        <v>45</v>
      </c>
      <c r="S20" s="114">
        <v>2299.4</v>
      </c>
      <c r="T20" s="114">
        <v>12200</v>
      </c>
      <c r="U20" s="114">
        <f t="shared" si="4"/>
        <v>574.85</v>
      </c>
      <c r="V20" s="114">
        <f t="shared" si="5"/>
        <v>3050</v>
      </c>
      <c r="W20" s="115">
        <f t="shared" si="21"/>
        <v>0.18847540983606559</v>
      </c>
      <c r="X20" s="200">
        <v>4.7119091619184003E-4</v>
      </c>
      <c r="Y20" s="200">
        <v>2.8196803083546201E-4</v>
      </c>
      <c r="Z20" s="116">
        <f t="shared" si="7"/>
        <v>0.27086409817287926</v>
      </c>
      <c r="AA20" s="117">
        <f t="shared" si="8"/>
        <v>0.86000249404815909</v>
      </c>
      <c r="AB20" s="117">
        <f t="shared" si="9"/>
        <v>1.1308665922210384</v>
      </c>
      <c r="AC20" s="116">
        <f t="shared" si="10"/>
        <v>2.8213204465687105</v>
      </c>
      <c r="AD20" s="116">
        <v>3.4510000000000001</v>
      </c>
      <c r="AE20" s="116">
        <f t="shared" si="11"/>
        <v>8.9577859780056261</v>
      </c>
      <c r="AF20" s="264">
        <f t="shared" si="18"/>
        <v>12.408785978005627</v>
      </c>
      <c r="AG20" s="119">
        <f t="shared" si="12"/>
        <v>29.1648</v>
      </c>
      <c r="AH20" s="119">
        <f t="shared" si="13"/>
        <v>42.547132083901232</v>
      </c>
      <c r="AI20" s="119">
        <f t="shared" si="14"/>
        <v>39.580799999999996</v>
      </c>
      <c r="AJ20" s="118">
        <f t="shared" si="15"/>
        <v>41.573585978005624</v>
      </c>
      <c r="AK20" s="120">
        <f t="shared" si="16"/>
        <v>51.989585978005621</v>
      </c>
      <c r="AL20" s="118">
        <f t="shared" si="17"/>
        <v>2.6308665922210381</v>
      </c>
    </row>
    <row r="21" spans="1:38" x14ac:dyDescent="0.2">
      <c r="A21" s="101" t="s">
        <v>473</v>
      </c>
      <c r="B21" s="102" t="s">
        <v>86</v>
      </c>
      <c r="C21" s="104" t="s">
        <v>88</v>
      </c>
      <c r="D21" s="104" t="s">
        <v>138</v>
      </c>
      <c r="E21" s="121">
        <v>37.362789999999997</v>
      </c>
      <c r="F21" s="122">
        <v>140.99638999999999</v>
      </c>
      <c r="G21" s="126">
        <v>1.5</v>
      </c>
      <c r="H21" s="129" t="s">
        <v>488</v>
      </c>
      <c r="I21" s="129" t="s">
        <v>489</v>
      </c>
      <c r="J21" s="130">
        <v>9.5</v>
      </c>
      <c r="K21" s="130">
        <v>6.6</v>
      </c>
      <c r="L21" s="109">
        <v>41944</v>
      </c>
      <c r="M21" s="110" t="s">
        <v>22</v>
      </c>
      <c r="N21" s="136" t="s">
        <v>511</v>
      </c>
      <c r="O21" s="137">
        <f>61*7*24</f>
        <v>10248</v>
      </c>
      <c r="P21" s="201">
        <v>56.4</v>
      </c>
      <c r="Q21" s="113" t="s">
        <v>466</v>
      </c>
      <c r="R21" s="113" t="s">
        <v>45</v>
      </c>
      <c r="S21" s="114">
        <v>1596.2</v>
      </c>
      <c r="T21" s="114">
        <v>7856.4</v>
      </c>
      <c r="U21" s="114">
        <f t="shared" si="4"/>
        <v>399.05</v>
      </c>
      <c r="V21" s="114">
        <f t="shared" si="5"/>
        <v>1964.1</v>
      </c>
      <c r="W21" s="115">
        <f t="shared" si="21"/>
        <v>0.20317193625579147</v>
      </c>
      <c r="X21" s="200">
        <v>4.7119091619184003E-4</v>
      </c>
      <c r="Y21" s="200">
        <v>2.8196803083546201E-4</v>
      </c>
      <c r="Z21" s="116">
        <f t="shared" si="7"/>
        <v>0.18802873510635376</v>
      </c>
      <c r="AA21" s="117">
        <f t="shared" si="8"/>
        <v>0.55381340936393086</v>
      </c>
      <c r="AB21" s="117">
        <f t="shared" si="9"/>
        <v>0.74184214447028463</v>
      </c>
      <c r="AC21" s="116">
        <f t="shared" si="10"/>
        <v>1.9269184773699133</v>
      </c>
      <c r="AD21" s="116">
        <v>2.3479999999999999</v>
      </c>
      <c r="AE21" s="116">
        <f t="shared" si="11"/>
        <v>5.6754798191615636</v>
      </c>
      <c r="AF21" s="264">
        <f t="shared" si="18"/>
        <v>8.0234798191615635</v>
      </c>
      <c r="AG21" s="119">
        <f t="shared" si="12"/>
        <v>67.636800000000008</v>
      </c>
      <c r="AH21" s="119">
        <f t="shared" si="13"/>
        <v>11.862595242769562</v>
      </c>
      <c r="AI21" s="119">
        <f t="shared" si="14"/>
        <v>97.355999999999995</v>
      </c>
      <c r="AJ21" s="118">
        <f t="shared" si="15"/>
        <v>75.660279819161573</v>
      </c>
      <c r="AK21" s="120">
        <f t="shared" si="16"/>
        <v>105.37947981916156</v>
      </c>
      <c r="AL21" s="118">
        <f t="shared" si="17"/>
        <v>2.2418421444702847</v>
      </c>
    </row>
    <row r="22" spans="1:38" x14ac:dyDescent="0.2">
      <c r="A22" s="101" t="s">
        <v>473</v>
      </c>
      <c r="B22" s="102" t="s">
        <v>87</v>
      </c>
      <c r="C22" s="104" t="s">
        <v>75</v>
      </c>
      <c r="D22" s="104" t="s">
        <v>128</v>
      </c>
      <c r="E22" s="121">
        <v>37.748730000000002</v>
      </c>
      <c r="F22" s="122">
        <v>140.49009799999999</v>
      </c>
      <c r="G22" s="126">
        <v>0.7</v>
      </c>
      <c r="H22" s="133" t="s">
        <v>490</v>
      </c>
      <c r="I22" s="129" t="s">
        <v>488</v>
      </c>
      <c r="J22" s="130">
        <v>3.8</v>
      </c>
      <c r="K22" s="130">
        <v>2.8</v>
      </c>
      <c r="L22" s="109">
        <v>41944</v>
      </c>
      <c r="M22" s="110" t="s">
        <v>22</v>
      </c>
      <c r="N22" s="110" t="s">
        <v>97</v>
      </c>
      <c r="O22" s="112">
        <f>84*7*24</f>
        <v>14112</v>
      </c>
      <c r="P22" s="201">
        <v>48</v>
      </c>
      <c r="Q22" s="113" t="s">
        <v>466</v>
      </c>
      <c r="R22" s="113" t="s">
        <v>45</v>
      </c>
      <c r="S22" s="114">
        <v>329.65</v>
      </c>
      <c r="T22" s="114">
        <v>1721.3</v>
      </c>
      <c r="U22" s="114">
        <f t="shared" si="4"/>
        <v>82.412499999999994</v>
      </c>
      <c r="V22" s="114">
        <f t="shared" si="5"/>
        <v>430.32499999999999</v>
      </c>
      <c r="W22" s="115">
        <f t="shared" si="21"/>
        <v>0.19151222912914656</v>
      </c>
      <c r="X22" s="200">
        <v>4.7119091619184003E-4</v>
      </c>
      <c r="Y22" s="200">
        <v>2.8196803083546201E-4</v>
      </c>
      <c r="Z22" s="116">
        <f t="shared" si="7"/>
        <v>3.8832021380660012E-2</v>
      </c>
      <c r="AA22" s="117">
        <f t="shared" si="8"/>
        <v>0.12133789286927019</v>
      </c>
      <c r="AB22" s="117">
        <f t="shared" si="9"/>
        <v>0.16016991424993021</v>
      </c>
      <c r="AC22" s="116">
        <f t="shared" si="10"/>
        <v>0.54799748572387408</v>
      </c>
      <c r="AD22" s="116">
        <v>0.72</v>
      </c>
      <c r="AE22" s="116">
        <f t="shared" si="11"/>
        <v>1.712320344171141</v>
      </c>
      <c r="AF22" s="264">
        <f t="shared" si="18"/>
        <v>2.4323203441711412</v>
      </c>
      <c r="AG22" s="119">
        <f t="shared" si="12"/>
        <v>39.513599999999997</v>
      </c>
      <c r="AH22" s="119">
        <f t="shared" si="13"/>
        <v>6.1556536083048403</v>
      </c>
      <c r="AI22" s="119">
        <f t="shared" si="14"/>
        <v>53.625599999999999</v>
      </c>
      <c r="AJ22" s="118">
        <f t="shared" si="15"/>
        <v>41.945920344171135</v>
      </c>
      <c r="AK22" s="120">
        <f t="shared" si="16"/>
        <v>56.057920344171137</v>
      </c>
      <c r="AL22" s="118">
        <f t="shared" si="17"/>
        <v>0.86016991424993017</v>
      </c>
    </row>
    <row r="23" spans="1:38" x14ac:dyDescent="0.2">
      <c r="A23" s="101" t="s">
        <v>473</v>
      </c>
      <c r="B23" s="138" t="s">
        <v>541</v>
      </c>
      <c r="C23" s="104" t="s">
        <v>95</v>
      </c>
      <c r="D23" s="104" t="s">
        <v>130</v>
      </c>
      <c r="E23" s="121">
        <v>37.393036000000002</v>
      </c>
      <c r="F23" s="122">
        <v>140.995272</v>
      </c>
      <c r="G23" s="123">
        <v>3</v>
      </c>
      <c r="H23" s="133" t="s">
        <v>489</v>
      </c>
      <c r="I23" s="133" t="s">
        <v>495</v>
      </c>
      <c r="J23" s="133">
        <v>19</v>
      </c>
      <c r="K23" s="108">
        <v>14</v>
      </c>
      <c r="L23" s="139" t="s">
        <v>494</v>
      </c>
      <c r="M23" s="110" t="s">
        <v>21</v>
      </c>
      <c r="N23" s="110">
        <v>125</v>
      </c>
      <c r="O23" s="112">
        <f>N23*7*24</f>
        <v>21000</v>
      </c>
      <c r="P23" s="201">
        <v>77.2</v>
      </c>
      <c r="Q23" s="140" t="s">
        <v>516</v>
      </c>
      <c r="R23" s="141"/>
      <c r="S23" s="142"/>
      <c r="T23" s="142"/>
      <c r="U23" s="143">
        <v>437</v>
      </c>
      <c r="V23" s="143">
        <v>2545</v>
      </c>
      <c r="W23" s="115">
        <f t="shared" si="21"/>
        <v>0.17170923379174852</v>
      </c>
      <c r="X23" s="200">
        <v>5.0761245862667001E-4</v>
      </c>
      <c r="Y23" s="200">
        <v>2.9533788015410699E-4</v>
      </c>
      <c r="Z23" s="116">
        <f t="shared" si="7"/>
        <v>0.22182664441985481</v>
      </c>
      <c r="AA23" s="117">
        <f t="shared" si="8"/>
        <v>0.75163490499220231</v>
      </c>
      <c r="AB23" s="117">
        <f t="shared" si="9"/>
        <v>0.97346154941205709</v>
      </c>
      <c r="AC23" s="116">
        <f t="shared" si="10"/>
        <v>4.6583595328169514</v>
      </c>
      <c r="AD23" s="116">
        <v>7.08</v>
      </c>
      <c r="AE23" s="116">
        <f t="shared" si="11"/>
        <v>15.784333004836247</v>
      </c>
      <c r="AF23" s="264">
        <f t="shared" si="18"/>
        <v>22.864333004836247</v>
      </c>
      <c r="AG23" s="119">
        <f t="shared" si="12"/>
        <v>294</v>
      </c>
      <c r="AH23" s="119">
        <f t="shared" si="13"/>
        <v>7.7769840152504237</v>
      </c>
      <c r="AI23" s="119">
        <f t="shared" si="14"/>
        <v>399</v>
      </c>
      <c r="AJ23" s="118">
        <f t="shared" si="15"/>
        <v>316.86433300483623</v>
      </c>
      <c r="AK23" s="120">
        <f t="shared" si="16"/>
        <v>421.86433300483623</v>
      </c>
      <c r="AL23" s="118">
        <f t="shared" si="17"/>
        <v>3.9734615494120571</v>
      </c>
    </row>
    <row r="24" spans="1:38" ht="18" customHeight="1" x14ac:dyDescent="0.2">
      <c r="A24" s="101" t="s">
        <v>473</v>
      </c>
      <c r="B24" s="144" t="s">
        <v>542</v>
      </c>
      <c r="C24" s="145" t="s">
        <v>359</v>
      </c>
      <c r="D24" s="145" t="s">
        <v>360</v>
      </c>
      <c r="E24" s="121">
        <v>37.416058</v>
      </c>
      <c r="F24" s="122">
        <v>140.995227</v>
      </c>
      <c r="G24" s="123">
        <v>7</v>
      </c>
      <c r="H24" s="146" t="s">
        <v>495</v>
      </c>
      <c r="I24" s="146">
        <v>19</v>
      </c>
      <c r="J24" s="179">
        <v>40</v>
      </c>
      <c r="K24" s="178">
        <v>40</v>
      </c>
      <c r="L24" s="109">
        <v>42309</v>
      </c>
      <c r="M24" s="147" t="s">
        <v>355</v>
      </c>
      <c r="N24" s="147">
        <v>26</v>
      </c>
      <c r="O24" s="112">
        <f>N24*7*24</f>
        <v>4368</v>
      </c>
      <c r="P24" s="201">
        <v>18.5</v>
      </c>
      <c r="Q24" s="140" t="s">
        <v>516</v>
      </c>
      <c r="R24" s="113" t="s">
        <v>45</v>
      </c>
      <c r="S24" s="142" t="s">
        <v>471</v>
      </c>
      <c r="T24" s="142" t="s">
        <v>471</v>
      </c>
      <c r="U24" s="143">
        <v>590</v>
      </c>
      <c r="V24" s="143">
        <v>3153</v>
      </c>
      <c r="W24" s="115">
        <f t="shared" ref="W24:W25" si="22">U24/V24</f>
        <v>0.1871233745639074</v>
      </c>
      <c r="X24" s="200">
        <v>3.5961668022628502E-4</v>
      </c>
      <c r="Y24" s="200">
        <v>2.4093427574034001E-4</v>
      </c>
      <c r="Z24" s="116">
        <f t="shared" si="7"/>
        <v>0.21217384133350817</v>
      </c>
      <c r="AA24" s="117">
        <f t="shared" si="8"/>
        <v>0.75966577140929203</v>
      </c>
      <c r="AB24" s="117">
        <f t="shared" si="9"/>
        <v>0.97183961274280017</v>
      </c>
      <c r="AC24" s="116">
        <f t="shared" si="10"/>
        <v>0.92677533894476372</v>
      </c>
      <c r="AD24" s="116">
        <v>0.997</v>
      </c>
      <c r="AE24" s="116">
        <f t="shared" si="11"/>
        <v>3.3182200895157874</v>
      </c>
      <c r="AF24" s="264">
        <f t="shared" si="18"/>
        <v>4.3152200895157877</v>
      </c>
      <c r="AG24" s="119">
        <f t="shared" si="12"/>
        <v>174.72</v>
      </c>
      <c r="AH24" s="119">
        <f t="shared" si="13"/>
        <v>2.4697917179005198</v>
      </c>
      <c r="AI24" s="119">
        <f t="shared" si="14"/>
        <v>174.72</v>
      </c>
      <c r="AJ24" s="118">
        <f t="shared" si="15"/>
        <v>179.03522008951578</v>
      </c>
      <c r="AK24" s="120">
        <f t="shared" si="16"/>
        <v>179.03522008951578</v>
      </c>
      <c r="AL24" s="118">
        <f t="shared" si="17"/>
        <v>7.9718396127428006</v>
      </c>
    </row>
    <row r="25" spans="1:38" ht="14" customHeight="1" x14ac:dyDescent="0.2">
      <c r="A25" s="148" t="s">
        <v>497</v>
      </c>
      <c r="B25" s="149" t="s">
        <v>543</v>
      </c>
      <c r="C25" s="145" t="s">
        <v>358</v>
      </c>
      <c r="D25" s="145" t="s">
        <v>362</v>
      </c>
      <c r="E25" s="150">
        <v>37.452979999999997</v>
      </c>
      <c r="F25" s="151">
        <v>140.97501700000001</v>
      </c>
      <c r="G25" s="123">
        <v>14</v>
      </c>
      <c r="H25" s="146" t="s">
        <v>495</v>
      </c>
      <c r="I25" s="146">
        <v>19</v>
      </c>
      <c r="J25" s="179">
        <v>40</v>
      </c>
      <c r="K25" s="178">
        <v>40</v>
      </c>
      <c r="L25" s="109">
        <v>42309</v>
      </c>
      <c r="M25" s="147" t="s">
        <v>356</v>
      </c>
      <c r="N25" s="152" t="s">
        <v>363</v>
      </c>
      <c r="O25" s="153">
        <v>6500</v>
      </c>
      <c r="P25" s="201">
        <v>31.3</v>
      </c>
      <c r="Q25" s="113" t="s">
        <v>466</v>
      </c>
      <c r="R25" s="113" t="s">
        <v>45</v>
      </c>
      <c r="S25" s="114">
        <v>3174.7</v>
      </c>
      <c r="T25" s="114">
        <v>18378</v>
      </c>
      <c r="U25" s="114">
        <f t="shared" ref="U25:U26" si="23">S25*0.25</f>
        <v>793.67499999999995</v>
      </c>
      <c r="V25" s="114">
        <f t="shared" ref="V25:V26" si="24">T25*0.25</f>
        <v>4594.5</v>
      </c>
      <c r="W25" s="115">
        <f t="shared" si="22"/>
        <v>0.17274458591794536</v>
      </c>
      <c r="X25" s="200">
        <v>3.5961668022628502E-4</v>
      </c>
      <c r="Y25" s="200">
        <v>2.4093427574034001E-4</v>
      </c>
      <c r="Z25" s="116">
        <f t="shared" si="7"/>
        <v>0.28541876867859672</v>
      </c>
      <c r="AA25" s="117">
        <f t="shared" si="8"/>
        <v>1.1069725298889921</v>
      </c>
      <c r="AB25" s="117">
        <f t="shared" si="9"/>
        <v>1.3923912985675888</v>
      </c>
      <c r="AC25" s="237">
        <f t="shared" si="10"/>
        <v>1.8552219964108787</v>
      </c>
      <c r="AD25" s="116">
        <v>1.006</v>
      </c>
      <c r="AE25" s="116">
        <f t="shared" si="11"/>
        <v>7.1953214442784486</v>
      </c>
      <c r="AF25" s="264">
        <f t="shared" si="18"/>
        <v>8.2013214442784488</v>
      </c>
      <c r="AG25" s="119">
        <f t="shared" si="12"/>
        <v>260</v>
      </c>
      <c r="AH25" s="119">
        <f t="shared" si="13"/>
        <v>3.1543544016455574</v>
      </c>
      <c r="AI25" s="119">
        <f t="shared" si="14"/>
        <v>260</v>
      </c>
      <c r="AJ25" s="118">
        <f t="shared" si="15"/>
        <v>268.20132144427845</v>
      </c>
      <c r="AK25" s="120">
        <f t="shared" si="16"/>
        <v>268.20132144427845</v>
      </c>
      <c r="AL25" s="118">
        <f t="shared" si="17"/>
        <v>15.392391298567588</v>
      </c>
    </row>
    <row r="26" spans="1:38" ht="13.5" customHeight="1" x14ac:dyDescent="0.2">
      <c r="A26" s="101" t="s">
        <v>473</v>
      </c>
      <c r="B26" s="144" t="s">
        <v>544</v>
      </c>
      <c r="C26" s="145" t="s">
        <v>407</v>
      </c>
      <c r="D26" s="145" t="s">
        <v>408</v>
      </c>
      <c r="E26" s="121">
        <v>37.470056</v>
      </c>
      <c r="F26" s="122">
        <v>140.994922</v>
      </c>
      <c r="G26" s="126">
        <v>1.5</v>
      </c>
      <c r="H26" s="129" t="s">
        <v>488</v>
      </c>
      <c r="I26" s="129" t="s">
        <v>489</v>
      </c>
      <c r="J26" s="129">
        <v>9.5</v>
      </c>
      <c r="K26" s="130">
        <v>6.6</v>
      </c>
      <c r="L26" s="109">
        <v>42309</v>
      </c>
      <c r="M26" s="147" t="s">
        <v>354</v>
      </c>
      <c r="N26" s="147">
        <v>26</v>
      </c>
      <c r="O26" s="112">
        <f t="shared" ref="O26:O31" si="25">N26*7*24</f>
        <v>4368</v>
      </c>
      <c r="P26" s="201">
        <v>20.2</v>
      </c>
      <c r="Q26" s="140" t="s">
        <v>516</v>
      </c>
      <c r="R26" s="132"/>
      <c r="S26" s="114">
        <v>334.71</v>
      </c>
      <c r="T26" s="114">
        <v>2140.3000000000002</v>
      </c>
      <c r="U26" s="143">
        <f t="shared" si="23"/>
        <v>83.677499999999995</v>
      </c>
      <c r="V26" s="143">
        <f t="shared" si="24"/>
        <v>535.07500000000005</v>
      </c>
      <c r="W26" s="132"/>
      <c r="X26" s="200">
        <v>3.5961668022628502E-4</v>
      </c>
      <c r="Y26" s="200">
        <v>2.4093427574034001E-4</v>
      </c>
      <c r="Z26" s="116">
        <f t="shared" si="7"/>
        <v>3.0091824759634962E-2</v>
      </c>
      <c r="AA26" s="117">
        <f t="shared" si="8"/>
        <v>0.12891790759176244</v>
      </c>
      <c r="AB26" s="117">
        <f t="shared" si="9"/>
        <v>0.1590097323513974</v>
      </c>
      <c r="AC26" s="116">
        <f t="shared" si="10"/>
        <v>0.13144109055008552</v>
      </c>
      <c r="AD26" s="116">
        <v>0.14199999999999999</v>
      </c>
      <c r="AE26" s="116">
        <f t="shared" si="11"/>
        <v>0.56311342036081835</v>
      </c>
      <c r="AF26" s="264">
        <f t="shared" si="18"/>
        <v>0.70511342036081837</v>
      </c>
      <c r="AG26" s="119">
        <f t="shared" si="12"/>
        <v>28.828799999999998</v>
      </c>
      <c r="AH26" s="119">
        <f t="shared" si="13"/>
        <v>2.4458646227412117</v>
      </c>
      <c r="AI26" s="119">
        <f t="shared" si="14"/>
        <v>41.496000000000002</v>
      </c>
      <c r="AJ26" s="118">
        <f t="shared" si="15"/>
        <v>29.533913420360815</v>
      </c>
      <c r="AK26" s="120">
        <f t="shared" si="16"/>
        <v>42.201113420360819</v>
      </c>
      <c r="AL26" s="118">
        <f t="shared" si="17"/>
        <v>1.6590097323513973</v>
      </c>
    </row>
    <row r="27" spans="1:38" ht="13.5" customHeight="1" x14ac:dyDescent="0.2">
      <c r="A27" s="101" t="s">
        <v>473</v>
      </c>
      <c r="B27" s="154" t="s">
        <v>364</v>
      </c>
      <c r="C27" s="155" t="s">
        <v>365</v>
      </c>
      <c r="D27" s="145" t="s">
        <v>366</v>
      </c>
      <c r="E27" s="121">
        <v>37.399016000000003</v>
      </c>
      <c r="F27" s="122">
        <v>140.97198299999999</v>
      </c>
      <c r="G27" s="126">
        <v>1.5</v>
      </c>
      <c r="H27" s="108" t="s">
        <v>489</v>
      </c>
      <c r="I27" s="108" t="s">
        <v>491</v>
      </c>
      <c r="J27" s="127">
        <v>19</v>
      </c>
      <c r="K27" s="108">
        <v>14</v>
      </c>
      <c r="L27" s="109">
        <v>42309</v>
      </c>
      <c r="M27" s="147" t="s">
        <v>355</v>
      </c>
      <c r="N27" s="147">
        <v>26</v>
      </c>
      <c r="O27" s="112">
        <f t="shared" si="25"/>
        <v>4368</v>
      </c>
      <c r="P27" s="201">
        <v>20.100000000000001</v>
      </c>
      <c r="Q27" s="132">
        <v>34</v>
      </c>
      <c r="R27" s="132"/>
      <c r="S27" s="156">
        <v>156</v>
      </c>
      <c r="T27" s="156">
        <v>934</v>
      </c>
      <c r="U27" s="114">
        <f t="shared" ref="U27:U28" si="26">S27*0.25</f>
        <v>39</v>
      </c>
      <c r="V27" s="114">
        <f t="shared" ref="V27:V28" si="27">T27*0.25</f>
        <v>233.5</v>
      </c>
      <c r="W27" s="115">
        <f t="shared" ref="W27:W36" si="28">U27/V27</f>
        <v>0.1670235546038544</v>
      </c>
      <c r="X27" s="200">
        <v>3.5961668022628502E-4</v>
      </c>
      <c r="Y27" s="200">
        <v>2.4093427574034001E-4</v>
      </c>
      <c r="Z27" s="116">
        <f t="shared" si="7"/>
        <v>1.4025050528825116E-2</v>
      </c>
      <c r="AA27" s="117">
        <f t="shared" si="8"/>
        <v>5.6258153385369394E-2</v>
      </c>
      <c r="AB27" s="117">
        <f t="shared" si="9"/>
        <v>7.0283203914194514E-2</v>
      </c>
      <c r="AC27" s="116">
        <f t="shared" si="10"/>
        <v>6.1261420709908108E-2</v>
      </c>
      <c r="AD27" s="116">
        <v>6.7000000000000004E-2</v>
      </c>
      <c r="AE27" s="116">
        <f t="shared" si="11"/>
        <v>0.24573561398729352</v>
      </c>
      <c r="AF27" s="264">
        <f t="shared" si="18"/>
        <v>0.31273561398729355</v>
      </c>
      <c r="AG27" s="119">
        <f t="shared" si="12"/>
        <v>61.152000000000001</v>
      </c>
      <c r="AH27" s="119">
        <f t="shared" si="13"/>
        <v>0.51140700874426603</v>
      </c>
      <c r="AI27" s="119">
        <f t="shared" si="14"/>
        <v>82.992000000000004</v>
      </c>
      <c r="AJ27" s="118">
        <f t="shared" si="15"/>
        <v>61.464735613987294</v>
      </c>
      <c r="AK27" s="120">
        <f t="shared" si="16"/>
        <v>83.304735613987305</v>
      </c>
      <c r="AL27" s="118">
        <f t="shared" si="17"/>
        <v>1.5702832039141945</v>
      </c>
    </row>
    <row r="28" spans="1:38" ht="15.5" customHeight="1" x14ac:dyDescent="0.2">
      <c r="A28" s="101" t="s">
        <v>473</v>
      </c>
      <c r="B28" s="157" t="s">
        <v>367</v>
      </c>
      <c r="C28" s="145" t="s">
        <v>368</v>
      </c>
      <c r="D28" s="145" t="s">
        <v>369</v>
      </c>
      <c r="E28" s="121">
        <v>37.416058</v>
      </c>
      <c r="F28" s="122">
        <v>140.995227</v>
      </c>
      <c r="G28" s="123">
        <v>7</v>
      </c>
      <c r="H28" s="146" t="s">
        <v>495</v>
      </c>
      <c r="I28" s="146">
        <v>19</v>
      </c>
      <c r="J28" s="179">
        <v>40</v>
      </c>
      <c r="K28" s="178">
        <v>40</v>
      </c>
      <c r="L28" s="109">
        <v>42309</v>
      </c>
      <c r="M28" s="110" t="s">
        <v>370</v>
      </c>
      <c r="N28" s="110">
        <v>26</v>
      </c>
      <c r="O28" s="112">
        <f t="shared" si="25"/>
        <v>4368</v>
      </c>
      <c r="P28" s="201">
        <v>21.2</v>
      </c>
      <c r="Q28" s="132">
        <v>34</v>
      </c>
      <c r="R28" s="132"/>
      <c r="S28" s="156">
        <v>906</v>
      </c>
      <c r="T28" s="156">
        <v>5360</v>
      </c>
      <c r="U28" s="114">
        <f t="shared" si="26"/>
        <v>226.5</v>
      </c>
      <c r="V28" s="114">
        <f t="shared" si="27"/>
        <v>1340</v>
      </c>
      <c r="W28" s="115">
        <f t="shared" si="28"/>
        <v>0.16902985074626867</v>
      </c>
      <c r="X28" s="200">
        <v>3.5961668022628502E-4</v>
      </c>
      <c r="Y28" s="200">
        <v>2.4093427574034001E-4</v>
      </c>
      <c r="Z28" s="116">
        <f t="shared" si="7"/>
        <v>8.145317807125356E-2</v>
      </c>
      <c r="AA28" s="117">
        <f t="shared" si="8"/>
        <v>0.3228519294920556</v>
      </c>
      <c r="AB28" s="117">
        <f t="shared" si="9"/>
        <v>0.40430510756330917</v>
      </c>
      <c r="AC28" s="116">
        <f t="shared" si="10"/>
        <v>0.35578748181523556</v>
      </c>
      <c r="AD28" s="116">
        <v>0.38500000000000001</v>
      </c>
      <c r="AE28" s="116">
        <f t="shared" si="11"/>
        <v>1.4102172280212988</v>
      </c>
      <c r="AF28" s="264">
        <f t="shared" si="18"/>
        <v>1.7952172280212988</v>
      </c>
      <c r="AG28" s="119">
        <f t="shared" si="12"/>
        <v>174.72</v>
      </c>
      <c r="AH28" s="119">
        <f t="shared" si="13"/>
        <v>1.0274823878327031</v>
      </c>
      <c r="AI28" s="119">
        <f t="shared" si="14"/>
        <v>174.72</v>
      </c>
      <c r="AJ28" s="118">
        <f t="shared" si="15"/>
        <v>176.5152172280213</v>
      </c>
      <c r="AK28" s="120">
        <f t="shared" si="16"/>
        <v>176.5152172280213</v>
      </c>
      <c r="AL28" s="118">
        <f t="shared" si="17"/>
        <v>7.4043051075633093</v>
      </c>
    </row>
    <row r="29" spans="1:38" ht="14" customHeight="1" x14ac:dyDescent="0.2">
      <c r="A29" s="148" t="s">
        <v>498</v>
      </c>
      <c r="B29" s="158" t="s">
        <v>371</v>
      </c>
      <c r="C29" s="145" t="s">
        <v>359</v>
      </c>
      <c r="D29" s="145" t="s">
        <v>483</v>
      </c>
      <c r="E29" s="121">
        <v>37.408318000000001</v>
      </c>
      <c r="F29" s="122">
        <v>140.95201499999999</v>
      </c>
      <c r="G29" s="126">
        <v>1.5</v>
      </c>
      <c r="H29" s="133" t="s">
        <v>489</v>
      </c>
      <c r="I29" s="133" t="s">
        <v>495</v>
      </c>
      <c r="J29" s="133">
        <v>19</v>
      </c>
      <c r="K29" s="108">
        <v>14</v>
      </c>
      <c r="L29" s="139" t="s">
        <v>496</v>
      </c>
      <c r="M29" s="147" t="s">
        <v>356</v>
      </c>
      <c r="N29" s="110">
        <v>220</v>
      </c>
      <c r="O29" s="112">
        <f t="shared" si="25"/>
        <v>36960</v>
      </c>
      <c r="P29" s="201">
        <v>88.5</v>
      </c>
      <c r="Q29" s="132" t="s">
        <v>510</v>
      </c>
      <c r="R29" s="132"/>
      <c r="S29" s="156" t="s">
        <v>471</v>
      </c>
      <c r="T29" s="159" t="s">
        <v>471</v>
      </c>
      <c r="U29" s="160">
        <f>V29*W29</f>
        <v>424.08</v>
      </c>
      <c r="V29" s="161">
        <v>2356</v>
      </c>
      <c r="W29" s="115">
        <v>0.18</v>
      </c>
      <c r="X29" s="200">
        <v>5.0761245862667001E-4</v>
      </c>
      <c r="Y29" s="200">
        <v>2.9533788015410699E-4</v>
      </c>
      <c r="Z29" s="116">
        <f t="shared" si="7"/>
        <v>0.21526829145439821</v>
      </c>
      <c r="AA29" s="117">
        <f t="shared" si="8"/>
        <v>0.69581604564307609</v>
      </c>
      <c r="AB29" s="117">
        <f t="shared" si="9"/>
        <v>0.91108433709747427</v>
      </c>
      <c r="AC29" s="116">
        <f t="shared" si="10"/>
        <v>7.9563160521545582</v>
      </c>
      <c r="AD29" s="116">
        <v>17.225999999999999</v>
      </c>
      <c r="AE29" s="116">
        <f t="shared" si="11"/>
        <v>25.717361046968094</v>
      </c>
      <c r="AF29" s="264">
        <f t="shared" si="18"/>
        <v>42.943361046968093</v>
      </c>
      <c r="AG29" s="119">
        <f t="shared" si="12"/>
        <v>517.44000000000005</v>
      </c>
      <c r="AH29" s="119">
        <f t="shared" si="13"/>
        <v>8.2991962443893197</v>
      </c>
      <c r="AI29" s="119">
        <f t="shared" si="14"/>
        <v>702.24</v>
      </c>
      <c r="AJ29" s="118">
        <f t="shared" si="15"/>
        <v>560.38336104696816</v>
      </c>
      <c r="AK29" s="120">
        <f t="shared" si="16"/>
        <v>745.18336104696812</v>
      </c>
      <c r="AL29" s="118">
        <f t="shared" si="17"/>
        <v>2.4110843370974742</v>
      </c>
    </row>
    <row r="30" spans="1:38" ht="15.5" customHeight="1" x14ac:dyDescent="0.2">
      <c r="A30" s="101" t="s">
        <v>473</v>
      </c>
      <c r="B30" s="154" t="s">
        <v>372</v>
      </c>
      <c r="C30" s="155" t="s">
        <v>368</v>
      </c>
      <c r="D30" s="145" t="s">
        <v>373</v>
      </c>
      <c r="E30" s="121">
        <v>37.399016000000003</v>
      </c>
      <c r="F30" s="122">
        <v>140.97198299999999</v>
      </c>
      <c r="G30" s="126">
        <v>1.5</v>
      </c>
      <c r="H30" s="129" t="s">
        <v>488</v>
      </c>
      <c r="I30" s="129" t="s">
        <v>489</v>
      </c>
      <c r="J30" s="129">
        <v>9.5</v>
      </c>
      <c r="K30" s="130">
        <v>6.6</v>
      </c>
      <c r="L30" s="109">
        <v>41944</v>
      </c>
      <c r="M30" s="147" t="s">
        <v>355</v>
      </c>
      <c r="N30" s="147">
        <v>87</v>
      </c>
      <c r="O30" s="112">
        <f t="shared" si="25"/>
        <v>14616</v>
      </c>
      <c r="P30" s="201">
        <v>40.200000000000003</v>
      </c>
      <c r="Q30" s="113" t="s">
        <v>466</v>
      </c>
      <c r="R30" s="113" t="s">
        <v>45</v>
      </c>
      <c r="S30" s="114">
        <v>751.7</v>
      </c>
      <c r="T30" s="114">
        <v>4543.8999999999996</v>
      </c>
      <c r="U30" s="114">
        <f t="shared" ref="U30:U32" si="29">S30*0.25</f>
        <v>187.92500000000001</v>
      </c>
      <c r="V30" s="114">
        <f t="shared" ref="V30:V32" si="30">T30*0.25</f>
        <v>1135.9749999999999</v>
      </c>
      <c r="W30" s="115">
        <f t="shared" si="28"/>
        <v>0.16543057725742205</v>
      </c>
      <c r="X30" s="200">
        <v>4.7119091619184003E-4</v>
      </c>
      <c r="Y30" s="200">
        <v>2.8196803083546201E-4</v>
      </c>
      <c r="Z30" s="116">
        <f t="shared" si="7"/>
        <v>8.8548552925351548E-2</v>
      </c>
      <c r="AA30" s="117">
        <f t="shared" si="8"/>
        <v>0.32030863382831393</v>
      </c>
      <c r="AB30" s="117">
        <f t="shared" si="9"/>
        <v>0.40885718675366545</v>
      </c>
      <c r="AC30" s="116">
        <f t="shared" si="10"/>
        <v>1.2942256495569382</v>
      </c>
      <c r="AD30" s="116">
        <v>1.7270000000000001</v>
      </c>
      <c r="AE30" s="116">
        <f t="shared" si="11"/>
        <v>4.6816309920346368</v>
      </c>
      <c r="AF30" s="264">
        <f t="shared" si="18"/>
        <v>6.4086309920346372</v>
      </c>
      <c r="AG30" s="119">
        <f t="shared" si="12"/>
        <v>96.465599999999995</v>
      </c>
      <c r="AH30" s="119">
        <f t="shared" si="13"/>
        <v>6.6434366157828677</v>
      </c>
      <c r="AI30" s="119">
        <f t="shared" si="14"/>
        <v>138.852</v>
      </c>
      <c r="AJ30" s="118">
        <f t="shared" si="15"/>
        <v>102.87423099203463</v>
      </c>
      <c r="AK30" s="120">
        <f t="shared" si="16"/>
        <v>145.26063099203463</v>
      </c>
      <c r="AL30" s="118">
        <f t="shared" si="17"/>
        <v>1.9088571867536654</v>
      </c>
    </row>
    <row r="31" spans="1:38" ht="14" customHeight="1" x14ac:dyDescent="0.2">
      <c r="A31" s="101" t="s">
        <v>473</v>
      </c>
      <c r="B31" s="154" t="s">
        <v>374</v>
      </c>
      <c r="C31" s="145" t="s">
        <v>368</v>
      </c>
      <c r="D31" s="145" t="s">
        <v>375</v>
      </c>
      <c r="E31" s="121">
        <v>37.384897000000002</v>
      </c>
      <c r="F31" s="122">
        <v>141.00996499999999</v>
      </c>
      <c r="G31" s="123">
        <v>3</v>
      </c>
      <c r="H31" s="108" t="s">
        <v>489</v>
      </c>
      <c r="I31" s="108" t="s">
        <v>489</v>
      </c>
      <c r="J31" s="127">
        <v>9.5</v>
      </c>
      <c r="K31" s="130">
        <v>6.6</v>
      </c>
      <c r="L31" s="109">
        <v>42309</v>
      </c>
      <c r="M31" s="147" t="s">
        <v>376</v>
      </c>
      <c r="N31" s="147">
        <v>26</v>
      </c>
      <c r="O31" s="112">
        <f t="shared" si="25"/>
        <v>4368</v>
      </c>
      <c r="P31" s="201">
        <v>20.2</v>
      </c>
      <c r="Q31" s="113" t="s">
        <v>466</v>
      </c>
      <c r="R31" s="113" t="s">
        <v>45</v>
      </c>
      <c r="S31" s="114">
        <v>1680</v>
      </c>
      <c r="T31" s="114">
        <v>10034</v>
      </c>
      <c r="U31" s="114">
        <f t="shared" si="29"/>
        <v>420</v>
      </c>
      <c r="V31" s="114">
        <f t="shared" si="30"/>
        <v>2508.5</v>
      </c>
      <c r="W31" s="115">
        <f t="shared" si="28"/>
        <v>0.16743073549930237</v>
      </c>
      <c r="X31" s="200">
        <v>3.5961668022628502E-4</v>
      </c>
      <c r="Y31" s="200">
        <v>2.4093427574034001E-4</v>
      </c>
      <c r="Z31" s="116">
        <f t="shared" si="7"/>
        <v>0.1510390056950397</v>
      </c>
      <c r="AA31" s="117">
        <f t="shared" si="8"/>
        <v>0.60438363069464296</v>
      </c>
      <c r="AB31" s="117">
        <f t="shared" si="9"/>
        <v>0.75542263638968266</v>
      </c>
      <c r="AC31" s="116">
        <f t="shared" si="10"/>
        <v>0.65973837687593329</v>
      </c>
      <c r="AD31" s="116">
        <v>0.71599999999999997</v>
      </c>
      <c r="AE31" s="116">
        <f t="shared" si="11"/>
        <v>2.6399476988742006</v>
      </c>
      <c r="AF31" s="264">
        <f t="shared" si="18"/>
        <v>3.3559476988742007</v>
      </c>
      <c r="AG31" s="119">
        <f t="shared" si="12"/>
        <v>28.828799999999998</v>
      </c>
      <c r="AH31" s="119">
        <f t="shared" si="13"/>
        <v>11.640955221425106</v>
      </c>
      <c r="AI31" s="119">
        <f t="shared" si="14"/>
        <v>41.496000000000002</v>
      </c>
      <c r="AJ31" s="118">
        <f t="shared" si="15"/>
        <v>32.184747698874197</v>
      </c>
      <c r="AK31" s="120">
        <f t="shared" si="16"/>
        <v>44.851947698874206</v>
      </c>
      <c r="AL31" s="118">
        <f t="shared" si="17"/>
        <v>3.755422636389683</v>
      </c>
    </row>
    <row r="32" spans="1:38" ht="11" customHeight="1" x14ac:dyDescent="0.2">
      <c r="A32" s="101" t="s">
        <v>473</v>
      </c>
      <c r="B32" s="154" t="s">
        <v>377</v>
      </c>
      <c r="C32" s="162" t="s">
        <v>365</v>
      </c>
      <c r="D32" s="145" t="s">
        <v>378</v>
      </c>
      <c r="E32" s="121">
        <v>37.384897000000002</v>
      </c>
      <c r="F32" s="122">
        <v>141.00996499999999</v>
      </c>
      <c r="G32" s="123">
        <v>3</v>
      </c>
      <c r="H32" s="108" t="s">
        <v>489</v>
      </c>
      <c r="I32" s="108" t="s">
        <v>489</v>
      </c>
      <c r="J32" s="127">
        <v>9.5</v>
      </c>
      <c r="K32" s="130">
        <v>6.6</v>
      </c>
      <c r="L32" s="109">
        <v>42309</v>
      </c>
      <c r="M32" s="147" t="s">
        <v>356</v>
      </c>
      <c r="N32" s="147">
        <v>26</v>
      </c>
      <c r="O32" s="112">
        <f t="shared" ref="O32:O37" si="31">N32*7*24</f>
        <v>4368</v>
      </c>
      <c r="P32" s="201">
        <v>16.7</v>
      </c>
      <c r="Q32" s="113" t="s">
        <v>466</v>
      </c>
      <c r="R32" s="113" t="s">
        <v>45</v>
      </c>
      <c r="S32" s="114">
        <v>2045.3</v>
      </c>
      <c r="T32" s="114">
        <v>12178</v>
      </c>
      <c r="U32" s="114">
        <f t="shared" si="29"/>
        <v>511.32499999999999</v>
      </c>
      <c r="V32" s="114">
        <f t="shared" si="30"/>
        <v>3044.5</v>
      </c>
      <c r="W32" s="115">
        <f t="shared" si="28"/>
        <v>0.16795040236492034</v>
      </c>
      <c r="X32" s="200">
        <v>3.5961668022628502E-4</v>
      </c>
      <c r="Y32" s="200">
        <v>2.4093427574034001E-4</v>
      </c>
      <c r="Z32" s="116">
        <f t="shared" si="7"/>
        <v>0.18388099901670518</v>
      </c>
      <c r="AA32" s="117">
        <f t="shared" si="8"/>
        <v>0.73352440249146511</v>
      </c>
      <c r="AB32" s="117">
        <f t="shared" si="9"/>
        <v>0.91740540150817029</v>
      </c>
      <c r="AC32" s="116">
        <f t="shared" si="10"/>
        <v>0.80319220370496824</v>
      </c>
      <c r="AD32" s="116">
        <v>0.872</v>
      </c>
      <c r="AE32" s="116">
        <f t="shared" si="11"/>
        <v>3.2040345900827196</v>
      </c>
      <c r="AF32" s="264">
        <f t="shared" si="18"/>
        <v>4.0760345900827195</v>
      </c>
      <c r="AG32" s="119">
        <f t="shared" si="12"/>
        <v>28.828799999999998</v>
      </c>
      <c r="AH32" s="119">
        <f t="shared" si="13"/>
        <v>14.138759123108557</v>
      </c>
      <c r="AI32" s="119">
        <f t="shared" si="14"/>
        <v>41.496000000000002</v>
      </c>
      <c r="AJ32" s="118">
        <f t="shared" si="15"/>
        <v>32.904834590082714</v>
      </c>
      <c r="AK32" s="120">
        <f t="shared" si="16"/>
        <v>45.572034590082723</v>
      </c>
      <c r="AL32" s="118">
        <f t="shared" si="17"/>
        <v>3.9174054015081703</v>
      </c>
    </row>
    <row r="33" spans="1:43" ht="14" customHeight="1" x14ac:dyDescent="0.2">
      <c r="A33" s="148" t="s">
        <v>499</v>
      </c>
      <c r="B33" s="163" t="s">
        <v>379</v>
      </c>
      <c r="C33" s="162" t="s">
        <v>368</v>
      </c>
      <c r="D33" s="145" t="s">
        <v>369</v>
      </c>
      <c r="E33" s="121">
        <v>37.414073999999999</v>
      </c>
      <c r="F33" s="122">
        <v>140.98737299999999</v>
      </c>
      <c r="G33" s="123">
        <v>3</v>
      </c>
      <c r="H33" s="146" t="s">
        <v>495</v>
      </c>
      <c r="I33" s="146">
        <v>19</v>
      </c>
      <c r="J33" s="179">
        <v>40</v>
      </c>
      <c r="K33" s="178">
        <v>40</v>
      </c>
      <c r="L33" s="109">
        <v>41944</v>
      </c>
      <c r="M33" s="147" t="s">
        <v>355</v>
      </c>
      <c r="N33" s="147">
        <v>87</v>
      </c>
      <c r="O33" s="112">
        <f t="shared" si="31"/>
        <v>14616</v>
      </c>
      <c r="P33" s="201">
        <v>55.1</v>
      </c>
      <c r="Q33" s="164" t="s">
        <v>516</v>
      </c>
      <c r="R33" s="132"/>
      <c r="S33" s="132" t="s">
        <v>471</v>
      </c>
      <c r="T33" s="165" t="s">
        <v>471</v>
      </c>
      <c r="U33" s="143">
        <v>590</v>
      </c>
      <c r="V33" s="143">
        <v>3153</v>
      </c>
      <c r="W33" s="115">
        <v>0.18</v>
      </c>
      <c r="X33" s="200">
        <v>4.7119091619184003E-4</v>
      </c>
      <c r="Y33" s="200">
        <v>2.8196803083546201E-4</v>
      </c>
      <c r="Z33" s="116">
        <f t="shared" si="7"/>
        <v>0.27800264055318563</v>
      </c>
      <c r="AA33" s="117">
        <f t="shared" si="8"/>
        <v>0.88904520122421171</v>
      </c>
      <c r="AB33" s="117">
        <f t="shared" si="9"/>
        <v>1.1670478417773973</v>
      </c>
      <c r="AC33" s="116">
        <f t="shared" si="10"/>
        <v>4.0632865943253611</v>
      </c>
      <c r="AD33" s="116">
        <v>5.41</v>
      </c>
      <c r="AE33" s="116">
        <f t="shared" si="11"/>
        <v>12.994284661093079</v>
      </c>
      <c r="AF33" s="264">
        <f t="shared" si="18"/>
        <v>18.404284661093079</v>
      </c>
      <c r="AG33" s="119">
        <f t="shared" si="12"/>
        <v>584.64</v>
      </c>
      <c r="AH33" s="119">
        <f t="shared" si="13"/>
        <v>3.1479687775542353</v>
      </c>
      <c r="AI33" s="119">
        <f t="shared" si="14"/>
        <v>584.64</v>
      </c>
      <c r="AJ33" s="118">
        <f t="shared" si="15"/>
        <v>603.04428466109312</v>
      </c>
      <c r="AK33" s="120">
        <f t="shared" si="16"/>
        <v>603.04428466109312</v>
      </c>
      <c r="AL33" s="118">
        <f t="shared" si="17"/>
        <v>4.1670478417773973</v>
      </c>
    </row>
    <row r="34" spans="1:43" x14ac:dyDescent="0.2">
      <c r="A34" s="101" t="s">
        <v>473</v>
      </c>
      <c r="B34" s="166" t="s">
        <v>339</v>
      </c>
      <c r="C34" s="162" t="s">
        <v>359</v>
      </c>
      <c r="D34" s="145" t="s">
        <v>380</v>
      </c>
      <c r="E34" s="121">
        <v>37.400027999999999</v>
      </c>
      <c r="F34" s="122">
        <v>140.98924400000001</v>
      </c>
      <c r="G34" s="123">
        <v>3</v>
      </c>
      <c r="H34" s="129" t="s">
        <v>488</v>
      </c>
      <c r="I34" s="129" t="s">
        <v>489</v>
      </c>
      <c r="J34" s="127">
        <v>9.5</v>
      </c>
      <c r="K34" s="130">
        <v>6.6</v>
      </c>
      <c r="L34" s="109">
        <v>42309</v>
      </c>
      <c r="M34" s="147" t="s">
        <v>357</v>
      </c>
      <c r="N34" s="147">
        <v>26</v>
      </c>
      <c r="O34" s="112">
        <f t="shared" si="31"/>
        <v>4368</v>
      </c>
      <c r="P34" s="201">
        <v>29</v>
      </c>
      <c r="Q34" s="113" t="s">
        <v>466</v>
      </c>
      <c r="R34" s="132" t="s">
        <v>363</v>
      </c>
      <c r="S34" s="132">
        <v>525</v>
      </c>
      <c r="T34" s="161">
        <v>3159</v>
      </c>
      <c r="U34" s="114">
        <f t="shared" ref="U34:U36" si="32">S34*0.25</f>
        <v>131.25</v>
      </c>
      <c r="V34" s="114">
        <f t="shared" ref="V34:V36" si="33">T34*0.25</f>
        <v>789.75</v>
      </c>
      <c r="W34" s="115">
        <f t="shared" si="28"/>
        <v>0.16619183285849953</v>
      </c>
      <c r="X34" s="200">
        <v>3.5961668022628502E-4</v>
      </c>
      <c r="Y34" s="200">
        <v>2.4093427574034001E-4</v>
      </c>
      <c r="Z34" s="116">
        <f t="shared" si="7"/>
        <v>4.7199689279699905E-2</v>
      </c>
      <c r="AA34" s="117">
        <f t="shared" si="8"/>
        <v>0.19027784426593353</v>
      </c>
      <c r="AB34" s="117">
        <f t="shared" si="9"/>
        <v>0.23747753354563345</v>
      </c>
      <c r="AC34" s="116">
        <f t="shared" si="10"/>
        <v>0.20616824277372919</v>
      </c>
      <c r="AD34" s="116">
        <v>0.223</v>
      </c>
      <c r="AE34" s="116">
        <f t="shared" si="11"/>
        <v>0.83113362375359756</v>
      </c>
      <c r="AF34" s="264">
        <f t="shared" si="18"/>
        <v>1.0541336237535976</v>
      </c>
      <c r="AG34" s="119">
        <f t="shared" si="12"/>
        <v>28.828799999999998</v>
      </c>
      <c r="AH34" s="119">
        <f t="shared" si="13"/>
        <v>3.6565296639249558</v>
      </c>
      <c r="AI34" s="119">
        <f t="shared" si="14"/>
        <v>41.496000000000002</v>
      </c>
      <c r="AJ34" s="118">
        <f t="shared" si="15"/>
        <v>29.882933623753594</v>
      </c>
      <c r="AK34" s="120">
        <f t="shared" si="16"/>
        <v>42.550133623753602</v>
      </c>
      <c r="AL34" s="118">
        <f t="shared" si="17"/>
        <v>3.2374775335456336</v>
      </c>
    </row>
    <row r="35" spans="1:43" x14ac:dyDescent="0.2">
      <c r="A35" s="101" t="s">
        <v>473</v>
      </c>
      <c r="B35" s="166" t="s">
        <v>347</v>
      </c>
      <c r="C35" s="162" t="s">
        <v>368</v>
      </c>
      <c r="D35" s="145" t="s">
        <v>381</v>
      </c>
      <c r="E35" s="121">
        <v>37.390051</v>
      </c>
      <c r="F35" s="122">
        <v>140.99883399999999</v>
      </c>
      <c r="G35" s="123">
        <v>3</v>
      </c>
      <c r="H35" s="108" t="s">
        <v>489</v>
      </c>
      <c r="I35" s="108" t="s">
        <v>489</v>
      </c>
      <c r="J35" s="127">
        <v>9.5</v>
      </c>
      <c r="K35" s="130">
        <v>6.6</v>
      </c>
      <c r="L35" s="109">
        <v>42309</v>
      </c>
      <c r="M35" s="147" t="s">
        <v>355</v>
      </c>
      <c r="N35" s="147">
        <v>46</v>
      </c>
      <c r="O35" s="112">
        <f t="shared" si="31"/>
        <v>7728</v>
      </c>
      <c r="P35" s="201">
        <v>43.9</v>
      </c>
      <c r="Q35" s="113" t="s">
        <v>466</v>
      </c>
      <c r="R35" s="113" t="s">
        <v>45</v>
      </c>
      <c r="S35" s="114">
        <v>1863.3</v>
      </c>
      <c r="T35" s="114">
        <v>11099</v>
      </c>
      <c r="U35" s="114">
        <f t="shared" si="32"/>
        <v>465.82499999999999</v>
      </c>
      <c r="V35" s="114">
        <f t="shared" si="33"/>
        <v>2774.75</v>
      </c>
      <c r="W35" s="115">
        <f t="shared" si="28"/>
        <v>0.16787998918821515</v>
      </c>
      <c r="X35" s="200">
        <v>4.7119091619184003E-4</v>
      </c>
      <c r="Y35" s="200">
        <v>2.8196803083546201E-4</v>
      </c>
      <c r="Z35" s="116">
        <f t="shared" si="7"/>
        <v>0.21949250853506388</v>
      </c>
      <c r="AA35" s="117">
        <f t="shared" si="8"/>
        <v>0.78239079356069818</v>
      </c>
      <c r="AB35" s="117">
        <f t="shared" si="9"/>
        <v>1.001883302095762</v>
      </c>
      <c r="AC35" s="116">
        <f t="shared" si="10"/>
        <v>1.6962381059589737</v>
      </c>
      <c r="AD35" s="116">
        <v>1.968</v>
      </c>
      <c r="AE35" s="116">
        <f t="shared" si="11"/>
        <v>6.0463160526370761</v>
      </c>
      <c r="AF35" s="264">
        <f t="shared" si="18"/>
        <v>8.014316052637076</v>
      </c>
      <c r="AG35" s="119">
        <f t="shared" si="12"/>
        <v>51.004799999999996</v>
      </c>
      <c r="AH35" s="119">
        <f t="shared" si="13"/>
        <v>15.712866343240394</v>
      </c>
      <c r="AI35" s="119">
        <f t="shared" si="14"/>
        <v>73.415999999999997</v>
      </c>
      <c r="AJ35" s="118">
        <f t="shared" si="15"/>
        <v>59.019116052637074</v>
      </c>
      <c r="AK35" s="120">
        <f t="shared" si="16"/>
        <v>81.430316052637068</v>
      </c>
      <c r="AL35" s="118">
        <f t="shared" si="17"/>
        <v>4.001883302095762</v>
      </c>
    </row>
    <row r="36" spans="1:43" x14ac:dyDescent="0.2">
      <c r="A36" s="101" t="s">
        <v>473</v>
      </c>
      <c r="B36" s="166" t="s">
        <v>382</v>
      </c>
      <c r="C36" s="162" t="s">
        <v>368</v>
      </c>
      <c r="D36" s="145" t="s">
        <v>373</v>
      </c>
      <c r="E36" s="121">
        <v>37.399016000000003</v>
      </c>
      <c r="F36" s="122">
        <v>140.97198299999999</v>
      </c>
      <c r="G36" s="123">
        <v>1</v>
      </c>
      <c r="H36" s="129" t="s">
        <v>488</v>
      </c>
      <c r="I36" s="129" t="s">
        <v>489</v>
      </c>
      <c r="J36" s="127">
        <v>9.5</v>
      </c>
      <c r="K36" s="130">
        <v>6.6</v>
      </c>
      <c r="L36" s="109">
        <v>42309</v>
      </c>
      <c r="M36" s="147" t="s">
        <v>357</v>
      </c>
      <c r="N36" s="147">
        <v>26</v>
      </c>
      <c r="O36" s="112">
        <f t="shared" si="31"/>
        <v>4368</v>
      </c>
      <c r="P36" s="201">
        <v>31.6</v>
      </c>
      <c r="Q36" s="113" t="s">
        <v>466</v>
      </c>
      <c r="R36" s="113" t="s">
        <v>45</v>
      </c>
      <c r="S36" s="132">
        <v>193</v>
      </c>
      <c r="T36" s="132">
        <v>1157</v>
      </c>
      <c r="U36" s="114">
        <f t="shared" si="32"/>
        <v>48.25</v>
      </c>
      <c r="V36" s="114">
        <f t="shared" si="33"/>
        <v>289.25</v>
      </c>
      <c r="W36" s="115">
        <f t="shared" si="28"/>
        <v>0.16681071737251513</v>
      </c>
      <c r="X36" s="200">
        <v>3.5961668022628502E-4</v>
      </c>
      <c r="Y36" s="200">
        <v>2.4093427574034001E-4</v>
      </c>
      <c r="Z36" s="116">
        <f t="shared" si="7"/>
        <v>1.735150482091825E-2</v>
      </c>
      <c r="AA36" s="117">
        <f t="shared" si="8"/>
        <v>6.9690239257893347E-2</v>
      </c>
      <c r="AB36" s="117">
        <f t="shared" si="9"/>
        <v>8.70417440788116E-2</v>
      </c>
      <c r="AC36" s="116">
        <f t="shared" si="10"/>
        <v>7.5791373057770908E-2</v>
      </c>
      <c r="AD36" s="116">
        <v>8.3000000000000004E-2</v>
      </c>
      <c r="AE36" s="116">
        <f t="shared" si="11"/>
        <v>0.30440696507847814</v>
      </c>
      <c r="AF36" s="264">
        <f t="shared" si="18"/>
        <v>0.38740696507847816</v>
      </c>
      <c r="AG36" s="119">
        <f t="shared" si="12"/>
        <v>28.828799999999998</v>
      </c>
      <c r="AH36" s="119">
        <f t="shared" si="13"/>
        <v>1.3438192539352252</v>
      </c>
      <c r="AI36" s="119">
        <f t="shared" si="14"/>
        <v>41.496000000000002</v>
      </c>
      <c r="AJ36" s="118">
        <f t="shared" si="15"/>
        <v>29.216206965078477</v>
      </c>
      <c r="AK36" s="120">
        <f t="shared" si="16"/>
        <v>41.883406965078478</v>
      </c>
      <c r="AL36" s="118">
        <f t="shared" si="17"/>
        <v>1.0870417440788116</v>
      </c>
    </row>
    <row r="37" spans="1:43" x14ac:dyDescent="0.2">
      <c r="A37" s="148" t="s">
        <v>500</v>
      </c>
      <c r="B37" s="167" t="s">
        <v>545</v>
      </c>
      <c r="C37" s="162" t="s">
        <v>365</v>
      </c>
      <c r="D37" s="145" t="s">
        <v>384</v>
      </c>
      <c r="E37" s="121">
        <v>37.429225000000002</v>
      </c>
      <c r="F37" s="122">
        <v>141.00947600000001</v>
      </c>
      <c r="G37" s="123">
        <v>14</v>
      </c>
      <c r="H37" s="146">
        <v>19</v>
      </c>
      <c r="I37" s="146">
        <v>19</v>
      </c>
      <c r="J37" s="179">
        <v>40</v>
      </c>
      <c r="K37" s="178">
        <v>40</v>
      </c>
      <c r="L37" s="109">
        <v>41944</v>
      </c>
      <c r="M37" s="147" t="s">
        <v>355</v>
      </c>
      <c r="N37" s="147">
        <v>62</v>
      </c>
      <c r="O37" s="112">
        <f t="shared" si="31"/>
        <v>10416</v>
      </c>
      <c r="P37" s="201">
        <v>39.200000000000003</v>
      </c>
      <c r="Q37" s="131" t="s">
        <v>516</v>
      </c>
      <c r="R37" s="132"/>
      <c r="S37" s="132"/>
      <c r="T37" s="132"/>
      <c r="U37" s="132"/>
      <c r="V37" s="132"/>
      <c r="W37" s="132"/>
      <c r="X37" s="200">
        <v>4.7119091619184003E-4</v>
      </c>
      <c r="Y37" s="200">
        <v>2.8196803083546201E-4</v>
      </c>
      <c r="Z37" s="116">
        <f t="shared" si="7"/>
        <v>0</v>
      </c>
      <c r="AA37" s="117">
        <f t="shared" si="8"/>
        <v>0</v>
      </c>
      <c r="AB37" s="117">
        <f t="shared" si="9"/>
        <v>0</v>
      </c>
      <c r="AC37" s="116">
        <f t="shared" si="10"/>
        <v>0</v>
      </c>
      <c r="AD37" s="116">
        <v>0</v>
      </c>
      <c r="AE37" s="116">
        <f t="shared" si="11"/>
        <v>0</v>
      </c>
      <c r="AF37" s="264">
        <f t="shared" si="18"/>
        <v>0</v>
      </c>
      <c r="AG37" s="119">
        <f t="shared" si="12"/>
        <v>416.64</v>
      </c>
      <c r="AH37" s="119">
        <f t="shared" si="13"/>
        <v>0</v>
      </c>
      <c r="AI37" s="119">
        <f t="shared" si="14"/>
        <v>416.64</v>
      </c>
      <c r="AJ37" s="118">
        <f t="shared" si="15"/>
        <v>416.64</v>
      </c>
      <c r="AK37" s="120">
        <f t="shared" si="16"/>
        <v>416.64</v>
      </c>
      <c r="AL37" s="118">
        <f t="shared" si="17"/>
        <v>14</v>
      </c>
    </row>
    <row r="38" spans="1:43" x14ac:dyDescent="0.2">
      <c r="A38" s="101" t="s">
        <v>473</v>
      </c>
      <c r="B38" s="168" t="s">
        <v>385</v>
      </c>
      <c r="C38" s="162" t="s">
        <v>368</v>
      </c>
      <c r="D38" s="145" t="s">
        <v>369</v>
      </c>
      <c r="E38" s="121">
        <v>37.414073999999999</v>
      </c>
      <c r="F38" s="122">
        <v>140.98737299999999</v>
      </c>
      <c r="G38" s="123">
        <v>7</v>
      </c>
      <c r="H38" s="133" t="s">
        <v>495</v>
      </c>
      <c r="I38" s="133" t="s">
        <v>495</v>
      </c>
      <c r="J38" s="133">
        <v>19</v>
      </c>
      <c r="K38" s="108">
        <v>14</v>
      </c>
      <c r="L38" s="109">
        <v>42309</v>
      </c>
      <c r="M38" s="147" t="s">
        <v>386</v>
      </c>
      <c r="N38" s="147">
        <v>48</v>
      </c>
      <c r="O38" s="112">
        <f>N38*7*24</f>
        <v>8064</v>
      </c>
      <c r="P38" s="201">
        <v>48.6</v>
      </c>
      <c r="Q38" s="164" t="s">
        <v>516</v>
      </c>
      <c r="R38" s="132"/>
      <c r="S38" s="165" t="s">
        <v>471</v>
      </c>
      <c r="T38" s="165" t="s">
        <v>471</v>
      </c>
      <c r="U38" s="143">
        <v>590</v>
      </c>
      <c r="V38" s="143">
        <v>3153</v>
      </c>
      <c r="W38" s="115">
        <f t="shared" ref="W38:W44" si="34">U38/V38</f>
        <v>0.1871233745639074</v>
      </c>
      <c r="X38" s="200">
        <v>4.7119091619184003E-4</v>
      </c>
      <c r="Y38" s="200">
        <v>2.8196803083546201E-4</v>
      </c>
      <c r="Z38" s="116">
        <f t="shared" si="7"/>
        <v>0.27800264055318563</v>
      </c>
      <c r="AA38" s="117">
        <f t="shared" si="8"/>
        <v>0.88904520122421171</v>
      </c>
      <c r="AB38" s="117">
        <f t="shared" si="9"/>
        <v>1.1670478417773973</v>
      </c>
      <c r="AC38" s="116">
        <f t="shared" si="10"/>
        <v>2.241813293420889</v>
      </c>
      <c r="AD38" s="116">
        <v>2.617</v>
      </c>
      <c r="AE38" s="116">
        <f t="shared" si="11"/>
        <v>7.1692605026720431</v>
      </c>
      <c r="AF38" s="264">
        <f t="shared" si="18"/>
        <v>9.7862605026720431</v>
      </c>
      <c r="AG38" s="119">
        <f t="shared" si="12"/>
        <v>112.896</v>
      </c>
      <c r="AH38" s="119">
        <f t="shared" si="13"/>
        <v>8.6683855076105818</v>
      </c>
      <c r="AI38" s="119">
        <f t="shared" si="14"/>
        <v>153.21600000000001</v>
      </c>
      <c r="AJ38" s="118">
        <f t="shared" si="15"/>
        <v>122.68226050267205</v>
      </c>
      <c r="AK38" s="120">
        <f t="shared" si="16"/>
        <v>163.00226050267204</v>
      </c>
      <c r="AL38" s="118">
        <f t="shared" si="17"/>
        <v>8.1670478417773964</v>
      </c>
    </row>
    <row r="39" spans="1:43" x14ac:dyDescent="0.2">
      <c r="A39" s="101" t="s">
        <v>473</v>
      </c>
      <c r="B39" s="169" t="s">
        <v>387</v>
      </c>
      <c r="C39" s="162" t="s">
        <v>359</v>
      </c>
      <c r="D39" s="145" t="s">
        <v>381</v>
      </c>
      <c r="E39" s="121">
        <v>37.390051</v>
      </c>
      <c r="F39" s="122">
        <v>140.99883399999999</v>
      </c>
      <c r="G39" s="123">
        <v>3</v>
      </c>
      <c r="H39" s="127" t="s">
        <v>489</v>
      </c>
      <c r="I39" s="127" t="s">
        <v>489</v>
      </c>
      <c r="J39" s="127">
        <v>9.5</v>
      </c>
      <c r="K39" s="130">
        <v>6.6</v>
      </c>
      <c r="L39" s="109">
        <v>42309</v>
      </c>
      <c r="M39" s="147" t="s">
        <v>376</v>
      </c>
      <c r="N39" s="147" t="s">
        <v>388</v>
      </c>
      <c r="O39" s="170">
        <f>23.5*7*24</f>
        <v>3948</v>
      </c>
      <c r="P39" s="201">
        <v>22.1</v>
      </c>
      <c r="Q39" s="113" t="s">
        <v>466</v>
      </c>
      <c r="R39" s="113" t="s">
        <v>45</v>
      </c>
      <c r="S39" s="114">
        <v>2730.1</v>
      </c>
      <c r="T39" s="114">
        <v>16030</v>
      </c>
      <c r="U39" s="114">
        <f t="shared" ref="U39:U48" si="35">S39*0.25</f>
        <v>682.52499999999998</v>
      </c>
      <c r="V39" s="114">
        <f t="shared" ref="V39:V48" si="36">T39*0.25</f>
        <v>4007.5</v>
      </c>
      <c r="W39" s="115">
        <f t="shared" si="34"/>
        <v>0.17031191515907673</v>
      </c>
      <c r="X39" s="200">
        <v>3.5961668022628502E-4</v>
      </c>
      <c r="Y39" s="200">
        <v>2.4093427574034001E-4</v>
      </c>
      <c r="Z39" s="116">
        <f t="shared" si="7"/>
        <v>0.24544737467144517</v>
      </c>
      <c r="AA39" s="117">
        <f t="shared" si="8"/>
        <v>0.96554411002941254</v>
      </c>
      <c r="AB39" s="117">
        <f t="shared" si="9"/>
        <v>1.2109914847008576</v>
      </c>
      <c r="AC39" s="116">
        <f t="shared" si="10"/>
        <v>0.96902623520286557</v>
      </c>
      <c r="AD39" s="116">
        <v>1.0409999999999999</v>
      </c>
      <c r="AE39" s="116">
        <f t="shared" si="11"/>
        <v>3.8119681463961204</v>
      </c>
      <c r="AF39" s="264">
        <f t="shared" si="18"/>
        <v>4.8529681463961207</v>
      </c>
      <c r="AG39" s="119">
        <f t="shared" si="12"/>
        <v>26.056799999999999</v>
      </c>
      <c r="AH39" s="119">
        <f t="shared" si="13"/>
        <v>18.624574569387342</v>
      </c>
      <c r="AI39" s="119">
        <f t="shared" si="14"/>
        <v>37.506</v>
      </c>
      <c r="AJ39" s="118">
        <f t="shared" si="15"/>
        <v>30.909768146396118</v>
      </c>
      <c r="AK39" s="120">
        <f t="shared" si="16"/>
        <v>42.358968146396123</v>
      </c>
      <c r="AL39" s="118">
        <f t="shared" si="17"/>
        <v>4.210991484700858</v>
      </c>
    </row>
    <row r="40" spans="1:43" x14ac:dyDescent="0.2">
      <c r="A40" s="101" t="s">
        <v>473</v>
      </c>
      <c r="B40" s="169" t="s">
        <v>467</v>
      </c>
      <c r="C40" s="162" t="s">
        <v>365</v>
      </c>
      <c r="D40" s="145" t="s">
        <v>389</v>
      </c>
      <c r="E40" s="121">
        <v>37.408543999999999</v>
      </c>
      <c r="F40" s="122">
        <v>140.975109</v>
      </c>
      <c r="G40" s="126">
        <v>1.5</v>
      </c>
      <c r="H40" s="129" t="s">
        <v>492</v>
      </c>
      <c r="I40" s="129" t="s">
        <v>488</v>
      </c>
      <c r="J40" s="129">
        <v>3.8</v>
      </c>
      <c r="K40" s="130">
        <v>2.8</v>
      </c>
      <c r="L40" s="109">
        <v>42309</v>
      </c>
      <c r="M40" s="147" t="s">
        <v>356</v>
      </c>
      <c r="N40" s="147">
        <v>26</v>
      </c>
      <c r="O40" s="112">
        <f t="shared" ref="O40:O41" si="37">N40*7*24</f>
        <v>4368</v>
      </c>
      <c r="P40" s="201">
        <v>25.5</v>
      </c>
      <c r="Q40" s="113" t="s">
        <v>466</v>
      </c>
      <c r="R40" s="113" t="s">
        <v>45</v>
      </c>
      <c r="S40" s="114">
        <v>2510.1</v>
      </c>
      <c r="T40" s="114">
        <v>14275</v>
      </c>
      <c r="U40" s="114">
        <f t="shared" si="35"/>
        <v>627.52499999999998</v>
      </c>
      <c r="V40" s="114">
        <f t="shared" si="36"/>
        <v>3568.75</v>
      </c>
      <c r="W40" s="115">
        <f t="shared" si="34"/>
        <v>0.17583887915936952</v>
      </c>
      <c r="X40" s="200">
        <v>3.5961668022628502E-4</v>
      </c>
      <c r="Y40" s="200">
        <v>2.4093427574034001E-4</v>
      </c>
      <c r="Z40" s="116">
        <f t="shared" si="7"/>
        <v>0.22566845725899951</v>
      </c>
      <c r="AA40" s="117">
        <f t="shared" si="8"/>
        <v>0.85983419654833837</v>
      </c>
      <c r="AB40" s="117">
        <f t="shared" si="9"/>
        <v>1.0855026538073378</v>
      </c>
      <c r="AC40" s="116">
        <f t="shared" si="10"/>
        <v>0.98571982130730984</v>
      </c>
      <c r="AD40" s="116">
        <v>1.071</v>
      </c>
      <c r="AE40" s="116">
        <f t="shared" si="11"/>
        <v>3.7557557705231419</v>
      </c>
      <c r="AF40" s="264">
        <f t="shared" si="18"/>
        <v>4.8267557705231416</v>
      </c>
      <c r="AG40" s="119">
        <f t="shared" si="12"/>
        <v>12.230399999999999</v>
      </c>
      <c r="AH40" s="119">
        <f t="shared" si="13"/>
        <v>39.465232294308791</v>
      </c>
      <c r="AI40" s="119">
        <f t="shared" si="14"/>
        <v>16.598399999999998</v>
      </c>
      <c r="AJ40" s="118">
        <f t="shared" si="15"/>
        <v>17.057155770523142</v>
      </c>
      <c r="AK40" s="120">
        <f t="shared" si="16"/>
        <v>21.425155770523141</v>
      </c>
      <c r="AL40" s="118">
        <f t="shared" si="17"/>
        <v>2.585502653807338</v>
      </c>
    </row>
    <row r="41" spans="1:43" x14ac:dyDescent="0.2">
      <c r="A41" s="101" t="s">
        <v>473</v>
      </c>
      <c r="B41" s="169" t="s">
        <v>468</v>
      </c>
      <c r="C41" s="162" t="s">
        <v>359</v>
      </c>
      <c r="D41" s="145" t="s">
        <v>390</v>
      </c>
      <c r="E41" s="121">
        <v>37.408543999999999</v>
      </c>
      <c r="F41" s="122">
        <v>140.975109</v>
      </c>
      <c r="G41" s="126">
        <v>1.5</v>
      </c>
      <c r="H41" s="129" t="s">
        <v>492</v>
      </c>
      <c r="I41" s="129" t="s">
        <v>488</v>
      </c>
      <c r="J41" s="129">
        <v>3.8</v>
      </c>
      <c r="K41" s="130">
        <v>2.8</v>
      </c>
      <c r="L41" s="109">
        <v>42309</v>
      </c>
      <c r="M41" s="147" t="s">
        <v>370</v>
      </c>
      <c r="N41" s="147">
        <v>26</v>
      </c>
      <c r="O41" s="112">
        <f t="shared" si="37"/>
        <v>4368</v>
      </c>
      <c r="P41" s="201">
        <v>22.2</v>
      </c>
      <c r="Q41" s="113" t="s">
        <v>466</v>
      </c>
      <c r="R41" s="113" t="s">
        <v>45</v>
      </c>
      <c r="S41" s="114">
        <v>2089.8000000000002</v>
      </c>
      <c r="T41" s="114">
        <v>12500</v>
      </c>
      <c r="U41" s="114">
        <f t="shared" si="35"/>
        <v>522.45000000000005</v>
      </c>
      <c r="V41" s="114">
        <f t="shared" si="36"/>
        <v>3125</v>
      </c>
      <c r="W41" s="115">
        <f t="shared" si="34"/>
        <v>0.16718400000000003</v>
      </c>
      <c r="X41" s="200">
        <v>3.5961668022628502E-4</v>
      </c>
      <c r="Y41" s="200">
        <v>2.4093427574034001E-4</v>
      </c>
      <c r="Z41" s="116">
        <f t="shared" si="7"/>
        <v>0.18788173458422261</v>
      </c>
      <c r="AA41" s="117">
        <f t="shared" si="8"/>
        <v>0.75291961168856247</v>
      </c>
      <c r="AB41" s="117">
        <f t="shared" si="9"/>
        <v>0.94080134627278511</v>
      </c>
      <c r="AC41" s="116">
        <f t="shared" si="10"/>
        <v>0.82066741666388443</v>
      </c>
      <c r="AD41" s="116">
        <v>0.89100000000000001</v>
      </c>
      <c r="AE41" s="116">
        <f t="shared" si="11"/>
        <v>3.2887528638556409</v>
      </c>
      <c r="AF41" s="264">
        <f t="shared" si="18"/>
        <v>4.1797528638556409</v>
      </c>
      <c r="AG41" s="119">
        <f t="shared" si="12"/>
        <v>12.230399999999999</v>
      </c>
      <c r="AH41" s="119">
        <f t="shared" si="13"/>
        <v>34.175111720431396</v>
      </c>
      <c r="AI41" s="119">
        <f t="shared" si="14"/>
        <v>16.598399999999998</v>
      </c>
      <c r="AJ41" s="118">
        <f t="shared" si="15"/>
        <v>16.41015286385564</v>
      </c>
      <c r="AK41" s="120">
        <f t="shared" si="16"/>
        <v>20.778152863855638</v>
      </c>
      <c r="AL41" s="118">
        <f t="shared" si="17"/>
        <v>2.4408013462727851</v>
      </c>
    </row>
    <row r="42" spans="1:43" x14ac:dyDescent="0.2">
      <c r="A42" s="101" t="s">
        <v>473</v>
      </c>
      <c r="B42" s="169" t="s">
        <v>469</v>
      </c>
      <c r="C42" s="162" t="s">
        <v>359</v>
      </c>
      <c r="D42" s="145" t="s">
        <v>378</v>
      </c>
      <c r="E42" s="121">
        <v>37.384897000000002</v>
      </c>
      <c r="F42" s="122">
        <v>141.00996499999999</v>
      </c>
      <c r="G42" s="123">
        <v>3</v>
      </c>
      <c r="H42" s="108" t="s">
        <v>489</v>
      </c>
      <c r="I42" s="108" t="s">
        <v>489</v>
      </c>
      <c r="J42" s="127">
        <v>9.5</v>
      </c>
      <c r="K42" s="130">
        <v>6.6</v>
      </c>
      <c r="L42" s="109">
        <v>42309</v>
      </c>
      <c r="M42" s="147" t="s">
        <v>357</v>
      </c>
      <c r="N42" s="147" t="s">
        <v>391</v>
      </c>
      <c r="O42" s="170">
        <f>23.5*7*24</f>
        <v>3948</v>
      </c>
      <c r="P42" s="201">
        <v>19.7</v>
      </c>
      <c r="Q42" s="113" t="s">
        <v>466</v>
      </c>
      <c r="R42" s="113" t="s">
        <v>45</v>
      </c>
      <c r="S42" s="114">
        <v>1272.3</v>
      </c>
      <c r="T42" s="114">
        <v>7528.6</v>
      </c>
      <c r="U42" s="114">
        <f t="shared" si="35"/>
        <v>318.07499999999999</v>
      </c>
      <c r="V42" s="114">
        <f t="shared" si="36"/>
        <v>1882.15</v>
      </c>
      <c r="W42" s="115">
        <f t="shared" si="34"/>
        <v>0.1689955635841989</v>
      </c>
      <c r="X42" s="200">
        <v>3.5961668022628502E-4</v>
      </c>
      <c r="Y42" s="200">
        <v>2.4093427574034001E-4</v>
      </c>
      <c r="Z42" s="116">
        <f t="shared" si="7"/>
        <v>0.1143850755629756</v>
      </c>
      <c r="AA42" s="117">
        <f t="shared" si="8"/>
        <v>0.45347444708468099</v>
      </c>
      <c r="AB42" s="117">
        <f t="shared" si="9"/>
        <v>0.5678595226476566</v>
      </c>
      <c r="AC42" s="116">
        <f t="shared" si="10"/>
        <v>0.45159227832262772</v>
      </c>
      <c r="AD42" s="116">
        <v>0.48599999999999999</v>
      </c>
      <c r="AE42" s="116">
        <f t="shared" si="11"/>
        <v>1.7903171170903207</v>
      </c>
      <c r="AF42" s="264">
        <f t="shared" si="18"/>
        <v>2.2763171170903207</v>
      </c>
      <c r="AG42" s="119">
        <f t="shared" si="12"/>
        <v>26.056799999999999</v>
      </c>
      <c r="AH42" s="119">
        <f t="shared" si="13"/>
        <v>8.7359810763037693</v>
      </c>
      <c r="AI42" s="119">
        <f t="shared" si="14"/>
        <v>37.506</v>
      </c>
      <c r="AJ42" s="118">
        <f t="shared" si="15"/>
        <v>28.333117117090321</v>
      </c>
      <c r="AK42" s="120">
        <f t="shared" si="16"/>
        <v>39.782317117090322</v>
      </c>
      <c r="AL42" s="118">
        <f t="shared" si="17"/>
        <v>3.5678595226476562</v>
      </c>
    </row>
    <row r="43" spans="1:43" s="69" customFormat="1" x14ac:dyDescent="0.2">
      <c r="A43" s="101" t="s">
        <v>473</v>
      </c>
      <c r="B43" s="169" t="s">
        <v>392</v>
      </c>
      <c r="C43" s="145" t="s">
        <v>358</v>
      </c>
      <c r="D43" s="145" t="s">
        <v>393</v>
      </c>
      <c r="E43" s="121">
        <v>37.459736999999997</v>
      </c>
      <c r="F43" s="122">
        <v>141.02934500000001</v>
      </c>
      <c r="G43" s="171">
        <v>1.5</v>
      </c>
      <c r="H43" s="129" t="s">
        <v>492</v>
      </c>
      <c r="I43" s="129" t="s">
        <v>488</v>
      </c>
      <c r="J43" s="129">
        <v>3.8</v>
      </c>
      <c r="K43" s="130">
        <v>2.8</v>
      </c>
      <c r="L43" s="109">
        <v>42309</v>
      </c>
      <c r="M43" s="110" t="s">
        <v>376</v>
      </c>
      <c r="N43" s="110" t="s">
        <v>388</v>
      </c>
      <c r="O43" s="112">
        <f>23.5*7*24</f>
        <v>3948</v>
      </c>
      <c r="P43" s="201">
        <v>25.5</v>
      </c>
      <c r="Q43" s="132">
        <v>34</v>
      </c>
      <c r="R43" s="132" t="s">
        <v>508</v>
      </c>
      <c r="S43" s="156">
        <v>30</v>
      </c>
      <c r="T43" s="156">
        <v>167</v>
      </c>
      <c r="U43" s="134">
        <f t="shared" si="35"/>
        <v>7.5</v>
      </c>
      <c r="V43" s="134">
        <f t="shared" si="36"/>
        <v>41.75</v>
      </c>
      <c r="W43" s="172">
        <f t="shared" si="34"/>
        <v>0.17964071856287425</v>
      </c>
      <c r="X43" s="200">
        <v>3.5961668022628502E-4</v>
      </c>
      <c r="Y43" s="200">
        <v>2.4093427574034001E-4</v>
      </c>
      <c r="Z43" s="116">
        <f t="shared" si="7"/>
        <v>2.6971251016971376E-3</v>
      </c>
      <c r="AA43" s="117">
        <f t="shared" si="8"/>
        <v>1.0059006012159196E-2</v>
      </c>
      <c r="AB43" s="117">
        <f t="shared" si="9"/>
        <v>1.2756131113856334E-2</v>
      </c>
      <c r="AC43" s="116">
        <f t="shared" si="10"/>
        <v>1.0648249901500298E-2</v>
      </c>
      <c r="AD43" s="116">
        <v>1.0999999999999999E-2</v>
      </c>
      <c r="AE43" s="116">
        <f t="shared" si="11"/>
        <v>3.9712955736004502E-2</v>
      </c>
      <c r="AF43" s="264">
        <f t="shared" si="18"/>
        <v>5.0712955736004497E-2</v>
      </c>
      <c r="AG43" s="119">
        <f t="shared" si="12"/>
        <v>11.054399999999999</v>
      </c>
      <c r="AH43" s="119">
        <f t="shared" si="13"/>
        <v>0.45875810298165887</v>
      </c>
      <c r="AI43" s="119">
        <f t="shared" si="14"/>
        <v>15.0024</v>
      </c>
      <c r="AJ43" s="118">
        <f t="shared" si="15"/>
        <v>11.105112955736004</v>
      </c>
      <c r="AK43" s="120">
        <f t="shared" si="16"/>
        <v>15.053112955736005</v>
      </c>
      <c r="AL43" s="118">
        <f t="shared" si="17"/>
        <v>1.5127561311138564</v>
      </c>
      <c r="AM43" s="8"/>
      <c r="AN43" s="8"/>
      <c r="AO43" s="8"/>
      <c r="AP43" s="8"/>
      <c r="AQ43" s="8"/>
    </row>
    <row r="44" spans="1:43" x14ac:dyDescent="0.2">
      <c r="A44" s="101" t="s">
        <v>473</v>
      </c>
      <c r="B44" s="169" t="s">
        <v>394</v>
      </c>
      <c r="C44" s="162" t="s">
        <v>359</v>
      </c>
      <c r="D44" s="145" t="s">
        <v>375</v>
      </c>
      <c r="E44" s="121">
        <v>37.384897000000002</v>
      </c>
      <c r="F44" s="122">
        <v>141.00996499999999</v>
      </c>
      <c r="G44" s="123">
        <v>3</v>
      </c>
      <c r="H44" s="108" t="s">
        <v>489</v>
      </c>
      <c r="I44" s="108" t="s">
        <v>489</v>
      </c>
      <c r="J44" s="127">
        <v>9.5</v>
      </c>
      <c r="K44" s="130">
        <v>6.6</v>
      </c>
      <c r="L44" s="109">
        <v>42309</v>
      </c>
      <c r="M44" s="147" t="s">
        <v>357</v>
      </c>
      <c r="N44" s="147" t="s">
        <v>395</v>
      </c>
      <c r="O44" s="170">
        <f>29*7*24</f>
        <v>4872</v>
      </c>
      <c r="P44" s="201">
        <v>47.1</v>
      </c>
      <c r="Q44" s="113" t="s">
        <v>466</v>
      </c>
      <c r="R44" s="113" t="s">
        <v>45</v>
      </c>
      <c r="S44" s="132">
        <v>372</v>
      </c>
      <c r="T44" s="132">
        <v>2177</v>
      </c>
      <c r="U44" s="114">
        <f t="shared" si="35"/>
        <v>93</v>
      </c>
      <c r="V44" s="114">
        <f t="shared" si="36"/>
        <v>544.25</v>
      </c>
      <c r="W44" s="115">
        <f t="shared" si="34"/>
        <v>0.17087735415709693</v>
      </c>
      <c r="X44" s="200">
        <v>4.7119091619184003E-4</v>
      </c>
      <c r="Y44" s="200">
        <v>2.8196803083546201E-4</v>
      </c>
      <c r="Z44" s="116">
        <f t="shared" si="7"/>
        <v>4.3820755205841125E-2</v>
      </c>
      <c r="AA44" s="117">
        <f t="shared" si="8"/>
        <v>0.15346110078220021</v>
      </c>
      <c r="AB44" s="117">
        <f t="shared" si="9"/>
        <v>0.19728185598804132</v>
      </c>
      <c r="AC44" s="116">
        <f t="shared" si="10"/>
        <v>0.21349471936285794</v>
      </c>
      <c r="AD44" s="116">
        <v>0.23300000000000001</v>
      </c>
      <c r="AE44" s="116">
        <f t="shared" si="11"/>
        <v>0.74766248301087945</v>
      </c>
      <c r="AF44" s="264">
        <f>AD44+AE44</f>
        <v>0.98066248301087944</v>
      </c>
      <c r="AG44" s="119">
        <f t="shared" si="12"/>
        <v>32.155199999999994</v>
      </c>
      <c r="AH44" s="119">
        <f t="shared" si="13"/>
        <v>3.0497788320734425</v>
      </c>
      <c r="AI44" s="119">
        <f t="shared" si="14"/>
        <v>46.283999999999999</v>
      </c>
      <c r="AJ44" s="118">
        <f t="shared" si="15"/>
        <v>33.135862483010875</v>
      </c>
      <c r="AK44" s="120">
        <f t="shared" si="16"/>
        <v>47.264662483010881</v>
      </c>
      <c r="AL44" s="118">
        <f t="shared" si="17"/>
        <v>3.1972818559880416</v>
      </c>
    </row>
    <row r="45" spans="1:43" x14ac:dyDescent="0.2">
      <c r="A45" s="101" t="s">
        <v>473</v>
      </c>
      <c r="B45" s="169" t="s">
        <v>396</v>
      </c>
      <c r="C45" s="162" t="s">
        <v>397</v>
      </c>
      <c r="D45" s="145" t="s">
        <v>398</v>
      </c>
      <c r="E45" s="121">
        <v>36.439514000000003</v>
      </c>
      <c r="F45" s="122">
        <v>139.64284699999999</v>
      </c>
      <c r="G45" s="126">
        <v>0.1</v>
      </c>
      <c r="H45" s="129">
        <v>0.1</v>
      </c>
      <c r="I45" s="129">
        <v>0.1</v>
      </c>
      <c r="J45" s="129">
        <v>0.1</v>
      </c>
      <c r="K45" s="129">
        <v>0.1</v>
      </c>
      <c r="L45" s="109">
        <v>41944</v>
      </c>
      <c r="M45" s="147" t="s">
        <v>74</v>
      </c>
      <c r="N45" s="147">
        <v>87</v>
      </c>
      <c r="O45" s="112">
        <f t="shared" ref="O45:O48" si="38">N45*7*24</f>
        <v>14616</v>
      </c>
      <c r="P45" s="201">
        <v>43.4</v>
      </c>
      <c r="Q45" s="113" t="s">
        <v>466</v>
      </c>
      <c r="R45" s="113" t="s">
        <v>45</v>
      </c>
      <c r="S45" s="132" t="s">
        <v>518</v>
      </c>
      <c r="T45" s="132">
        <v>5</v>
      </c>
      <c r="U45" s="132">
        <v>0.1</v>
      </c>
      <c r="V45" s="114">
        <f t="shared" si="36"/>
        <v>1.25</v>
      </c>
      <c r="W45" s="114"/>
      <c r="X45" s="200">
        <v>4.7119091619184003E-4</v>
      </c>
      <c r="Y45" s="200">
        <v>2.8196803083546201E-4</v>
      </c>
      <c r="Z45" s="116">
        <f t="shared" si="7"/>
        <v>4.7119091619184008E-5</v>
      </c>
      <c r="AA45" s="173">
        <f t="shared" si="8"/>
        <v>3.5246003854432753E-4</v>
      </c>
      <c r="AB45" s="117">
        <f t="shared" si="9"/>
        <v>3.9957913016351154E-4</v>
      </c>
      <c r="AC45" s="116">
        <v>0</v>
      </c>
      <c r="AD45" s="116">
        <v>0</v>
      </c>
      <c r="AE45" s="116">
        <f t="shared" si="11"/>
        <v>5.1515559233638909E-3</v>
      </c>
      <c r="AF45" s="264">
        <f t="shared" ref="AF45:AF46" si="39">AD45+AE45</f>
        <v>5.1515559233638909E-3</v>
      </c>
      <c r="AG45" s="119">
        <f t="shared" si="12"/>
        <v>1.4616000000000002</v>
      </c>
      <c r="AH45" s="119">
        <f t="shared" si="13"/>
        <v>0.35246003854432745</v>
      </c>
      <c r="AI45" s="119">
        <f t="shared" si="14"/>
        <v>1.4616000000000002</v>
      </c>
      <c r="AJ45" s="118">
        <f t="shared" si="15"/>
        <v>1.4667515559233641</v>
      </c>
      <c r="AK45" s="120">
        <f t="shared" si="16"/>
        <v>1.4667515559233641</v>
      </c>
      <c r="AL45" s="118">
        <f t="shared" si="17"/>
        <v>0.10039957913016352</v>
      </c>
    </row>
    <row r="46" spans="1:43" x14ac:dyDescent="0.2">
      <c r="A46" s="101" t="s">
        <v>473</v>
      </c>
      <c r="B46" s="169" t="s">
        <v>399</v>
      </c>
      <c r="C46" s="162" t="s">
        <v>397</v>
      </c>
      <c r="D46" s="145" t="s">
        <v>400</v>
      </c>
      <c r="E46" s="121">
        <v>36.439514000000003</v>
      </c>
      <c r="F46" s="122">
        <v>139.64284699999999</v>
      </c>
      <c r="G46" s="126">
        <v>0.1</v>
      </c>
      <c r="H46" s="129">
        <v>0.1</v>
      </c>
      <c r="I46" s="129">
        <v>0.1</v>
      </c>
      <c r="J46" s="129">
        <v>0.1</v>
      </c>
      <c r="K46" s="129">
        <v>0.1</v>
      </c>
      <c r="L46" s="109">
        <v>41944</v>
      </c>
      <c r="M46" s="147" t="s">
        <v>73</v>
      </c>
      <c r="N46" s="147">
        <v>62</v>
      </c>
      <c r="O46" s="112">
        <f t="shared" si="38"/>
        <v>10416</v>
      </c>
      <c r="P46" s="201">
        <v>30.3</v>
      </c>
      <c r="Q46" s="113" t="s">
        <v>466</v>
      </c>
      <c r="R46" s="113" t="s">
        <v>45</v>
      </c>
      <c r="S46" s="132" t="s">
        <v>518</v>
      </c>
      <c r="T46" s="132">
        <v>4</v>
      </c>
      <c r="U46" s="132">
        <v>0.1</v>
      </c>
      <c r="V46" s="114">
        <f t="shared" si="36"/>
        <v>1</v>
      </c>
      <c r="W46" s="114"/>
      <c r="X46" s="200">
        <v>3.5961668022628502E-4</v>
      </c>
      <c r="Y46" s="200">
        <v>2.4093427574034001E-4</v>
      </c>
      <c r="Z46" s="116">
        <f t="shared" si="7"/>
        <v>3.5961668022628503E-5</v>
      </c>
      <c r="AA46" s="173">
        <f t="shared" si="8"/>
        <v>2.4093427574034001E-4</v>
      </c>
      <c r="AB46" s="117">
        <f t="shared" si="9"/>
        <v>2.7689594376296853E-4</v>
      </c>
      <c r="AC46" s="116">
        <v>0</v>
      </c>
      <c r="AD46" s="116">
        <v>0</v>
      </c>
      <c r="AE46" s="116">
        <f t="shared" si="11"/>
        <v>2.5095714161113814E-3</v>
      </c>
      <c r="AF46" s="264">
        <f t="shared" si="39"/>
        <v>2.5095714161113814E-3</v>
      </c>
      <c r="AG46" s="119">
        <f t="shared" si="12"/>
        <v>1.0416000000000001</v>
      </c>
      <c r="AH46" s="119">
        <f t="shared" si="13"/>
        <v>0.24093427574033996</v>
      </c>
      <c r="AI46" s="119">
        <f t="shared" si="14"/>
        <v>1.0416000000000001</v>
      </c>
      <c r="AJ46" s="118">
        <f t="shared" si="15"/>
        <v>1.0441095714161115</v>
      </c>
      <c r="AK46" s="120">
        <f t="shared" si="16"/>
        <v>1.0441095714161115</v>
      </c>
      <c r="AL46" s="118">
        <f t="shared" si="17"/>
        <v>0.10027689594376298</v>
      </c>
    </row>
    <row r="47" spans="1:43" x14ac:dyDescent="0.2">
      <c r="A47" s="101" t="s">
        <v>473</v>
      </c>
      <c r="B47" s="169" t="s">
        <v>401</v>
      </c>
      <c r="C47" s="162" t="s">
        <v>365</v>
      </c>
      <c r="D47" s="145" t="s">
        <v>402</v>
      </c>
      <c r="E47" s="121">
        <v>37.414776000000003</v>
      </c>
      <c r="F47" s="122">
        <v>140.94436099999999</v>
      </c>
      <c r="G47" s="123">
        <v>3</v>
      </c>
      <c r="H47" s="108" t="s">
        <v>489</v>
      </c>
      <c r="I47" s="108" t="s">
        <v>489</v>
      </c>
      <c r="J47" s="127">
        <v>9.5</v>
      </c>
      <c r="K47" s="130">
        <v>6.6</v>
      </c>
      <c r="L47" s="109">
        <v>41579</v>
      </c>
      <c r="M47" s="147" t="s">
        <v>357</v>
      </c>
      <c r="N47" s="147">
        <v>145</v>
      </c>
      <c r="O47" s="112">
        <f t="shared" si="38"/>
        <v>24360</v>
      </c>
      <c r="P47" s="201">
        <v>99.8</v>
      </c>
      <c r="Q47" s="113" t="s">
        <v>466</v>
      </c>
      <c r="R47" s="113" t="s">
        <v>45</v>
      </c>
      <c r="S47" s="114">
        <v>1401.3</v>
      </c>
      <c r="T47" s="114">
        <v>8302.2999999999993</v>
      </c>
      <c r="U47" s="114">
        <f t="shared" si="35"/>
        <v>350.32499999999999</v>
      </c>
      <c r="V47" s="114">
        <f t="shared" si="36"/>
        <v>2075.5749999999998</v>
      </c>
      <c r="W47" s="115">
        <f t="shared" ref="W47:W48" si="40">U47/V47</f>
        <v>0.16878455367789649</v>
      </c>
      <c r="X47" s="200">
        <v>5.0761245862667001E-4</v>
      </c>
      <c r="Y47" s="200">
        <v>2.9533788015410699E-4</v>
      </c>
      <c r="Z47" s="116">
        <f t="shared" si="7"/>
        <v>0.17782933456838818</v>
      </c>
      <c r="AA47" s="117">
        <f t="shared" si="8"/>
        <v>0.61299592060086061</v>
      </c>
      <c r="AB47" s="117">
        <f t="shared" si="9"/>
        <v>0.79082525516924873</v>
      </c>
      <c r="AC47" s="116">
        <f t="shared" si="10"/>
        <v>4.3319225900859353</v>
      </c>
      <c r="AD47" s="116">
        <v>7.0839999999999996</v>
      </c>
      <c r="AE47" s="116">
        <f t="shared" si="11"/>
        <v>14.932580625836964</v>
      </c>
      <c r="AF47" s="264">
        <f t="shared" si="18"/>
        <v>22.016580625836966</v>
      </c>
      <c r="AG47" s="119">
        <f t="shared" si="12"/>
        <v>160.77600000000001</v>
      </c>
      <c r="AH47" s="119">
        <f t="shared" si="13"/>
        <v>13.693947247000152</v>
      </c>
      <c r="AI47" s="119">
        <f t="shared" si="14"/>
        <v>231.42</v>
      </c>
      <c r="AJ47" s="118">
        <f t="shared" si="15"/>
        <v>182.79258062583699</v>
      </c>
      <c r="AK47" s="120">
        <f t="shared" si="16"/>
        <v>253.43658062583694</v>
      </c>
      <c r="AL47" s="118">
        <f t="shared" si="17"/>
        <v>3.7908252551692487</v>
      </c>
    </row>
    <row r="48" spans="1:43" ht="13" customHeight="1" x14ac:dyDescent="0.2">
      <c r="A48" s="101" t="s">
        <v>473</v>
      </c>
      <c r="B48" s="174" t="s">
        <v>403</v>
      </c>
      <c r="C48" s="162" t="s">
        <v>404</v>
      </c>
      <c r="D48" s="145" t="s">
        <v>408</v>
      </c>
      <c r="E48" s="121">
        <v>37.470056</v>
      </c>
      <c r="F48" s="122">
        <v>140.994922</v>
      </c>
      <c r="G48" s="123">
        <v>3</v>
      </c>
      <c r="H48" s="108" t="s">
        <v>489</v>
      </c>
      <c r="I48" s="108" t="s">
        <v>489</v>
      </c>
      <c r="J48" s="127">
        <v>9.5</v>
      </c>
      <c r="K48" s="130">
        <v>6.6</v>
      </c>
      <c r="L48" s="109">
        <v>41944</v>
      </c>
      <c r="M48" s="147" t="s">
        <v>376</v>
      </c>
      <c r="N48" s="147">
        <v>87</v>
      </c>
      <c r="O48" s="112">
        <f t="shared" si="38"/>
        <v>14616</v>
      </c>
      <c r="P48" s="201">
        <v>88.9</v>
      </c>
      <c r="Q48" s="113" t="s">
        <v>466</v>
      </c>
      <c r="R48" s="113" t="s">
        <v>45</v>
      </c>
      <c r="S48" s="114">
        <v>334.71</v>
      </c>
      <c r="T48" s="114">
        <v>2140.3000000000002</v>
      </c>
      <c r="U48" s="114">
        <f t="shared" si="35"/>
        <v>83.677499999999995</v>
      </c>
      <c r="V48" s="114">
        <f t="shared" si="36"/>
        <v>535.07500000000005</v>
      </c>
      <c r="W48" s="115">
        <f t="shared" si="40"/>
        <v>0.15638461897864783</v>
      </c>
      <c r="X48" s="200">
        <v>5.0761245862667001E-4</v>
      </c>
      <c r="Y48" s="200">
        <v>2.9533788015410699E-4</v>
      </c>
      <c r="Z48" s="116">
        <f t="shared" si="7"/>
        <v>4.2475741506733181E-2</v>
      </c>
      <c r="AA48" s="117">
        <f t="shared" si="8"/>
        <v>0.15802791622345883</v>
      </c>
      <c r="AB48" s="117">
        <f t="shared" si="9"/>
        <v>0.20050365773019202</v>
      </c>
      <c r="AC48" s="116">
        <f t="shared" si="10"/>
        <v>0.62082543786241218</v>
      </c>
      <c r="AD48" s="116">
        <v>0.82699999999999996</v>
      </c>
      <c r="AE48" s="116">
        <f t="shared" si="11"/>
        <v>2.3097360235220741</v>
      </c>
      <c r="AF48" s="264">
        <f t="shared" si="18"/>
        <v>3.136736023522074</v>
      </c>
      <c r="AG48" s="119">
        <f t="shared" si="12"/>
        <v>96.465599999999995</v>
      </c>
      <c r="AH48" s="119">
        <f t="shared" si="13"/>
        <v>3.2516627932880469</v>
      </c>
      <c r="AI48" s="119">
        <f t="shared" si="14"/>
        <v>138.852</v>
      </c>
      <c r="AJ48" s="118">
        <f t="shared" si="15"/>
        <v>99.602336023522071</v>
      </c>
      <c r="AK48" s="120">
        <f t="shared" si="16"/>
        <v>141.98873602352208</v>
      </c>
      <c r="AL48" s="118">
        <f t="shared" si="17"/>
        <v>3.2005036577301924</v>
      </c>
    </row>
    <row r="49" spans="1:38" ht="14" x14ac:dyDescent="0.15">
      <c r="A49" s="33"/>
      <c r="B49" s="54"/>
      <c r="C49" s="54"/>
      <c r="D49" s="54"/>
      <c r="E49" s="56"/>
      <c r="F49" s="57"/>
      <c r="G49" s="59">
        <f>AVERAGE(G9:G48)</f>
        <v>3.4649999999999999</v>
      </c>
      <c r="H49" s="58"/>
      <c r="I49" s="58"/>
      <c r="J49" s="58"/>
      <c r="K49" s="59">
        <f>AVERAGE(K9:K48)</f>
        <v>12.120000000000008</v>
      </c>
      <c r="L49" s="58"/>
      <c r="M49" s="57"/>
      <c r="N49" s="57" t="s">
        <v>509</v>
      </c>
      <c r="O49" s="59">
        <f>AVERAGE(O9:O48)</f>
        <v>8883.7999999999993</v>
      </c>
      <c r="P49" s="59">
        <f>AVERAGE(P9:P48)</f>
        <v>37.626315789473693</v>
      </c>
      <c r="R49" s="8" t="s">
        <v>509</v>
      </c>
      <c r="S49" s="59">
        <f>AVERAGE(S9:S48)</f>
        <v>1769.1354375000003</v>
      </c>
      <c r="T49" s="59">
        <f>AVERAGE(T9:T48)</f>
        <v>9178.5608823529401</v>
      </c>
      <c r="U49" s="59">
        <f>AVERAGE(U9:U48)</f>
        <v>430.36829487179494</v>
      </c>
      <c r="V49" s="59">
        <f>AVERAGE(V9:V48)</f>
        <v>2368.6607051282049</v>
      </c>
      <c r="W49" s="63">
        <f>AVERAGE(W9:W48)</f>
        <v>0.17945182723512754</v>
      </c>
      <c r="AA49" s="8" t="s">
        <v>509</v>
      </c>
      <c r="AB49" s="236">
        <f t="shared" ref="AB49" si="41">AVERAGE(AB9:AB48)</f>
        <v>0.74492193104653981</v>
      </c>
      <c r="AC49" s="236">
        <f t="shared" ref="AC49:AH49" si="42">AVERAGE(AC9:AC48)</f>
        <v>1.5642385800627463</v>
      </c>
      <c r="AD49" s="236">
        <f t="shared" si="42"/>
        <v>2.1578249999999999</v>
      </c>
      <c r="AE49" s="236">
        <f t="shared" si="42"/>
        <v>5.2909033558406975</v>
      </c>
      <c r="AF49" s="212">
        <f t="shared" si="42"/>
        <v>7.4487283558406956</v>
      </c>
      <c r="AG49" s="236">
        <f t="shared" si="42"/>
        <v>114.44483</v>
      </c>
      <c r="AH49" s="236">
        <f t="shared" si="42"/>
        <v>11.008068692445374</v>
      </c>
      <c r="AJ49" s="212">
        <f>AVERAGE(AJ9:AJ48)</f>
        <v>121.89355835584072</v>
      </c>
      <c r="AL49" s="212">
        <f>AVERAGE(AL9:AL48)</f>
        <v>4.2099219310465399</v>
      </c>
    </row>
    <row r="50" spans="1:38" ht="14" x14ac:dyDescent="0.15">
      <c r="A50" s="33"/>
      <c r="B50" s="54"/>
      <c r="C50" s="54"/>
      <c r="D50" s="54"/>
      <c r="E50" s="56"/>
      <c r="F50" s="57"/>
      <c r="G50" s="59">
        <f>_xlfn.STDEV.S(G9:G48)</f>
        <v>3.5087107720715998</v>
      </c>
      <c r="H50" s="58"/>
      <c r="I50" s="58"/>
      <c r="J50" s="58"/>
      <c r="K50" s="59">
        <f>_xlfn.STDEV.S(K9:K48)</f>
        <v>12.534039805511773</v>
      </c>
      <c r="L50" s="58"/>
      <c r="M50" s="57"/>
      <c r="N50" s="57" t="s">
        <v>477</v>
      </c>
      <c r="O50" s="59">
        <f>_xlfn.STDEV.S(O9:O48)</f>
        <v>7128.1406616527775</v>
      </c>
      <c r="P50" s="59">
        <f>_xlfn.STDEV.S(P9:P48)</f>
        <v>23.309593016616219</v>
      </c>
      <c r="R50" s="8" t="s">
        <v>667</v>
      </c>
      <c r="S50" s="59">
        <f>_xlfn.STDEV.S(S9:S48)</f>
        <v>1486.8662096964506</v>
      </c>
      <c r="T50" s="59">
        <f>_xlfn.STDEV.S(T9:T48)</f>
        <v>7997.7495846982893</v>
      </c>
      <c r="U50" s="59">
        <f>_xlfn.STDEV.S(U9:U48)</f>
        <v>352.98368884938554</v>
      </c>
      <c r="V50" s="59">
        <f>_xlfn.STDEV.S(V9:V48)</f>
        <v>1877.770613068838</v>
      </c>
      <c r="W50" s="63">
        <f>_xlfn.STDEV.S(W9:W48)</f>
        <v>1.204312150660007E-2</v>
      </c>
      <c r="AA50" s="8" t="s">
        <v>667</v>
      </c>
      <c r="AB50" s="236">
        <f t="shared" ref="AB50" si="43">_xlfn.STDEV.S(AB9:AB48)</f>
        <v>0.58674257636489735</v>
      </c>
      <c r="AC50" s="236">
        <f t="shared" ref="AC50:AH50" si="44">_xlfn.STDEV.S(AC9:AC48)</f>
        <v>2.0382341534530894</v>
      </c>
      <c r="AD50" s="236">
        <f t="shared" si="44"/>
        <v>3.4480255211107078</v>
      </c>
      <c r="AE50" s="236">
        <f t="shared" si="44"/>
        <v>6.5427411670828359</v>
      </c>
      <c r="AF50" s="212">
        <f t="shared" si="44"/>
        <v>9.8966545845208298</v>
      </c>
      <c r="AG50" s="236">
        <f t="shared" si="44"/>
        <v>156.95968435939898</v>
      </c>
      <c r="AH50" s="236">
        <f t="shared" si="44"/>
        <v>12.691705724242226</v>
      </c>
      <c r="AJ50" s="212">
        <f>_xlfn.STDEV.S(AJ9:AJ48)</f>
        <v>163.53101428902369</v>
      </c>
      <c r="AL50" s="212">
        <f>_xlfn.STDEV.S(AL9:AL48)</f>
        <v>3.685352778034197</v>
      </c>
    </row>
    <row r="51" spans="1:38" x14ac:dyDescent="0.2">
      <c r="B51" s="11"/>
      <c r="C51" s="11"/>
      <c r="D51" s="11"/>
      <c r="E51" s="12"/>
      <c r="I51" s="65" t="s">
        <v>381</v>
      </c>
      <c r="Q51" s="55" t="s">
        <v>369</v>
      </c>
    </row>
    <row r="52" spans="1:38" ht="14" x14ac:dyDescent="0.2">
      <c r="B52" s="11"/>
      <c r="C52" s="11"/>
      <c r="D52" s="11"/>
      <c r="E52" s="12"/>
      <c r="F52" s="8"/>
      <c r="G52" s="8"/>
      <c r="H52" s="8" t="s">
        <v>526</v>
      </c>
      <c r="I52" s="8"/>
      <c r="J52" s="8"/>
      <c r="K52" s="8"/>
      <c r="L52" s="8"/>
      <c r="N52" s="8"/>
      <c r="O52" s="8"/>
      <c r="P52" s="8" t="s">
        <v>525</v>
      </c>
    </row>
    <row r="53" spans="1:38" thickBot="1" x14ac:dyDescent="0.25">
      <c r="B53" s="11"/>
      <c r="C53" s="11"/>
      <c r="D53" s="11"/>
      <c r="E53" s="12"/>
      <c r="F53" s="8"/>
      <c r="G53" s="8"/>
      <c r="H53" s="8"/>
      <c r="I53" s="62" t="s">
        <v>522</v>
      </c>
      <c r="J53" s="62" t="s">
        <v>523</v>
      </c>
      <c r="K53" s="8"/>
      <c r="L53" s="8"/>
      <c r="P53" s="7" t="s">
        <v>527</v>
      </c>
    </row>
    <row r="54" spans="1:38" ht="14" x14ac:dyDescent="0.2">
      <c r="B54" s="11"/>
      <c r="C54" s="11"/>
      <c r="D54" s="11"/>
      <c r="E54" s="12"/>
      <c r="F54" s="64" t="s">
        <v>80</v>
      </c>
      <c r="G54" s="8"/>
      <c r="H54" s="8"/>
      <c r="I54" s="64">
        <v>162</v>
      </c>
      <c r="J54" s="64">
        <v>853</v>
      </c>
      <c r="K54" s="8"/>
      <c r="L54" s="8"/>
    </row>
    <row r="55" spans="1:38" thickBot="1" x14ac:dyDescent="0.25">
      <c r="B55" s="11"/>
      <c r="C55" s="11"/>
      <c r="D55" s="11"/>
      <c r="E55" s="12"/>
      <c r="F55" s="64" t="s">
        <v>520</v>
      </c>
      <c r="G55" s="8"/>
      <c r="H55" s="8"/>
      <c r="I55" s="64">
        <v>466</v>
      </c>
      <c r="J55" s="64">
        <v>2775</v>
      </c>
      <c r="K55" s="8"/>
      <c r="L55" s="8"/>
      <c r="N55" s="8"/>
      <c r="O55" s="8"/>
      <c r="P55" s="8"/>
      <c r="Q55" s="62" t="s">
        <v>522</v>
      </c>
      <c r="R55" s="62" t="s">
        <v>523</v>
      </c>
    </row>
    <row r="56" spans="1:38" thickBot="1" x14ac:dyDescent="0.25">
      <c r="B56" s="11"/>
      <c r="C56" s="11"/>
      <c r="D56" s="11"/>
      <c r="E56" s="12"/>
      <c r="F56" s="8" t="s">
        <v>521</v>
      </c>
      <c r="G56" s="8"/>
      <c r="H56" s="8"/>
      <c r="I56" s="62">
        <v>683</v>
      </c>
      <c r="J56" s="62">
        <v>4008</v>
      </c>
      <c r="K56" s="8"/>
      <c r="L56" s="8"/>
      <c r="N56" s="8" t="s">
        <v>79</v>
      </c>
      <c r="O56" s="8"/>
      <c r="P56" s="8"/>
      <c r="Q56" s="8">
        <v>953</v>
      </c>
      <c r="R56" s="8">
        <v>4966</v>
      </c>
    </row>
    <row r="57" spans="1:38" ht="14" x14ac:dyDescent="0.2">
      <c r="B57" s="11"/>
      <c r="C57" s="11"/>
      <c r="D57" s="11"/>
      <c r="E57" s="12"/>
      <c r="F57" s="8"/>
      <c r="G57" s="8"/>
      <c r="H57" s="8" t="s">
        <v>509</v>
      </c>
      <c r="I57" s="8">
        <f>AVERAGE(I54:I56)</f>
        <v>437</v>
      </c>
      <c r="J57" s="61">
        <f>AVERAGE(J54:J56)</f>
        <v>2545.3333333333335</v>
      </c>
      <c r="K57" s="8"/>
      <c r="L57" s="8"/>
      <c r="N57" s="8" t="s">
        <v>367</v>
      </c>
      <c r="O57" s="8"/>
      <c r="P57" s="8"/>
      <c r="Q57" s="8">
        <v>227</v>
      </c>
      <c r="R57" s="8">
        <v>1340</v>
      </c>
    </row>
    <row r="58" spans="1:38" ht="14" customHeight="1" x14ac:dyDescent="0.2">
      <c r="B58" s="11"/>
      <c r="C58" s="11"/>
      <c r="D58" s="11"/>
      <c r="E58" s="12"/>
      <c r="F58" s="8"/>
      <c r="G58" s="8"/>
      <c r="H58" s="8" t="s">
        <v>477</v>
      </c>
      <c r="I58" s="61">
        <f>_xlfn.STDEV.S(I54:I56)</f>
        <v>261.70785238505931</v>
      </c>
      <c r="J58" s="61">
        <f>_xlfn.STDEV.S(J54:J56)</f>
        <v>1589.9894129626568</v>
      </c>
      <c r="K58" s="8"/>
      <c r="L58" s="8"/>
    </row>
    <row r="59" spans="1:38" ht="15" customHeight="1" thickBot="1" x14ac:dyDescent="0.25">
      <c r="B59" s="11"/>
      <c r="C59" s="11"/>
      <c r="D59" s="11"/>
      <c r="E59" s="12"/>
      <c r="F59" s="8"/>
      <c r="G59" s="8"/>
      <c r="H59" s="8" t="s">
        <v>519</v>
      </c>
      <c r="I59" s="61">
        <f>I58/I57*100</f>
        <v>59.887380408480396</v>
      </c>
      <c r="J59" s="61">
        <f>J58/J57*100</f>
        <v>62.466844406599918</v>
      </c>
      <c r="K59" s="8"/>
      <c r="L59" s="8"/>
      <c r="N59" s="8"/>
      <c r="O59" s="8"/>
      <c r="P59" s="8"/>
      <c r="Q59" s="62"/>
      <c r="R59" s="62"/>
    </row>
    <row r="60" spans="1:38" ht="15" customHeight="1" x14ac:dyDescent="0.2">
      <c r="B60" s="11"/>
      <c r="C60" s="11"/>
      <c r="D60" s="11"/>
      <c r="E60" s="12"/>
      <c r="N60" s="8"/>
      <c r="O60" s="8"/>
      <c r="P60" s="8" t="s">
        <v>509</v>
      </c>
      <c r="Q60" s="8">
        <f>AVERAGE(Q56:Q57)</f>
        <v>590</v>
      </c>
      <c r="R60" s="8">
        <f>AVERAGE(R56:R57)</f>
        <v>3153</v>
      </c>
    </row>
    <row r="61" spans="1:38" x14ac:dyDescent="0.2">
      <c r="N61" s="8"/>
      <c r="O61" s="8"/>
      <c r="P61" s="8" t="s">
        <v>477</v>
      </c>
      <c r="Q61" s="61">
        <f>_xlfn.STDEV.S(Q56:Q57)</f>
        <v>513.35952314143356</v>
      </c>
      <c r="R61" s="61">
        <f>_xlfn.STDEV.S(R56:R57)</f>
        <v>2563.9691885824213</v>
      </c>
      <c r="V61" s="223"/>
      <c r="W61" s="322" t="s">
        <v>654</v>
      </c>
      <c r="X61" s="322"/>
      <c r="Y61" s="322"/>
      <c r="Z61" s="322"/>
      <c r="AA61" s="322"/>
      <c r="AB61" s="293"/>
    </row>
    <row r="62" spans="1:38" ht="16" x14ac:dyDescent="0.2">
      <c r="N62" s="8"/>
      <c r="O62" s="8"/>
      <c r="P62" s="8" t="s">
        <v>519</v>
      </c>
      <c r="Q62" s="61">
        <f>Q61/Q60*100</f>
        <v>87.010088668039586</v>
      </c>
      <c r="R62" s="61">
        <f>R61/R60*100</f>
        <v>81.31840116024172</v>
      </c>
      <c r="V62" s="223">
        <v>2</v>
      </c>
      <c r="W62" s="223" t="s">
        <v>655</v>
      </c>
      <c r="X62" s="323" t="s">
        <v>656</v>
      </c>
      <c r="Y62" s="200">
        <v>2.7780133006720701E-4</v>
      </c>
      <c r="Z62" s="323" t="s">
        <v>657</v>
      </c>
      <c r="AA62" s="200">
        <v>2.1063702429833001E-4</v>
      </c>
      <c r="AB62" s="200"/>
    </row>
    <row r="63" spans="1:38" ht="34" customHeight="1" x14ac:dyDescent="0.2">
      <c r="V63" s="223">
        <v>3</v>
      </c>
      <c r="W63" s="223" t="s">
        <v>658</v>
      </c>
      <c r="X63" s="324"/>
      <c r="Y63" s="200">
        <v>3.5961668022628502E-4</v>
      </c>
      <c r="Z63" s="324"/>
      <c r="AA63" s="200">
        <v>2.4093427574034001E-4</v>
      </c>
      <c r="AB63" s="200"/>
    </row>
    <row r="64" spans="1:38" ht="16" x14ac:dyDescent="0.2">
      <c r="V64" s="223">
        <v>4</v>
      </c>
      <c r="W64" s="223" t="s">
        <v>659</v>
      </c>
      <c r="X64" s="224"/>
      <c r="Y64" s="200">
        <v>4.7119091619184003E-4</v>
      </c>
      <c r="Z64" s="225"/>
      <c r="AA64" s="200">
        <v>2.8196803083546201E-4</v>
      </c>
      <c r="AB64" s="200"/>
    </row>
    <row r="65" spans="1:38" ht="16" x14ac:dyDescent="0.2">
      <c r="V65" s="223">
        <v>5</v>
      </c>
      <c r="W65" s="223" t="s">
        <v>660</v>
      </c>
      <c r="X65" s="223"/>
      <c r="Y65" s="200">
        <v>5.0761245862667001E-4</v>
      </c>
      <c r="Z65" s="223"/>
      <c r="AA65" s="200">
        <v>2.9533788015410699E-4</v>
      </c>
      <c r="AB65" s="200"/>
    </row>
    <row r="67" spans="1:38" ht="16" thickBot="1" x14ac:dyDescent="0.25">
      <c r="X67" s="321" t="s">
        <v>653</v>
      </c>
      <c r="Y67" s="321"/>
    </row>
    <row r="68" spans="1:38" ht="15" customHeight="1" x14ac:dyDescent="0.2">
      <c r="A68" s="295"/>
      <c r="B68" s="296"/>
      <c r="C68" s="296"/>
      <c r="D68" s="296"/>
      <c r="E68" s="297"/>
      <c r="F68" s="298"/>
      <c r="M68" s="12"/>
      <c r="N68" s="12"/>
      <c r="O68" s="12"/>
      <c r="P68" s="12"/>
      <c r="Q68" s="11"/>
      <c r="R68" s="11"/>
      <c r="S68" s="11"/>
      <c r="T68" s="11"/>
      <c r="U68" s="11"/>
      <c r="V68" s="11"/>
      <c r="W68" s="11"/>
      <c r="X68" s="303" t="s">
        <v>634</v>
      </c>
      <c r="Y68" s="303" t="s">
        <v>635</v>
      </c>
      <c r="Z68" s="303" t="s">
        <v>661</v>
      </c>
      <c r="AA68" s="303" t="s">
        <v>662</v>
      </c>
      <c r="AB68" s="291"/>
      <c r="AC68" s="303" t="s">
        <v>641</v>
      </c>
      <c r="AD68" s="303" t="s">
        <v>668</v>
      </c>
      <c r="AE68" s="303" t="s">
        <v>666</v>
      </c>
      <c r="AF68" s="308" t="s">
        <v>537</v>
      </c>
      <c r="AG68" s="303" t="s">
        <v>538</v>
      </c>
      <c r="AH68" s="303" t="s">
        <v>539</v>
      </c>
      <c r="AI68" s="309" t="s">
        <v>546</v>
      </c>
      <c r="AJ68" s="308" t="s">
        <v>514</v>
      </c>
      <c r="AK68" s="309" t="s">
        <v>515</v>
      </c>
      <c r="AL68" s="308" t="s">
        <v>547</v>
      </c>
    </row>
    <row r="69" spans="1:38" ht="16" thickBot="1" x14ac:dyDescent="0.25">
      <c r="A69" s="299"/>
      <c r="B69" s="300"/>
      <c r="C69" s="300"/>
      <c r="D69" s="300"/>
      <c r="E69" s="301"/>
      <c r="F69" s="302"/>
      <c r="M69" s="12"/>
      <c r="N69" s="12"/>
      <c r="O69" s="12"/>
      <c r="P69" s="12"/>
      <c r="Q69" s="11"/>
      <c r="R69" s="11"/>
      <c r="S69" s="11"/>
      <c r="T69" s="11"/>
      <c r="U69" s="11"/>
      <c r="V69" s="11"/>
      <c r="W69" s="11"/>
      <c r="X69" s="303"/>
      <c r="Y69" s="303"/>
      <c r="Z69" s="303"/>
      <c r="AA69" s="303"/>
      <c r="AB69" s="291"/>
      <c r="AC69" s="303"/>
      <c r="AD69" s="303"/>
      <c r="AE69" s="303"/>
      <c r="AF69" s="308"/>
      <c r="AG69" s="303"/>
      <c r="AH69" s="303"/>
      <c r="AI69" s="309"/>
      <c r="AJ69" s="308"/>
      <c r="AK69" s="309"/>
      <c r="AL69" s="308"/>
    </row>
    <row r="70" spans="1:38" ht="16" thickBot="1" x14ac:dyDescent="0.25">
      <c r="B70" s="11"/>
      <c r="C70" s="11"/>
      <c r="D70" s="11"/>
      <c r="E70" s="209"/>
      <c r="F70" s="210"/>
      <c r="G70" s="211" t="s">
        <v>622</v>
      </c>
      <c r="H70" s="211"/>
      <c r="I70" s="211" t="s">
        <v>625</v>
      </c>
      <c r="J70" s="211"/>
      <c r="K70" s="211" t="s">
        <v>625</v>
      </c>
      <c r="L70" s="319" t="s">
        <v>487</v>
      </c>
      <c r="M70" s="12"/>
      <c r="N70" s="12"/>
      <c r="O70" s="12"/>
      <c r="P70" s="12"/>
      <c r="Q70" s="11"/>
      <c r="R70" s="11"/>
      <c r="S70" s="11"/>
      <c r="T70" s="11"/>
      <c r="U70" s="11"/>
      <c r="V70" s="11"/>
      <c r="W70" s="11"/>
      <c r="X70" s="303"/>
      <c r="Y70" s="303"/>
      <c r="Z70" s="303"/>
      <c r="AA70" s="303"/>
      <c r="AB70" s="291"/>
      <c r="AC70" s="303"/>
      <c r="AD70" s="303"/>
      <c r="AE70" s="303"/>
      <c r="AF70" s="308"/>
      <c r="AG70" s="303"/>
      <c r="AH70" s="303"/>
      <c r="AI70" s="309"/>
      <c r="AJ70" s="308"/>
      <c r="AK70" s="309"/>
      <c r="AL70" s="308"/>
    </row>
    <row r="71" spans="1:38" ht="13.5" customHeight="1" thickBot="1" x14ac:dyDescent="0.25">
      <c r="B71" s="294" t="s">
        <v>548</v>
      </c>
      <c r="C71" s="11"/>
      <c r="D71" s="11"/>
      <c r="E71" s="209"/>
      <c r="F71" s="210"/>
      <c r="G71" s="211" t="s">
        <v>623</v>
      </c>
      <c r="H71" s="211"/>
      <c r="I71" s="211" t="s">
        <v>626</v>
      </c>
      <c r="J71" s="211"/>
      <c r="K71" s="211" t="s">
        <v>631</v>
      </c>
      <c r="L71" s="319"/>
      <c r="M71" s="12"/>
      <c r="N71" s="12"/>
      <c r="O71" s="209" t="s">
        <v>644</v>
      </c>
      <c r="P71" s="209" t="s">
        <v>646</v>
      </c>
      <c r="Q71" s="221"/>
      <c r="R71" s="221" t="s">
        <v>650</v>
      </c>
      <c r="S71" s="220" t="s">
        <v>471</v>
      </c>
      <c r="T71" s="220" t="s">
        <v>471</v>
      </c>
      <c r="U71" s="220" t="s">
        <v>471</v>
      </c>
      <c r="V71" s="220" t="s">
        <v>471</v>
      </c>
      <c r="W71" s="11"/>
      <c r="X71" s="303"/>
      <c r="Y71" s="303"/>
      <c r="Z71" s="303"/>
      <c r="AA71" s="303"/>
      <c r="AB71" s="291"/>
      <c r="AC71" s="303"/>
      <c r="AD71" s="303"/>
      <c r="AE71" s="303"/>
      <c r="AF71" s="308"/>
      <c r="AG71" s="303"/>
      <c r="AH71" s="303"/>
      <c r="AI71" s="309"/>
      <c r="AJ71" s="308"/>
      <c r="AK71" s="309"/>
      <c r="AL71" s="308"/>
    </row>
    <row r="72" spans="1:38" ht="59.5" customHeight="1" thickBot="1" x14ac:dyDescent="0.25">
      <c r="B72" s="11" t="s">
        <v>674</v>
      </c>
      <c r="C72" s="11"/>
      <c r="D72" s="11"/>
      <c r="E72" s="209" t="s">
        <v>620</v>
      </c>
      <c r="F72" s="210" t="s">
        <v>619</v>
      </c>
      <c r="G72" s="211" t="s">
        <v>624</v>
      </c>
      <c r="H72" s="211"/>
      <c r="I72" s="211" t="s">
        <v>627</v>
      </c>
      <c r="J72" s="211"/>
      <c r="K72" s="211" t="s">
        <v>632</v>
      </c>
      <c r="L72" s="320"/>
      <c r="M72" s="216" t="s">
        <v>643</v>
      </c>
      <c r="N72" s="216" t="s">
        <v>644</v>
      </c>
      <c r="O72" s="217" t="s">
        <v>645</v>
      </c>
      <c r="P72" s="217" t="s">
        <v>647</v>
      </c>
      <c r="Q72" s="218" t="s">
        <v>648</v>
      </c>
      <c r="R72" s="218" t="s">
        <v>651</v>
      </c>
      <c r="S72" s="222" t="s">
        <v>506</v>
      </c>
      <c r="T72" s="222" t="s">
        <v>675</v>
      </c>
      <c r="U72" s="222" t="s">
        <v>504</v>
      </c>
      <c r="V72" s="222" t="s">
        <v>505</v>
      </c>
      <c r="W72" s="222" t="s">
        <v>517</v>
      </c>
      <c r="X72" s="303" t="s">
        <v>634</v>
      </c>
      <c r="Y72" s="303" t="s">
        <v>635</v>
      </c>
      <c r="Z72" s="303" t="s">
        <v>661</v>
      </c>
      <c r="AA72" s="303" t="s">
        <v>662</v>
      </c>
      <c r="AB72" s="307" t="s">
        <v>673</v>
      </c>
      <c r="AC72" s="303" t="s">
        <v>641</v>
      </c>
      <c r="AD72" s="303" t="s">
        <v>668</v>
      </c>
      <c r="AE72" s="303" t="s">
        <v>666</v>
      </c>
      <c r="AF72" s="308" t="s">
        <v>537</v>
      </c>
      <c r="AG72" s="303" t="s">
        <v>538</v>
      </c>
      <c r="AH72" s="303" t="s">
        <v>539</v>
      </c>
      <c r="AI72" s="309" t="s">
        <v>546</v>
      </c>
      <c r="AJ72" s="308" t="s">
        <v>514</v>
      </c>
      <c r="AK72" s="309" t="s">
        <v>515</v>
      </c>
      <c r="AL72" s="308" t="s">
        <v>547</v>
      </c>
    </row>
    <row r="73" spans="1:38" ht="14.5" customHeight="1" x14ac:dyDescent="0.2">
      <c r="B73" s="180" t="s">
        <v>549</v>
      </c>
      <c r="C73" s="184" t="s">
        <v>595</v>
      </c>
      <c r="D73" s="11" t="s">
        <v>597</v>
      </c>
      <c r="E73" s="188">
        <v>37.582909999999998</v>
      </c>
      <c r="F73" s="188">
        <v>140.59495000000001</v>
      </c>
      <c r="G73" s="196">
        <v>0.27</v>
      </c>
      <c r="I73" s="45" t="s">
        <v>490</v>
      </c>
      <c r="K73" s="197">
        <v>0.75</v>
      </c>
      <c r="L73" s="219">
        <v>43055</v>
      </c>
      <c r="M73" s="214" t="s">
        <v>598</v>
      </c>
      <c r="N73" s="214" t="s">
        <v>600</v>
      </c>
      <c r="O73" s="7">
        <f>8*30*24</f>
        <v>5760</v>
      </c>
      <c r="P73" s="214">
        <v>32</v>
      </c>
      <c r="Q73" s="215" t="s">
        <v>649</v>
      </c>
      <c r="R73" s="8" t="s">
        <v>652</v>
      </c>
      <c r="U73" s="214">
        <v>77</v>
      </c>
      <c r="V73" s="214">
        <v>905</v>
      </c>
      <c r="W73" s="212">
        <f>U73/V73</f>
        <v>8.5082872928176789E-2</v>
      </c>
      <c r="X73" s="200">
        <v>3.5961668022628502E-4</v>
      </c>
      <c r="Y73" s="200">
        <v>2.4093427574034001E-4</v>
      </c>
      <c r="Z73" s="198">
        <f>U73*X73</f>
        <v>2.7690484377423948E-2</v>
      </c>
      <c r="AA73" s="199">
        <f>V73*Y73</f>
        <v>0.2180455195450077</v>
      </c>
      <c r="AB73" s="117">
        <f t="shared" ref="AB73:AB117" si="45">Z73+AA73</f>
        <v>0.24573600392243164</v>
      </c>
      <c r="AC73" s="116">
        <f>Z73*O73/1000</f>
        <v>0.15949719001396193</v>
      </c>
      <c r="AD73" s="8">
        <v>0.17699999999999999</v>
      </c>
      <c r="AE73" s="116">
        <f>AA73*O73/1000</f>
        <v>1.2559421925792444</v>
      </c>
      <c r="AF73" s="198">
        <f>AD73+AE73</f>
        <v>1.4329421925792445</v>
      </c>
      <c r="AG73" s="235">
        <f>K73*O73/1000</f>
        <v>4.32</v>
      </c>
      <c r="AH73" s="119">
        <f t="shared" ref="AH73:AH117" si="46">(AF73/AG73)*100</f>
        <v>33.169958161556586</v>
      </c>
      <c r="AJ73" s="118">
        <f>AG73+AF73</f>
        <v>5.752942192579245</v>
      </c>
      <c r="AL73" s="120">
        <f>G73+Z73+AA73</f>
        <v>0.51573600392243168</v>
      </c>
    </row>
    <row r="74" spans="1:38" x14ac:dyDescent="0.2">
      <c r="B74" s="180" t="s">
        <v>550</v>
      </c>
      <c r="C74" s="184" t="s">
        <v>595</v>
      </c>
      <c r="D74" s="11" t="s">
        <v>597</v>
      </c>
      <c r="E74" s="188">
        <v>37.58567</v>
      </c>
      <c r="F74" s="188">
        <v>140.59799000000001</v>
      </c>
      <c r="G74" s="196">
        <v>0.31</v>
      </c>
      <c r="I74" s="45" t="s">
        <v>490</v>
      </c>
      <c r="K74" s="197">
        <v>0.75</v>
      </c>
      <c r="L74" s="194">
        <v>43055</v>
      </c>
      <c r="M74" s="184" t="s">
        <v>598</v>
      </c>
      <c r="N74" s="184" t="s">
        <v>600</v>
      </c>
      <c r="O74" s="7">
        <f>8*30*24</f>
        <v>5760</v>
      </c>
      <c r="P74" s="184">
        <v>37.5</v>
      </c>
      <c r="Q74" s="113" t="s">
        <v>649</v>
      </c>
      <c r="R74" s="8" t="s">
        <v>652</v>
      </c>
      <c r="U74" s="184">
        <v>86</v>
      </c>
      <c r="V74" s="184">
        <v>849</v>
      </c>
      <c r="W74" s="212">
        <f t="shared" ref="W74:W117" si="47">U74/V74</f>
        <v>0.10129564193168433</v>
      </c>
      <c r="X74" s="200">
        <v>3.5961668022628502E-4</v>
      </c>
      <c r="Y74" s="200">
        <v>2.4093427574034001E-4</v>
      </c>
      <c r="Z74" s="198">
        <f t="shared" ref="Z74:Z117" si="48">U74*X74</f>
        <v>3.092703449946051E-2</v>
      </c>
      <c r="AA74" s="199">
        <f t="shared" ref="AA74:AA117" si="49">V74*Y74</f>
        <v>0.20455320010354866</v>
      </c>
      <c r="AB74" s="117">
        <f t="shared" si="45"/>
        <v>0.23548023460300918</v>
      </c>
      <c r="AC74" s="116">
        <f>Z74*O74/1000</f>
        <v>0.17813971871689252</v>
      </c>
      <c r="AD74" s="8">
        <v>0.19800000000000001</v>
      </c>
      <c r="AE74" s="116">
        <f>AA74*O74/1000</f>
        <v>1.1782264325964402</v>
      </c>
      <c r="AF74" s="198">
        <f t="shared" ref="AF74:AF117" si="50">AD74+AE74</f>
        <v>1.3762264325964402</v>
      </c>
      <c r="AG74" s="235">
        <f>K74*O74/1000</f>
        <v>4.32</v>
      </c>
      <c r="AH74" s="119">
        <f t="shared" si="46"/>
        <v>31.857093347139813</v>
      </c>
      <c r="AJ74" s="118">
        <f t="shared" ref="AJ74:AJ117" si="51">AG74+AF74</f>
        <v>5.6962264325964407</v>
      </c>
      <c r="AL74" s="120">
        <f>G74+Z74+AA74</f>
        <v>0.54548023460300921</v>
      </c>
    </row>
    <row r="75" spans="1:38" x14ac:dyDescent="0.2">
      <c r="B75" s="180" t="s">
        <v>551</v>
      </c>
      <c r="C75" s="184" t="s">
        <v>595</v>
      </c>
      <c r="D75" s="11" t="s">
        <v>597</v>
      </c>
      <c r="E75" s="188">
        <v>37.640650000000001</v>
      </c>
      <c r="F75" s="188">
        <v>140.54303999999999</v>
      </c>
      <c r="G75" s="196">
        <v>0.38</v>
      </c>
      <c r="I75" s="45" t="s">
        <v>628</v>
      </c>
      <c r="K75" s="197">
        <v>0.35</v>
      </c>
      <c r="L75" s="194">
        <v>43055</v>
      </c>
      <c r="M75" s="184" t="s">
        <v>598</v>
      </c>
      <c r="N75" s="184" t="s">
        <v>601</v>
      </c>
      <c r="O75" s="7">
        <f>15*30*24</f>
        <v>10800</v>
      </c>
      <c r="P75" s="184">
        <v>45.5</v>
      </c>
      <c r="Q75" s="113" t="s">
        <v>649</v>
      </c>
      <c r="R75" s="8" t="s">
        <v>652</v>
      </c>
      <c r="U75" s="184">
        <v>119</v>
      </c>
      <c r="V75" s="184">
        <v>1060</v>
      </c>
      <c r="W75" s="212">
        <f t="shared" si="47"/>
        <v>0.11226415094339623</v>
      </c>
      <c r="X75" s="200">
        <v>4.7119091619184003E-4</v>
      </c>
      <c r="Y75" s="200">
        <v>2.8196803083546201E-4</v>
      </c>
      <c r="Z75" s="198">
        <f t="shared" si="48"/>
        <v>5.6071719026828962E-2</v>
      </c>
      <c r="AA75" s="199">
        <f t="shared" si="49"/>
        <v>0.29888611268558973</v>
      </c>
      <c r="AB75" s="117">
        <f t="shared" si="45"/>
        <v>0.35495783171241868</v>
      </c>
      <c r="AC75" s="116">
        <f>Z75*O75/1000</f>
        <v>0.60557456548975275</v>
      </c>
      <c r="AD75" s="8">
        <v>0.749</v>
      </c>
      <c r="AE75" s="116">
        <f>AA75*O75/1000</f>
        <v>3.2279700170043695</v>
      </c>
      <c r="AF75" s="198">
        <f t="shared" si="50"/>
        <v>3.9769700170043696</v>
      </c>
      <c r="AG75" s="235">
        <f>K75*O75/1000</f>
        <v>3.7799999999999994</v>
      </c>
      <c r="AH75" s="119">
        <f t="shared" si="46"/>
        <v>105.21084701069763</v>
      </c>
      <c r="AJ75" s="118">
        <f t="shared" si="51"/>
        <v>7.7569700170043685</v>
      </c>
      <c r="AL75" s="120">
        <f>G75+Z75+AA75</f>
        <v>0.73495783171241869</v>
      </c>
    </row>
    <row r="76" spans="1:38" x14ac:dyDescent="0.2">
      <c r="B76" s="180" t="s">
        <v>552</v>
      </c>
      <c r="C76" s="184" t="s">
        <v>595</v>
      </c>
      <c r="D76" s="11" t="s">
        <v>597</v>
      </c>
      <c r="E76" s="188">
        <v>37.625520000000002</v>
      </c>
      <c r="F76" s="188">
        <v>140.56399999999999</v>
      </c>
      <c r="G76" s="196">
        <v>0.15</v>
      </c>
      <c r="I76" s="45" t="s">
        <v>628</v>
      </c>
      <c r="K76" s="197">
        <v>0.35</v>
      </c>
      <c r="L76" s="194">
        <v>43055</v>
      </c>
      <c r="M76" s="184" t="s">
        <v>598</v>
      </c>
      <c r="N76" s="184" t="s">
        <v>600</v>
      </c>
      <c r="O76" s="7">
        <f>8*30*24</f>
        <v>5760</v>
      </c>
      <c r="P76" s="184">
        <v>36.200000000000003</v>
      </c>
      <c r="Q76" s="113" t="s">
        <v>649</v>
      </c>
      <c r="R76" s="8" t="s">
        <v>652</v>
      </c>
      <c r="U76" s="184">
        <v>1300</v>
      </c>
      <c r="V76" s="184">
        <v>11700</v>
      </c>
      <c r="W76" s="212">
        <f t="shared" si="47"/>
        <v>0.1111111111111111</v>
      </c>
      <c r="X76" s="200">
        <v>3.5961668022628502E-4</v>
      </c>
      <c r="Y76" s="200">
        <v>2.4093427574034001E-4</v>
      </c>
      <c r="Z76" s="198">
        <f t="shared" si="48"/>
        <v>0.46750168429417049</v>
      </c>
      <c r="AA76" s="199">
        <f t="shared" si="49"/>
        <v>2.818931026161978</v>
      </c>
      <c r="AB76" s="117">
        <f t="shared" si="45"/>
        <v>3.2864327104561486</v>
      </c>
      <c r="AC76" s="116">
        <f>Z76*O76/1000</f>
        <v>2.6928097015344221</v>
      </c>
      <c r="AD76" s="8">
        <v>3.0059999999999998</v>
      </c>
      <c r="AE76" s="116">
        <f>AA76*O76/1000</f>
        <v>16.237042710692993</v>
      </c>
      <c r="AF76" s="198">
        <f t="shared" si="50"/>
        <v>19.243042710692993</v>
      </c>
      <c r="AG76" s="235">
        <f>K76*O76/1000</f>
        <v>2.0159999999999996</v>
      </c>
      <c r="AH76" s="119">
        <f t="shared" si="46"/>
        <v>954.51600747485111</v>
      </c>
      <c r="AJ76" s="118">
        <f t="shared" si="51"/>
        <v>21.259042710692992</v>
      </c>
      <c r="AL76" s="120">
        <f>G76+Z76+AA76</f>
        <v>3.4364327104561485</v>
      </c>
    </row>
    <row r="77" spans="1:38" x14ac:dyDescent="0.2">
      <c r="B77" s="180" t="s">
        <v>553</v>
      </c>
      <c r="C77" s="184" t="s">
        <v>595</v>
      </c>
      <c r="D77" s="11" t="s">
        <v>597</v>
      </c>
      <c r="E77" s="188">
        <v>37.613599999999998</v>
      </c>
      <c r="F77" s="188">
        <v>140.58242000000001</v>
      </c>
      <c r="G77" s="196" t="s">
        <v>621</v>
      </c>
      <c r="I77" s="45" t="s">
        <v>490</v>
      </c>
      <c r="K77" s="197">
        <v>0.75</v>
      </c>
      <c r="L77" s="194">
        <v>43055</v>
      </c>
      <c r="M77" s="184" t="s">
        <v>599</v>
      </c>
      <c r="N77" s="184" t="s">
        <v>600</v>
      </c>
      <c r="O77" s="7">
        <f>8*30*24</f>
        <v>5760</v>
      </c>
      <c r="P77" s="184">
        <v>35.200000000000003</v>
      </c>
      <c r="Q77" s="113" t="s">
        <v>649</v>
      </c>
      <c r="R77" s="8" t="s">
        <v>652</v>
      </c>
      <c r="U77" s="180">
        <v>357</v>
      </c>
      <c r="V77" s="180">
        <v>3220</v>
      </c>
      <c r="W77" s="212">
        <f t="shared" si="47"/>
        <v>0.1108695652173913</v>
      </c>
      <c r="X77" s="200">
        <v>3.5961668022628502E-4</v>
      </c>
      <c r="Y77" s="200">
        <v>2.4093427574034001E-4</v>
      </c>
      <c r="Z77" s="198">
        <f t="shared" si="48"/>
        <v>0.12838315484078375</v>
      </c>
      <c r="AA77" s="199">
        <f t="shared" si="49"/>
        <v>0.77580836788389484</v>
      </c>
      <c r="AB77" s="117">
        <f t="shared" si="45"/>
        <v>0.90419152272467862</v>
      </c>
      <c r="AC77" s="116">
        <f>Z77*O77/1000</f>
        <v>0.73948697188291446</v>
      </c>
      <c r="AD77" s="8">
        <v>0.82499999999999996</v>
      </c>
      <c r="AE77" s="116">
        <f>AA77*O77/1000</f>
        <v>4.4686561990112343</v>
      </c>
      <c r="AF77" s="198">
        <f t="shared" si="50"/>
        <v>5.2936561990112345</v>
      </c>
      <c r="AG77" s="235">
        <f>K77*O77/1000</f>
        <v>4.32</v>
      </c>
      <c r="AH77" s="119">
        <f t="shared" si="46"/>
        <v>122.53833794007487</v>
      </c>
      <c r="AJ77" s="118">
        <f t="shared" si="51"/>
        <v>9.6136561990112348</v>
      </c>
      <c r="AL77" s="120" t="s">
        <v>471</v>
      </c>
    </row>
    <row r="78" spans="1:38" x14ac:dyDescent="0.2">
      <c r="B78" s="180" t="s">
        <v>554</v>
      </c>
      <c r="C78" s="184" t="s">
        <v>595</v>
      </c>
      <c r="D78" s="11" t="s">
        <v>597</v>
      </c>
      <c r="E78" s="188">
        <v>37.531610000000001</v>
      </c>
      <c r="F78" s="188">
        <v>140.6249</v>
      </c>
      <c r="G78" s="196">
        <v>0.17</v>
      </c>
      <c r="I78" s="45" t="s">
        <v>628</v>
      </c>
      <c r="K78" s="197">
        <v>0.35</v>
      </c>
      <c r="L78" s="194">
        <v>43055</v>
      </c>
      <c r="M78" s="184" t="s">
        <v>599</v>
      </c>
      <c r="N78" s="184">
        <v>1.25</v>
      </c>
      <c r="O78" s="7">
        <f>15*30*24</f>
        <v>10800</v>
      </c>
      <c r="P78" s="184">
        <v>31.2</v>
      </c>
      <c r="Q78" s="113" t="s">
        <v>649</v>
      </c>
      <c r="R78" s="8" t="s">
        <v>652</v>
      </c>
      <c r="U78" s="184">
        <v>164</v>
      </c>
      <c r="V78" s="184">
        <v>1770</v>
      </c>
      <c r="W78" s="212">
        <f t="shared" si="47"/>
        <v>9.2655367231638419E-2</v>
      </c>
      <c r="X78" s="200">
        <v>3.5961668022628502E-4</v>
      </c>
      <c r="Y78" s="200">
        <v>2.4093427574034001E-4</v>
      </c>
      <c r="Z78" s="198">
        <f t="shared" si="48"/>
        <v>5.8977135557110739E-2</v>
      </c>
      <c r="AA78" s="199">
        <f t="shared" si="49"/>
        <v>0.4264536680604018</v>
      </c>
      <c r="AB78" s="117">
        <f t="shared" si="45"/>
        <v>0.48543080361751256</v>
      </c>
      <c r="AC78" s="116">
        <f>Z78*O78/1000</f>
        <v>0.63695306401679597</v>
      </c>
      <c r="AD78" s="8">
        <v>0.78800000000000003</v>
      </c>
      <c r="AE78" s="116">
        <f>AA78*O78/1000</f>
        <v>4.6056996150523393</v>
      </c>
      <c r="AF78" s="198">
        <f t="shared" si="50"/>
        <v>5.3936996150523395</v>
      </c>
      <c r="AG78" s="235">
        <f>K78*O78/1000</f>
        <v>3.7799999999999994</v>
      </c>
      <c r="AH78" s="119">
        <f t="shared" si="46"/>
        <v>142.69046600667568</v>
      </c>
      <c r="AJ78" s="118">
        <f t="shared" si="51"/>
        <v>9.1736996150523389</v>
      </c>
      <c r="AL78" s="120">
        <f>G78+Z78+AA78</f>
        <v>0.65543080361751249</v>
      </c>
    </row>
    <row r="79" spans="1:38" x14ac:dyDescent="0.2">
      <c r="B79" s="180" t="s">
        <v>555</v>
      </c>
      <c r="C79" s="184" t="s">
        <v>595</v>
      </c>
      <c r="D79" s="11" t="s">
        <v>597</v>
      </c>
      <c r="E79" s="188">
        <v>37.604939999999999</v>
      </c>
      <c r="F79" s="188">
        <v>140.60372000000001</v>
      </c>
      <c r="G79" s="196">
        <v>0.48</v>
      </c>
      <c r="I79" s="45" t="s">
        <v>490</v>
      </c>
      <c r="K79" s="197">
        <v>0.75</v>
      </c>
      <c r="L79" s="194">
        <v>42312</v>
      </c>
      <c r="M79" s="184" t="s">
        <v>599</v>
      </c>
      <c r="N79" s="184" t="s">
        <v>602</v>
      </c>
      <c r="O79" s="7">
        <f>36*30*24</f>
        <v>25920</v>
      </c>
      <c r="P79" s="184">
        <v>56</v>
      </c>
      <c r="Q79" s="113" t="s">
        <v>649</v>
      </c>
      <c r="R79" s="8" t="s">
        <v>652</v>
      </c>
      <c r="U79" s="184">
        <v>449</v>
      </c>
      <c r="V79" s="184">
        <v>4410</v>
      </c>
      <c r="W79" s="212">
        <f t="shared" si="47"/>
        <v>0.1018140589569161</v>
      </c>
      <c r="X79" s="200">
        <v>4.7119091619184003E-4</v>
      </c>
      <c r="Y79" s="200">
        <v>2.8196803083546201E-4</v>
      </c>
      <c r="Z79" s="198">
        <f t="shared" si="48"/>
        <v>0.21156472137013618</v>
      </c>
      <c r="AA79" s="199">
        <f t="shared" si="49"/>
        <v>1.2434790159843874</v>
      </c>
      <c r="AB79" s="117">
        <f t="shared" si="45"/>
        <v>1.4550437373545235</v>
      </c>
      <c r="AC79" s="116">
        <f>Z79*O79/1000</f>
        <v>5.4837575779139298</v>
      </c>
      <c r="AD79" s="8">
        <v>9.2750000000000004</v>
      </c>
      <c r="AE79" s="116">
        <f>AA79*O79/1000</f>
        <v>32.230976094315317</v>
      </c>
      <c r="AF79" s="198">
        <f t="shared" si="50"/>
        <v>41.505976094315315</v>
      </c>
      <c r="AG79" s="235">
        <f>K79*O79/1000</f>
        <v>19.440000000000001</v>
      </c>
      <c r="AH79" s="119">
        <f t="shared" si="46"/>
        <v>213.50810748104584</v>
      </c>
      <c r="AJ79" s="118">
        <f t="shared" si="51"/>
        <v>60.945976094315313</v>
      </c>
      <c r="AL79" s="120">
        <f>G79+Z79+AA79</f>
        <v>1.9350437373545235</v>
      </c>
    </row>
    <row r="80" spans="1:38" x14ac:dyDescent="0.2">
      <c r="B80" s="180" t="s">
        <v>556</v>
      </c>
      <c r="C80" s="184" t="s">
        <v>595</v>
      </c>
      <c r="D80" s="11" t="s">
        <v>597</v>
      </c>
      <c r="E80" s="188">
        <v>37.563600000000001</v>
      </c>
      <c r="F80" s="188">
        <v>140.63312999999999</v>
      </c>
      <c r="G80" s="196">
        <v>0.35</v>
      </c>
      <c r="I80" s="45" t="s">
        <v>490</v>
      </c>
      <c r="K80" s="197">
        <v>0.75</v>
      </c>
      <c r="L80" s="194">
        <v>42312</v>
      </c>
      <c r="M80" s="184" t="s">
        <v>599</v>
      </c>
      <c r="N80" s="184" t="s">
        <v>602</v>
      </c>
      <c r="O80" s="7">
        <f>36*30*24</f>
        <v>25920</v>
      </c>
      <c r="P80" s="184">
        <v>50.1</v>
      </c>
      <c r="Q80" s="113" t="s">
        <v>649</v>
      </c>
      <c r="R80" s="8" t="s">
        <v>652</v>
      </c>
      <c r="U80" s="184">
        <v>34</v>
      </c>
      <c r="V80" s="184">
        <v>322</v>
      </c>
      <c r="W80" s="212">
        <f t="shared" si="47"/>
        <v>0.10559006211180125</v>
      </c>
      <c r="X80" s="200">
        <v>4.7119091619184003E-4</v>
      </c>
      <c r="Y80" s="200">
        <v>2.8196803083546201E-4</v>
      </c>
      <c r="Z80" s="198">
        <f t="shared" si="48"/>
        <v>1.6020491150522561E-2</v>
      </c>
      <c r="AA80" s="199">
        <f t="shared" si="49"/>
        <v>9.0793705929018767E-2</v>
      </c>
      <c r="AB80" s="117">
        <f t="shared" si="45"/>
        <v>0.10681419707954133</v>
      </c>
      <c r="AC80" s="116">
        <f>Z80*O80/1000</f>
        <v>0.41525113062154478</v>
      </c>
      <c r="AD80" s="8">
        <v>0.69399999999999995</v>
      </c>
      <c r="AE80" s="116">
        <f>AA80*O80/1000</f>
        <v>2.3533728576801662</v>
      </c>
      <c r="AF80" s="198">
        <f t="shared" si="50"/>
        <v>3.0473728576801662</v>
      </c>
      <c r="AG80" s="235">
        <f>K80*O80/1000</f>
        <v>19.440000000000001</v>
      </c>
      <c r="AH80" s="119">
        <f t="shared" si="46"/>
        <v>15.675786304939127</v>
      </c>
      <c r="AJ80" s="118">
        <f t="shared" si="51"/>
        <v>22.487372857680167</v>
      </c>
      <c r="AL80" s="120">
        <f>G80+Z80+AA80</f>
        <v>0.4568141970795413</v>
      </c>
    </row>
    <row r="81" spans="2:38" x14ac:dyDescent="0.2">
      <c r="B81" s="180" t="s">
        <v>557</v>
      </c>
      <c r="C81" s="184" t="s">
        <v>595</v>
      </c>
      <c r="D81" s="11" t="s">
        <v>597</v>
      </c>
      <c r="E81" s="188">
        <v>37.611539999999998</v>
      </c>
      <c r="F81" s="188">
        <v>140.59276</v>
      </c>
      <c r="G81" s="196">
        <v>0.22</v>
      </c>
      <c r="I81" s="45" t="s">
        <v>490</v>
      </c>
      <c r="K81" s="197">
        <v>0.75</v>
      </c>
      <c r="L81" s="194">
        <v>43055</v>
      </c>
      <c r="M81" s="184" t="s">
        <v>598</v>
      </c>
      <c r="N81" s="184" t="s">
        <v>600</v>
      </c>
      <c r="O81" s="7">
        <f>8*30*24</f>
        <v>5760</v>
      </c>
      <c r="P81" s="184">
        <v>40.5</v>
      </c>
      <c r="Q81" s="113" t="s">
        <v>649</v>
      </c>
      <c r="R81" s="8" t="s">
        <v>652</v>
      </c>
      <c r="U81" s="184">
        <v>201</v>
      </c>
      <c r="V81" s="184">
        <v>1950</v>
      </c>
      <c r="W81" s="212">
        <f t="shared" si="47"/>
        <v>0.10307692307692308</v>
      </c>
      <c r="X81" s="200">
        <v>4.7119091619184003E-4</v>
      </c>
      <c r="Y81" s="200">
        <v>2.8196803083546201E-4</v>
      </c>
      <c r="Z81" s="198">
        <f t="shared" si="48"/>
        <v>9.470937415455985E-2</v>
      </c>
      <c r="AA81" s="199">
        <f t="shared" si="49"/>
        <v>0.54983766012915092</v>
      </c>
      <c r="AB81" s="117">
        <f t="shared" si="45"/>
        <v>0.64454703428371074</v>
      </c>
      <c r="AC81" s="116">
        <f>Z81*O81/1000</f>
        <v>0.54552599513026478</v>
      </c>
      <c r="AD81" s="8">
        <v>0.60799999999999998</v>
      </c>
      <c r="AE81" s="116">
        <f>AA81*O81/1000</f>
        <v>3.1670649223439091</v>
      </c>
      <c r="AF81" s="198">
        <f t="shared" si="50"/>
        <v>3.7750649223439092</v>
      </c>
      <c r="AG81" s="235">
        <f>K81*O81/1000</f>
        <v>4.32</v>
      </c>
      <c r="AH81" s="119">
        <f t="shared" si="46"/>
        <v>87.385762091294197</v>
      </c>
      <c r="AJ81" s="118">
        <f t="shared" si="51"/>
        <v>8.0950649223439086</v>
      </c>
      <c r="AL81" s="120">
        <f>G81+Z81+AA81</f>
        <v>0.86454703428371071</v>
      </c>
    </row>
    <row r="82" spans="2:38" x14ac:dyDescent="0.2">
      <c r="B82" s="180" t="s">
        <v>558</v>
      </c>
      <c r="C82" s="184" t="s">
        <v>595</v>
      </c>
      <c r="D82" s="11" t="s">
        <v>597</v>
      </c>
      <c r="E82" s="188">
        <v>37.64141</v>
      </c>
      <c r="F82" s="188">
        <v>140.55642</v>
      </c>
      <c r="G82" s="196">
        <v>0.46</v>
      </c>
      <c r="I82" s="45" t="s">
        <v>628</v>
      </c>
      <c r="K82" s="197">
        <v>0.35</v>
      </c>
      <c r="L82" s="194">
        <v>42692</v>
      </c>
      <c r="M82" s="184" t="s">
        <v>599</v>
      </c>
      <c r="N82" s="184" t="s">
        <v>603</v>
      </c>
      <c r="O82" s="7">
        <f>18*30*24</f>
        <v>12960</v>
      </c>
      <c r="P82" s="184">
        <v>51</v>
      </c>
      <c r="Q82" s="113" t="s">
        <v>649</v>
      </c>
      <c r="R82" s="8" t="s">
        <v>652</v>
      </c>
      <c r="U82" s="184">
        <v>55</v>
      </c>
      <c r="V82" s="184">
        <v>616</v>
      </c>
      <c r="W82" s="212">
        <f t="shared" si="47"/>
        <v>8.9285714285714288E-2</v>
      </c>
      <c r="X82" s="200">
        <v>4.7119091619184003E-4</v>
      </c>
      <c r="Y82" s="200">
        <v>2.8196803083546201E-4</v>
      </c>
      <c r="Z82" s="198">
        <f t="shared" si="48"/>
        <v>2.59155003905512E-2</v>
      </c>
      <c r="AA82" s="199">
        <f t="shared" si="49"/>
        <v>0.17369230699464461</v>
      </c>
      <c r="AB82" s="117">
        <f t="shared" si="45"/>
        <v>0.19960780738519582</v>
      </c>
      <c r="AC82" s="116">
        <f>Z82*O82/1000</f>
        <v>0.33586488506154355</v>
      </c>
      <c r="AD82" s="8">
        <v>0.43099999999999999</v>
      </c>
      <c r="AE82" s="116">
        <f>AA82*O82/1000</f>
        <v>2.2510522986505941</v>
      </c>
      <c r="AF82" s="198">
        <f t="shared" si="50"/>
        <v>2.6820522986505941</v>
      </c>
      <c r="AG82" s="235">
        <f>K82*O82/1000</f>
        <v>4.5359999999999996</v>
      </c>
      <c r="AH82" s="119">
        <f t="shared" si="46"/>
        <v>59.128137095471658</v>
      </c>
      <c r="AJ82" s="118">
        <f t="shared" si="51"/>
        <v>7.2180522986505942</v>
      </c>
      <c r="AL82" s="120">
        <f>G82+Z82+AA82</f>
        <v>0.65960780738519587</v>
      </c>
    </row>
    <row r="83" spans="2:38" x14ac:dyDescent="0.2">
      <c r="B83" s="181" t="s">
        <v>559</v>
      </c>
      <c r="C83" s="185" t="s">
        <v>72</v>
      </c>
      <c r="D83" s="11" t="s">
        <v>597</v>
      </c>
      <c r="E83" s="189">
        <v>37.47842</v>
      </c>
      <c r="F83" s="189">
        <v>140.98401000000001</v>
      </c>
      <c r="G83" s="196">
        <v>3.4</v>
      </c>
      <c r="I83" s="45" t="s">
        <v>488</v>
      </c>
      <c r="K83" s="197">
        <v>2.85</v>
      </c>
      <c r="L83" s="194">
        <v>43055</v>
      </c>
      <c r="M83" s="185" t="s">
        <v>598</v>
      </c>
      <c r="N83" s="185" t="s">
        <v>601</v>
      </c>
      <c r="O83" s="7">
        <f>15*30*24</f>
        <v>10800</v>
      </c>
      <c r="P83" s="185">
        <v>24.4</v>
      </c>
      <c r="Q83" s="113" t="s">
        <v>649</v>
      </c>
      <c r="R83" s="8" t="s">
        <v>652</v>
      </c>
      <c r="U83" s="185">
        <v>90</v>
      </c>
      <c r="V83" s="185">
        <v>1120</v>
      </c>
      <c r="W83" s="212">
        <f t="shared" si="47"/>
        <v>8.0357142857142863E-2</v>
      </c>
      <c r="X83" s="200">
        <v>3.5961668022628502E-4</v>
      </c>
      <c r="Y83" s="200">
        <v>2.4093427574034001E-4</v>
      </c>
      <c r="Z83" s="198">
        <f t="shared" si="48"/>
        <v>3.2365501220365654E-2</v>
      </c>
      <c r="AA83" s="199">
        <f t="shared" si="49"/>
        <v>0.26984638882918083</v>
      </c>
      <c r="AB83" s="117">
        <f t="shared" si="45"/>
        <v>0.30221189004954646</v>
      </c>
      <c r="AC83" s="116">
        <f>Z83*O83/1000</f>
        <v>0.34954741317994903</v>
      </c>
      <c r="AD83" s="8">
        <v>0.433</v>
      </c>
      <c r="AE83" s="116">
        <f>AA83*O83/1000</f>
        <v>2.914340999355153</v>
      </c>
      <c r="AF83" s="198">
        <f t="shared" si="50"/>
        <v>3.3473409993551528</v>
      </c>
      <c r="AG83" s="235">
        <f>K83*O83/1000</f>
        <v>30.78</v>
      </c>
      <c r="AH83" s="119">
        <f t="shared" si="46"/>
        <v>10.875051979711348</v>
      </c>
      <c r="AJ83" s="118">
        <f t="shared" si="51"/>
        <v>34.127340999355155</v>
      </c>
      <c r="AL83" s="120">
        <f>G83+Z83+AA83</f>
        <v>3.7022118900495462</v>
      </c>
    </row>
    <row r="84" spans="2:38" x14ac:dyDescent="0.2">
      <c r="B84" s="180" t="s">
        <v>560</v>
      </c>
      <c r="C84" s="184" t="s">
        <v>595</v>
      </c>
      <c r="D84" s="11" t="s">
        <v>597</v>
      </c>
      <c r="E84" s="188">
        <v>37.580719999999999</v>
      </c>
      <c r="F84" s="188">
        <v>140.68182999999999</v>
      </c>
      <c r="G84" s="196">
        <v>0.27</v>
      </c>
      <c r="I84" s="45" t="s">
        <v>628</v>
      </c>
      <c r="K84" s="197">
        <v>0.35</v>
      </c>
      <c r="L84" s="194">
        <v>43055</v>
      </c>
      <c r="M84" s="184" t="s">
        <v>598</v>
      </c>
      <c r="N84" s="184" t="s">
        <v>601</v>
      </c>
      <c r="O84" s="7">
        <f>15*30*24</f>
        <v>10800</v>
      </c>
      <c r="P84" s="184">
        <v>34.799999999999997</v>
      </c>
      <c r="Q84" s="113" t="s">
        <v>649</v>
      </c>
      <c r="R84" s="8" t="s">
        <v>652</v>
      </c>
      <c r="U84" s="184">
        <v>283</v>
      </c>
      <c r="V84" s="184">
        <v>2280</v>
      </c>
      <c r="W84" s="212">
        <f t="shared" si="47"/>
        <v>0.12412280701754386</v>
      </c>
      <c r="X84" s="200">
        <v>3.5961668022628502E-4</v>
      </c>
      <c r="Y84" s="200">
        <v>2.4093427574034001E-4</v>
      </c>
      <c r="Z84" s="198">
        <f t="shared" si="48"/>
        <v>0.10177152050403866</v>
      </c>
      <c r="AA84" s="199">
        <f t="shared" si="49"/>
        <v>0.54933014868797525</v>
      </c>
      <c r="AB84" s="117">
        <f t="shared" si="45"/>
        <v>0.65110166919201395</v>
      </c>
      <c r="AC84" s="116">
        <f>Z84*O84/1000</f>
        <v>1.0991324214436176</v>
      </c>
      <c r="AD84" s="8">
        <v>1.3540000000000001</v>
      </c>
      <c r="AE84" s="116">
        <f>AA84*O84/1000</f>
        <v>5.9327656058301326</v>
      </c>
      <c r="AF84" s="198">
        <f t="shared" si="50"/>
        <v>7.2867656058301327</v>
      </c>
      <c r="AG84" s="235">
        <f>K84*O84/1000</f>
        <v>3.7799999999999994</v>
      </c>
      <c r="AH84" s="119">
        <f t="shared" si="46"/>
        <v>192.77157687381305</v>
      </c>
      <c r="AJ84" s="118">
        <f t="shared" si="51"/>
        <v>11.066765605830131</v>
      </c>
      <c r="AL84" s="120">
        <f>G84+Z84+AA84</f>
        <v>0.92110166919201397</v>
      </c>
    </row>
    <row r="85" spans="2:38" x14ac:dyDescent="0.2">
      <c r="B85" s="181" t="s">
        <v>561</v>
      </c>
      <c r="C85" s="185" t="s">
        <v>72</v>
      </c>
      <c r="D85" s="11" t="s">
        <v>597</v>
      </c>
      <c r="E85" s="189">
        <v>37.470100000000002</v>
      </c>
      <c r="F85" s="189">
        <v>140.97720000000001</v>
      </c>
      <c r="G85" s="196">
        <v>1.3</v>
      </c>
      <c r="I85" s="45" t="s">
        <v>488</v>
      </c>
      <c r="K85" s="197">
        <v>2.85</v>
      </c>
      <c r="L85" s="194">
        <v>42692</v>
      </c>
      <c r="M85" s="185" t="s">
        <v>598</v>
      </c>
      <c r="N85" s="185" t="s">
        <v>603</v>
      </c>
      <c r="O85" s="7">
        <f>18*30*24</f>
        <v>12960</v>
      </c>
      <c r="P85" s="185">
        <v>36.299999999999997</v>
      </c>
      <c r="Q85" s="113" t="s">
        <v>649</v>
      </c>
      <c r="R85" s="8" t="s">
        <v>652</v>
      </c>
      <c r="U85" s="185">
        <v>482</v>
      </c>
      <c r="V85" s="185">
        <v>4770</v>
      </c>
      <c r="W85" s="212">
        <f t="shared" si="47"/>
        <v>0.1010482180293501</v>
      </c>
      <c r="X85" s="200">
        <v>3.5961668022628502E-4</v>
      </c>
      <c r="Y85" s="200">
        <v>2.4093427574034001E-4</v>
      </c>
      <c r="Z85" s="198">
        <f t="shared" si="48"/>
        <v>0.17333523986906937</v>
      </c>
      <c r="AA85" s="199">
        <f t="shared" si="49"/>
        <v>1.1492564952814219</v>
      </c>
      <c r="AB85" s="117">
        <f t="shared" si="45"/>
        <v>1.3225917351504912</v>
      </c>
      <c r="AC85" s="116">
        <f>Z85*O85/1000</f>
        <v>2.246424708703139</v>
      </c>
      <c r="AD85" s="8">
        <v>2.8929999999999998</v>
      </c>
      <c r="AE85" s="116">
        <f>AA85*O85/1000</f>
        <v>14.894364178847228</v>
      </c>
      <c r="AF85" s="198">
        <f t="shared" si="50"/>
        <v>17.787364178847227</v>
      </c>
      <c r="AG85" s="235">
        <f>K85*O85/1000</f>
        <v>36.936</v>
      </c>
      <c r="AH85" s="119">
        <f t="shared" si="46"/>
        <v>48.157256278013932</v>
      </c>
      <c r="AJ85" s="118">
        <f t="shared" si="51"/>
        <v>54.723364178847227</v>
      </c>
      <c r="AL85" s="120">
        <f>G85+Z85+AA85</f>
        <v>2.6225917351504915</v>
      </c>
    </row>
    <row r="86" spans="2:38" x14ac:dyDescent="0.2">
      <c r="B86" s="181" t="s">
        <v>562</v>
      </c>
      <c r="C86" s="185" t="s">
        <v>72</v>
      </c>
      <c r="D86" s="11" t="s">
        <v>597</v>
      </c>
      <c r="E86" s="189">
        <v>37.465359999999997</v>
      </c>
      <c r="F86" s="189">
        <v>140.92337000000001</v>
      </c>
      <c r="G86" s="196">
        <v>9.5</v>
      </c>
      <c r="I86" s="45" t="s">
        <v>491</v>
      </c>
      <c r="K86" s="197">
        <v>14.25</v>
      </c>
      <c r="L86" s="194">
        <v>43055</v>
      </c>
      <c r="M86" s="185" t="s">
        <v>599</v>
      </c>
      <c r="N86" s="185" t="s">
        <v>604</v>
      </c>
      <c r="O86" s="7">
        <f>12*30*24</f>
        <v>8640</v>
      </c>
      <c r="P86" s="185">
        <v>23.5</v>
      </c>
      <c r="Q86" s="113" t="s">
        <v>649</v>
      </c>
      <c r="R86" s="8" t="s">
        <v>652</v>
      </c>
      <c r="U86" s="185">
        <v>522</v>
      </c>
      <c r="V86" s="185">
        <v>5050</v>
      </c>
      <c r="W86" s="212">
        <f t="shared" si="47"/>
        <v>0.10336633663366336</v>
      </c>
      <c r="X86" s="200">
        <v>3.5961668022628502E-4</v>
      </c>
      <c r="Y86" s="200">
        <v>2.4093427574034001E-4</v>
      </c>
      <c r="Z86" s="198">
        <f t="shared" si="48"/>
        <v>0.18771990707812078</v>
      </c>
      <c r="AA86" s="199">
        <f t="shared" si="49"/>
        <v>1.2167180924887171</v>
      </c>
      <c r="AB86" s="117">
        <f t="shared" si="45"/>
        <v>1.4044379995668379</v>
      </c>
      <c r="AC86" s="116">
        <f>Z86*O86/1000</f>
        <v>1.6218999971549635</v>
      </c>
      <c r="AD86" s="8">
        <v>1.917</v>
      </c>
      <c r="AE86" s="116">
        <f>AA86*O86/1000</f>
        <v>10.512444319102517</v>
      </c>
      <c r="AF86" s="198">
        <f t="shared" si="50"/>
        <v>12.429444319102517</v>
      </c>
      <c r="AG86" s="235">
        <f>K86*O86/1000</f>
        <v>123.12</v>
      </c>
      <c r="AH86" s="119">
        <f t="shared" si="46"/>
        <v>10.09539012272784</v>
      </c>
      <c r="AJ86" s="118">
        <f t="shared" si="51"/>
        <v>135.54944431910252</v>
      </c>
      <c r="AL86" s="120">
        <f>G86+Z86+AA86</f>
        <v>10.904437999566838</v>
      </c>
    </row>
    <row r="87" spans="2:38" x14ac:dyDescent="0.2">
      <c r="B87" s="181" t="s">
        <v>563</v>
      </c>
      <c r="C87" s="185" t="s">
        <v>72</v>
      </c>
      <c r="D87" s="11" t="s">
        <v>597</v>
      </c>
      <c r="E87" s="189">
        <v>37.470689999999998</v>
      </c>
      <c r="F87" s="189">
        <v>140.93422000000001</v>
      </c>
      <c r="G87" s="196">
        <v>8.5</v>
      </c>
      <c r="I87" s="45" t="s">
        <v>491</v>
      </c>
      <c r="K87" s="197">
        <v>14.25</v>
      </c>
      <c r="L87" s="194">
        <v>43055</v>
      </c>
      <c r="M87" s="185" t="s">
        <v>599</v>
      </c>
      <c r="N87" s="185" t="s">
        <v>604</v>
      </c>
      <c r="O87" s="7">
        <f>12*30*24</f>
        <v>8640</v>
      </c>
      <c r="P87" s="185">
        <v>25</v>
      </c>
      <c r="Q87" s="113" t="s">
        <v>649</v>
      </c>
      <c r="R87" s="8" t="s">
        <v>652</v>
      </c>
      <c r="U87" s="185">
        <v>345</v>
      </c>
      <c r="V87" s="185">
        <v>3470</v>
      </c>
      <c r="W87" s="212">
        <f t="shared" si="47"/>
        <v>9.9423631123919304E-2</v>
      </c>
      <c r="X87" s="200">
        <v>3.5961668022628502E-4</v>
      </c>
      <c r="Y87" s="200">
        <v>2.4093427574034001E-4</v>
      </c>
      <c r="Z87" s="198">
        <f t="shared" si="48"/>
        <v>0.12406775467806833</v>
      </c>
      <c r="AA87" s="199">
        <f t="shared" si="49"/>
        <v>0.83604193681897987</v>
      </c>
      <c r="AB87" s="117">
        <f t="shared" si="45"/>
        <v>0.96010969149704817</v>
      </c>
      <c r="AC87" s="116">
        <f>Z87*O87/1000</f>
        <v>1.0719454004185105</v>
      </c>
      <c r="AD87" s="8">
        <v>1.2669999999999999</v>
      </c>
      <c r="AE87" s="116">
        <f>AA87*O87/1000</f>
        <v>7.2234023341159865</v>
      </c>
      <c r="AF87" s="198">
        <f t="shared" si="50"/>
        <v>8.490402334115986</v>
      </c>
      <c r="AG87" s="235">
        <f>K87*O87/1000</f>
        <v>123.12</v>
      </c>
      <c r="AH87" s="119">
        <f t="shared" si="46"/>
        <v>6.8960382830701636</v>
      </c>
      <c r="AJ87" s="118">
        <f t="shared" si="51"/>
        <v>131.610402334116</v>
      </c>
      <c r="AL87" s="120">
        <f>G87+Z87+AA87</f>
        <v>9.4601096914970473</v>
      </c>
    </row>
    <row r="88" spans="2:38" x14ac:dyDescent="0.2">
      <c r="B88" s="181" t="s">
        <v>564</v>
      </c>
      <c r="C88" s="185" t="s">
        <v>72</v>
      </c>
      <c r="D88" s="11" t="s">
        <v>597</v>
      </c>
      <c r="E88" s="189">
        <v>37.478459999999998</v>
      </c>
      <c r="F88" s="189">
        <v>140.98405</v>
      </c>
      <c r="G88" s="196">
        <v>2.8</v>
      </c>
      <c r="I88" s="45" t="s">
        <v>488</v>
      </c>
      <c r="K88" s="197">
        <v>2.85</v>
      </c>
      <c r="L88" s="194">
        <v>43055</v>
      </c>
      <c r="M88" s="185" t="s">
        <v>598</v>
      </c>
      <c r="N88" s="185" t="s">
        <v>604</v>
      </c>
      <c r="O88" s="7">
        <f>12*30*24</f>
        <v>8640</v>
      </c>
      <c r="P88" s="185">
        <v>27.4</v>
      </c>
      <c r="Q88" s="113" t="s">
        <v>649</v>
      </c>
      <c r="R88" s="8" t="s">
        <v>652</v>
      </c>
      <c r="U88" s="185">
        <v>127</v>
      </c>
      <c r="V88" s="185">
        <v>1270</v>
      </c>
      <c r="W88" s="212">
        <f t="shared" si="47"/>
        <v>0.1</v>
      </c>
      <c r="X88" s="200">
        <v>3.5961668022628502E-4</v>
      </c>
      <c r="Y88" s="200">
        <v>2.4093427574034001E-4</v>
      </c>
      <c r="Z88" s="198">
        <f t="shared" si="48"/>
        <v>4.5671318388738197E-2</v>
      </c>
      <c r="AA88" s="199">
        <f t="shared" si="49"/>
        <v>0.30598653019023181</v>
      </c>
      <c r="AB88" s="117">
        <f t="shared" si="45"/>
        <v>0.35165784857896998</v>
      </c>
      <c r="AC88" s="116">
        <f>Z88*O88/1000</f>
        <v>0.39460019087869802</v>
      </c>
      <c r="AD88" s="8">
        <v>0.46800000000000003</v>
      </c>
      <c r="AE88" s="116">
        <f>AA88*O88/1000</f>
        <v>2.6437236208436028</v>
      </c>
      <c r="AF88" s="198">
        <f t="shared" si="50"/>
        <v>3.1117236208436028</v>
      </c>
      <c r="AG88" s="235">
        <f>K88*O88/1000</f>
        <v>24.623999999999999</v>
      </c>
      <c r="AH88" s="119">
        <f t="shared" si="46"/>
        <v>12.636954275680647</v>
      </c>
      <c r="AJ88" s="118">
        <f t="shared" si="51"/>
        <v>27.735723620843601</v>
      </c>
      <c r="AL88" s="120">
        <f>G88+Z88+AA88</f>
        <v>3.1516578485789699</v>
      </c>
    </row>
    <row r="89" spans="2:38" x14ac:dyDescent="0.2">
      <c r="B89" s="181" t="s">
        <v>565</v>
      </c>
      <c r="C89" s="185" t="s">
        <v>72</v>
      </c>
      <c r="D89" s="11" t="s">
        <v>597</v>
      </c>
      <c r="E89" s="189">
        <v>37.462730000000001</v>
      </c>
      <c r="F89" s="189">
        <v>140.92229</v>
      </c>
      <c r="G89" s="196">
        <v>14.7</v>
      </c>
      <c r="I89" s="45" t="s">
        <v>491</v>
      </c>
      <c r="K89" s="197">
        <v>14.25</v>
      </c>
      <c r="L89" s="194">
        <v>42692</v>
      </c>
      <c r="M89" s="185" t="s">
        <v>598</v>
      </c>
      <c r="N89" s="185" t="s">
        <v>603</v>
      </c>
      <c r="O89" s="7">
        <f>18*30*24</f>
        <v>12960</v>
      </c>
      <c r="P89" s="185">
        <v>40.1</v>
      </c>
      <c r="Q89" s="113" t="s">
        <v>649</v>
      </c>
      <c r="R89" s="8" t="s">
        <v>652</v>
      </c>
      <c r="U89" s="185">
        <v>618</v>
      </c>
      <c r="V89" s="185">
        <v>5690</v>
      </c>
      <c r="W89" s="212">
        <f t="shared" si="47"/>
        <v>0.10861159929701231</v>
      </c>
      <c r="X89" s="200">
        <v>4.7119091619184003E-4</v>
      </c>
      <c r="Y89" s="200">
        <v>2.8196803083546201E-4</v>
      </c>
      <c r="Z89" s="198">
        <f t="shared" si="48"/>
        <v>0.29119598620655712</v>
      </c>
      <c r="AA89" s="199">
        <f t="shared" si="49"/>
        <v>1.6043980954537789</v>
      </c>
      <c r="AB89" s="117">
        <f t="shared" si="45"/>
        <v>1.895594081660336</v>
      </c>
      <c r="AC89" s="116">
        <f>Z89*O89/1000</f>
        <v>3.7738999812369802</v>
      </c>
      <c r="AD89" s="8">
        <v>4.8600000000000003</v>
      </c>
      <c r="AE89" s="116">
        <f>AA89*O89/1000</f>
        <v>20.792999317080977</v>
      </c>
      <c r="AF89" s="198">
        <f t="shared" si="50"/>
        <v>25.652999317080976</v>
      </c>
      <c r="AG89" s="235">
        <f>K89*O89/1000</f>
        <v>184.68</v>
      </c>
      <c r="AH89" s="119">
        <f t="shared" si="46"/>
        <v>13.890512950552836</v>
      </c>
      <c r="AJ89" s="118">
        <f t="shared" si="51"/>
        <v>210.33299931708098</v>
      </c>
      <c r="AL89" s="120">
        <f>G89+Z89+AA89</f>
        <v>16.595594081660334</v>
      </c>
    </row>
    <row r="90" spans="2:38" x14ac:dyDescent="0.2">
      <c r="B90" s="181" t="s">
        <v>566</v>
      </c>
      <c r="C90" s="185" t="s">
        <v>72</v>
      </c>
      <c r="D90" s="11" t="s">
        <v>597</v>
      </c>
      <c r="E90" s="189">
        <v>37.465389999999999</v>
      </c>
      <c r="F90" s="189">
        <v>140.92339000000001</v>
      </c>
      <c r="G90" s="196">
        <v>18.8</v>
      </c>
      <c r="I90" s="45" t="s">
        <v>491</v>
      </c>
      <c r="K90" s="197">
        <v>14.25</v>
      </c>
      <c r="L90" s="194">
        <v>42692</v>
      </c>
      <c r="M90" s="185" t="s">
        <v>598</v>
      </c>
      <c r="N90" s="185" t="s">
        <v>603</v>
      </c>
      <c r="O90" s="7">
        <f>18*30*24</f>
        <v>12960</v>
      </c>
      <c r="P90" s="185">
        <v>34.9</v>
      </c>
      <c r="Q90" s="113" t="s">
        <v>649</v>
      </c>
      <c r="R90" s="8" t="s">
        <v>652</v>
      </c>
      <c r="U90" s="193">
        <v>472</v>
      </c>
      <c r="V90" s="193">
        <v>4510</v>
      </c>
      <c r="W90" s="212">
        <f t="shared" si="47"/>
        <v>0.10465631929046564</v>
      </c>
      <c r="X90" s="200">
        <v>3.5961668022628502E-4</v>
      </c>
      <c r="Y90" s="200">
        <v>2.4093427574034001E-4</v>
      </c>
      <c r="Z90" s="198">
        <f t="shared" si="48"/>
        <v>0.16973907306680652</v>
      </c>
      <c r="AA90" s="199">
        <f t="shared" si="49"/>
        <v>1.0866135835889335</v>
      </c>
      <c r="AB90" s="117">
        <f t="shared" si="45"/>
        <v>1.2563526566557399</v>
      </c>
      <c r="AC90" s="116">
        <f>Z90*O90/1000</f>
        <v>2.1998183869458128</v>
      </c>
      <c r="AD90" s="8">
        <v>2.83</v>
      </c>
      <c r="AE90" s="116">
        <f>AA90*O90/1000</f>
        <v>14.082512043312578</v>
      </c>
      <c r="AF90" s="198">
        <f t="shared" si="50"/>
        <v>16.912512043312578</v>
      </c>
      <c r="AG90" s="235">
        <f>K90*O90/1000</f>
        <v>184.68</v>
      </c>
      <c r="AH90" s="119">
        <f t="shared" si="46"/>
        <v>9.1577388148757723</v>
      </c>
      <c r="AJ90" s="118">
        <f t="shared" si="51"/>
        <v>201.59251204331258</v>
      </c>
      <c r="AL90" s="120">
        <f>G90+Z90+AA90</f>
        <v>20.05635265665574</v>
      </c>
    </row>
    <row r="91" spans="2:38" x14ac:dyDescent="0.2">
      <c r="B91" s="181" t="s">
        <v>567</v>
      </c>
      <c r="C91" s="185" t="s">
        <v>72</v>
      </c>
      <c r="D91" s="11" t="s">
        <v>597</v>
      </c>
      <c r="E91" s="189">
        <v>37.472850000000001</v>
      </c>
      <c r="F91" s="189">
        <v>140.93720999999999</v>
      </c>
      <c r="G91" s="196">
        <v>4.2</v>
      </c>
      <c r="I91" s="45" t="s">
        <v>491</v>
      </c>
      <c r="K91" s="197">
        <v>14.25</v>
      </c>
      <c r="L91" s="194">
        <v>42692</v>
      </c>
      <c r="M91" s="185" t="s">
        <v>599</v>
      </c>
      <c r="N91" s="185" t="s">
        <v>603</v>
      </c>
      <c r="O91" s="7">
        <f>18*30*24</f>
        <v>12960</v>
      </c>
      <c r="P91" s="185">
        <v>26.9</v>
      </c>
      <c r="Q91" s="113" t="s">
        <v>649</v>
      </c>
      <c r="R91" s="8" t="s">
        <v>652</v>
      </c>
      <c r="U91" s="185">
        <v>286</v>
      </c>
      <c r="V91" s="185">
        <v>3020</v>
      </c>
      <c r="W91" s="212">
        <f t="shared" si="47"/>
        <v>9.4701986754966883E-2</v>
      </c>
      <c r="X91" s="200">
        <v>3.5961668022628502E-4</v>
      </c>
      <c r="Y91" s="200">
        <v>2.4093427574034001E-4</v>
      </c>
      <c r="Z91" s="198">
        <f t="shared" si="48"/>
        <v>0.10285037054471752</v>
      </c>
      <c r="AA91" s="199">
        <f t="shared" si="49"/>
        <v>0.72762151273582687</v>
      </c>
      <c r="AB91" s="117">
        <f t="shared" si="45"/>
        <v>0.83047188328054444</v>
      </c>
      <c r="AC91" s="116">
        <f>Z91*O91/1000</f>
        <v>1.332940802259539</v>
      </c>
      <c r="AD91" s="8">
        <v>1.7170000000000001</v>
      </c>
      <c r="AE91" s="116">
        <f>AA91*O91/1000</f>
        <v>9.4299748050563164</v>
      </c>
      <c r="AF91" s="198">
        <f t="shared" si="50"/>
        <v>11.146974805056317</v>
      </c>
      <c r="AG91" s="235">
        <f>K91*O91/1000</f>
        <v>184.68</v>
      </c>
      <c r="AH91" s="119">
        <f t="shared" si="46"/>
        <v>6.0358321448214838</v>
      </c>
      <c r="AJ91" s="118">
        <f t="shared" si="51"/>
        <v>195.82697480505632</v>
      </c>
      <c r="AL91" s="120">
        <f>G91+Z91+AA91</f>
        <v>5.0304718832805451</v>
      </c>
    </row>
    <row r="92" spans="2:38" x14ac:dyDescent="0.2">
      <c r="B92" s="181" t="s">
        <v>568</v>
      </c>
      <c r="C92" s="185" t="s">
        <v>72</v>
      </c>
      <c r="D92" s="11" t="s">
        <v>597</v>
      </c>
      <c r="E92" s="189">
        <v>37.474040000000002</v>
      </c>
      <c r="F92" s="189">
        <v>140.96747999999999</v>
      </c>
      <c r="G92" s="196">
        <v>0.31</v>
      </c>
      <c r="I92" s="45" t="s">
        <v>629</v>
      </c>
      <c r="K92" s="197">
        <v>1.45</v>
      </c>
      <c r="L92" s="194">
        <v>42692</v>
      </c>
      <c r="M92" s="185" t="s">
        <v>598</v>
      </c>
      <c r="N92" s="185" t="s">
        <v>603</v>
      </c>
      <c r="O92" s="7">
        <f>18*30*24</f>
        <v>12960</v>
      </c>
      <c r="P92" s="185">
        <v>25</v>
      </c>
      <c r="Q92" s="113" t="s">
        <v>649</v>
      </c>
      <c r="R92" s="8" t="s">
        <v>652</v>
      </c>
      <c r="U92" s="185">
        <v>27</v>
      </c>
      <c r="V92" s="185">
        <v>275</v>
      </c>
      <c r="W92" s="212">
        <f t="shared" si="47"/>
        <v>9.8181818181818176E-2</v>
      </c>
      <c r="X92" s="200">
        <v>3.5961668022628502E-4</v>
      </c>
      <c r="Y92" s="200">
        <v>2.4093427574034001E-4</v>
      </c>
      <c r="Z92" s="198">
        <f t="shared" si="48"/>
        <v>9.7096503661096949E-3</v>
      </c>
      <c r="AA92" s="199">
        <f t="shared" si="49"/>
        <v>6.6256925828593508E-2</v>
      </c>
      <c r="AB92" s="117">
        <f t="shared" si="45"/>
        <v>7.5966576194703206E-2</v>
      </c>
      <c r="AC92" s="116">
        <f>Z92*O92/1000</f>
        <v>0.12583706874478165</v>
      </c>
      <c r="AD92" s="8">
        <v>0.16</v>
      </c>
      <c r="AE92" s="116">
        <f>AA92*O92/1000</f>
        <v>0.8586897587385719</v>
      </c>
      <c r="AF92" s="198">
        <f t="shared" si="50"/>
        <v>1.0186897587385719</v>
      </c>
      <c r="AG92" s="235">
        <f>K92*O92/1000</f>
        <v>18.792000000000002</v>
      </c>
      <c r="AH92" s="119">
        <f t="shared" si="46"/>
        <v>5.4208692993751164</v>
      </c>
      <c r="AJ92" s="118">
        <f t="shared" si="51"/>
        <v>19.810689758738572</v>
      </c>
      <c r="AL92" s="120">
        <f>G92+Z92+AA92</f>
        <v>0.3859665761947032</v>
      </c>
    </row>
    <row r="93" spans="2:38" s="254" customFormat="1" x14ac:dyDescent="0.2">
      <c r="B93" s="245" t="s">
        <v>569</v>
      </c>
      <c r="C93" s="246" t="s">
        <v>72</v>
      </c>
      <c r="D93" s="247" t="s">
        <v>597</v>
      </c>
      <c r="E93" s="246">
        <v>37.485196799999997</v>
      </c>
      <c r="F93" s="246">
        <v>140.94452989999999</v>
      </c>
      <c r="G93" s="248">
        <v>1.24</v>
      </c>
      <c r="H93" s="249"/>
      <c r="I93" s="249" t="s">
        <v>489</v>
      </c>
      <c r="J93" s="249"/>
      <c r="K93" s="250">
        <v>6.65</v>
      </c>
      <c r="L93" s="251">
        <v>43419</v>
      </c>
      <c r="M93" s="246" t="s">
        <v>599</v>
      </c>
      <c r="N93" s="246" t="s">
        <v>605</v>
      </c>
      <c r="O93" s="252">
        <f>3*7*24</f>
        <v>504</v>
      </c>
      <c r="P93" s="246" t="s">
        <v>617</v>
      </c>
      <c r="Q93" s="253" t="s">
        <v>649</v>
      </c>
      <c r="R93" s="254" t="s">
        <v>652</v>
      </c>
      <c r="U93" s="246" t="s">
        <v>618</v>
      </c>
      <c r="V93" s="246" t="s">
        <v>618</v>
      </c>
      <c r="W93" s="255" t="s">
        <v>471</v>
      </c>
      <c r="X93" s="256">
        <v>2.7780133006720701E-4</v>
      </c>
      <c r="Y93" s="256">
        <v>2.1063702429833001E-4</v>
      </c>
      <c r="Z93" s="257" t="s">
        <v>471</v>
      </c>
      <c r="AA93" s="258" t="s">
        <v>471</v>
      </c>
      <c r="AB93" s="117" t="s">
        <v>540</v>
      </c>
      <c r="AC93" s="259" t="s">
        <v>471</v>
      </c>
      <c r="AD93" s="254" t="s">
        <v>471</v>
      </c>
      <c r="AE93" s="259" t="s">
        <v>471</v>
      </c>
      <c r="AF93" s="257" t="s">
        <v>471</v>
      </c>
      <c r="AG93" s="260">
        <f>K93*O93/1000</f>
        <v>3.3516000000000004</v>
      </c>
      <c r="AH93" s="261" t="s">
        <v>471</v>
      </c>
      <c r="AJ93" s="267" t="s">
        <v>471</v>
      </c>
      <c r="AL93" s="120" t="s">
        <v>471</v>
      </c>
    </row>
    <row r="94" spans="2:38" x14ac:dyDescent="0.2">
      <c r="B94" s="181" t="s">
        <v>570</v>
      </c>
      <c r="C94" s="185" t="s">
        <v>72</v>
      </c>
      <c r="D94" s="11" t="s">
        <v>597</v>
      </c>
      <c r="E94" s="185">
        <v>37.472065200000003</v>
      </c>
      <c r="F94" s="185">
        <v>140.94238609999999</v>
      </c>
      <c r="G94" s="196">
        <v>4.24</v>
      </c>
      <c r="I94" s="45" t="s">
        <v>491</v>
      </c>
      <c r="K94" s="197">
        <v>14.25</v>
      </c>
      <c r="L94" s="194">
        <v>43055</v>
      </c>
      <c r="M94" s="185" t="s">
        <v>598</v>
      </c>
      <c r="N94" s="181" t="s">
        <v>606</v>
      </c>
      <c r="O94" s="238">
        <f>12*30*24</f>
        <v>8640</v>
      </c>
      <c r="P94" s="185">
        <v>23</v>
      </c>
      <c r="Q94" s="113" t="s">
        <v>649</v>
      </c>
      <c r="R94" s="8" t="s">
        <v>652</v>
      </c>
      <c r="U94" s="185">
        <v>228</v>
      </c>
      <c r="V94" s="185">
        <v>2180</v>
      </c>
      <c r="W94" s="212">
        <f t="shared" si="47"/>
        <v>0.10458715596330276</v>
      </c>
      <c r="X94" s="200">
        <v>3.5961668022628502E-4</v>
      </c>
      <c r="Y94" s="200">
        <v>2.4093427574034001E-4</v>
      </c>
      <c r="Z94" s="198">
        <f t="shared" si="48"/>
        <v>8.199260309159298E-2</v>
      </c>
      <c r="AA94" s="199">
        <f t="shared" si="49"/>
        <v>0.52523672111394126</v>
      </c>
      <c r="AB94" s="117">
        <f t="shared" si="45"/>
        <v>0.60722932420553422</v>
      </c>
      <c r="AC94" s="116">
        <f>Z94*O94/1000</f>
        <v>0.70841609071136336</v>
      </c>
      <c r="AD94" s="8">
        <v>0.83699999999999997</v>
      </c>
      <c r="AE94" s="116">
        <f>AA94*O94/1000</f>
        <v>4.5380452704244529</v>
      </c>
      <c r="AF94" s="198" t="s">
        <v>471</v>
      </c>
      <c r="AG94" s="235">
        <f>K94*O94/1000</f>
        <v>123.12</v>
      </c>
      <c r="AH94" s="119" t="s">
        <v>471</v>
      </c>
      <c r="AJ94" s="118" t="s">
        <v>471</v>
      </c>
      <c r="AL94" s="120">
        <f>G94+Z94+AA94</f>
        <v>4.8472293242055349</v>
      </c>
    </row>
    <row r="95" spans="2:38" x14ac:dyDescent="0.2">
      <c r="B95" s="180" t="s">
        <v>571</v>
      </c>
      <c r="C95" s="184" t="s">
        <v>595</v>
      </c>
      <c r="D95" s="11" t="s">
        <v>597</v>
      </c>
      <c r="E95" s="188">
        <v>37.586329999999997</v>
      </c>
      <c r="F95" s="188">
        <v>140.59727000000001</v>
      </c>
      <c r="G95" s="196">
        <v>0.32</v>
      </c>
      <c r="I95" s="45" t="s">
        <v>628</v>
      </c>
      <c r="K95" s="197">
        <v>0.35</v>
      </c>
      <c r="L95" s="194">
        <v>43055</v>
      </c>
      <c r="M95" s="184" t="s">
        <v>598</v>
      </c>
      <c r="N95" s="184" t="s">
        <v>607</v>
      </c>
      <c r="O95" s="7">
        <f>10*30*24</f>
        <v>7200</v>
      </c>
      <c r="P95" s="184">
        <v>41</v>
      </c>
      <c r="Q95" s="113" t="s">
        <v>649</v>
      </c>
      <c r="R95" s="8" t="s">
        <v>652</v>
      </c>
      <c r="U95" s="184">
        <v>588</v>
      </c>
      <c r="V95" s="184">
        <v>5790</v>
      </c>
      <c r="W95" s="212">
        <f t="shared" si="47"/>
        <v>0.10155440414507771</v>
      </c>
      <c r="X95" s="200">
        <v>4.7119091619184003E-4</v>
      </c>
      <c r="Y95" s="200">
        <v>2.8196803083546201E-4</v>
      </c>
      <c r="Z95" s="198">
        <f t="shared" si="48"/>
        <v>0.27706025872080192</v>
      </c>
      <c r="AA95" s="199">
        <f t="shared" si="49"/>
        <v>1.6325948985373251</v>
      </c>
      <c r="AB95" s="117">
        <f t="shared" si="45"/>
        <v>1.9096551572581271</v>
      </c>
      <c r="AC95" s="116">
        <f>Z95*O95/1000</f>
        <v>1.9948338627897737</v>
      </c>
      <c r="AD95" s="8">
        <v>2.29</v>
      </c>
      <c r="AE95" s="116">
        <f>AA95*O95/1000</f>
        <v>11.754683269468741</v>
      </c>
      <c r="AF95" s="198">
        <f t="shared" si="50"/>
        <v>14.044683269468742</v>
      </c>
      <c r="AG95" s="235">
        <f>K95*O95/1000</f>
        <v>2.52</v>
      </c>
      <c r="AH95" s="119">
        <f t="shared" si="46"/>
        <v>557.32870116939455</v>
      </c>
      <c r="AJ95" s="118">
        <f t="shared" si="51"/>
        <v>16.564683269468741</v>
      </c>
      <c r="AL95" s="120">
        <f>G95+Z95+AA95</f>
        <v>2.2296551572581271</v>
      </c>
    </row>
    <row r="96" spans="2:38" x14ac:dyDescent="0.2">
      <c r="B96" s="180" t="s">
        <v>572</v>
      </c>
      <c r="C96" s="184" t="s">
        <v>595</v>
      </c>
      <c r="D96" s="11" t="s">
        <v>597</v>
      </c>
      <c r="E96" s="188">
        <v>37.585990000000002</v>
      </c>
      <c r="F96" s="188">
        <v>140.59798000000001</v>
      </c>
      <c r="G96" s="196">
        <v>0.2</v>
      </c>
      <c r="I96" s="45" t="s">
        <v>628</v>
      </c>
      <c r="K96" s="197">
        <v>0.35</v>
      </c>
      <c r="L96" s="194">
        <v>43055</v>
      </c>
      <c r="M96" s="184" t="s">
        <v>598</v>
      </c>
      <c r="N96" s="184" t="s">
        <v>607</v>
      </c>
      <c r="O96" s="7">
        <f>10*30*24</f>
        <v>7200</v>
      </c>
      <c r="P96" s="184">
        <v>31.7</v>
      </c>
      <c r="Q96" s="113" t="s">
        <v>649</v>
      </c>
      <c r="R96" s="8" t="s">
        <v>652</v>
      </c>
      <c r="U96" s="184">
        <v>42</v>
      </c>
      <c r="V96" s="184">
        <v>375</v>
      </c>
      <c r="W96" s="212">
        <f t="shared" si="47"/>
        <v>0.112</v>
      </c>
      <c r="X96" s="200">
        <v>3.5961668022628502E-4</v>
      </c>
      <c r="Y96" s="200">
        <v>2.4093427574034001E-4</v>
      </c>
      <c r="Z96" s="198">
        <f t="shared" si="48"/>
        <v>1.510390056950397E-2</v>
      </c>
      <c r="AA96" s="199">
        <f t="shared" si="49"/>
        <v>9.0350353402627509E-2</v>
      </c>
      <c r="AB96" s="117">
        <f t="shared" si="45"/>
        <v>0.10545425397213148</v>
      </c>
      <c r="AC96" s="116">
        <f>Z96*O96/1000</f>
        <v>0.10874808410042859</v>
      </c>
      <c r="AD96" s="8">
        <v>0.124</v>
      </c>
      <c r="AE96" s="116">
        <f>AA96*O96/1000</f>
        <v>0.650522544498918</v>
      </c>
      <c r="AF96" s="198">
        <f t="shared" si="50"/>
        <v>0.774522544498918</v>
      </c>
      <c r="AG96" s="235">
        <f>K96*O96/1000</f>
        <v>2.52</v>
      </c>
      <c r="AH96" s="119">
        <f t="shared" si="46"/>
        <v>30.73502160709992</v>
      </c>
      <c r="AJ96" s="118">
        <f t="shared" si="51"/>
        <v>3.2945225444989181</v>
      </c>
      <c r="AL96" s="120">
        <f>G96+Z96+AA96</f>
        <v>0.3054542539721315</v>
      </c>
    </row>
    <row r="97" spans="2:38" x14ac:dyDescent="0.2">
      <c r="B97" s="181" t="s">
        <v>573</v>
      </c>
      <c r="C97" s="185" t="s">
        <v>72</v>
      </c>
      <c r="D97" s="11" t="s">
        <v>597</v>
      </c>
      <c r="E97" s="189">
        <v>37.4698311</v>
      </c>
      <c r="F97" s="189">
        <v>140.9778714</v>
      </c>
      <c r="G97" s="196">
        <v>0.19</v>
      </c>
      <c r="I97" s="45" t="s">
        <v>489</v>
      </c>
      <c r="K97" s="197">
        <v>6.65</v>
      </c>
      <c r="L97" s="194">
        <v>42312</v>
      </c>
      <c r="M97" s="185" t="s">
        <v>598</v>
      </c>
      <c r="N97" s="185" t="s">
        <v>608</v>
      </c>
      <c r="O97" s="7">
        <f>30*30*24</f>
        <v>21600</v>
      </c>
      <c r="P97" s="185">
        <v>59.2</v>
      </c>
      <c r="Q97" s="113" t="s">
        <v>649</v>
      </c>
      <c r="R97" s="8" t="s">
        <v>652</v>
      </c>
      <c r="U97" s="185">
        <v>13</v>
      </c>
      <c r="V97" s="185">
        <v>197</v>
      </c>
      <c r="W97" s="212">
        <f t="shared" si="47"/>
        <v>6.5989847715736044E-2</v>
      </c>
      <c r="X97" s="200">
        <v>4.7119091619184003E-4</v>
      </c>
      <c r="Y97" s="200">
        <v>2.8196803083546201E-4</v>
      </c>
      <c r="Z97" s="198">
        <f t="shared" si="48"/>
        <v>6.1254819104939202E-3</v>
      </c>
      <c r="AA97" s="199">
        <f t="shared" si="49"/>
        <v>5.5547702074586015E-2</v>
      </c>
      <c r="AB97" s="117">
        <f t="shared" si="45"/>
        <v>6.1673183985079934E-2</v>
      </c>
      <c r="AC97" s="116">
        <f>Z97*O97/1000</f>
        <v>0.13231040926666868</v>
      </c>
      <c r="AD97" s="8">
        <v>0.20799999999999999</v>
      </c>
      <c r="AE97" s="116">
        <f>AA97*O97/1000</f>
        <v>1.199830364811058</v>
      </c>
      <c r="AF97" s="198">
        <f t="shared" si="50"/>
        <v>1.4078303648110579</v>
      </c>
      <c r="AG97" s="235">
        <f>K97*O97/1000</f>
        <v>143.63999999999999</v>
      </c>
      <c r="AH97" s="119">
        <f t="shared" si="46"/>
        <v>0.98011025119121276</v>
      </c>
      <c r="AJ97" s="118">
        <f t="shared" si="51"/>
        <v>145.04783036481103</v>
      </c>
      <c r="AL97" s="120">
        <f>G97+Z97+AA97</f>
        <v>0.25167318398507993</v>
      </c>
    </row>
    <row r="98" spans="2:38" x14ac:dyDescent="0.2">
      <c r="B98" s="181" t="s">
        <v>574</v>
      </c>
      <c r="C98" s="185" t="s">
        <v>72</v>
      </c>
      <c r="D98" s="11" t="s">
        <v>597</v>
      </c>
      <c r="E98" s="189">
        <v>37.470689999999998</v>
      </c>
      <c r="F98" s="189">
        <v>140.93422000000001</v>
      </c>
      <c r="G98" s="196">
        <v>8.5</v>
      </c>
      <c r="I98" s="45" t="s">
        <v>491</v>
      </c>
      <c r="K98" s="197">
        <v>14.25</v>
      </c>
      <c r="L98" s="194">
        <v>43055</v>
      </c>
      <c r="M98" s="185" t="s">
        <v>598</v>
      </c>
      <c r="N98" s="185" t="s">
        <v>609</v>
      </c>
      <c r="O98" s="7">
        <f>7*30*24</f>
        <v>5040</v>
      </c>
      <c r="P98" s="185">
        <v>22</v>
      </c>
      <c r="Q98" s="113" t="s">
        <v>649</v>
      </c>
      <c r="R98" s="8" t="s">
        <v>652</v>
      </c>
      <c r="U98" s="185">
        <v>353</v>
      </c>
      <c r="V98" s="185">
        <v>3670</v>
      </c>
      <c r="W98" s="212">
        <f t="shared" si="47"/>
        <v>9.6185286103542239E-2</v>
      </c>
      <c r="X98" s="200">
        <v>3.5961668022628502E-4</v>
      </c>
      <c r="Y98" s="200">
        <v>2.4093427574034001E-4</v>
      </c>
      <c r="Z98" s="198">
        <f t="shared" si="48"/>
        <v>0.12694468811987861</v>
      </c>
      <c r="AA98" s="199">
        <f t="shared" si="49"/>
        <v>0.88422879196704784</v>
      </c>
      <c r="AB98" s="117">
        <f t="shared" si="45"/>
        <v>1.0111734800869265</v>
      </c>
      <c r="AC98" s="116">
        <f>Z98*O98/1000</f>
        <v>0.63980122812418816</v>
      </c>
      <c r="AD98" s="8">
        <v>0.70499999999999996</v>
      </c>
      <c r="AE98" s="116">
        <f>AA98*O98/1000</f>
        <v>4.4565131115139209</v>
      </c>
      <c r="AF98" s="198">
        <f t="shared" si="50"/>
        <v>5.161513111513921</v>
      </c>
      <c r="AG98" s="235">
        <f>K98*O98/1000</f>
        <v>71.819999999999993</v>
      </c>
      <c r="AH98" s="119">
        <f t="shared" si="46"/>
        <v>7.1867350480561418</v>
      </c>
      <c r="AJ98" s="118">
        <f t="shared" si="51"/>
        <v>76.98151311151392</v>
      </c>
      <c r="AL98" s="120">
        <f>G98+Z98+AA98</f>
        <v>9.5111734800869279</v>
      </c>
    </row>
    <row r="99" spans="2:38" x14ac:dyDescent="0.2">
      <c r="B99" s="181" t="s">
        <v>575</v>
      </c>
      <c r="C99" s="185" t="s">
        <v>72</v>
      </c>
      <c r="D99" s="11" t="s">
        <v>597</v>
      </c>
      <c r="E99" s="189">
        <v>37.474339200000003</v>
      </c>
      <c r="F99" s="189">
        <v>140.94079619999999</v>
      </c>
      <c r="G99" s="196">
        <v>0.97</v>
      </c>
      <c r="I99" s="45" t="s">
        <v>491</v>
      </c>
      <c r="K99" s="197">
        <v>14.25</v>
      </c>
      <c r="L99" s="194">
        <v>43055</v>
      </c>
      <c r="M99" s="185" t="s">
        <v>598</v>
      </c>
      <c r="N99" s="185" t="s">
        <v>607</v>
      </c>
      <c r="O99" s="7">
        <f>10*30*24</f>
        <v>7200</v>
      </c>
      <c r="P99" s="185">
        <v>38</v>
      </c>
      <c r="Q99" s="113" t="s">
        <v>649</v>
      </c>
      <c r="R99" s="8" t="s">
        <v>652</v>
      </c>
      <c r="U99" s="185">
        <v>182</v>
      </c>
      <c r="V99" s="185">
        <v>1810</v>
      </c>
      <c r="W99" s="212">
        <f t="shared" si="47"/>
        <v>0.10055248618784531</v>
      </c>
      <c r="X99" s="200">
        <v>4.7119091619184003E-4</v>
      </c>
      <c r="Y99" s="200">
        <v>2.8196803083546201E-4</v>
      </c>
      <c r="Z99" s="198">
        <f t="shared" si="48"/>
        <v>8.5756746746914886E-2</v>
      </c>
      <c r="AA99" s="199">
        <f t="shared" si="49"/>
        <v>0.51036213581218626</v>
      </c>
      <c r="AB99" s="117">
        <f t="shared" si="45"/>
        <v>0.59611888255910117</v>
      </c>
      <c r="AC99" s="116">
        <f>Z99*O99/1000</f>
        <v>0.61744857657778718</v>
      </c>
      <c r="AD99" s="8">
        <v>0.71</v>
      </c>
      <c r="AE99" s="116">
        <f>AA99*O99/1000</f>
        <v>3.6746073778477411</v>
      </c>
      <c r="AF99" s="198">
        <f t="shared" si="50"/>
        <v>4.3846073778477415</v>
      </c>
      <c r="AG99" s="235">
        <f>K99*O99/1000</f>
        <v>102.6</v>
      </c>
      <c r="AH99" s="119">
        <f t="shared" si="46"/>
        <v>4.2734964696371751</v>
      </c>
      <c r="AJ99" s="118">
        <f t="shared" si="51"/>
        <v>106.98460737784774</v>
      </c>
      <c r="AL99" s="120">
        <f>G99+Z99+AA99</f>
        <v>1.5661188825591013</v>
      </c>
    </row>
    <row r="100" spans="2:38" x14ac:dyDescent="0.2">
      <c r="B100" s="182" t="s">
        <v>576</v>
      </c>
      <c r="C100" s="186" t="s">
        <v>596</v>
      </c>
      <c r="D100" s="11" t="s">
        <v>597</v>
      </c>
      <c r="E100" s="190">
        <v>37.452069999999999</v>
      </c>
      <c r="F100" s="190">
        <v>140.98398</v>
      </c>
      <c r="G100" s="196">
        <v>0.65</v>
      </c>
      <c r="I100" s="45" t="s">
        <v>488</v>
      </c>
      <c r="K100" s="197">
        <v>2.85</v>
      </c>
      <c r="L100" s="194">
        <v>43055</v>
      </c>
      <c r="M100" s="186" t="s">
        <v>598</v>
      </c>
      <c r="N100" s="186" t="s">
        <v>604</v>
      </c>
      <c r="O100" s="7">
        <f>12*30*24</f>
        <v>8640</v>
      </c>
      <c r="P100" s="186">
        <v>27.4</v>
      </c>
      <c r="Q100" s="113" t="s">
        <v>649</v>
      </c>
      <c r="R100" s="8" t="s">
        <v>652</v>
      </c>
      <c r="U100" s="186">
        <v>203</v>
      </c>
      <c r="V100" s="186">
        <v>1820</v>
      </c>
      <c r="W100" s="212">
        <f t="shared" si="47"/>
        <v>0.11153846153846154</v>
      </c>
      <c r="X100" s="200">
        <v>3.5961668022628502E-4</v>
      </c>
      <c r="Y100" s="200">
        <v>2.4093427574034001E-4</v>
      </c>
      <c r="Z100" s="198">
        <f t="shared" si="48"/>
        <v>7.3002186085935852E-2</v>
      </c>
      <c r="AA100" s="199">
        <f t="shared" si="49"/>
        <v>0.4385003818474188</v>
      </c>
      <c r="AB100" s="117">
        <f t="shared" si="45"/>
        <v>0.51150256793335469</v>
      </c>
      <c r="AC100" s="116">
        <f>Z100*O100/1000</f>
        <v>0.63073888778248577</v>
      </c>
      <c r="AD100" s="8">
        <v>0.74399999999999999</v>
      </c>
      <c r="AE100" s="116">
        <f>AA100*O100/1000</f>
        <v>3.7886432991616985</v>
      </c>
      <c r="AF100" s="198">
        <f t="shared" si="50"/>
        <v>4.5326432991616983</v>
      </c>
      <c r="AG100" s="235">
        <f>K100*O100/1000</f>
        <v>24.623999999999999</v>
      </c>
      <c r="AH100" s="119">
        <f t="shared" si="46"/>
        <v>18.407420805562452</v>
      </c>
      <c r="AJ100" s="118">
        <f t="shared" si="51"/>
        <v>29.156643299161697</v>
      </c>
      <c r="AL100" s="120">
        <f>G100+Z100+AA100</f>
        <v>1.1615025679333546</v>
      </c>
    </row>
    <row r="101" spans="2:38" x14ac:dyDescent="0.2">
      <c r="B101" s="183" t="s">
        <v>577</v>
      </c>
      <c r="C101" s="187" t="s">
        <v>83</v>
      </c>
      <c r="D101" s="11" t="s">
        <v>597</v>
      </c>
      <c r="E101" s="191">
        <v>37.400440000000003</v>
      </c>
      <c r="F101" s="191">
        <v>140.9803</v>
      </c>
      <c r="G101" s="196">
        <v>2</v>
      </c>
      <c r="I101" s="45" t="s">
        <v>488</v>
      </c>
      <c r="K101" s="197">
        <v>2.85</v>
      </c>
      <c r="L101" s="194">
        <v>43055</v>
      </c>
      <c r="M101" s="187" t="s">
        <v>598</v>
      </c>
      <c r="N101" s="187" t="s">
        <v>604</v>
      </c>
      <c r="O101" s="7">
        <f>12*30*24</f>
        <v>8640</v>
      </c>
      <c r="P101" s="187">
        <v>36</v>
      </c>
      <c r="Q101" s="113" t="s">
        <v>649</v>
      </c>
      <c r="R101" s="8" t="s">
        <v>652</v>
      </c>
      <c r="U101" s="187">
        <v>124</v>
      </c>
      <c r="V101" s="187">
        <v>1050</v>
      </c>
      <c r="W101" s="212">
        <f t="shared" si="47"/>
        <v>0.1180952380952381</v>
      </c>
      <c r="X101" s="200">
        <v>3.5961668022628502E-4</v>
      </c>
      <c r="Y101" s="200">
        <v>2.4093427574034001E-4</v>
      </c>
      <c r="Z101" s="198">
        <f t="shared" si="48"/>
        <v>4.4592468348059341E-2</v>
      </c>
      <c r="AA101" s="199">
        <f t="shared" si="49"/>
        <v>0.25298098952735698</v>
      </c>
      <c r="AB101" s="117">
        <f t="shared" si="45"/>
        <v>0.29757345787541634</v>
      </c>
      <c r="AC101" s="116">
        <f>Z101*O101/1000</f>
        <v>0.38527892652723272</v>
      </c>
      <c r="AD101" s="8">
        <v>0.45500000000000002</v>
      </c>
      <c r="AE101" s="116">
        <f>AA101*O101/1000</f>
        <v>2.185755749516364</v>
      </c>
      <c r="AF101" s="198">
        <f t="shared" si="50"/>
        <v>2.640755749516364</v>
      </c>
      <c r="AG101" s="235">
        <f>K101*O101/1000</f>
        <v>24.623999999999999</v>
      </c>
      <c r="AH101" s="119">
        <f t="shared" si="46"/>
        <v>10.724316721557685</v>
      </c>
      <c r="AJ101" s="118">
        <f t="shared" si="51"/>
        <v>27.264755749516361</v>
      </c>
      <c r="AL101" s="120">
        <f>G101+Z101+AA101</f>
        <v>2.2975734578754161</v>
      </c>
    </row>
    <row r="102" spans="2:38" x14ac:dyDescent="0.2">
      <c r="B102" s="183" t="s">
        <v>578</v>
      </c>
      <c r="C102" s="187" t="s">
        <v>596</v>
      </c>
      <c r="D102" s="11" t="s">
        <v>597</v>
      </c>
      <c r="E102" s="191">
        <v>37.426169999999999</v>
      </c>
      <c r="F102" s="191">
        <v>140.97382999999999</v>
      </c>
      <c r="G102" s="196">
        <v>6.5</v>
      </c>
      <c r="I102" s="45" t="s">
        <v>491</v>
      </c>
      <c r="K102" s="197">
        <v>14.25</v>
      </c>
      <c r="L102" s="194">
        <v>43055</v>
      </c>
      <c r="M102" s="187" t="s">
        <v>598</v>
      </c>
      <c r="N102" s="192" t="s">
        <v>610</v>
      </c>
      <c r="O102" s="7">
        <f>9*30*24</f>
        <v>6480</v>
      </c>
      <c r="P102" s="187">
        <v>28.5</v>
      </c>
      <c r="Q102" s="113" t="s">
        <v>649</v>
      </c>
      <c r="R102" s="8" t="s">
        <v>652</v>
      </c>
      <c r="U102" s="187">
        <v>452</v>
      </c>
      <c r="V102" s="187">
        <v>4860</v>
      </c>
      <c r="W102" s="212">
        <f t="shared" si="47"/>
        <v>9.3004115226337447E-2</v>
      </c>
      <c r="X102" s="200">
        <v>3.5961668022628502E-4</v>
      </c>
      <c r="Y102" s="200">
        <v>2.4093427574034001E-4</v>
      </c>
      <c r="Z102" s="198">
        <f t="shared" si="48"/>
        <v>0.16254673946228082</v>
      </c>
      <c r="AA102" s="199">
        <f t="shared" si="49"/>
        <v>1.1709405800980524</v>
      </c>
      <c r="AB102" s="117">
        <f t="shared" si="45"/>
        <v>1.3334873195603332</v>
      </c>
      <c r="AC102" s="116">
        <f>Z102*O102/1000</f>
        <v>1.0533028717155797</v>
      </c>
      <c r="AD102" s="8">
        <v>1.1919999999999999</v>
      </c>
      <c r="AE102" s="116">
        <f>AA102*O102/1000</f>
        <v>7.587694959035379</v>
      </c>
      <c r="AF102" s="198">
        <f t="shared" si="50"/>
        <v>8.7796949590353783</v>
      </c>
      <c r="AG102" s="235">
        <f>K102*O102/1000</f>
        <v>92.34</v>
      </c>
      <c r="AH102" s="119">
        <f t="shared" si="46"/>
        <v>9.508008402680721</v>
      </c>
      <c r="AJ102" s="118">
        <f t="shared" si="51"/>
        <v>101.11969495903539</v>
      </c>
      <c r="AL102" s="120">
        <f>G102+Z102+AA102</f>
        <v>7.8334873195603327</v>
      </c>
    </row>
    <row r="103" spans="2:38" x14ac:dyDescent="0.2">
      <c r="B103" s="183" t="s">
        <v>579</v>
      </c>
      <c r="C103" s="187" t="s">
        <v>83</v>
      </c>
      <c r="D103" s="11" t="s">
        <v>597</v>
      </c>
      <c r="E103" s="191">
        <v>37.391677999999999</v>
      </c>
      <c r="F103" s="191">
        <v>141.02210153999999</v>
      </c>
      <c r="G103" s="196">
        <v>11.8</v>
      </c>
      <c r="I103" s="45" t="s">
        <v>489</v>
      </c>
      <c r="K103" s="197">
        <v>6.65</v>
      </c>
      <c r="L103" s="194">
        <v>43055</v>
      </c>
      <c r="M103" s="187" t="s">
        <v>599</v>
      </c>
      <c r="N103" s="187" t="s">
        <v>611</v>
      </c>
      <c r="O103" s="7">
        <f>11*30*24</f>
        <v>7920</v>
      </c>
      <c r="P103" s="187">
        <v>36.6</v>
      </c>
      <c r="Q103" s="113" t="s">
        <v>649</v>
      </c>
      <c r="R103" s="8" t="s">
        <v>652</v>
      </c>
      <c r="U103" s="187">
        <v>465</v>
      </c>
      <c r="V103" s="187">
        <v>4540</v>
      </c>
      <c r="W103" s="212">
        <f t="shared" si="47"/>
        <v>0.10242290748898679</v>
      </c>
      <c r="X103" s="200">
        <v>4.7119091619184003E-4</v>
      </c>
      <c r="Y103" s="200">
        <v>2.8196803083546201E-4</v>
      </c>
      <c r="Z103" s="198">
        <f t="shared" si="48"/>
        <v>0.21910377602920561</v>
      </c>
      <c r="AA103" s="199">
        <f t="shared" si="49"/>
        <v>1.2801348599929976</v>
      </c>
      <c r="AB103" s="117">
        <f t="shared" si="45"/>
        <v>1.4992386360222032</v>
      </c>
      <c r="AC103" s="116">
        <f>Z103*O103/1000</f>
        <v>1.7353019061513084</v>
      </c>
      <c r="AD103" s="8">
        <v>2.0209999999999999</v>
      </c>
      <c r="AE103" s="116">
        <f>AA103*O103/1000</f>
        <v>10.13866809114454</v>
      </c>
      <c r="AF103" s="198">
        <f t="shared" si="50"/>
        <v>12.159668091144539</v>
      </c>
      <c r="AG103" s="235">
        <f>K103*O103/1000</f>
        <v>52.667999999999999</v>
      </c>
      <c r="AH103" s="119">
        <f t="shared" si="46"/>
        <v>23.0873928972897</v>
      </c>
      <c r="AJ103" s="118">
        <f t="shared" si="51"/>
        <v>64.827668091144545</v>
      </c>
      <c r="AL103" s="120">
        <f>G103+Z103+AA103</f>
        <v>13.299238636022205</v>
      </c>
    </row>
    <row r="104" spans="2:38" x14ac:dyDescent="0.2">
      <c r="B104" s="183" t="s">
        <v>580</v>
      </c>
      <c r="C104" s="187" t="s">
        <v>596</v>
      </c>
      <c r="D104" s="11" t="s">
        <v>597</v>
      </c>
      <c r="E104" s="191">
        <v>37.4559389</v>
      </c>
      <c r="F104" s="191">
        <v>141.00273050000001</v>
      </c>
      <c r="G104" s="196">
        <v>1.24</v>
      </c>
      <c r="I104" s="45" t="s">
        <v>630</v>
      </c>
      <c r="K104" s="197">
        <v>1.45</v>
      </c>
      <c r="L104" s="194">
        <v>42312</v>
      </c>
      <c r="M104" s="187" t="s">
        <v>599</v>
      </c>
      <c r="N104" s="187" t="s">
        <v>612</v>
      </c>
      <c r="O104" s="7">
        <f>3*12*30*24</f>
        <v>25920</v>
      </c>
      <c r="P104" s="187">
        <v>77.8</v>
      </c>
      <c r="Q104" s="113" t="s">
        <v>649</v>
      </c>
      <c r="R104" s="8" t="s">
        <v>652</v>
      </c>
      <c r="U104" s="187">
        <v>202</v>
      </c>
      <c r="V104" s="187">
        <v>2320</v>
      </c>
      <c r="W104" s="212">
        <f t="shared" si="47"/>
        <v>8.7068965517241373E-2</v>
      </c>
      <c r="X104" s="200">
        <v>5.0761245862667001E-4</v>
      </c>
      <c r="Y104" s="200">
        <v>2.9533788015410699E-4</v>
      </c>
      <c r="Z104" s="198">
        <f t="shared" si="48"/>
        <v>0.10253771664258735</v>
      </c>
      <c r="AA104" s="199">
        <f t="shared" si="49"/>
        <v>0.68518388195752822</v>
      </c>
      <c r="AB104" s="117">
        <f t="shared" si="45"/>
        <v>0.78772159860011559</v>
      </c>
      <c r="AC104" s="116">
        <f>Z104*O104/1000</f>
        <v>2.6577776153758643</v>
      </c>
      <c r="AD104" s="8">
        <v>4.492</v>
      </c>
      <c r="AE104" s="116">
        <f>AA104*O104/1000</f>
        <v>17.75996622033913</v>
      </c>
      <c r="AF104" s="198">
        <f t="shared" si="50"/>
        <v>22.251966220339131</v>
      </c>
      <c r="AG104" s="235">
        <f>K104*O104/1000</f>
        <v>37.584000000000003</v>
      </c>
      <c r="AH104" s="119">
        <f t="shared" si="46"/>
        <v>59.205955247815901</v>
      </c>
      <c r="AJ104" s="118">
        <f t="shared" si="51"/>
        <v>59.835966220339131</v>
      </c>
      <c r="AL104" s="120">
        <f>G104+Z104+AA104</f>
        <v>2.0277215986001158</v>
      </c>
    </row>
    <row r="105" spans="2:38" x14ac:dyDescent="0.2">
      <c r="B105" s="183" t="s">
        <v>581</v>
      </c>
      <c r="C105" s="187" t="s">
        <v>596</v>
      </c>
      <c r="D105" s="11" t="s">
        <v>597</v>
      </c>
      <c r="E105" s="191">
        <v>37.4559389</v>
      </c>
      <c r="F105" s="191">
        <v>141.00273050000001</v>
      </c>
      <c r="G105" s="196">
        <v>1.24</v>
      </c>
      <c r="I105" s="45" t="s">
        <v>630</v>
      </c>
      <c r="K105" s="197">
        <v>1.45</v>
      </c>
      <c r="L105" s="195">
        <v>43419</v>
      </c>
      <c r="M105" s="187" t="s">
        <v>599</v>
      </c>
      <c r="N105" s="187" t="s">
        <v>613</v>
      </c>
      <c r="O105" s="7">
        <f>30*24</f>
        <v>720</v>
      </c>
      <c r="P105" s="187">
        <v>4.3</v>
      </c>
      <c r="Q105" s="113" t="s">
        <v>649</v>
      </c>
      <c r="R105" s="8" t="s">
        <v>652</v>
      </c>
      <c r="U105" s="187">
        <v>217</v>
      </c>
      <c r="V105" s="187">
        <v>2240</v>
      </c>
      <c r="W105" s="212">
        <f t="shared" si="47"/>
        <v>9.6875000000000003E-2</v>
      </c>
      <c r="X105" s="200">
        <v>2.7780133006720701E-4</v>
      </c>
      <c r="Y105" s="200">
        <v>2.1063702429833001E-4</v>
      </c>
      <c r="Z105" s="198">
        <f t="shared" si="48"/>
        <v>6.0282888624583919E-2</v>
      </c>
      <c r="AA105" s="199">
        <f t="shared" si="49"/>
        <v>0.47182693442825924</v>
      </c>
      <c r="AB105" s="117">
        <f t="shared" si="45"/>
        <v>0.53210982305284316</v>
      </c>
      <c r="AC105" s="116">
        <f>Z105*O105/1000</f>
        <v>4.3403679809700418E-2</v>
      </c>
      <c r="AD105" s="8">
        <v>4.3999999999999997E-2</v>
      </c>
      <c r="AE105" s="116">
        <f>AA105*O105/1000</f>
        <v>0.33971539278834667</v>
      </c>
      <c r="AF105" s="198">
        <f t="shared" si="50"/>
        <v>0.38371539278834665</v>
      </c>
      <c r="AG105" s="235">
        <f>K105*O105/1000</f>
        <v>1.044</v>
      </c>
      <c r="AH105" s="119">
        <f t="shared" si="46"/>
        <v>36.754347968232437</v>
      </c>
      <c r="AJ105" s="118">
        <f t="shared" si="51"/>
        <v>1.4277153927883468</v>
      </c>
      <c r="AL105" s="120">
        <f>G105+Z105+AA105</f>
        <v>1.7721098230528431</v>
      </c>
    </row>
    <row r="106" spans="2:38" x14ac:dyDescent="0.2">
      <c r="B106" s="183" t="s">
        <v>582</v>
      </c>
      <c r="C106" s="187" t="s">
        <v>596</v>
      </c>
      <c r="D106" s="11" t="s">
        <v>597</v>
      </c>
      <c r="E106" s="191">
        <v>37.4559389</v>
      </c>
      <c r="F106" s="191">
        <v>141.00273050000001</v>
      </c>
      <c r="G106" s="196">
        <v>1.24</v>
      </c>
      <c r="I106" s="45" t="s">
        <v>630</v>
      </c>
      <c r="K106" s="197">
        <v>1.45</v>
      </c>
      <c r="L106" s="195">
        <v>43419</v>
      </c>
      <c r="M106" s="187" t="s">
        <v>599</v>
      </c>
      <c r="N106" s="187" t="s">
        <v>613</v>
      </c>
      <c r="O106" s="7">
        <f>30*24</f>
        <v>720</v>
      </c>
      <c r="P106" s="187">
        <v>4.3</v>
      </c>
      <c r="Q106" s="113" t="s">
        <v>649</v>
      </c>
      <c r="R106" s="8" t="s">
        <v>652</v>
      </c>
      <c r="U106" s="187">
        <v>205</v>
      </c>
      <c r="V106" s="187">
        <v>2590</v>
      </c>
      <c r="W106" s="212">
        <f t="shared" si="47"/>
        <v>7.9150579150579145E-2</v>
      </c>
      <c r="X106" s="200">
        <v>2.7780133006720701E-4</v>
      </c>
      <c r="Y106" s="200">
        <v>2.1063702429833001E-4</v>
      </c>
      <c r="Z106" s="198">
        <f t="shared" si="48"/>
        <v>5.6949272663777438E-2</v>
      </c>
      <c r="AA106" s="199">
        <f t="shared" si="49"/>
        <v>0.54554989293267475</v>
      </c>
      <c r="AB106" s="117">
        <f t="shared" si="45"/>
        <v>0.60249916559645222</v>
      </c>
      <c r="AC106" s="116">
        <f>Z106*O106/1000</f>
        <v>4.1003476317919757E-2</v>
      </c>
      <c r="AD106" s="8">
        <v>4.2000000000000003E-2</v>
      </c>
      <c r="AE106" s="116">
        <f>AA106*O106/1000</f>
        <v>0.39279592291152587</v>
      </c>
      <c r="AF106" s="198">
        <f t="shared" si="50"/>
        <v>0.43479592291152586</v>
      </c>
      <c r="AG106" s="235">
        <f>K106*O106/1000</f>
        <v>1.044</v>
      </c>
      <c r="AH106" s="119">
        <f t="shared" si="46"/>
        <v>41.647119052828145</v>
      </c>
      <c r="AJ106" s="118">
        <f t="shared" si="51"/>
        <v>1.478795922911526</v>
      </c>
      <c r="AL106" s="120">
        <f>G106+Z106+AA106</f>
        <v>1.8424991655964522</v>
      </c>
    </row>
    <row r="107" spans="2:38" x14ac:dyDescent="0.2">
      <c r="B107" s="183" t="s">
        <v>583</v>
      </c>
      <c r="C107" s="187" t="s">
        <v>596</v>
      </c>
      <c r="D107" s="11" t="s">
        <v>597</v>
      </c>
      <c r="E107" s="191">
        <v>37.4559389</v>
      </c>
      <c r="F107" s="191">
        <v>141.00273050000001</v>
      </c>
      <c r="G107" s="196">
        <v>1.24</v>
      </c>
      <c r="I107" s="45" t="s">
        <v>630</v>
      </c>
      <c r="K107" s="197">
        <v>1.45</v>
      </c>
      <c r="L107" s="195">
        <v>43419</v>
      </c>
      <c r="M107" s="187" t="s">
        <v>598</v>
      </c>
      <c r="N107" s="187" t="s">
        <v>613</v>
      </c>
      <c r="O107" s="7">
        <f>30*24</f>
        <v>720</v>
      </c>
      <c r="P107" s="187">
        <v>4.3</v>
      </c>
      <c r="Q107" s="113" t="s">
        <v>649</v>
      </c>
      <c r="R107" s="8" t="s">
        <v>652</v>
      </c>
      <c r="U107" s="187">
        <v>216</v>
      </c>
      <c r="V107" s="187">
        <v>2170</v>
      </c>
      <c r="W107" s="212">
        <f t="shared" si="47"/>
        <v>9.9539170506912439E-2</v>
      </c>
      <c r="X107" s="200">
        <v>2.7780133006720701E-4</v>
      </c>
      <c r="Y107" s="200">
        <v>2.1063702429833001E-4</v>
      </c>
      <c r="Z107" s="198">
        <f t="shared" si="48"/>
        <v>6.0005087294516715E-2</v>
      </c>
      <c r="AA107" s="199">
        <f t="shared" si="49"/>
        <v>0.45708234272737613</v>
      </c>
      <c r="AB107" s="117">
        <f t="shared" si="45"/>
        <v>0.51708743002189284</v>
      </c>
      <c r="AC107" s="116">
        <f>Z107*O107/1000</f>
        <v>4.3203662852052037E-2</v>
      </c>
      <c r="AD107" s="8">
        <v>4.3999999999999997E-2</v>
      </c>
      <c r="AE107" s="116">
        <f>AA107*O107/1000</f>
        <v>0.32909928676371086</v>
      </c>
      <c r="AF107" s="198">
        <f t="shared" si="50"/>
        <v>0.37309928676371085</v>
      </c>
      <c r="AG107" s="235">
        <f>K107*O107/1000</f>
        <v>1.044</v>
      </c>
      <c r="AH107" s="119">
        <f t="shared" si="46"/>
        <v>35.737479575068086</v>
      </c>
      <c r="AJ107" s="118">
        <f t="shared" si="51"/>
        <v>1.4170992867637109</v>
      </c>
      <c r="AL107" s="120">
        <f>G107+Z107+AA107</f>
        <v>1.757087430021893</v>
      </c>
    </row>
    <row r="108" spans="2:38" x14ac:dyDescent="0.2">
      <c r="B108" s="183" t="s">
        <v>584</v>
      </c>
      <c r="C108" s="187" t="s">
        <v>596</v>
      </c>
      <c r="D108" s="11" t="s">
        <v>597</v>
      </c>
      <c r="E108" s="191">
        <v>37.4559389</v>
      </c>
      <c r="F108" s="191">
        <v>141.00273050000001</v>
      </c>
      <c r="G108" s="196">
        <v>1.24</v>
      </c>
      <c r="I108" s="45" t="s">
        <v>630</v>
      </c>
      <c r="K108" s="197">
        <v>1.45</v>
      </c>
      <c r="L108" s="195">
        <v>43419</v>
      </c>
      <c r="M108" s="187" t="s">
        <v>598</v>
      </c>
      <c r="N108" s="187" t="s">
        <v>613</v>
      </c>
      <c r="O108" s="7">
        <f>30*24</f>
        <v>720</v>
      </c>
      <c r="P108" s="187">
        <v>3.6</v>
      </c>
      <c r="Q108" s="113" t="s">
        <v>649</v>
      </c>
      <c r="R108" s="8" t="s">
        <v>652</v>
      </c>
      <c r="U108" s="187">
        <v>221</v>
      </c>
      <c r="V108" s="187">
        <v>2160</v>
      </c>
      <c r="W108" s="212">
        <f t="shared" si="47"/>
        <v>0.10231481481481482</v>
      </c>
      <c r="X108" s="200">
        <v>2.7780133006720701E-4</v>
      </c>
      <c r="Y108" s="200">
        <v>2.1063702429833001E-4</v>
      </c>
      <c r="Z108" s="198">
        <f t="shared" si="48"/>
        <v>6.1394093944852748E-2</v>
      </c>
      <c r="AA108" s="199">
        <f t="shared" si="49"/>
        <v>0.45497597248439281</v>
      </c>
      <c r="AB108" s="117">
        <f t="shared" si="45"/>
        <v>0.51637006642924554</v>
      </c>
      <c r="AC108" s="116">
        <f>Z108*O108/1000</f>
        <v>4.4203747640293979E-2</v>
      </c>
      <c r="AD108" s="8">
        <v>4.4999999999999998E-2</v>
      </c>
      <c r="AE108" s="116">
        <f>AA108*O108/1000</f>
        <v>0.32758270018876284</v>
      </c>
      <c r="AF108" s="198">
        <f t="shared" si="50"/>
        <v>0.37258270018876283</v>
      </c>
      <c r="AG108" s="235">
        <f>K108*O108/1000</f>
        <v>1.044</v>
      </c>
      <c r="AH108" s="119">
        <f t="shared" si="46"/>
        <v>35.687998102371914</v>
      </c>
      <c r="AJ108" s="118">
        <f t="shared" si="51"/>
        <v>1.416582700188763</v>
      </c>
      <c r="AL108" s="120">
        <f>G108+Z108+AA108</f>
        <v>1.7563700664292456</v>
      </c>
    </row>
    <row r="109" spans="2:38" x14ac:dyDescent="0.2">
      <c r="B109" s="183" t="s">
        <v>585</v>
      </c>
      <c r="C109" s="187" t="s">
        <v>72</v>
      </c>
      <c r="D109" s="11" t="s">
        <v>597</v>
      </c>
      <c r="E109" s="191">
        <v>37.562136000000002</v>
      </c>
      <c r="F109" s="187">
        <v>140.7474972</v>
      </c>
      <c r="G109" s="196">
        <v>1.43</v>
      </c>
      <c r="I109" s="45" t="s">
        <v>488</v>
      </c>
      <c r="K109" s="197">
        <v>2.85</v>
      </c>
      <c r="L109" s="194">
        <v>42312</v>
      </c>
      <c r="M109" s="187" t="s">
        <v>598</v>
      </c>
      <c r="N109" s="187" t="s">
        <v>608</v>
      </c>
      <c r="O109" s="7">
        <f>30*30*24</f>
        <v>21600</v>
      </c>
      <c r="P109" s="187">
        <v>74.2</v>
      </c>
      <c r="Q109" s="113" t="s">
        <v>649</v>
      </c>
      <c r="R109" s="8" t="s">
        <v>652</v>
      </c>
      <c r="U109" s="187">
        <v>178</v>
      </c>
      <c r="V109" s="187">
        <v>1740</v>
      </c>
      <c r="W109" s="212">
        <f t="shared" si="47"/>
        <v>0.10229885057471265</v>
      </c>
      <c r="X109" s="200">
        <v>5.0761245862667001E-4</v>
      </c>
      <c r="Y109" s="200">
        <v>2.9533788015410699E-4</v>
      </c>
      <c r="Z109" s="198">
        <f t="shared" si="48"/>
        <v>9.0355017635547263E-2</v>
      </c>
      <c r="AA109" s="199">
        <f t="shared" si="49"/>
        <v>0.51388791146814616</v>
      </c>
      <c r="AB109" s="117">
        <f t="shared" si="45"/>
        <v>0.60424292910369348</v>
      </c>
      <c r="AC109" s="116">
        <f>Z109*O109/1000</f>
        <v>1.9516683809278208</v>
      </c>
      <c r="AD109" s="8">
        <v>3.0089999999999999</v>
      </c>
      <c r="AE109" s="116">
        <f>AA109*O109/1000</f>
        <v>11.099978887711957</v>
      </c>
      <c r="AF109" s="198">
        <f t="shared" si="50"/>
        <v>14.108978887711958</v>
      </c>
      <c r="AG109" s="235">
        <f>K109*O109/1000</f>
        <v>61.56</v>
      </c>
      <c r="AH109" s="119">
        <f t="shared" si="46"/>
        <v>22.919069018375499</v>
      </c>
      <c r="AJ109" s="118">
        <f t="shared" si="51"/>
        <v>75.668978887711958</v>
      </c>
      <c r="AL109" s="120">
        <f>G109+Z109+AA109</f>
        <v>2.0342429291036934</v>
      </c>
    </row>
    <row r="110" spans="2:38" x14ac:dyDescent="0.2">
      <c r="B110" s="181" t="s">
        <v>586</v>
      </c>
      <c r="C110" s="185" t="s">
        <v>72</v>
      </c>
      <c r="D110" s="11" t="s">
        <v>597</v>
      </c>
      <c r="E110" s="189">
        <v>37.490912000000002</v>
      </c>
      <c r="F110" s="189">
        <v>140.9329414</v>
      </c>
      <c r="G110" s="196">
        <v>1.99</v>
      </c>
      <c r="I110" s="45" t="s">
        <v>488</v>
      </c>
      <c r="K110" s="197">
        <v>2.85</v>
      </c>
      <c r="L110" s="194">
        <v>43055</v>
      </c>
      <c r="M110" s="185" t="s">
        <v>599</v>
      </c>
      <c r="N110" s="185" t="s">
        <v>604</v>
      </c>
      <c r="O110" s="7">
        <f>12*30*24</f>
        <v>8640</v>
      </c>
      <c r="P110" s="185">
        <v>26.6</v>
      </c>
      <c r="Q110" s="113" t="s">
        <v>649</v>
      </c>
      <c r="R110" s="8" t="s">
        <v>652</v>
      </c>
      <c r="U110" s="185">
        <v>295</v>
      </c>
      <c r="V110" s="185">
        <v>2670</v>
      </c>
      <c r="W110" s="212">
        <f t="shared" si="47"/>
        <v>0.1104868913857678</v>
      </c>
      <c r="X110" s="200">
        <v>3.5961668022628502E-4</v>
      </c>
      <c r="Y110" s="200">
        <v>2.4093427574034001E-4</v>
      </c>
      <c r="Z110" s="198">
        <f t="shared" si="48"/>
        <v>0.10608692066675408</v>
      </c>
      <c r="AA110" s="199">
        <f t="shared" si="49"/>
        <v>0.64329451622670786</v>
      </c>
      <c r="AB110" s="117">
        <f t="shared" si="45"/>
        <v>0.74938143689346193</v>
      </c>
      <c r="AC110" s="116">
        <f>Z110*O110/1000</f>
        <v>0.91659099456075521</v>
      </c>
      <c r="AD110" s="8">
        <v>1.0840000000000001</v>
      </c>
      <c r="AE110" s="116">
        <f>AA110*O110/1000</f>
        <v>5.5580646201987554</v>
      </c>
      <c r="AF110" s="198">
        <f t="shared" si="50"/>
        <v>6.6420646201987559</v>
      </c>
      <c r="AG110" s="235">
        <f>K110*O110/1000</f>
        <v>24.623999999999999</v>
      </c>
      <c r="AH110" s="119">
        <f t="shared" si="46"/>
        <v>26.973946638234064</v>
      </c>
      <c r="AJ110" s="118">
        <f t="shared" si="51"/>
        <v>31.266064620198755</v>
      </c>
      <c r="AL110" s="120">
        <f>G110+Z110+AA110</f>
        <v>2.7393814368934617</v>
      </c>
    </row>
    <row r="111" spans="2:38" x14ac:dyDescent="0.2">
      <c r="B111" s="181" t="s">
        <v>587</v>
      </c>
      <c r="C111" s="185" t="s">
        <v>72</v>
      </c>
      <c r="D111" s="11" t="s">
        <v>597</v>
      </c>
      <c r="E111" s="189">
        <v>37.484864199999997</v>
      </c>
      <c r="F111" s="189">
        <v>140.9444642</v>
      </c>
      <c r="G111" s="196">
        <v>1.33</v>
      </c>
      <c r="I111" s="45" t="s">
        <v>488</v>
      </c>
      <c r="K111" s="197">
        <v>2.85</v>
      </c>
      <c r="L111" s="194">
        <v>43055</v>
      </c>
      <c r="M111" s="185" t="s">
        <v>598</v>
      </c>
      <c r="N111" s="185" t="s">
        <v>607</v>
      </c>
      <c r="O111" s="7">
        <f>10*30*24</f>
        <v>7200</v>
      </c>
      <c r="P111" s="185">
        <v>37.700000000000003</v>
      </c>
      <c r="Q111" s="113" t="s">
        <v>649</v>
      </c>
      <c r="R111" s="8" t="s">
        <v>652</v>
      </c>
      <c r="U111" s="185">
        <v>59</v>
      </c>
      <c r="V111" s="185">
        <v>569</v>
      </c>
      <c r="W111" s="212">
        <f t="shared" si="47"/>
        <v>0.10369068541300527</v>
      </c>
      <c r="X111" s="200">
        <v>4.7119091619184003E-4</v>
      </c>
      <c r="Y111" s="200">
        <v>2.8196803083546201E-4</v>
      </c>
      <c r="Z111" s="198">
        <f t="shared" si="48"/>
        <v>2.780026405531856E-2</v>
      </c>
      <c r="AA111" s="199">
        <f t="shared" si="49"/>
        <v>0.1604398095453779</v>
      </c>
      <c r="AB111" s="117">
        <f t="shared" si="45"/>
        <v>0.18824007360069644</v>
      </c>
      <c r="AC111" s="116">
        <f>Z111*O111/1000</f>
        <v>0.20016190119829363</v>
      </c>
      <c r="AD111" s="8">
        <v>0.23100000000000001</v>
      </c>
      <c r="AE111" s="116">
        <f>AA111*O111/1000</f>
        <v>1.1551666287267208</v>
      </c>
      <c r="AF111" s="198">
        <f t="shared" si="50"/>
        <v>1.3861666287267209</v>
      </c>
      <c r="AG111" s="235">
        <f>K111*O111/1000</f>
        <v>20.52</v>
      </c>
      <c r="AH111" s="119">
        <f t="shared" si="46"/>
        <v>6.7551979957442541</v>
      </c>
      <c r="AJ111" s="118">
        <f t="shared" si="51"/>
        <v>21.906166628726719</v>
      </c>
      <c r="AL111" s="120">
        <f>G111+Z111+AA111</f>
        <v>1.5182400736006965</v>
      </c>
    </row>
    <row r="112" spans="2:38" x14ac:dyDescent="0.2">
      <c r="B112" s="181" t="s">
        <v>588</v>
      </c>
      <c r="C112" s="185" t="s">
        <v>83</v>
      </c>
      <c r="D112" s="11" t="s">
        <v>597</v>
      </c>
      <c r="E112" s="189">
        <v>37.40005</v>
      </c>
      <c r="F112" s="185">
        <v>140.98935</v>
      </c>
      <c r="G112" s="196">
        <v>2.5</v>
      </c>
      <c r="I112" s="45" t="s">
        <v>488</v>
      </c>
      <c r="K112" s="197">
        <v>2.85</v>
      </c>
      <c r="L112" s="194">
        <v>43055</v>
      </c>
      <c r="M112" s="185" t="s">
        <v>598</v>
      </c>
      <c r="N112" s="185" t="s">
        <v>607</v>
      </c>
      <c r="O112" s="7">
        <f>10*30*24</f>
        <v>7200</v>
      </c>
      <c r="P112" s="185">
        <v>34.5</v>
      </c>
      <c r="Q112" s="113" t="s">
        <v>649</v>
      </c>
      <c r="R112" s="8" t="s">
        <v>652</v>
      </c>
      <c r="U112" s="185">
        <v>276</v>
      </c>
      <c r="V112" s="185">
        <v>2530</v>
      </c>
      <c r="W112" s="212">
        <f t="shared" si="47"/>
        <v>0.10909090909090909</v>
      </c>
      <c r="X112" s="200">
        <v>3.5961668022628502E-4</v>
      </c>
      <c r="Y112" s="200">
        <v>2.4093427574034001E-4</v>
      </c>
      <c r="Z112" s="198">
        <f t="shared" si="48"/>
        <v>9.9254203742454666E-2</v>
      </c>
      <c r="AA112" s="199">
        <f t="shared" si="49"/>
        <v>0.60956371762306016</v>
      </c>
      <c r="AB112" s="117">
        <f t="shared" si="45"/>
        <v>0.7088179213655148</v>
      </c>
      <c r="AC112" s="116">
        <f>Z112*O112/1000</f>
        <v>0.71463026694567366</v>
      </c>
      <c r="AD112" s="8">
        <v>0.82</v>
      </c>
      <c r="AE112" s="116">
        <f>AA112*O112/1000</f>
        <v>4.3888587668860328</v>
      </c>
      <c r="AF112" s="198">
        <f t="shared" si="50"/>
        <v>5.2088587668860331</v>
      </c>
      <c r="AG112" s="235">
        <f>K112*O112/1000</f>
        <v>20.52</v>
      </c>
      <c r="AH112" s="119">
        <f t="shared" si="46"/>
        <v>25.384301982875407</v>
      </c>
      <c r="AJ112" s="118">
        <f t="shared" si="51"/>
        <v>25.728858766886034</v>
      </c>
      <c r="AL112" s="120">
        <f>G112+Z112+AA112</f>
        <v>3.2088179213655148</v>
      </c>
    </row>
    <row r="113" spans="2:38" x14ac:dyDescent="0.2">
      <c r="B113" s="181" t="s">
        <v>589</v>
      </c>
      <c r="C113" s="185" t="s">
        <v>83</v>
      </c>
      <c r="D113" s="11" t="s">
        <v>597</v>
      </c>
      <c r="E113" s="185">
        <v>37.408700000000003</v>
      </c>
      <c r="F113" s="189">
        <v>140.97487000000001</v>
      </c>
      <c r="G113" s="196">
        <v>2.2999999999999998</v>
      </c>
      <c r="I113" s="45" t="s">
        <v>629</v>
      </c>
      <c r="K113" s="197">
        <v>1.45</v>
      </c>
      <c r="L113" s="194">
        <v>43055</v>
      </c>
      <c r="M113" s="185" t="s">
        <v>599</v>
      </c>
      <c r="N113" s="185" t="s">
        <v>614</v>
      </c>
      <c r="O113" s="7">
        <f>6*30*24</f>
        <v>4320</v>
      </c>
      <c r="P113" s="185">
        <v>27.7</v>
      </c>
      <c r="Q113" s="113" t="s">
        <v>649</v>
      </c>
      <c r="R113" s="8" t="s">
        <v>652</v>
      </c>
      <c r="U113" s="185">
        <v>262</v>
      </c>
      <c r="V113" s="185">
        <v>2340</v>
      </c>
      <c r="W113" s="212">
        <f t="shared" si="47"/>
        <v>0.11196581196581197</v>
      </c>
      <c r="X113" s="200">
        <v>3.5961668022628502E-4</v>
      </c>
      <c r="Y113" s="200">
        <v>2.4093427574034001E-4</v>
      </c>
      <c r="Z113" s="198">
        <f t="shared" si="48"/>
        <v>9.4219570219286675E-2</v>
      </c>
      <c r="AA113" s="199">
        <f t="shared" si="49"/>
        <v>0.56378620523239564</v>
      </c>
      <c r="AB113" s="117">
        <f t="shared" si="45"/>
        <v>0.65800577545168237</v>
      </c>
      <c r="AC113" s="116">
        <f>Z113*O113/1000</f>
        <v>0.40702854334731842</v>
      </c>
      <c r="AD113" s="8">
        <v>0.442</v>
      </c>
      <c r="AE113" s="116">
        <f>AA113*O113/1000</f>
        <v>2.4355564066039492</v>
      </c>
      <c r="AF113" s="198">
        <f t="shared" si="50"/>
        <v>2.8775564066039494</v>
      </c>
      <c r="AG113" s="235">
        <f>K113*O113/1000</f>
        <v>6.2640000000000002</v>
      </c>
      <c r="AH113" s="119">
        <f t="shared" si="46"/>
        <v>45.938001382566242</v>
      </c>
      <c r="AJ113" s="118">
        <f t="shared" si="51"/>
        <v>9.1415564066039501</v>
      </c>
      <c r="AL113" s="120">
        <f>G113+Z113+AA113</f>
        <v>2.9580057754516824</v>
      </c>
    </row>
    <row r="114" spans="2:38" x14ac:dyDescent="0.2">
      <c r="B114" s="181" t="s">
        <v>590</v>
      </c>
      <c r="C114" s="185" t="s">
        <v>72</v>
      </c>
      <c r="D114" s="11" t="s">
        <v>597</v>
      </c>
      <c r="E114" s="189">
        <v>37.519889999999997</v>
      </c>
      <c r="F114" s="189">
        <v>140.81693000000001</v>
      </c>
      <c r="G114" s="196">
        <v>1.61</v>
      </c>
      <c r="I114" s="45" t="s">
        <v>488</v>
      </c>
      <c r="K114" s="197">
        <v>2.85</v>
      </c>
      <c r="L114" s="194">
        <v>43055</v>
      </c>
      <c r="M114" s="185" t="s">
        <v>599</v>
      </c>
      <c r="N114" s="185" t="s">
        <v>615</v>
      </c>
      <c r="O114" s="7">
        <f>4*12*30*24</f>
        <v>34560</v>
      </c>
      <c r="P114" s="185">
        <v>68.7</v>
      </c>
      <c r="Q114" s="113" t="s">
        <v>649</v>
      </c>
      <c r="R114" s="8" t="s">
        <v>652</v>
      </c>
      <c r="U114" s="185">
        <v>1120</v>
      </c>
      <c r="V114" s="185">
        <v>11300</v>
      </c>
      <c r="W114" s="212">
        <f t="shared" si="47"/>
        <v>9.9115044247787609E-2</v>
      </c>
      <c r="X114" s="200">
        <v>5.0761245862667001E-4</v>
      </c>
      <c r="Y114" s="200">
        <v>2.9533788015410699E-4</v>
      </c>
      <c r="Z114" s="198">
        <f t="shared" si="48"/>
        <v>0.56852595366187042</v>
      </c>
      <c r="AA114" s="199">
        <f t="shared" si="49"/>
        <v>3.3373180457414091</v>
      </c>
      <c r="AB114" s="117">
        <f t="shared" si="45"/>
        <v>3.9058439994032796</v>
      </c>
      <c r="AC114" s="116">
        <f>Z114*O114/1000</f>
        <v>19.648256958554242</v>
      </c>
      <c r="AD114" s="8">
        <v>40.231999999999999</v>
      </c>
      <c r="AE114" s="116">
        <f>AA114*O114/1000</f>
        <v>115.3377116608231</v>
      </c>
      <c r="AF114" s="198">
        <f t="shared" si="50"/>
        <v>155.56971166082309</v>
      </c>
      <c r="AG114" s="235">
        <f>K114*O114/1000</f>
        <v>98.495999999999995</v>
      </c>
      <c r="AH114" s="119">
        <f t="shared" si="46"/>
        <v>157.94520758286944</v>
      </c>
      <c r="AJ114" s="118">
        <f t="shared" si="51"/>
        <v>254.06571166082307</v>
      </c>
      <c r="AL114" s="120">
        <f>G114+Z114+AA114</f>
        <v>5.5158439994032795</v>
      </c>
    </row>
    <row r="115" spans="2:38" x14ac:dyDescent="0.2">
      <c r="B115" s="181" t="s">
        <v>591</v>
      </c>
      <c r="C115" s="185" t="s">
        <v>72</v>
      </c>
      <c r="D115" s="11" t="s">
        <v>597</v>
      </c>
      <c r="E115" s="189">
        <v>37.519889999999997</v>
      </c>
      <c r="F115" s="189">
        <v>140.81693000000001</v>
      </c>
      <c r="G115" s="196">
        <v>1.61</v>
      </c>
      <c r="I115" s="45" t="s">
        <v>488</v>
      </c>
      <c r="K115" s="197">
        <v>2.85</v>
      </c>
      <c r="L115" s="195">
        <v>43419</v>
      </c>
      <c r="M115" s="185" t="s">
        <v>599</v>
      </c>
      <c r="N115" s="185" t="s">
        <v>616</v>
      </c>
      <c r="O115" s="7">
        <f>60*24</f>
        <v>1440</v>
      </c>
      <c r="P115" s="185">
        <v>5.9</v>
      </c>
      <c r="Q115" s="113" t="s">
        <v>649</v>
      </c>
      <c r="R115" s="8" t="s">
        <v>652</v>
      </c>
      <c r="U115" s="185">
        <v>610</v>
      </c>
      <c r="V115" s="185">
        <v>6060</v>
      </c>
      <c r="W115" s="212">
        <f t="shared" si="47"/>
        <v>0.10066006600660066</v>
      </c>
      <c r="X115" s="200">
        <v>2.7780133006720701E-4</v>
      </c>
      <c r="Y115" s="200">
        <v>2.1063702429833001E-4</v>
      </c>
      <c r="Z115" s="198">
        <f t="shared" si="48"/>
        <v>0.16945881134099627</v>
      </c>
      <c r="AA115" s="199">
        <f t="shared" si="49"/>
        <v>1.2764603672478798</v>
      </c>
      <c r="AB115" s="117">
        <f t="shared" si="45"/>
        <v>1.4459191785888761</v>
      </c>
      <c r="AC115" s="116">
        <f>Z115*O115/1000</f>
        <v>0.24402068833103466</v>
      </c>
      <c r="AD115" s="8">
        <v>0.251</v>
      </c>
      <c r="AE115" s="116">
        <f>AA115*O115/1000</f>
        <v>1.8381029288369468</v>
      </c>
      <c r="AF115" s="198">
        <f t="shared" si="50"/>
        <v>2.0891029288369469</v>
      </c>
      <c r="AG115" s="235">
        <f>K115*O115/1000</f>
        <v>4.1040000000000001</v>
      </c>
      <c r="AH115" s="119">
        <f t="shared" si="46"/>
        <v>50.904067466787204</v>
      </c>
      <c r="AJ115" s="118">
        <f t="shared" si="51"/>
        <v>6.1931029288369466</v>
      </c>
      <c r="AL115" s="120">
        <f>G115+Z115+AA115</f>
        <v>3.0559191785888764</v>
      </c>
    </row>
    <row r="116" spans="2:38" x14ac:dyDescent="0.2">
      <c r="B116" s="181" t="s">
        <v>592</v>
      </c>
      <c r="C116" s="185" t="s">
        <v>72</v>
      </c>
      <c r="D116" s="11" t="s">
        <v>597</v>
      </c>
      <c r="E116" s="189">
        <v>37.519889999999997</v>
      </c>
      <c r="F116" s="189">
        <v>140.81693000000001</v>
      </c>
      <c r="G116" s="196">
        <v>1.61</v>
      </c>
      <c r="I116" s="45" t="s">
        <v>488</v>
      </c>
      <c r="K116" s="197">
        <v>2.85</v>
      </c>
      <c r="L116" s="195">
        <v>43419</v>
      </c>
      <c r="M116" s="185" t="s">
        <v>598</v>
      </c>
      <c r="N116" s="185" t="s">
        <v>616</v>
      </c>
      <c r="O116" s="7">
        <f>60*24</f>
        <v>1440</v>
      </c>
      <c r="P116" s="185">
        <v>5.2</v>
      </c>
      <c r="Q116" s="113" t="s">
        <v>649</v>
      </c>
      <c r="R116" s="8" t="s">
        <v>652</v>
      </c>
      <c r="U116" s="185">
        <v>647</v>
      </c>
      <c r="V116" s="185">
        <v>6010</v>
      </c>
      <c r="W116" s="212">
        <f t="shared" si="47"/>
        <v>0.10765391014975041</v>
      </c>
      <c r="X116" s="200">
        <v>2.7780133006720701E-4</v>
      </c>
      <c r="Y116" s="200">
        <v>2.1063702429833001E-4</v>
      </c>
      <c r="Z116" s="198">
        <f t="shared" si="48"/>
        <v>0.17973746055348294</v>
      </c>
      <c r="AA116" s="199">
        <f t="shared" si="49"/>
        <v>1.2659285160329634</v>
      </c>
      <c r="AB116" s="117">
        <f t="shared" si="45"/>
        <v>1.4456659765864464</v>
      </c>
      <c r="AC116" s="116">
        <f>Z116*O116/1000</f>
        <v>0.25882194319701546</v>
      </c>
      <c r="AD116" s="8">
        <v>0.26600000000000001</v>
      </c>
      <c r="AE116" s="116">
        <f>AA116*O116/1000</f>
        <v>1.8229370630874673</v>
      </c>
      <c r="AF116" s="198">
        <f t="shared" si="50"/>
        <v>2.0889370630874673</v>
      </c>
      <c r="AG116" s="235">
        <f>K116*O116/1000</f>
        <v>4.1040000000000001</v>
      </c>
      <c r="AH116" s="119">
        <f t="shared" si="46"/>
        <v>50.900025903690725</v>
      </c>
      <c r="AJ116" s="118">
        <f t="shared" si="51"/>
        <v>6.1929370630874674</v>
      </c>
      <c r="AL116" s="120">
        <f>G116+Z116+AA116</f>
        <v>3.0556659765864467</v>
      </c>
    </row>
    <row r="117" spans="2:38" x14ac:dyDescent="0.2">
      <c r="B117" s="181" t="s">
        <v>593</v>
      </c>
      <c r="C117" s="185" t="s">
        <v>72</v>
      </c>
      <c r="D117" s="11" t="s">
        <v>597</v>
      </c>
      <c r="E117" s="189">
        <v>37.519889999999997</v>
      </c>
      <c r="F117" s="189">
        <v>140.81693000000001</v>
      </c>
      <c r="G117" s="196">
        <v>1.61</v>
      </c>
      <c r="I117" s="45" t="s">
        <v>488</v>
      </c>
      <c r="K117" s="197">
        <v>2.85</v>
      </c>
      <c r="L117" s="195">
        <v>43419</v>
      </c>
      <c r="M117" s="185" t="s">
        <v>598</v>
      </c>
      <c r="N117" s="185" t="s">
        <v>616</v>
      </c>
      <c r="O117" s="7">
        <f>60*24</f>
        <v>1440</v>
      </c>
      <c r="P117" s="185">
        <v>5.5</v>
      </c>
      <c r="Q117" s="113" t="s">
        <v>649</v>
      </c>
      <c r="R117" s="8" t="s">
        <v>652</v>
      </c>
      <c r="U117" s="185">
        <v>735</v>
      </c>
      <c r="V117" s="185">
        <v>8220</v>
      </c>
      <c r="W117" s="212">
        <f t="shared" si="47"/>
        <v>8.9416058394160586E-2</v>
      </c>
      <c r="X117" s="200">
        <v>2.7780133006720701E-4</v>
      </c>
      <c r="Y117" s="200">
        <v>2.1063702429833001E-4</v>
      </c>
      <c r="Z117" s="198">
        <f t="shared" si="48"/>
        <v>0.20418397759939716</v>
      </c>
      <c r="AA117" s="199">
        <f t="shared" si="49"/>
        <v>1.7314363397322727</v>
      </c>
      <c r="AB117" s="117">
        <f t="shared" si="45"/>
        <v>1.9356203173316699</v>
      </c>
      <c r="AC117" s="116">
        <f>Z117*O117/1000</f>
        <v>0.29402492774313194</v>
      </c>
      <c r="AD117" s="8">
        <v>0.30199999999999999</v>
      </c>
      <c r="AE117" s="116">
        <f>AA117*O117/1000</f>
        <v>2.4932683292144731</v>
      </c>
      <c r="AF117" s="198">
        <f t="shared" si="50"/>
        <v>2.7952683292144731</v>
      </c>
      <c r="AG117" s="235">
        <f>K117*O117/1000</f>
        <v>4.1040000000000001</v>
      </c>
      <c r="AH117" s="119">
        <f t="shared" si="46"/>
        <v>68.110826735245439</v>
      </c>
      <c r="AJ117" s="118">
        <f t="shared" si="51"/>
        <v>6.8992683292144736</v>
      </c>
      <c r="AL117" s="120">
        <f>G117+Z117+AA117</f>
        <v>3.5456203173316698</v>
      </c>
    </row>
    <row r="118" spans="2:38" ht="16" thickBot="1" x14ac:dyDescent="0.25">
      <c r="B118" s="183" t="s">
        <v>594</v>
      </c>
      <c r="C118" s="187" t="s">
        <v>83</v>
      </c>
      <c r="D118" s="11" t="s">
        <v>597</v>
      </c>
      <c r="E118" s="191">
        <v>37.395659700000003</v>
      </c>
      <c r="F118" s="191">
        <v>141.00081299999999</v>
      </c>
      <c r="G118" s="263">
        <v>2.1</v>
      </c>
      <c r="I118" s="45" t="s">
        <v>488</v>
      </c>
      <c r="K118" s="197">
        <v>2.85</v>
      </c>
      <c r="L118" s="194">
        <v>43055</v>
      </c>
      <c r="M118" s="187" t="s">
        <v>599</v>
      </c>
      <c r="N118" s="187" t="s">
        <v>607</v>
      </c>
      <c r="O118" s="244">
        <f>10*30*24</f>
        <v>7200</v>
      </c>
      <c r="P118" s="187">
        <v>28.7</v>
      </c>
      <c r="Q118" s="113" t="s">
        <v>649</v>
      </c>
      <c r="R118" s="8" t="s">
        <v>652</v>
      </c>
      <c r="U118" s="187" t="s">
        <v>363</v>
      </c>
      <c r="V118" s="243" t="s">
        <v>363</v>
      </c>
      <c r="W118" s="239" t="s">
        <v>471</v>
      </c>
      <c r="X118" s="200">
        <v>3.5961668022628502E-4</v>
      </c>
      <c r="Y118" s="200">
        <v>2.4093427574034001E-4</v>
      </c>
      <c r="Z118" s="198" t="s">
        <v>471</v>
      </c>
      <c r="AA118" s="242" t="s">
        <v>471</v>
      </c>
      <c r="AB118" s="242"/>
      <c r="AC118" s="240" t="s">
        <v>471</v>
      </c>
      <c r="AD118" s="241">
        <v>0</v>
      </c>
      <c r="AE118" s="116" t="s">
        <v>471</v>
      </c>
      <c r="AF118" s="265" t="s">
        <v>471</v>
      </c>
      <c r="AG118" s="235">
        <f>K118*O118/1000</f>
        <v>20.52</v>
      </c>
      <c r="AH118" s="119" t="s">
        <v>471</v>
      </c>
      <c r="AJ118" s="118" t="s">
        <v>471</v>
      </c>
      <c r="AL118" s="120" t="s">
        <v>471</v>
      </c>
    </row>
    <row r="119" spans="2:38" x14ac:dyDescent="0.2">
      <c r="B119" s="11"/>
      <c r="C119" s="11"/>
      <c r="D119" s="11"/>
      <c r="E119" s="12"/>
      <c r="G119" s="59">
        <f t="shared" ref="G119" si="52">AVERAGE(G73:G118)</f>
        <v>2.8326666666666656</v>
      </c>
      <c r="K119" s="59">
        <f t="shared" ref="K119" si="53">AVERAGE(K73:K118)</f>
        <v>4.4608695652173882</v>
      </c>
      <c r="O119" s="59">
        <f t="shared" ref="O119" si="54">AVERAGE(O73:O118)</f>
        <v>9574.434782608696</v>
      </c>
      <c r="P119" s="59">
        <f>AVERAGE(P73:P118)</f>
        <v>32.57555555555556</v>
      </c>
      <c r="U119" s="59">
        <f t="shared" ref="U119:V119" si="55">AVERAGE(U73:U118)</f>
        <v>317.88636363636363</v>
      </c>
      <c r="V119" s="59">
        <f t="shared" si="55"/>
        <v>3124.2727272727275</v>
      </c>
      <c r="W119" s="63">
        <f t="shared" ref="W119" si="56">AVERAGE(W73:W118)</f>
        <v>0.10074481787870949</v>
      </c>
      <c r="AA119" s="7" t="s">
        <v>669</v>
      </c>
      <c r="AB119" s="63">
        <f t="shared" ref="AB119" si="57">AVERAGE(AB73:AB118)</f>
        <v>0.8977129516011243</v>
      </c>
      <c r="AC119" s="63">
        <f t="shared" ref="AC119:AD119" si="58">AVERAGE(AC73:AC118)</f>
        <v>1.3972701091339985</v>
      </c>
      <c r="AD119" s="63">
        <f t="shared" si="58"/>
        <v>2.1164444444444448</v>
      </c>
      <c r="AE119" s="63">
        <f t="shared" ref="AE119:AF119" si="59">AVERAGE(AE73:AE118)</f>
        <v>8.5344315721525774</v>
      </c>
      <c r="AF119" s="266">
        <f t="shared" si="59"/>
        <v>10.822789393122997</v>
      </c>
      <c r="AG119" s="63">
        <f t="shared" ref="AG119:AH119" si="60">AVERAGE(AG73:AG118)</f>
        <v>42.084078260869568</v>
      </c>
      <c r="AH119" s="63">
        <f t="shared" si="60"/>
        <v>79.272383068873566</v>
      </c>
      <c r="AJ119" s="266">
        <f t="shared" ref="AJ119:AL119" si="61">AVERAGE(AJ73:AJ118)</f>
        <v>52.424556834983449</v>
      </c>
      <c r="AL119" s="266">
        <f t="shared" si="61"/>
        <v>3.7843064732029017</v>
      </c>
    </row>
    <row r="120" spans="2:38" x14ac:dyDescent="0.2">
      <c r="B120" s="11"/>
      <c r="C120" s="11"/>
      <c r="D120" s="11"/>
      <c r="E120" s="12"/>
      <c r="G120" s="59">
        <f t="shared" ref="G120" si="62">_xlfn.STDEV.S(G73:G118)</f>
        <v>4.0771092700588776</v>
      </c>
      <c r="K120" s="59">
        <f t="shared" ref="K120" si="63">_xlfn.STDEV.S(K73:K118)</f>
        <v>5.1153897759981586</v>
      </c>
      <c r="O120" s="59">
        <f t="shared" ref="O120" si="64">_xlfn.STDEV.S(O73:O118)</f>
        <v>7538.6057527670309</v>
      </c>
      <c r="P120" s="59">
        <f>_xlfn.STDEV.S(P73:P118)</f>
        <v>17.567909219467015</v>
      </c>
      <c r="U120" s="59">
        <f t="shared" ref="U120:V120" si="65">_xlfn.STDEV.S(U73:U118)</f>
        <v>272.77166666519184</v>
      </c>
      <c r="V120" s="59">
        <f t="shared" si="65"/>
        <v>2634.1392960257072</v>
      </c>
      <c r="W120" s="63">
        <f t="shared" ref="W120" si="66">_xlfn.STDEV.S(W73:W118)</f>
        <v>1.0686273425577882E-2</v>
      </c>
      <c r="AA120" s="7" t="s">
        <v>667</v>
      </c>
      <c r="AB120" s="63">
        <f t="shared" ref="AB120" si="67">_xlfn.STDEV.S(AB73:AB118)</f>
        <v>0.79292546596585378</v>
      </c>
      <c r="AC120" s="63">
        <f t="shared" ref="AC120:AD120" si="68">_xlfn.STDEV.S(AC73:AC118)</f>
        <v>3.0240742739184365</v>
      </c>
      <c r="AD120" s="63">
        <f t="shared" si="68"/>
        <v>6.0497903290322821</v>
      </c>
      <c r="AE120" s="63">
        <f t="shared" ref="AE120:AF120" si="69">_xlfn.STDEV.S(AE73:AE118)</f>
        <v>17.728009218854297</v>
      </c>
      <c r="AF120" s="266">
        <f t="shared" si="69"/>
        <v>24.074888816412912</v>
      </c>
      <c r="AG120" s="63">
        <f t="shared" ref="AG120:AH120" si="70">_xlfn.STDEV.S(AG73:AG118)</f>
        <v>55.018685561559337</v>
      </c>
      <c r="AH120" s="63">
        <f t="shared" si="70"/>
        <v>165.27964601698457</v>
      </c>
      <c r="AJ120" s="266">
        <f t="shared" ref="AJ120:AL120" si="71">_xlfn.STDEV.S(AJ73:AJ118)</f>
        <v>65.86207096031589</v>
      </c>
      <c r="AL120" s="266">
        <f t="shared" si="71"/>
        <v>4.4278669862145392</v>
      </c>
    </row>
  </sheetData>
  <mergeCells count="12">
    <mergeCell ref="W61:AA61"/>
    <mergeCell ref="X62:X63"/>
    <mergeCell ref="Z62:Z63"/>
    <mergeCell ref="L70:L72"/>
    <mergeCell ref="X67:Y67"/>
    <mergeCell ref="X4:Y5"/>
    <mergeCell ref="C8:D8"/>
    <mergeCell ref="C7:F7"/>
    <mergeCell ref="H6:H8"/>
    <mergeCell ref="I6:I8"/>
    <mergeCell ref="L6:L8"/>
    <mergeCell ref="G6:G8"/>
  </mergeCells>
  <phoneticPr fontId="1"/>
  <pageMargins left="0.7" right="0.7" top="0.75" bottom="0.75" header="0.3" footer="0.3"/>
  <pageSetup paperSize="9" scale="73" fitToWidth="0" orientation="landscape" r:id="rId1"/>
  <ignoredErrors>
    <ignoredError sqref="O39 O17 O19 U29" formula="1"/>
    <ignoredError sqref="N1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20"/>
  <sheetViews>
    <sheetView topLeftCell="A57" zoomScale="80" zoomScaleNormal="80" workbookViewId="0">
      <selection activeCell="J72" sqref="J71:J72"/>
    </sheetView>
  </sheetViews>
  <sheetFormatPr baseColWidth="10" defaultColWidth="8.83203125" defaultRowHeight="15" x14ac:dyDescent="0.2"/>
  <cols>
    <col min="3" max="3" width="16.5" style="8" customWidth="1"/>
    <col min="4" max="4" width="10.83203125" customWidth="1"/>
    <col min="6" max="6" width="9" customWidth="1"/>
    <col min="7" max="7" width="13.83203125" customWidth="1"/>
    <col min="8" max="8" width="9.33203125" bestFit="1" customWidth="1"/>
    <col min="9" max="9" width="14.1640625" customWidth="1"/>
    <col min="10" max="10" width="15.6640625" customWidth="1"/>
    <col min="11" max="11" width="15.33203125" customWidth="1"/>
    <col min="12" max="12" width="14.1640625" customWidth="1"/>
    <col min="13" max="13" width="15" customWidth="1"/>
  </cols>
  <sheetData>
    <row r="1" spans="2:13" x14ac:dyDescent="0.2">
      <c r="B1" s="73" t="s">
        <v>534</v>
      </c>
    </row>
    <row r="2" spans="2:13" x14ac:dyDescent="0.2">
      <c r="B2" t="s">
        <v>529</v>
      </c>
      <c r="F2" s="71" t="s">
        <v>471</v>
      </c>
      <c r="G2" t="s">
        <v>637</v>
      </c>
    </row>
    <row r="3" spans="2:13" ht="16" customHeight="1" x14ac:dyDescent="0.2">
      <c r="B3" s="72"/>
      <c r="C3" s="90" t="s">
        <v>471</v>
      </c>
      <c r="D3" s="74"/>
      <c r="E3" s="74"/>
      <c r="F3" s="74"/>
      <c r="G3" s="74"/>
      <c r="H3" s="74"/>
      <c r="I3" s="74"/>
      <c r="J3" s="74" t="s">
        <v>639</v>
      </c>
      <c r="K3" s="74"/>
    </row>
    <row r="4" spans="2:13" ht="113" thickBot="1" x14ac:dyDescent="0.25">
      <c r="B4" s="72"/>
      <c r="C4" s="94" t="s">
        <v>535</v>
      </c>
      <c r="D4" s="95" t="s">
        <v>470</v>
      </c>
      <c r="E4" s="96" t="s">
        <v>528</v>
      </c>
      <c r="F4" s="95" t="s">
        <v>504</v>
      </c>
      <c r="G4" s="97" t="s">
        <v>531</v>
      </c>
      <c r="H4" s="96" t="s">
        <v>533</v>
      </c>
      <c r="I4" s="97" t="s">
        <v>530</v>
      </c>
      <c r="J4" s="207" t="s">
        <v>638</v>
      </c>
      <c r="K4" s="98" t="s">
        <v>532</v>
      </c>
      <c r="L4" s="98" t="s">
        <v>536</v>
      </c>
      <c r="M4" s="207" t="s">
        <v>640</v>
      </c>
    </row>
    <row r="5" spans="2:13" x14ac:dyDescent="0.2">
      <c r="C5" s="91" t="s">
        <v>18</v>
      </c>
      <c r="D5" s="92">
        <v>6048</v>
      </c>
      <c r="E5" s="206">
        <f>D5/24</f>
        <v>252</v>
      </c>
      <c r="F5" s="93">
        <v>220.905</v>
      </c>
      <c r="G5" s="200">
        <v>3.5961668022628502E-4</v>
      </c>
      <c r="H5" s="203">
        <f t="shared" ref="H5:H10" si="0">F5*G5*24</f>
        <v>1.9065869458892997</v>
      </c>
      <c r="I5" s="93">
        <f t="shared" ref="I5:I10" si="1">H5*E5</f>
        <v>480.45991036410351</v>
      </c>
      <c r="J5" s="93">
        <v>540</v>
      </c>
      <c r="K5" s="93">
        <v>672.73865999999998</v>
      </c>
      <c r="L5" s="100">
        <f>K5/1000</f>
        <v>0.67273865999999993</v>
      </c>
      <c r="M5" s="100">
        <f>J5/1000</f>
        <v>0.54</v>
      </c>
    </row>
    <row r="6" spans="2:13" x14ac:dyDescent="0.2">
      <c r="C6" s="75" t="s">
        <v>19</v>
      </c>
      <c r="D6" s="76">
        <v>4368</v>
      </c>
      <c r="E6" s="205">
        <f t="shared" ref="E6:E15" si="2">D6/24</f>
        <v>182</v>
      </c>
      <c r="F6" s="77">
        <v>381.05</v>
      </c>
      <c r="G6" s="200">
        <v>3.5961668022628502E-4</v>
      </c>
      <c r="H6" s="204">
        <f t="shared" si="0"/>
        <v>3.2887664640054215</v>
      </c>
      <c r="I6" s="77">
        <f t="shared" si="1"/>
        <v>598.55549644898667</v>
      </c>
      <c r="J6" s="77">
        <v>651</v>
      </c>
      <c r="K6" s="77">
        <v>812.61180000000002</v>
      </c>
      <c r="L6" s="100">
        <f t="shared" ref="L6:L45" si="3">K6/1000</f>
        <v>0.8126118</v>
      </c>
      <c r="M6" s="100">
        <f t="shared" ref="M6:M45" si="4">J6/1000</f>
        <v>0.65100000000000002</v>
      </c>
    </row>
    <row r="7" spans="2:13" x14ac:dyDescent="0.2">
      <c r="C7" s="75" t="s">
        <v>27</v>
      </c>
      <c r="D7" s="76">
        <v>4872</v>
      </c>
      <c r="E7" s="205">
        <f t="shared" si="2"/>
        <v>203</v>
      </c>
      <c r="F7" s="77">
        <v>336.5</v>
      </c>
      <c r="G7" s="200">
        <v>3.5961668022628502E-4</v>
      </c>
      <c r="H7" s="204">
        <f>F7*G7*24</f>
        <v>2.9042643095074778</v>
      </c>
      <c r="I7" s="77">
        <f t="shared" si="1"/>
        <v>589.56565483001805</v>
      </c>
      <c r="J7" s="77">
        <v>645</v>
      </c>
      <c r="K7" s="77">
        <v>808.55279999999993</v>
      </c>
      <c r="L7" s="100">
        <f t="shared" si="3"/>
        <v>0.80855279999999996</v>
      </c>
      <c r="M7" s="100">
        <f t="shared" si="4"/>
        <v>0.64500000000000002</v>
      </c>
    </row>
    <row r="8" spans="2:13" x14ac:dyDescent="0.2">
      <c r="C8" s="78" t="s">
        <v>76</v>
      </c>
      <c r="D8" s="76">
        <v>1260</v>
      </c>
      <c r="E8" s="205">
        <f t="shared" si="2"/>
        <v>52.5</v>
      </c>
      <c r="F8" s="77">
        <v>21.186</v>
      </c>
      <c r="G8" s="200">
        <v>2.7780133006720701E-4</v>
      </c>
      <c r="H8" s="204">
        <f t="shared" si="0"/>
        <v>0.14125197549129234</v>
      </c>
      <c r="I8" s="77">
        <f t="shared" si="1"/>
        <v>7.4157287132928476</v>
      </c>
      <c r="J8" s="77">
        <v>7</v>
      </c>
      <c r="K8" s="77">
        <v>12.258179999999999</v>
      </c>
      <c r="L8" s="100">
        <f t="shared" si="3"/>
        <v>1.2258179999999999E-2</v>
      </c>
      <c r="M8" s="100">
        <f t="shared" si="4"/>
        <v>7.0000000000000001E-3</v>
      </c>
    </row>
    <row r="9" spans="2:13" x14ac:dyDescent="0.2">
      <c r="C9" s="75" t="s">
        <v>78</v>
      </c>
      <c r="D9" s="76">
        <v>1260</v>
      </c>
      <c r="E9" s="205">
        <f t="shared" si="2"/>
        <v>52.5</v>
      </c>
      <c r="F9" s="77">
        <v>1399.2</v>
      </c>
      <c r="G9" s="200">
        <v>2.7780133006720701E-4</v>
      </c>
      <c r="H9" s="204">
        <f t="shared" si="0"/>
        <v>9.328790904720865</v>
      </c>
      <c r="I9" s="77">
        <f t="shared" si="1"/>
        <v>489.76152249784542</v>
      </c>
      <c r="J9" s="77">
        <v>497</v>
      </c>
      <c r="K9" s="77">
        <v>810.17639999999994</v>
      </c>
      <c r="L9" s="100">
        <f t="shared" si="3"/>
        <v>0.81017639999999991</v>
      </c>
      <c r="M9" s="100">
        <f t="shared" si="4"/>
        <v>0.497</v>
      </c>
    </row>
    <row r="10" spans="2:13" x14ac:dyDescent="0.2">
      <c r="C10" s="79" t="s">
        <v>84</v>
      </c>
      <c r="D10" s="76">
        <v>3528</v>
      </c>
      <c r="E10" s="205">
        <f t="shared" si="2"/>
        <v>147</v>
      </c>
      <c r="F10" s="77">
        <v>957.35</v>
      </c>
      <c r="G10" s="200">
        <v>2.7780133006720701E-4</v>
      </c>
      <c r="H10" s="204">
        <f t="shared" si="0"/>
        <v>6.3828744801561754</v>
      </c>
      <c r="I10" s="77">
        <f t="shared" si="1"/>
        <v>938.28254858295782</v>
      </c>
      <c r="J10" s="77">
        <v>1002</v>
      </c>
      <c r="K10" s="77">
        <v>1620.3527999999999</v>
      </c>
      <c r="L10" s="100">
        <f t="shared" si="3"/>
        <v>1.6203527999999998</v>
      </c>
      <c r="M10" s="100">
        <f t="shared" si="4"/>
        <v>1.002</v>
      </c>
    </row>
    <row r="11" spans="2:13" x14ac:dyDescent="0.2">
      <c r="C11" s="75" t="s">
        <v>79</v>
      </c>
      <c r="D11" s="76">
        <v>14616</v>
      </c>
      <c r="E11" s="205">
        <f t="shared" si="2"/>
        <v>609</v>
      </c>
      <c r="F11" s="77">
        <v>952.77499999999998</v>
      </c>
      <c r="G11" s="200">
        <v>4.7119091619184003E-4</v>
      </c>
      <c r="H11" s="204">
        <f t="shared" ref="H11:H18" si="5">F11*G11*24</f>
        <v>10.774534204192328</v>
      </c>
      <c r="I11" s="80">
        <f t="shared" ref="I11:I18" si="6">H11*E11</f>
        <v>6561.6913303531273</v>
      </c>
      <c r="J11" s="80">
        <v>8735</v>
      </c>
      <c r="K11" s="77">
        <v>8329.0679999999993</v>
      </c>
      <c r="L11" s="100">
        <f t="shared" si="3"/>
        <v>8.3290679999999995</v>
      </c>
      <c r="M11" s="100">
        <f t="shared" si="4"/>
        <v>8.7349999999999994</v>
      </c>
    </row>
    <row r="12" spans="2:13" x14ac:dyDescent="0.2">
      <c r="C12" s="81" t="s">
        <v>80</v>
      </c>
      <c r="D12" s="76">
        <v>14616</v>
      </c>
      <c r="E12" s="205">
        <f t="shared" si="2"/>
        <v>609</v>
      </c>
      <c r="F12" s="77">
        <v>161.75</v>
      </c>
      <c r="G12" s="200">
        <v>4.7119091619184003E-4</v>
      </c>
      <c r="H12" s="204">
        <f t="shared" si="5"/>
        <v>1.8291631366567231</v>
      </c>
      <c r="I12" s="80">
        <f t="shared" si="6"/>
        <v>1113.9603502239445</v>
      </c>
      <c r="J12" s="80">
        <v>1484</v>
      </c>
      <c r="K12" s="77">
        <v>1415.7791999999999</v>
      </c>
      <c r="L12" s="100">
        <f t="shared" si="3"/>
        <v>1.4157792</v>
      </c>
      <c r="M12" s="100">
        <f t="shared" si="4"/>
        <v>1.484</v>
      </c>
    </row>
    <row r="13" spans="2:13" x14ac:dyDescent="0.2">
      <c r="C13" s="75" t="s">
        <v>81</v>
      </c>
      <c r="D13" s="76">
        <v>1260</v>
      </c>
      <c r="E13" s="205">
        <f t="shared" si="2"/>
        <v>52.5</v>
      </c>
      <c r="F13" s="77">
        <v>1017.225</v>
      </c>
      <c r="G13" s="200">
        <v>2.7780133006720701E-4</v>
      </c>
      <c r="H13" s="204">
        <f t="shared" si="5"/>
        <v>6.7820749914627516</v>
      </c>
      <c r="I13" s="80">
        <f t="shared" si="6"/>
        <v>356.05893705179449</v>
      </c>
      <c r="J13" s="80">
        <v>360</v>
      </c>
      <c r="K13" s="77">
        <v>589.36680000000001</v>
      </c>
      <c r="L13" s="100">
        <f t="shared" si="3"/>
        <v>0.58936679999999997</v>
      </c>
      <c r="M13" s="100">
        <f t="shared" si="4"/>
        <v>0.36</v>
      </c>
    </row>
    <row r="14" spans="2:13" x14ac:dyDescent="0.2">
      <c r="C14" s="75" t="s">
        <v>82</v>
      </c>
      <c r="D14" s="76">
        <v>13440</v>
      </c>
      <c r="E14" s="205">
        <f t="shared" si="2"/>
        <v>560</v>
      </c>
      <c r="F14" s="77">
        <v>1098.9749999999999</v>
      </c>
      <c r="G14" s="200">
        <v>4.7119091619184003E-4</v>
      </c>
      <c r="H14" s="204">
        <f>F14*G14*24</f>
        <v>12.427848890926256</v>
      </c>
      <c r="I14" s="80">
        <f t="shared" si="6"/>
        <v>6959.5953789187033</v>
      </c>
      <c r="J14" s="80">
        <v>9029</v>
      </c>
      <c r="K14" s="77">
        <v>8624.5632000000005</v>
      </c>
      <c r="L14" s="100">
        <f t="shared" si="3"/>
        <v>8.6245632000000008</v>
      </c>
      <c r="M14" s="100">
        <f t="shared" si="4"/>
        <v>9.0289999999999999</v>
      </c>
    </row>
    <row r="15" spans="2:13" x14ac:dyDescent="0.2">
      <c r="C15" s="75" t="s">
        <v>91</v>
      </c>
      <c r="D15" s="76">
        <v>11004</v>
      </c>
      <c r="E15" s="205">
        <f t="shared" si="2"/>
        <v>458.5</v>
      </c>
      <c r="F15" s="77">
        <v>957.35</v>
      </c>
      <c r="G15" s="200">
        <v>3.5961668022628502E-4</v>
      </c>
      <c r="H15" s="204">
        <f t="shared" si="5"/>
        <v>8.2626966915512146</v>
      </c>
      <c r="I15" s="80">
        <f t="shared" si="6"/>
        <v>3788.4464330762321</v>
      </c>
      <c r="J15" s="80">
        <v>4681</v>
      </c>
      <c r="K15" s="77">
        <v>5856.3251999999993</v>
      </c>
      <c r="L15" s="100">
        <f t="shared" si="3"/>
        <v>5.8563251999999997</v>
      </c>
      <c r="M15" s="100">
        <f t="shared" si="4"/>
        <v>4.681</v>
      </c>
    </row>
    <row r="16" spans="2:13" x14ac:dyDescent="0.2">
      <c r="C16" s="75" t="s">
        <v>85</v>
      </c>
      <c r="D16" s="76">
        <v>10416</v>
      </c>
      <c r="E16" s="205">
        <f t="shared" ref="E16:E21" si="7">D16/24</f>
        <v>434</v>
      </c>
      <c r="F16" s="77">
        <v>574.85</v>
      </c>
      <c r="G16" s="200">
        <v>4.7119091619184003E-4</v>
      </c>
      <c r="H16" s="204">
        <f t="shared" si="5"/>
        <v>6.5007383561491023</v>
      </c>
      <c r="I16" s="80">
        <f t="shared" si="6"/>
        <v>2821.3204465687104</v>
      </c>
      <c r="J16" s="80">
        <v>3451</v>
      </c>
      <c r="K16" s="77">
        <v>3288.6017999999999</v>
      </c>
      <c r="L16" s="100">
        <f t="shared" si="3"/>
        <v>3.2886017999999999</v>
      </c>
      <c r="M16" s="100">
        <f t="shared" si="4"/>
        <v>3.4510000000000001</v>
      </c>
    </row>
    <row r="17" spans="3:13" x14ac:dyDescent="0.2">
      <c r="C17" s="75" t="s">
        <v>86</v>
      </c>
      <c r="D17" s="76">
        <v>10248</v>
      </c>
      <c r="E17" s="205">
        <f t="shared" si="7"/>
        <v>427</v>
      </c>
      <c r="F17" s="77">
        <v>399.05</v>
      </c>
      <c r="G17" s="200">
        <v>4.7119091619184003E-4</v>
      </c>
      <c r="H17" s="204">
        <f t="shared" si="5"/>
        <v>4.5126896425524903</v>
      </c>
      <c r="I17" s="80">
        <v>957</v>
      </c>
      <c r="J17" s="80">
        <v>2348</v>
      </c>
      <c r="K17" s="77">
        <v>2239.7561999999998</v>
      </c>
      <c r="L17" s="100">
        <f t="shared" si="3"/>
        <v>2.2397562</v>
      </c>
      <c r="M17" s="100">
        <f t="shared" si="4"/>
        <v>2.3479999999999999</v>
      </c>
    </row>
    <row r="18" spans="3:13" x14ac:dyDescent="0.2">
      <c r="C18" s="75" t="s">
        <v>87</v>
      </c>
      <c r="D18" s="76">
        <v>14112</v>
      </c>
      <c r="E18" s="205">
        <f t="shared" si="7"/>
        <v>588</v>
      </c>
      <c r="F18" s="77">
        <v>82.412499999999994</v>
      </c>
      <c r="G18" s="200">
        <v>4.7119091619184003E-4</v>
      </c>
      <c r="H18" s="204">
        <f t="shared" si="5"/>
        <v>0.93196851313584028</v>
      </c>
      <c r="I18" s="80">
        <f t="shared" si="6"/>
        <v>547.99748572387409</v>
      </c>
      <c r="J18" s="80">
        <v>720</v>
      </c>
      <c r="K18" s="77">
        <v>685.971</v>
      </c>
      <c r="L18" s="100">
        <f t="shared" si="3"/>
        <v>0.685971</v>
      </c>
      <c r="M18" s="100">
        <f t="shared" si="4"/>
        <v>0.72</v>
      </c>
    </row>
    <row r="19" spans="3:13" x14ac:dyDescent="0.2">
      <c r="C19" s="82" t="s">
        <v>94</v>
      </c>
      <c r="D19" s="76">
        <v>21000</v>
      </c>
      <c r="E19" s="205">
        <f t="shared" si="7"/>
        <v>875</v>
      </c>
      <c r="F19" s="77">
        <v>437</v>
      </c>
      <c r="G19" s="200">
        <v>5.0761245862667001E-4</v>
      </c>
      <c r="H19" s="204">
        <f t="shared" ref="H19" si="8">F19*G19*24</f>
        <v>5.3238394660765156</v>
      </c>
      <c r="I19" s="80">
        <f t="shared" ref="I19" si="9">H19*E19</f>
        <v>4658.3595328169513</v>
      </c>
      <c r="J19" s="80">
        <v>7080</v>
      </c>
      <c r="K19" s="77">
        <v>6267.0959999999995</v>
      </c>
      <c r="L19" s="100">
        <f t="shared" si="3"/>
        <v>6.2670959999999996</v>
      </c>
      <c r="M19" s="100">
        <f t="shared" si="4"/>
        <v>7.08</v>
      </c>
    </row>
    <row r="20" spans="3:13" x14ac:dyDescent="0.2">
      <c r="C20" s="66" t="s">
        <v>89</v>
      </c>
      <c r="D20" s="76">
        <v>9408</v>
      </c>
      <c r="E20" s="205">
        <f t="shared" si="7"/>
        <v>392</v>
      </c>
      <c r="F20" s="175">
        <v>0</v>
      </c>
      <c r="G20" s="200">
        <v>3.5961668022628502E-4</v>
      </c>
      <c r="H20" s="205"/>
      <c r="I20" s="76"/>
      <c r="J20" s="76"/>
      <c r="K20" s="77" t="s">
        <v>471</v>
      </c>
      <c r="L20" s="100">
        <v>0</v>
      </c>
      <c r="M20" s="100">
        <f t="shared" si="4"/>
        <v>0</v>
      </c>
    </row>
    <row r="21" spans="3:13" x14ac:dyDescent="0.2">
      <c r="C21" s="70" t="s">
        <v>405</v>
      </c>
      <c r="D21" s="76">
        <v>4368</v>
      </c>
      <c r="E21" s="205">
        <f t="shared" si="7"/>
        <v>182</v>
      </c>
      <c r="F21" s="77">
        <v>590</v>
      </c>
      <c r="G21" s="200">
        <v>3.5961668022628502E-4</v>
      </c>
      <c r="H21" s="204">
        <f>F21*G21*24</f>
        <v>5.0921721920041962</v>
      </c>
      <c r="I21" s="80">
        <f>H21*E21</f>
        <v>926.77533894476369</v>
      </c>
      <c r="J21" s="80">
        <v>1006</v>
      </c>
      <c r="K21" s="77">
        <v>1256.6663999999998</v>
      </c>
      <c r="L21" s="100">
        <f t="shared" si="3"/>
        <v>1.2566663999999999</v>
      </c>
      <c r="M21" s="100">
        <f t="shared" si="4"/>
        <v>1.006</v>
      </c>
    </row>
    <row r="22" spans="3:13" x14ac:dyDescent="0.2">
      <c r="C22" s="83" t="s">
        <v>361</v>
      </c>
      <c r="D22" s="99" t="s">
        <v>363</v>
      </c>
      <c r="E22" s="205" t="s">
        <v>471</v>
      </c>
      <c r="F22" s="77">
        <v>793.67499999999995</v>
      </c>
      <c r="G22" s="200">
        <v>3.5961668022628502E-4</v>
      </c>
      <c r="H22" s="205"/>
      <c r="I22" s="76"/>
      <c r="J22" s="76"/>
      <c r="K22" s="77" t="s">
        <v>471</v>
      </c>
      <c r="L22" s="100">
        <v>0</v>
      </c>
      <c r="M22" s="100">
        <f t="shared" si="4"/>
        <v>0</v>
      </c>
    </row>
    <row r="23" spans="3:13" x14ac:dyDescent="0.2">
      <c r="C23" s="84" t="s">
        <v>406</v>
      </c>
      <c r="D23" s="76">
        <v>4368</v>
      </c>
      <c r="E23" s="205">
        <f>D23/24</f>
        <v>182</v>
      </c>
      <c r="F23" s="77">
        <v>83.677499999999995</v>
      </c>
      <c r="G23" s="200">
        <v>3.5961668022628502E-4</v>
      </c>
      <c r="H23" s="204">
        <f>F23*G23*24</f>
        <v>0.72220379423123915</v>
      </c>
      <c r="I23" s="80">
        <f>H23*E23</f>
        <v>131.44109055008553</v>
      </c>
      <c r="J23" s="80">
        <v>142</v>
      </c>
      <c r="K23" s="77">
        <v>714.38400000000001</v>
      </c>
      <c r="L23" s="100">
        <f t="shared" si="3"/>
        <v>0.71438400000000002</v>
      </c>
      <c r="M23" s="100">
        <f t="shared" si="4"/>
        <v>0.14199999999999999</v>
      </c>
    </row>
    <row r="24" spans="3:13" x14ac:dyDescent="0.2">
      <c r="C24" s="67" t="s">
        <v>364</v>
      </c>
      <c r="D24" s="76">
        <v>4368</v>
      </c>
      <c r="E24" s="205">
        <f>D24/24</f>
        <v>182</v>
      </c>
      <c r="F24" s="77">
        <v>39</v>
      </c>
      <c r="G24" s="200">
        <v>3.5961668022628502E-4</v>
      </c>
      <c r="H24" s="204">
        <f t="shared" ref="H24:H33" si="10">F24*G24*24</f>
        <v>0.33660121269180276</v>
      </c>
      <c r="I24" s="80">
        <f t="shared" ref="I24:I33" si="11">H24*E24</f>
        <v>61.261420709908101</v>
      </c>
      <c r="J24" s="80">
        <v>67</v>
      </c>
      <c r="K24" s="77">
        <v>83.615399999999994</v>
      </c>
      <c r="L24" s="100">
        <f t="shared" si="3"/>
        <v>8.3615399999999993E-2</v>
      </c>
      <c r="M24" s="100">
        <f t="shared" si="4"/>
        <v>6.7000000000000004E-2</v>
      </c>
    </row>
    <row r="25" spans="3:13" x14ac:dyDescent="0.2">
      <c r="C25" s="68" t="s">
        <v>367</v>
      </c>
      <c r="D25" s="76">
        <v>4368</v>
      </c>
      <c r="E25" s="205">
        <f t="shared" ref="E25:E45" si="12">D25/24</f>
        <v>182</v>
      </c>
      <c r="F25" s="77">
        <v>226.5</v>
      </c>
      <c r="G25" s="200">
        <v>3.5961668022628502E-4</v>
      </c>
      <c r="H25" s="204">
        <f t="shared" si="10"/>
        <v>1.9548762737100853</v>
      </c>
      <c r="I25" s="80">
        <f t="shared" si="11"/>
        <v>355.78748181523554</v>
      </c>
      <c r="J25" s="80">
        <v>385</v>
      </c>
      <c r="K25" s="77">
        <v>483.02099999999996</v>
      </c>
      <c r="L25" s="100">
        <f t="shared" si="3"/>
        <v>0.48302099999999998</v>
      </c>
      <c r="M25" s="100">
        <f t="shared" si="4"/>
        <v>0.38500000000000001</v>
      </c>
    </row>
    <row r="26" spans="3:13" x14ac:dyDescent="0.2">
      <c r="C26" s="83" t="s">
        <v>371</v>
      </c>
      <c r="D26" s="76">
        <v>36960</v>
      </c>
      <c r="E26" s="205">
        <f t="shared" si="12"/>
        <v>1540</v>
      </c>
      <c r="F26" s="77">
        <v>424.08</v>
      </c>
      <c r="G26" s="200">
        <v>5.0761245862667001E-4</v>
      </c>
      <c r="H26" s="204">
        <f t="shared" si="10"/>
        <v>5.1664389949055574</v>
      </c>
      <c r="I26" s="80">
        <f t="shared" si="11"/>
        <v>7956.3160521545587</v>
      </c>
      <c r="J26" s="80">
        <v>17226</v>
      </c>
      <c r="K26" s="77">
        <v>12767.178599999999</v>
      </c>
      <c r="L26" s="100">
        <f t="shared" si="3"/>
        <v>12.767178599999999</v>
      </c>
      <c r="M26" s="100">
        <f t="shared" si="4"/>
        <v>17.225999999999999</v>
      </c>
    </row>
    <row r="27" spans="3:13" x14ac:dyDescent="0.2">
      <c r="C27" s="85" t="s">
        <v>372</v>
      </c>
      <c r="D27" s="76">
        <v>14616</v>
      </c>
      <c r="E27" s="205">
        <f t="shared" si="12"/>
        <v>609</v>
      </c>
      <c r="F27" s="77">
        <v>187.92500000000001</v>
      </c>
      <c r="G27" s="200">
        <v>4.7119091619184003E-4</v>
      </c>
      <c r="H27" s="204">
        <f t="shared" si="10"/>
        <v>2.1251652702084369</v>
      </c>
      <c r="I27" s="80">
        <f t="shared" si="11"/>
        <v>1294.2256495569382</v>
      </c>
      <c r="J27" s="80">
        <v>1727</v>
      </c>
      <c r="K27" s="77">
        <v>1639.836</v>
      </c>
      <c r="L27" s="100">
        <f t="shared" si="3"/>
        <v>1.6398360000000001</v>
      </c>
      <c r="M27" s="100">
        <f t="shared" si="4"/>
        <v>1.7270000000000001</v>
      </c>
    </row>
    <row r="28" spans="3:13" x14ac:dyDescent="0.2">
      <c r="C28" s="85" t="s">
        <v>374</v>
      </c>
      <c r="D28" s="76">
        <v>4368</v>
      </c>
      <c r="E28" s="205">
        <f t="shared" si="12"/>
        <v>182</v>
      </c>
      <c r="F28" s="77">
        <v>420</v>
      </c>
      <c r="G28" s="200">
        <v>3.5961668022628502E-4</v>
      </c>
      <c r="H28" s="204">
        <f t="shared" si="10"/>
        <v>3.6249361366809527</v>
      </c>
      <c r="I28" s="80">
        <f t="shared" si="11"/>
        <v>659.73837687593334</v>
      </c>
      <c r="J28" s="80">
        <v>716</v>
      </c>
      <c r="K28" s="77">
        <v>893.79179999999997</v>
      </c>
      <c r="L28" s="100">
        <f t="shared" si="3"/>
        <v>0.89379179999999991</v>
      </c>
      <c r="M28" s="100">
        <f t="shared" si="4"/>
        <v>0.71599999999999997</v>
      </c>
    </row>
    <row r="29" spans="3:13" x14ac:dyDescent="0.2">
      <c r="C29" s="85" t="s">
        <v>377</v>
      </c>
      <c r="D29" s="76">
        <v>4368</v>
      </c>
      <c r="E29" s="205">
        <f t="shared" si="12"/>
        <v>182</v>
      </c>
      <c r="F29" s="77">
        <v>511.32499999999999</v>
      </c>
      <c r="G29" s="200">
        <v>3.5961668022628502E-4</v>
      </c>
      <c r="H29" s="204">
        <f t="shared" si="10"/>
        <v>4.4131439764009244</v>
      </c>
      <c r="I29" s="80">
        <f t="shared" si="11"/>
        <v>803.19220370496828</v>
      </c>
      <c r="J29" s="80">
        <v>872</v>
      </c>
      <c r="K29" s="77">
        <v>1090.2474</v>
      </c>
      <c r="L29" s="100">
        <f t="shared" si="3"/>
        <v>1.0902474</v>
      </c>
      <c r="M29" s="100">
        <f t="shared" si="4"/>
        <v>0.872</v>
      </c>
    </row>
    <row r="30" spans="3:13" x14ac:dyDescent="0.2">
      <c r="C30" s="83" t="s">
        <v>379</v>
      </c>
      <c r="D30" s="76">
        <v>14616</v>
      </c>
      <c r="E30" s="205">
        <f t="shared" si="12"/>
        <v>609</v>
      </c>
      <c r="F30" s="77">
        <v>590</v>
      </c>
      <c r="G30" s="200">
        <v>4.7119091619184003E-4</v>
      </c>
      <c r="H30" s="204">
        <f t="shared" si="10"/>
        <v>6.6720633732764547</v>
      </c>
      <c r="I30" s="80">
        <f t="shared" si="11"/>
        <v>4063.286594325361</v>
      </c>
      <c r="J30" s="80">
        <v>5410</v>
      </c>
      <c r="K30" s="77">
        <v>1343.529</v>
      </c>
      <c r="L30" s="100">
        <f t="shared" si="3"/>
        <v>1.343529</v>
      </c>
      <c r="M30" s="100">
        <f t="shared" si="4"/>
        <v>5.41</v>
      </c>
    </row>
    <row r="31" spans="3:13" x14ac:dyDescent="0.2">
      <c r="C31" s="86" t="s">
        <v>339</v>
      </c>
      <c r="D31" s="76">
        <v>4368</v>
      </c>
      <c r="E31" s="205">
        <f t="shared" si="12"/>
        <v>182</v>
      </c>
      <c r="F31" s="77">
        <v>131.25</v>
      </c>
      <c r="G31" s="200">
        <v>3.5961668022628502E-4</v>
      </c>
      <c r="H31" s="204">
        <f t="shared" si="10"/>
        <v>1.1327925427127976</v>
      </c>
      <c r="I31" s="80">
        <f t="shared" si="11"/>
        <v>206.16824277372916</v>
      </c>
      <c r="J31" s="80">
        <v>223</v>
      </c>
      <c r="K31" s="77">
        <v>279.25919999999996</v>
      </c>
      <c r="L31" s="100">
        <f t="shared" si="3"/>
        <v>0.27925919999999999</v>
      </c>
      <c r="M31" s="100">
        <f t="shared" si="4"/>
        <v>0.223</v>
      </c>
    </row>
    <row r="32" spans="3:13" x14ac:dyDescent="0.2">
      <c r="C32" s="86" t="s">
        <v>347</v>
      </c>
      <c r="D32" s="76">
        <v>7728</v>
      </c>
      <c r="E32" s="205">
        <f t="shared" si="12"/>
        <v>322</v>
      </c>
      <c r="F32" s="77">
        <v>465.82499999999999</v>
      </c>
      <c r="G32" s="200">
        <v>4.7119091619184003E-4</v>
      </c>
      <c r="H32" s="204">
        <f t="shared" si="10"/>
        <v>5.2678202048415335</v>
      </c>
      <c r="I32" s="80">
        <f t="shared" si="11"/>
        <v>1696.2381059589738</v>
      </c>
      <c r="J32" s="80">
        <v>1968</v>
      </c>
      <c r="K32" s="77">
        <v>1873.6343999999999</v>
      </c>
      <c r="L32" s="100">
        <f t="shared" si="3"/>
        <v>1.8736343999999998</v>
      </c>
      <c r="M32" s="100">
        <f t="shared" si="4"/>
        <v>1.968</v>
      </c>
    </row>
    <row r="33" spans="3:13" x14ac:dyDescent="0.2">
      <c r="C33" s="86" t="s">
        <v>382</v>
      </c>
      <c r="D33" s="76">
        <v>4368</v>
      </c>
      <c r="E33" s="205">
        <f t="shared" si="12"/>
        <v>182</v>
      </c>
      <c r="F33" s="77">
        <v>48.25</v>
      </c>
      <c r="G33" s="200">
        <v>3.5961668022628502E-4</v>
      </c>
      <c r="H33" s="204">
        <f t="shared" si="10"/>
        <v>0.41643611570203798</v>
      </c>
      <c r="I33" s="80">
        <f t="shared" si="11"/>
        <v>75.791373057770912</v>
      </c>
      <c r="J33" s="80">
        <v>83</v>
      </c>
      <c r="K33" s="77">
        <v>103.09859999999999</v>
      </c>
      <c r="L33" s="100">
        <f t="shared" si="3"/>
        <v>0.10309859999999998</v>
      </c>
      <c r="M33" s="100">
        <f t="shared" si="4"/>
        <v>8.3000000000000004E-2</v>
      </c>
    </row>
    <row r="34" spans="3:13" x14ac:dyDescent="0.2">
      <c r="C34" s="87" t="s">
        <v>383</v>
      </c>
      <c r="D34" s="76">
        <v>10416</v>
      </c>
      <c r="E34" s="205">
        <f t="shared" si="12"/>
        <v>434</v>
      </c>
      <c r="F34" s="176"/>
      <c r="G34" s="200">
        <v>4.7119091619184003E-4</v>
      </c>
      <c r="H34" s="205"/>
      <c r="I34" s="76"/>
      <c r="J34" s="76"/>
      <c r="K34" s="77" t="s">
        <v>471</v>
      </c>
      <c r="L34" s="100">
        <v>0</v>
      </c>
      <c r="M34" s="100">
        <f t="shared" si="4"/>
        <v>0</v>
      </c>
    </row>
    <row r="35" spans="3:13" x14ac:dyDescent="0.2">
      <c r="C35" s="88" t="s">
        <v>385</v>
      </c>
      <c r="D35" s="76">
        <v>8064</v>
      </c>
      <c r="E35" s="205">
        <f t="shared" si="12"/>
        <v>336</v>
      </c>
      <c r="F35" s="77">
        <v>590</v>
      </c>
      <c r="G35" s="200">
        <v>4.7119091619184003E-4</v>
      </c>
      <c r="H35" s="204">
        <f t="shared" ref="H35:H41" si="13">F35*G35*24</f>
        <v>6.6720633732764547</v>
      </c>
      <c r="I35" s="80">
        <f t="shared" ref="I35:I41" si="14">H35*E35</f>
        <v>2241.8132934208888</v>
      </c>
      <c r="J35" s="80">
        <v>2617</v>
      </c>
      <c r="K35" s="77">
        <v>2493.8496</v>
      </c>
      <c r="L35" s="100">
        <f t="shared" si="3"/>
        <v>2.4938495999999999</v>
      </c>
      <c r="M35" s="100">
        <f t="shared" si="4"/>
        <v>2.617</v>
      </c>
    </row>
    <row r="36" spans="3:13" x14ac:dyDescent="0.2">
      <c r="C36" s="86" t="s">
        <v>387</v>
      </c>
      <c r="D36" s="76">
        <v>3948</v>
      </c>
      <c r="E36" s="205">
        <f t="shared" si="12"/>
        <v>164.5</v>
      </c>
      <c r="F36" s="77">
        <v>682.52499999999998</v>
      </c>
      <c r="G36" s="200">
        <v>3.5961668022628502E-4</v>
      </c>
      <c r="H36" s="204">
        <f t="shared" si="13"/>
        <v>5.8907369921146842</v>
      </c>
      <c r="I36" s="80">
        <f t="shared" si="14"/>
        <v>969.02623520286556</v>
      </c>
      <c r="J36" s="80">
        <v>1041</v>
      </c>
      <c r="K36" s="77">
        <v>1303.7508</v>
      </c>
      <c r="L36" s="100">
        <f t="shared" si="3"/>
        <v>1.3037508</v>
      </c>
      <c r="M36" s="100">
        <f t="shared" si="4"/>
        <v>1.0409999999999999</v>
      </c>
    </row>
    <row r="37" spans="3:13" x14ac:dyDescent="0.2">
      <c r="C37" s="86" t="s">
        <v>467</v>
      </c>
      <c r="D37" s="76">
        <v>4368</v>
      </c>
      <c r="E37" s="205">
        <f t="shared" si="12"/>
        <v>182</v>
      </c>
      <c r="F37" s="77">
        <v>627.52499999999998</v>
      </c>
      <c r="G37" s="200">
        <v>3.5961668022628502E-4</v>
      </c>
      <c r="H37" s="204">
        <f t="shared" si="13"/>
        <v>5.4160429742159879</v>
      </c>
      <c r="I37" s="80">
        <f t="shared" si="14"/>
        <v>985.71982130730976</v>
      </c>
      <c r="J37" s="80">
        <v>1071</v>
      </c>
      <c r="K37" s="77">
        <v>1337.0346</v>
      </c>
      <c r="L37" s="100">
        <f t="shared" si="3"/>
        <v>1.3370346</v>
      </c>
      <c r="M37" s="100">
        <f t="shared" si="4"/>
        <v>1.071</v>
      </c>
    </row>
    <row r="38" spans="3:13" x14ac:dyDescent="0.2">
      <c r="C38" s="86" t="s">
        <v>468</v>
      </c>
      <c r="D38" s="76">
        <v>4368</v>
      </c>
      <c r="E38" s="205">
        <f t="shared" si="12"/>
        <v>182</v>
      </c>
      <c r="F38" s="77">
        <v>522.45000000000005</v>
      </c>
      <c r="G38" s="200">
        <v>3.5961668022628502E-4</v>
      </c>
      <c r="H38" s="204">
        <f t="shared" si="13"/>
        <v>4.5091616300213424</v>
      </c>
      <c r="I38" s="80">
        <f>H38*E38</f>
        <v>820.6674166638843</v>
      </c>
      <c r="J38" s="80">
        <v>891</v>
      </c>
      <c r="K38" s="77">
        <v>1112.1659999999999</v>
      </c>
      <c r="L38" s="100">
        <f t="shared" si="3"/>
        <v>1.112166</v>
      </c>
      <c r="M38" s="100">
        <f t="shared" si="4"/>
        <v>0.89100000000000001</v>
      </c>
    </row>
    <row r="39" spans="3:13" x14ac:dyDescent="0.2">
      <c r="C39" s="86" t="s">
        <v>469</v>
      </c>
      <c r="D39" s="76">
        <v>3948</v>
      </c>
      <c r="E39" s="205">
        <f t="shared" si="12"/>
        <v>164.5</v>
      </c>
      <c r="F39" s="77">
        <v>318.07499999999999</v>
      </c>
      <c r="G39" s="200">
        <v>3.5961668022628502E-4</v>
      </c>
      <c r="H39" s="204">
        <f t="shared" si="13"/>
        <v>2.7452418135114143</v>
      </c>
      <c r="I39" s="80">
        <f t="shared" si="14"/>
        <v>451.59227832262764</v>
      </c>
      <c r="J39" s="80">
        <v>486</v>
      </c>
      <c r="K39" s="77">
        <v>607.22640000000001</v>
      </c>
      <c r="L39" s="100">
        <f t="shared" si="3"/>
        <v>0.60722640000000006</v>
      </c>
      <c r="M39" s="100">
        <f t="shared" si="4"/>
        <v>0.48599999999999999</v>
      </c>
    </row>
    <row r="40" spans="3:13" x14ac:dyDescent="0.2">
      <c r="C40" s="89" t="s">
        <v>392</v>
      </c>
      <c r="D40" s="76">
        <v>3948</v>
      </c>
      <c r="E40" s="205">
        <f t="shared" si="12"/>
        <v>164.5</v>
      </c>
      <c r="F40" s="77">
        <v>7.5</v>
      </c>
      <c r="G40" s="200">
        <v>3.5961668022628502E-4</v>
      </c>
      <c r="H40" s="204">
        <f t="shared" si="13"/>
        <v>6.4731002440731295E-2</v>
      </c>
      <c r="I40" s="80">
        <f t="shared" si="14"/>
        <v>10.648249901500298</v>
      </c>
      <c r="J40" s="80">
        <v>11</v>
      </c>
      <c r="K40" s="77">
        <v>14.368859999999998</v>
      </c>
      <c r="L40" s="100">
        <f t="shared" si="3"/>
        <v>1.4368859999999997E-2</v>
      </c>
      <c r="M40" s="100">
        <f t="shared" si="4"/>
        <v>1.0999999999999999E-2</v>
      </c>
    </row>
    <row r="41" spans="3:13" x14ac:dyDescent="0.2">
      <c r="C41" s="86" t="s">
        <v>394</v>
      </c>
      <c r="D41" s="76">
        <v>4872</v>
      </c>
      <c r="E41" s="205">
        <f t="shared" si="12"/>
        <v>203</v>
      </c>
      <c r="F41" s="77">
        <v>93</v>
      </c>
      <c r="G41" s="200">
        <v>4.7119091619184003E-4</v>
      </c>
      <c r="H41" s="204">
        <f t="shared" si="13"/>
        <v>1.0516981249401871</v>
      </c>
      <c r="I41" s="80">
        <f t="shared" si="14"/>
        <v>213.49471936285798</v>
      </c>
      <c r="J41" s="80">
        <v>233</v>
      </c>
      <c r="K41" s="77">
        <v>222.4332</v>
      </c>
      <c r="L41" s="100">
        <f t="shared" si="3"/>
        <v>0.2224332</v>
      </c>
      <c r="M41" s="100">
        <f t="shared" si="4"/>
        <v>0.23300000000000001</v>
      </c>
    </row>
    <row r="42" spans="3:13" x14ac:dyDescent="0.2">
      <c r="C42" s="86" t="s">
        <v>396</v>
      </c>
      <c r="D42" s="76">
        <v>14616</v>
      </c>
      <c r="E42" s="205">
        <f t="shared" si="12"/>
        <v>609</v>
      </c>
      <c r="F42" s="175" t="s">
        <v>518</v>
      </c>
      <c r="G42" s="200">
        <v>4.7119091619184003E-4</v>
      </c>
      <c r="H42" s="205"/>
      <c r="I42" s="76"/>
      <c r="J42" s="76"/>
      <c r="K42" s="77" t="s">
        <v>471</v>
      </c>
      <c r="L42" s="100">
        <v>0</v>
      </c>
      <c r="M42" s="100">
        <f t="shared" si="4"/>
        <v>0</v>
      </c>
    </row>
    <row r="43" spans="3:13" x14ac:dyDescent="0.2">
      <c r="C43" s="86" t="s">
        <v>399</v>
      </c>
      <c r="D43" s="76">
        <v>10416</v>
      </c>
      <c r="E43" s="205">
        <f t="shared" si="12"/>
        <v>434</v>
      </c>
      <c r="F43" s="175" t="s">
        <v>518</v>
      </c>
      <c r="G43" s="200">
        <v>3.5961668022628502E-4</v>
      </c>
      <c r="H43" s="205"/>
      <c r="I43" s="76"/>
      <c r="J43" s="76"/>
      <c r="K43" s="77" t="s">
        <v>471</v>
      </c>
      <c r="L43" s="100">
        <v>0</v>
      </c>
      <c r="M43" s="100">
        <f t="shared" si="4"/>
        <v>0</v>
      </c>
    </row>
    <row r="44" spans="3:13" x14ac:dyDescent="0.2">
      <c r="C44" s="86" t="s">
        <v>401</v>
      </c>
      <c r="D44" s="76">
        <v>24360</v>
      </c>
      <c r="E44" s="205">
        <f t="shared" si="12"/>
        <v>1015</v>
      </c>
      <c r="F44" s="77">
        <v>350.32499999999999</v>
      </c>
      <c r="G44" s="200">
        <v>5.0761245862667001E-4</v>
      </c>
      <c r="H44" s="204">
        <f>F44*G44*24</f>
        <v>4.2679040296413167</v>
      </c>
      <c r="I44" s="80">
        <f>H44*E44</f>
        <v>4331.9225900859365</v>
      </c>
      <c r="J44" s="80">
        <v>7084</v>
      </c>
      <c r="K44" s="77">
        <v>6262.2251999999999</v>
      </c>
      <c r="L44" s="100">
        <f t="shared" si="3"/>
        <v>6.2622251999999996</v>
      </c>
      <c r="M44" s="100">
        <f t="shared" si="4"/>
        <v>7.0839999999999996</v>
      </c>
    </row>
    <row r="45" spans="3:13" x14ac:dyDescent="0.2">
      <c r="C45" s="85" t="s">
        <v>403</v>
      </c>
      <c r="D45" s="76">
        <v>14616</v>
      </c>
      <c r="E45" s="205">
        <f t="shared" si="12"/>
        <v>609</v>
      </c>
      <c r="F45" s="77">
        <v>83.677499999999995</v>
      </c>
      <c r="G45" s="200">
        <v>5.0761245862667001E-4</v>
      </c>
      <c r="H45" s="204">
        <f>F45*G45*24</f>
        <v>1.0194177961615964</v>
      </c>
      <c r="I45" s="80">
        <f>H45*E45</f>
        <v>620.82543786241229</v>
      </c>
      <c r="J45" s="80">
        <v>827</v>
      </c>
      <c r="K45" s="77">
        <v>730.62</v>
      </c>
      <c r="L45" s="100">
        <f t="shared" si="3"/>
        <v>0.73062000000000005</v>
      </c>
      <c r="M45" s="100">
        <f t="shared" si="4"/>
        <v>0.82699999999999996</v>
      </c>
    </row>
    <row r="46" spans="3:13" x14ac:dyDescent="0.2">
      <c r="C46" s="229"/>
      <c r="D46" s="230"/>
      <c r="E46" s="231"/>
      <c r="F46" s="232"/>
      <c r="G46" s="200"/>
      <c r="H46" s="233"/>
      <c r="I46" s="234"/>
      <c r="J46" s="234"/>
      <c r="K46" s="232"/>
      <c r="L46" s="100"/>
      <c r="M46" s="100"/>
    </row>
    <row r="47" spans="3:13" x14ac:dyDescent="0.2">
      <c r="C47" s="54"/>
    </row>
    <row r="48" spans="3:13" x14ac:dyDescent="0.2">
      <c r="C48" s="54"/>
      <c r="D48" s="72"/>
      <c r="E48" s="72"/>
      <c r="F48" s="331" t="s">
        <v>661</v>
      </c>
      <c r="G48" s="72"/>
      <c r="H48" s="325" t="s">
        <v>533</v>
      </c>
      <c r="I48" s="331" t="s">
        <v>663</v>
      </c>
      <c r="J48" s="327" t="s">
        <v>638</v>
      </c>
      <c r="M48" s="329" t="s">
        <v>640</v>
      </c>
    </row>
    <row r="49" spans="3:13" x14ac:dyDescent="0.2">
      <c r="C49" s="54"/>
      <c r="D49" s="72"/>
      <c r="E49" s="72"/>
      <c r="F49" s="331"/>
      <c r="G49" s="72"/>
      <c r="H49" s="325"/>
      <c r="I49" s="331"/>
      <c r="J49" s="327"/>
      <c r="M49" s="329"/>
    </row>
    <row r="50" spans="3:13" x14ac:dyDescent="0.2">
      <c r="C50" s="54"/>
      <c r="D50" s="325" t="s">
        <v>664</v>
      </c>
      <c r="E50" s="325" t="s">
        <v>665</v>
      </c>
      <c r="F50" s="331"/>
      <c r="G50" s="72"/>
      <c r="H50" s="325"/>
      <c r="I50" s="331"/>
      <c r="J50" s="327"/>
      <c r="M50" s="329"/>
    </row>
    <row r="51" spans="3:13" ht="63" customHeight="1" thickBot="1" x14ac:dyDescent="0.25">
      <c r="C51" s="54"/>
      <c r="D51" s="326"/>
      <c r="E51" s="326"/>
      <c r="F51" s="332"/>
      <c r="G51" s="72"/>
      <c r="H51" s="326"/>
      <c r="I51" s="332"/>
      <c r="J51" s="328"/>
      <c r="M51" s="330"/>
    </row>
    <row r="52" spans="3:13" x14ac:dyDescent="0.2">
      <c r="C52" s="180" t="s">
        <v>549</v>
      </c>
      <c r="D52" s="213">
        <f>8*30*24</f>
        <v>5760</v>
      </c>
      <c r="E52">
        <f>D52/24</f>
        <v>240</v>
      </c>
      <c r="F52" s="226">
        <v>2.7690484377423948E-2</v>
      </c>
      <c r="H52" s="100">
        <f>F52*24</f>
        <v>0.6645716250581748</v>
      </c>
      <c r="I52" s="228">
        <f t="shared" ref="I52:I97" si="15">(F52*D52)</f>
        <v>159.49719001396193</v>
      </c>
      <c r="J52">
        <v>177</v>
      </c>
      <c r="M52" s="100">
        <f>J52/1000</f>
        <v>0.17699999999999999</v>
      </c>
    </row>
    <row r="53" spans="3:13" x14ac:dyDescent="0.2">
      <c r="C53" s="180" t="s">
        <v>550</v>
      </c>
      <c r="D53" s="213">
        <f>8*30*24</f>
        <v>5760</v>
      </c>
      <c r="E53">
        <f t="shared" ref="E53:E97" si="16">D53/24</f>
        <v>240</v>
      </c>
      <c r="F53" s="226">
        <v>3.092703449946051E-2</v>
      </c>
      <c r="H53" s="100">
        <f t="shared" ref="H53:H97" si="17">F53*24</f>
        <v>0.74224882798705227</v>
      </c>
      <c r="I53" s="228">
        <f t="shared" si="15"/>
        <v>178.13971871689253</v>
      </c>
      <c r="J53">
        <v>198</v>
      </c>
      <c r="M53" s="100">
        <f t="shared" ref="M53:M96" si="18">J53/1000</f>
        <v>0.19800000000000001</v>
      </c>
    </row>
    <row r="54" spans="3:13" x14ac:dyDescent="0.2">
      <c r="C54" s="180" t="s">
        <v>551</v>
      </c>
      <c r="D54" s="213">
        <f>15*30*24</f>
        <v>10800</v>
      </c>
      <c r="E54">
        <f t="shared" si="16"/>
        <v>450</v>
      </c>
      <c r="F54" s="227">
        <v>5.6071719026828962E-2</v>
      </c>
      <c r="H54" s="100">
        <f t="shared" si="17"/>
        <v>1.3457212566438952</v>
      </c>
      <c r="I54" s="228">
        <f t="shared" si="15"/>
        <v>605.57456548975279</v>
      </c>
      <c r="J54">
        <v>749</v>
      </c>
      <c r="M54" s="100">
        <f t="shared" si="18"/>
        <v>0.749</v>
      </c>
    </row>
    <row r="55" spans="3:13" x14ac:dyDescent="0.2">
      <c r="C55" s="180" t="s">
        <v>552</v>
      </c>
      <c r="D55" s="213">
        <f>8*30*24</f>
        <v>5760</v>
      </c>
      <c r="E55">
        <f t="shared" si="16"/>
        <v>240</v>
      </c>
      <c r="F55" s="227">
        <v>0.46750168429417049</v>
      </c>
      <c r="H55" s="100">
        <f t="shared" si="17"/>
        <v>11.220040423060091</v>
      </c>
      <c r="I55" s="228">
        <f t="shared" si="15"/>
        <v>2692.8097015344219</v>
      </c>
      <c r="J55">
        <v>3006</v>
      </c>
      <c r="K55" t="s">
        <v>540</v>
      </c>
      <c r="M55" s="100">
        <f t="shared" si="18"/>
        <v>3.0059999999999998</v>
      </c>
    </row>
    <row r="56" spans="3:13" x14ac:dyDescent="0.2">
      <c r="C56" s="180" t="s">
        <v>553</v>
      </c>
      <c r="D56" s="213">
        <f>8*30*24</f>
        <v>5760</v>
      </c>
      <c r="E56">
        <f t="shared" si="16"/>
        <v>240</v>
      </c>
      <c r="F56" s="227">
        <v>0.12838315484078375</v>
      </c>
      <c r="H56" s="100">
        <f t="shared" si="17"/>
        <v>3.0811957161788097</v>
      </c>
      <c r="I56" s="228">
        <f t="shared" si="15"/>
        <v>739.48697188291442</v>
      </c>
      <c r="J56">
        <v>825</v>
      </c>
      <c r="K56" t="s">
        <v>471</v>
      </c>
      <c r="M56" s="100">
        <f t="shared" si="18"/>
        <v>0.82499999999999996</v>
      </c>
    </row>
    <row r="57" spans="3:13" x14ac:dyDescent="0.2">
      <c r="C57" s="180" t="s">
        <v>554</v>
      </c>
      <c r="D57" s="213">
        <f>15*30*24</f>
        <v>10800</v>
      </c>
      <c r="E57">
        <f t="shared" si="16"/>
        <v>450</v>
      </c>
      <c r="F57" s="227">
        <v>5.8977135557110739E-2</v>
      </c>
      <c r="H57" s="100">
        <f t="shared" si="17"/>
        <v>1.4154512533706578</v>
      </c>
      <c r="I57" s="228">
        <f t="shared" si="15"/>
        <v>636.95306401679602</v>
      </c>
      <c r="J57">
        <v>788</v>
      </c>
      <c r="K57" t="s">
        <v>471</v>
      </c>
      <c r="M57" s="100">
        <f t="shared" si="18"/>
        <v>0.78800000000000003</v>
      </c>
    </row>
    <row r="58" spans="3:13" x14ac:dyDescent="0.2">
      <c r="C58" s="180" t="s">
        <v>555</v>
      </c>
      <c r="D58" s="213">
        <f>36*30*24</f>
        <v>25920</v>
      </c>
      <c r="E58">
        <f t="shared" si="16"/>
        <v>1080</v>
      </c>
      <c r="F58" s="227">
        <v>0.21156472137013618</v>
      </c>
      <c r="H58" s="100">
        <f t="shared" si="17"/>
        <v>5.0775533128832686</v>
      </c>
      <c r="I58" s="228">
        <f t="shared" si="15"/>
        <v>5483.7575779139297</v>
      </c>
      <c r="J58">
        <v>9275</v>
      </c>
      <c r="M58" s="100">
        <f t="shared" si="18"/>
        <v>9.2750000000000004</v>
      </c>
    </row>
    <row r="59" spans="3:13" x14ac:dyDescent="0.2">
      <c r="C59" s="180" t="s">
        <v>556</v>
      </c>
      <c r="D59" s="213">
        <f>36*30*24</f>
        <v>25920</v>
      </c>
      <c r="E59">
        <f t="shared" si="16"/>
        <v>1080</v>
      </c>
      <c r="F59" s="227">
        <v>1.6020491150522561E-2</v>
      </c>
      <c r="H59" s="100">
        <f t="shared" si="17"/>
        <v>0.38449178761254144</v>
      </c>
      <c r="I59" s="228">
        <f t="shared" si="15"/>
        <v>415.2511306215448</v>
      </c>
      <c r="J59">
        <v>694</v>
      </c>
      <c r="M59" s="100">
        <f t="shared" si="18"/>
        <v>0.69399999999999995</v>
      </c>
    </row>
    <row r="60" spans="3:13" x14ac:dyDescent="0.2">
      <c r="C60" s="180" t="s">
        <v>557</v>
      </c>
      <c r="D60" s="213">
        <f>8*30*24</f>
        <v>5760</v>
      </c>
      <c r="E60">
        <f t="shared" si="16"/>
        <v>240</v>
      </c>
      <c r="F60" s="227">
        <v>9.470937415455985E-2</v>
      </c>
      <c r="H60" s="100">
        <f t="shared" si="17"/>
        <v>2.2730249797094366</v>
      </c>
      <c r="I60" s="228">
        <f t="shared" si="15"/>
        <v>545.52599513026473</v>
      </c>
      <c r="J60">
        <v>608</v>
      </c>
      <c r="M60" s="100">
        <f t="shared" si="18"/>
        <v>0.60799999999999998</v>
      </c>
    </row>
    <row r="61" spans="3:13" x14ac:dyDescent="0.2">
      <c r="C61" s="180" t="s">
        <v>558</v>
      </c>
      <c r="D61" s="213">
        <f>18*30*24</f>
        <v>12960</v>
      </c>
      <c r="E61">
        <f t="shared" si="16"/>
        <v>540</v>
      </c>
      <c r="F61" s="227">
        <v>2.59155003905512E-2</v>
      </c>
      <c r="H61" s="100">
        <f t="shared" si="17"/>
        <v>0.62197200937322883</v>
      </c>
      <c r="I61" s="228">
        <f t="shared" si="15"/>
        <v>335.86488506154353</v>
      </c>
      <c r="J61">
        <v>431</v>
      </c>
      <c r="M61" s="100">
        <f t="shared" si="18"/>
        <v>0.43099999999999999</v>
      </c>
    </row>
    <row r="62" spans="3:13" x14ac:dyDescent="0.2">
      <c r="C62" s="181" t="s">
        <v>559</v>
      </c>
      <c r="D62" s="213">
        <f>15*30*24</f>
        <v>10800</v>
      </c>
      <c r="E62">
        <f t="shared" si="16"/>
        <v>450</v>
      </c>
      <c r="F62" s="227">
        <v>3.2365501220365654E-2</v>
      </c>
      <c r="H62" s="100">
        <f t="shared" si="17"/>
        <v>0.77677202928877565</v>
      </c>
      <c r="I62" s="228">
        <f t="shared" si="15"/>
        <v>349.54741317994905</v>
      </c>
      <c r="J62">
        <v>433</v>
      </c>
      <c r="M62" s="100">
        <f t="shared" si="18"/>
        <v>0.433</v>
      </c>
    </row>
    <row r="63" spans="3:13" x14ac:dyDescent="0.2">
      <c r="C63" s="180" t="s">
        <v>560</v>
      </c>
      <c r="D63" s="213">
        <f>15*30*24</f>
        <v>10800</v>
      </c>
      <c r="E63">
        <f t="shared" si="16"/>
        <v>450</v>
      </c>
      <c r="F63" s="227">
        <v>0.10177152050403866</v>
      </c>
      <c r="H63" s="100">
        <f t="shared" si="17"/>
        <v>2.442516492096928</v>
      </c>
      <c r="I63" s="228">
        <f t="shared" si="15"/>
        <v>1099.1324214436177</v>
      </c>
      <c r="J63">
        <v>1354</v>
      </c>
      <c r="M63" s="100">
        <f t="shared" si="18"/>
        <v>1.3540000000000001</v>
      </c>
    </row>
    <row r="64" spans="3:13" x14ac:dyDescent="0.2">
      <c r="C64" s="181" t="s">
        <v>561</v>
      </c>
      <c r="D64" s="213">
        <f>18*30*24</f>
        <v>12960</v>
      </c>
      <c r="E64">
        <f t="shared" si="16"/>
        <v>540</v>
      </c>
      <c r="F64" s="227">
        <v>0.17333523986906937</v>
      </c>
      <c r="H64" s="100">
        <f t="shared" si="17"/>
        <v>4.1600457568576648</v>
      </c>
      <c r="I64" s="228">
        <f t="shared" si="15"/>
        <v>2246.424708703139</v>
      </c>
      <c r="J64">
        <v>2893</v>
      </c>
      <c r="M64" s="100">
        <f t="shared" si="18"/>
        <v>2.8929999999999998</v>
      </c>
    </row>
    <row r="65" spans="3:13" x14ac:dyDescent="0.2">
      <c r="C65" s="181" t="s">
        <v>562</v>
      </c>
      <c r="D65" s="213">
        <f>12*30*24</f>
        <v>8640</v>
      </c>
      <c r="E65">
        <f t="shared" si="16"/>
        <v>360</v>
      </c>
      <c r="F65" s="227">
        <v>0.18771990707812078</v>
      </c>
      <c r="H65" s="100">
        <f t="shared" si="17"/>
        <v>4.5052777698748985</v>
      </c>
      <c r="I65" s="228">
        <f t="shared" si="15"/>
        <v>1621.8999971549636</v>
      </c>
      <c r="J65">
        <v>1917</v>
      </c>
      <c r="M65" s="100">
        <f t="shared" si="18"/>
        <v>1.917</v>
      </c>
    </row>
    <row r="66" spans="3:13" x14ac:dyDescent="0.2">
      <c r="C66" s="181" t="s">
        <v>563</v>
      </c>
      <c r="D66" s="213">
        <f>12*30*24</f>
        <v>8640</v>
      </c>
      <c r="E66">
        <f t="shared" si="16"/>
        <v>360</v>
      </c>
      <c r="F66" s="227">
        <v>0.12406775467806833</v>
      </c>
      <c r="H66" s="100">
        <f t="shared" si="17"/>
        <v>2.97762611227364</v>
      </c>
      <c r="I66" s="228">
        <f t="shared" si="15"/>
        <v>1071.9454004185104</v>
      </c>
      <c r="J66">
        <v>1267</v>
      </c>
      <c r="M66" s="100">
        <f t="shared" si="18"/>
        <v>1.2669999999999999</v>
      </c>
    </row>
    <row r="67" spans="3:13" x14ac:dyDescent="0.2">
      <c r="C67" s="181" t="s">
        <v>564</v>
      </c>
      <c r="D67" s="213">
        <f>12*30*24</f>
        <v>8640</v>
      </c>
      <c r="E67">
        <f t="shared" si="16"/>
        <v>360</v>
      </c>
      <c r="F67" s="227">
        <v>4.5671318388738197E-2</v>
      </c>
      <c r="H67" s="100">
        <f t="shared" si="17"/>
        <v>1.0961116413297167</v>
      </c>
      <c r="I67" s="228">
        <f t="shared" si="15"/>
        <v>394.60019087869802</v>
      </c>
      <c r="J67">
        <v>468</v>
      </c>
      <c r="M67" s="100">
        <f t="shared" si="18"/>
        <v>0.46800000000000003</v>
      </c>
    </row>
    <row r="68" spans="3:13" x14ac:dyDescent="0.2">
      <c r="C68" s="181" t="s">
        <v>565</v>
      </c>
      <c r="D68" s="213">
        <f>18*30*24</f>
        <v>12960</v>
      </c>
      <c r="E68">
        <f t="shared" si="16"/>
        <v>540</v>
      </c>
      <c r="F68" s="227">
        <v>0.29119598620655712</v>
      </c>
      <c r="H68" s="100">
        <f t="shared" si="17"/>
        <v>6.9887036689573705</v>
      </c>
      <c r="I68" s="228">
        <f t="shared" si="15"/>
        <v>3773.8999812369802</v>
      </c>
      <c r="J68">
        <v>4860</v>
      </c>
      <c r="M68" s="100">
        <f t="shared" si="18"/>
        <v>4.8600000000000003</v>
      </c>
    </row>
    <row r="69" spans="3:13" x14ac:dyDescent="0.2">
      <c r="C69" s="181" t="s">
        <v>566</v>
      </c>
      <c r="D69" s="213">
        <f>18*30*24</f>
        <v>12960</v>
      </c>
      <c r="E69">
        <f t="shared" si="16"/>
        <v>540</v>
      </c>
      <c r="F69" s="227">
        <v>0.16973907306680652</v>
      </c>
      <c r="H69" s="100">
        <f t="shared" si="17"/>
        <v>4.073737753603357</v>
      </c>
      <c r="I69" s="228">
        <f t="shared" si="15"/>
        <v>2199.8183869458126</v>
      </c>
      <c r="J69">
        <v>2830</v>
      </c>
      <c r="M69" s="100">
        <f t="shared" si="18"/>
        <v>2.83</v>
      </c>
    </row>
    <row r="70" spans="3:13" x14ac:dyDescent="0.2">
      <c r="C70" s="181" t="s">
        <v>567</v>
      </c>
      <c r="D70" s="213">
        <f>18*30*24</f>
        <v>12960</v>
      </c>
      <c r="E70">
        <f t="shared" si="16"/>
        <v>540</v>
      </c>
      <c r="F70" s="227">
        <v>0.10285037054471752</v>
      </c>
      <c r="H70" s="100">
        <f t="shared" si="17"/>
        <v>2.4684088930732204</v>
      </c>
      <c r="I70" s="228">
        <f t="shared" si="15"/>
        <v>1332.9408022595389</v>
      </c>
      <c r="J70">
        <v>1717</v>
      </c>
      <c r="M70" s="100">
        <f t="shared" si="18"/>
        <v>1.7170000000000001</v>
      </c>
    </row>
    <row r="71" spans="3:13" x14ac:dyDescent="0.2">
      <c r="C71" s="181" t="s">
        <v>568</v>
      </c>
      <c r="D71" s="213">
        <f>18*30*24</f>
        <v>12960</v>
      </c>
      <c r="E71">
        <f t="shared" si="16"/>
        <v>540</v>
      </c>
      <c r="F71" s="227">
        <v>9.7096503661096949E-3</v>
      </c>
      <c r="H71" s="100">
        <f t="shared" si="17"/>
        <v>0.23303160878663268</v>
      </c>
      <c r="I71" s="228">
        <f t="shared" si="15"/>
        <v>125.83706874478165</v>
      </c>
      <c r="J71">
        <v>160</v>
      </c>
      <c r="M71" s="100">
        <f t="shared" si="18"/>
        <v>0.16</v>
      </c>
    </row>
    <row r="72" spans="3:13" x14ac:dyDescent="0.2">
      <c r="C72" s="181" t="s">
        <v>569</v>
      </c>
      <c r="D72" s="213">
        <f>3*7*24</f>
        <v>504</v>
      </c>
      <c r="E72">
        <f t="shared" si="16"/>
        <v>21</v>
      </c>
      <c r="F72" s="227" t="e">
        <v>#VALUE!</v>
      </c>
      <c r="H72" s="100" t="e">
        <f t="shared" si="17"/>
        <v>#VALUE!</v>
      </c>
      <c r="I72" s="228" t="e">
        <f t="shared" si="15"/>
        <v>#VALUE!</v>
      </c>
      <c r="M72" s="100">
        <f t="shared" si="18"/>
        <v>0</v>
      </c>
    </row>
    <row r="73" spans="3:13" x14ac:dyDescent="0.2">
      <c r="C73" s="181" t="s">
        <v>570</v>
      </c>
      <c r="D73" s="213">
        <v>8640</v>
      </c>
      <c r="E73">
        <f t="shared" si="16"/>
        <v>360</v>
      </c>
      <c r="F73" s="227">
        <v>8.199260309159298E-2</v>
      </c>
      <c r="H73" s="100">
        <f t="shared" si="17"/>
        <v>1.9678224741982315</v>
      </c>
      <c r="I73" s="228">
        <f t="shared" si="15"/>
        <v>708.41609071136338</v>
      </c>
      <c r="J73">
        <v>837</v>
      </c>
      <c r="M73" s="100">
        <f t="shared" si="18"/>
        <v>0.83699999999999997</v>
      </c>
    </row>
    <row r="74" spans="3:13" x14ac:dyDescent="0.2">
      <c r="C74" s="180" t="s">
        <v>571</v>
      </c>
      <c r="D74" s="213">
        <f>10*30*24</f>
        <v>7200</v>
      </c>
      <c r="E74">
        <f t="shared" si="16"/>
        <v>300</v>
      </c>
      <c r="F74" s="227">
        <v>0.27706025872080192</v>
      </c>
      <c r="H74" s="100">
        <f t="shared" si="17"/>
        <v>6.6494462092992457</v>
      </c>
      <c r="I74" s="228">
        <f t="shared" si="15"/>
        <v>1994.8338627897738</v>
      </c>
      <c r="J74">
        <v>2290</v>
      </c>
      <c r="M74" s="100">
        <f t="shared" si="18"/>
        <v>2.29</v>
      </c>
    </row>
    <row r="75" spans="3:13" x14ac:dyDescent="0.2">
      <c r="C75" s="180" t="s">
        <v>572</v>
      </c>
      <c r="D75" s="213">
        <f>10*30*24</f>
        <v>7200</v>
      </c>
      <c r="E75">
        <f t="shared" si="16"/>
        <v>300</v>
      </c>
      <c r="F75" s="227">
        <v>1.510390056950397E-2</v>
      </c>
      <c r="H75" s="100">
        <f t="shared" si="17"/>
        <v>0.36249361366809529</v>
      </c>
      <c r="I75" s="228">
        <f t="shared" si="15"/>
        <v>108.74808410042858</v>
      </c>
      <c r="J75">
        <v>124</v>
      </c>
      <c r="M75" s="100">
        <f t="shared" si="18"/>
        <v>0.124</v>
      </c>
    </row>
    <row r="76" spans="3:13" x14ac:dyDescent="0.2">
      <c r="C76" s="181" t="s">
        <v>573</v>
      </c>
      <c r="D76" s="213">
        <f>30*30*24</f>
        <v>21600</v>
      </c>
      <c r="E76">
        <f t="shared" si="16"/>
        <v>900</v>
      </c>
      <c r="F76" s="227">
        <v>6.1254819104939202E-3</v>
      </c>
      <c r="H76" s="100">
        <f t="shared" si="17"/>
        <v>0.1470115658518541</v>
      </c>
      <c r="I76" s="228">
        <f t="shared" si="15"/>
        <v>132.31040926666867</v>
      </c>
      <c r="J76">
        <v>208</v>
      </c>
      <c r="M76" s="100">
        <f t="shared" si="18"/>
        <v>0.20799999999999999</v>
      </c>
    </row>
    <row r="77" spans="3:13" x14ac:dyDescent="0.2">
      <c r="C77" s="181" t="s">
        <v>574</v>
      </c>
      <c r="D77" s="213">
        <f>7*30*24</f>
        <v>5040</v>
      </c>
      <c r="E77">
        <f t="shared" si="16"/>
        <v>210</v>
      </c>
      <c r="F77" s="227">
        <v>0.12694468811987861</v>
      </c>
      <c r="H77" s="100">
        <f t="shared" si="17"/>
        <v>3.0466725148770868</v>
      </c>
      <c r="I77" s="228">
        <f t="shared" si="15"/>
        <v>639.80122812418813</v>
      </c>
      <c r="J77">
        <v>705</v>
      </c>
      <c r="M77" s="100">
        <f t="shared" si="18"/>
        <v>0.70499999999999996</v>
      </c>
    </row>
    <row r="78" spans="3:13" x14ac:dyDescent="0.2">
      <c r="C78" s="181" t="s">
        <v>575</v>
      </c>
      <c r="D78" s="213">
        <f>10*30*24</f>
        <v>7200</v>
      </c>
      <c r="E78">
        <f t="shared" si="16"/>
        <v>300</v>
      </c>
      <c r="F78" s="227">
        <v>8.5756746746914886E-2</v>
      </c>
      <c r="H78" s="100">
        <f t="shared" si="17"/>
        <v>2.058161921925957</v>
      </c>
      <c r="I78" s="228">
        <f t="shared" si="15"/>
        <v>617.44857657778721</v>
      </c>
      <c r="J78">
        <v>710</v>
      </c>
      <c r="M78" s="100">
        <f t="shared" si="18"/>
        <v>0.71</v>
      </c>
    </row>
    <row r="79" spans="3:13" x14ac:dyDescent="0.2">
      <c r="C79" s="182" t="s">
        <v>576</v>
      </c>
      <c r="D79" s="213">
        <f>12*30*24</f>
        <v>8640</v>
      </c>
      <c r="E79">
        <f t="shared" si="16"/>
        <v>360</v>
      </c>
      <c r="F79" s="227">
        <v>7.3002186085935852E-2</v>
      </c>
      <c r="H79" s="100">
        <f t="shared" si="17"/>
        <v>1.7520524660624606</v>
      </c>
      <c r="I79" s="228">
        <f t="shared" si="15"/>
        <v>630.73888778248579</v>
      </c>
      <c r="J79">
        <v>744</v>
      </c>
      <c r="M79" s="100">
        <f t="shared" si="18"/>
        <v>0.74399999999999999</v>
      </c>
    </row>
    <row r="80" spans="3:13" x14ac:dyDescent="0.2">
      <c r="C80" s="183" t="s">
        <v>577</v>
      </c>
      <c r="D80" s="213">
        <f>12*30*24</f>
        <v>8640</v>
      </c>
      <c r="E80">
        <f t="shared" si="16"/>
        <v>360</v>
      </c>
      <c r="F80" s="227">
        <v>4.4592468348059341E-2</v>
      </c>
      <c r="H80" s="100">
        <f t="shared" si="17"/>
        <v>1.0702192403534241</v>
      </c>
      <c r="I80" s="228">
        <f t="shared" si="15"/>
        <v>385.27892652723273</v>
      </c>
      <c r="J80">
        <v>455</v>
      </c>
      <c r="M80" s="100">
        <f t="shared" si="18"/>
        <v>0.45500000000000002</v>
      </c>
    </row>
    <row r="81" spans="3:13" x14ac:dyDescent="0.2">
      <c r="C81" s="183" t="s">
        <v>578</v>
      </c>
      <c r="D81" s="213">
        <f>9*30*24</f>
        <v>6480</v>
      </c>
      <c r="E81">
        <f t="shared" si="16"/>
        <v>270</v>
      </c>
      <c r="F81" s="227">
        <v>0.16254673946228082</v>
      </c>
      <c r="H81" s="100">
        <f t="shared" si="17"/>
        <v>3.9011217470947397</v>
      </c>
      <c r="I81" s="228">
        <f t="shared" si="15"/>
        <v>1053.3028717155796</v>
      </c>
      <c r="J81">
        <v>1192</v>
      </c>
      <c r="M81" s="100">
        <f t="shared" si="18"/>
        <v>1.1919999999999999</v>
      </c>
    </row>
    <row r="82" spans="3:13" x14ac:dyDescent="0.2">
      <c r="C82" s="183" t="s">
        <v>579</v>
      </c>
      <c r="D82" s="213">
        <f>11*30*24</f>
        <v>7920</v>
      </c>
      <c r="E82">
        <f t="shared" si="16"/>
        <v>330</v>
      </c>
      <c r="F82" s="227">
        <v>0.21910377602920561</v>
      </c>
      <c r="H82" s="100">
        <f t="shared" si="17"/>
        <v>5.2584906247009346</v>
      </c>
      <c r="I82" s="228">
        <f t="shared" si="15"/>
        <v>1735.3019061513085</v>
      </c>
      <c r="J82">
        <v>2021</v>
      </c>
      <c r="M82" s="100">
        <f t="shared" si="18"/>
        <v>2.0209999999999999</v>
      </c>
    </row>
    <row r="83" spans="3:13" x14ac:dyDescent="0.2">
      <c r="C83" s="183" t="s">
        <v>580</v>
      </c>
      <c r="D83" s="213">
        <f>3*12*30*24</f>
        <v>25920</v>
      </c>
      <c r="E83">
        <f t="shared" si="16"/>
        <v>1080</v>
      </c>
      <c r="F83" s="227">
        <v>0.10253771664258735</v>
      </c>
      <c r="H83" s="100">
        <f t="shared" si="17"/>
        <v>2.4609051994220961</v>
      </c>
      <c r="I83" s="228">
        <f t="shared" si="15"/>
        <v>2657.7776153758641</v>
      </c>
      <c r="J83">
        <v>4492</v>
      </c>
      <c r="M83" s="100">
        <f t="shared" si="18"/>
        <v>4.492</v>
      </c>
    </row>
    <row r="84" spans="3:13" x14ac:dyDescent="0.2">
      <c r="C84" s="183" t="s">
        <v>581</v>
      </c>
      <c r="D84" s="213">
        <f>30*24</f>
        <v>720</v>
      </c>
      <c r="E84">
        <f t="shared" si="16"/>
        <v>30</v>
      </c>
      <c r="F84" s="227">
        <v>6.0282888624583919E-2</v>
      </c>
      <c r="H84" s="100">
        <f t="shared" si="17"/>
        <v>1.4467893269900141</v>
      </c>
      <c r="I84" s="228">
        <f t="shared" si="15"/>
        <v>43.403679809700421</v>
      </c>
      <c r="J84">
        <v>44</v>
      </c>
      <c r="M84" s="100">
        <f t="shared" si="18"/>
        <v>4.3999999999999997E-2</v>
      </c>
    </row>
    <row r="85" spans="3:13" x14ac:dyDescent="0.2">
      <c r="C85" s="183" t="s">
        <v>582</v>
      </c>
      <c r="D85" s="213">
        <f>30*24</f>
        <v>720</v>
      </c>
      <c r="E85">
        <f t="shared" si="16"/>
        <v>30</v>
      </c>
      <c r="F85" s="227">
        <v>5.6949272663777438E-2</v>
      </c>
      <c r="H85" s="100">
        <f t="shared" si="17"/>
        <v>1.3667825439306585</v>
      </c>
      <c r="I85" s="228">
        <f t="shared" si="15"/>
        <v>41.003476317919755</v>
      </c>
      <c r="J85">
        <v>42</v>
      </c>
      <c r="M85" s="100">
        <f t="shared" si="18"/>
        <v>4.2000000000000003E-2</v>
      </c>
    </row>
    <row r="86" spans="3:13" x14ac:dyDescent="0.2">
      <c r="C86" s="183" t="s">
        <v>583</v>
      </c>
      <c r="D86" s="213">
        <f>30*24</f>
        <v>720</v>
      </c>
      <c r="E86">
        <f t="shared" si="16"/>
        <v>30</v>
      </c>
      <c r="F86" s="227">
        <v>6.0005087294516715E-2</v>
      </c>
      <c r="H86" s="100">
        <f t="shared" si="17"/>
        <v>1.4401220950684013</v>
      </c>
      <c r="I86" s="228">
        <f t="shared" si="15"/>
        <v>43.203662852052034</v>
      </c>
      <c r="J86">
        <v>44</v>
      </c>
      <c r="M86" s="100">
        <f t="shared" si="18"/>
        <v>4.3999999999999997E-2</v>
      </c>
    </row>
    <row r="87" spans="3:13" x14ac:dyDescent="0.2">
      <c r="C87" s="183" t="s">
        <v>584</v>
      </c>
      <c r="D87" s="213">
        <f>30*24</f>
        <v>720</v>
      </c>
      <c r="E87">
        <f t="shared" si="16"/>
        <v>30</v>
      </c>
      <c r="F87" s="227">
        <v>6.1394093944852748E-2</v>
      </c>
      <c r="H87" s="100">
        <f t="shared" si="17"/>
        <v>1.4734582546764661</v>
      </c>
      <c r="I87" s="228">
        <f t="shared" si="15"/>
        <v>44.203747640293976</v>
      </c>
      <c r="J87">
        <v>45</v>
      </c>
      <c r="M87" s="100">
        <f t="shared" si="18"/>
        <v>4.4999999999999998E-2</v>
      </c>
    </row>
    <row r="88" spans="3:13" x14ac:dyDescent="0.2">
      <c r="C88" s="183" t="s">
        <v>585</v>
      </c>
      <c r="D88" s="213">
        <f>30*30*24</f>
        <v>21600</v>
      </c>
      <c r="E88">
        <f t="shared" si="16"/>
        <v>900</v>
      </c>
      <c r="F88" s="227">
        <v>9.0355017635547263E-2</v>
      </c>
      <c r="H88" s="100">
        <f t="shared" si="17"/>
        <v>2.1685204232531343</v>
      </c>
      <c r="I88" s="228">
        <f t="shared" si="15"/>
        <v>1951.6683809278209</v>
      </c>
      <c r="J88">
        <v>3009</v>
      </c>
      <c r="M88" s="100">
        <f t="shared" si="18"/>
        <v>3.0089999999999999</v>
      </c>
    </row>
    <row r="89" spans="3:13" x14ac:dyDescent="0.2">
      <c r="C89" s="181" t="s">
        <v>586</v>
      </c>
      <c r="D89" s="213">
        <f>12*30*24</f>
        <v>8640</v>
      </c>
      <c r="E89">
        <f t="shared" si="16"/>
        <v>360</v>
      </c>
      <c r="F89" s="227">
        <v>0.10608692066675408</v>
      </c>
      <c r="H89" s="100">
        <f t="shared" si="17"/>
        <v>2.5460860960020981</v>
      </c>
      <c r="I89" s="228">
        <f t="shared" si="15"/>
        <v>916.59099456075523</v>
      </c>
      <c r="J89">
        <v>1084</v>
      </c>
      <c r="M89" s="100">
        <f t="shared" si="18"/>
        <v>1.0840000000000001</v>
      </c>
    </row>
    <row r="90" spans="3:13" x14ac:dyDescent="0.2">
      <c r="C90" s="181" t="s">
        <v>587</v>
      </c>
      <c r="D90" s="213">
        <f>10*30*24</f>
        <v>7200</v>
      </c>
      <c r="E90">
        <f t="shared" si="16"/>
        <v>300</v>
      </c>
      <c r="F90" s="227">
        <v>2.780026405531856E-2</v>
      </c>
      <c r="H90" s="100">
        <f t="shared" si="17"/>
        <v>0.66720633732764545</v>
      </c>
      <c r="I90" s="228">
        <f t="shared" si="15"/>
        <v>200.16190119829363</v>
      </c>
      <c r="J90">
        <v>231</v>
      </c>
      <c r="M90" s="100">
        <f t="shared" si="18"/>
        <v>0.23100000000000001</v>
      </c>
    </row>
    <row r="91" spans="3:13" x14ac:dyDescent="0.2">
      <c r="C91" s="181" t="s">
        <v>588</v>
      </c>
      <c r="D91" s="213">
        <f>10*30*24</f>
        <v>7200</v>
      </c>
      <c r="E91">
        <f t="shared" si="16"/>
        <v>300</v>
      </c>
      <c r="F91" s="227">
        <v>9.9254203742454666E-2</v>
      </c>
      <c r="H91" s="100">
        <f t="shared" si="17"/>
        <v>2.3821008898189122</v>
      </c>
      <c r="I91" s="228">
        <f t="shared" si="15"/>
        <v>714.63026694567361</v>
      </c>
      <c r="J91">
        <v>820</v>
      </c>
      <c r="M91" s="100">
        <f t="shared" si="18"/>
        <v>0.82</v>
      </c>
    </row>
    <row r="92" spans="3:13" x14ac:dyDescent="0.2">
      <c r="C92" s="181" t="s">
        <v>589</v>
      </c>
      <c r="D92" s="213">
        <f>6*30*24</f>
        <v>4320</v>
      </c>
      <c r="E92">
        <f t="shared" si="16"/>
        <v>180</v>
      </c>
      <c r="F92" s="227">
        <v>9.4219570219286675E-2</v>
      </c>
      <c r="H92" s="100">
        <f t="shared" si="17"/>
        <v>2.2612696852628802</v>
      </c>
      <c r="I92" s="228">
        <f t="shared" si="15"/>
        <v>407.02854334731842</v>
      </c>
      <c r="J92">
        <v>442</v>
      </c>
      <c r="M92" s="100">
        <f t="shared" si="18"/>
        <v>0.442</v>
      </c>
    </row>
    <row r="93" spans="3:13" x14ac:dyDescent="0.2">
      <c r="C93" s="181" t="s">
        <v>590</v>
      </c>
      <c r="D93" s="213">
        <f>4*12*30*24</f>
        <v>34560</v>
      </c>
      <c r="E93">
        <f t="shared" si="16"/>
        <v>1440</v>
      </c>
      <c r="F93" s="227">
        <v>0.56852595366187042</v>
      </c>
      <c r="H93" s="100">
        <f t="shared" si="17"/>
        <v>13.644622887884889</v>
      </c>
      <c r="I93" s="228">
        <f t="shared" si="15"/>
        <v>19648.256958554241</v>
      </c>
      <c r="J93">
        <v>40232</v>
      </c>
      <c r="M93" s="100">
        <f t="shared" si="18"/>
        <v>40.231999999999999</v>
      </c>
    </row>
    <row r="94" spans="3:13" x14ac:dyDescent="0.2">
      <c r="C94" s="181" t="s">
        <v>591</v>
      </c>
      <c r="D94" s="213">
        <f>60*24</f>
        <v>1440</v>
      </c>
      <c r="E94">
        <f t="shared" si="16"/>
        <v>60</v>
      </c>
      <c r="F94" s="227">
        <v>0.16945881134099627</v>
      </c>
      <c r="H94" s="100">
        <f t="shared" si="17"/>
        <v>4.0670114721839106</v>
      </c>
      <c r="I94" s="228">
        <f t="shared" si="15"/>
        <v>244.02068833103465</v>
      </c>
      <c r="J94">
        <v>251</v>
      </c>
      <c r="M94" s="100">
        <f t="shared" si="18"/>
        <v>0.251</v>
      </c>
    </row>
    <row r="95" spans="3:13" x14ac:dyDescent="0.2">
      <c r="C95" s="181" t="s">
        <v>592</v>
      </c>
      <c r="D95" s="213">
        <f>60*24</f>
        <v>1440</v>
      </c>
      <c r="E95">
        <f t="shared" si="16"/>
        <v>60</v>
      </c>
      <c r="F95" s="227">
        <v>0.17973746055348294</v>
      </c>
      <c r="H95" s="100">
        <f t="shared" si="17"/>
        <v>4.3136990532835906</v>
      </c>
      <c r="I95" s="228">
        <f t="shared" si="15"/>
        <v>258.82194319701546</v>
      </c>
      <c r="J95">
        <v>266</v>
      </c>
      <c r="M95" s="100">
        <f t="shared" si="18"/>
        <v>0.26600000000000001</v>
      </c>
    </row>
    <row r="96" spans="3:13" x14ac:dyDescent="0.2">
      <c r="C96" s="181" t="s">
        <v>593</v>
      </c>
      <c r="D96" s="213">
        <f>60*24</f>
        <v>1440</v>
      </c>
      <c r="E96">
        <f t="shared" si="16"/>
        <v>60</v>
      </c>
      <c r="F96" s="227">
        <v>0.20418397759939716</v>
      </c>
      <c r="H96" s="100">
        <f t="shared" si="17"/>
        <v>4.9004154623855314</v>
      </c>
      <c r="I96" s="228">
        <f t="shared" si="15"/>
        <v>294.02492774313191</v>
      </c>
      <c r="J96">
        <v>302</v>
      </c>
      <c r="M96" s="100">
        <f t="shared" si="18"/>
        <v>0.30199999999999999</v>
      </c>
    </row>
    <row r="97" spans="3:9" x14ac:dyDescent="0.2">
      <c r="C97" s="183" t="s">
        <v>594</v>
      </c>
      <c r="D97" s="213">
        <f>10*30*24</f>
        <v>7200</v>
      </c>
      <c r="E97">
        <f t="shared" si="16"/>
        <v>300</v>
      </c>
      <c r="F97" s="227" t="e">
        <v>#VALUE!</v>
      </c>
      <c r="H97" s="100" t="e">
        <f t="shared" si="17"/>
        <v>#VALUE!</v>
      </c>
      <c r="I97" s="228" t="e">
        <f t="shared" si="15"/>
        <v>#VALUE!</v>
      </c>
    </row>
    <row r="98" spans="3:9" x14ac:dyDescent="0.2">
      <c r="C98" s="11"/>
    </row>
    <row r="99" spans="3:9" x14ac:dyDescent="0.2">
      <c r="C99" s="11"/>
    </row>
    <row r="100" spans="3:9" x14ac:dyDescent="0.2">
      <c r="C100" s="11"/>
    </row>
    <row r="101" spans="3:9" x14ac:dyDescent="0.2">
      <c r="C101" s="11"/>
    </row>
    <row r="102" spans="3:9" x14ac:dyDescent="0.2">
      <c r="C102" s="11"/>
    </row>
    <row r="103" spans="3:9" x14ac:dyDescent="0.2">
      <c r="C103" s="11"/>
    </row>
    <row r="104" spans="3:9" x14ac:dyDescent="0.2">
      <c r="C104" s="11"/>
    </row>
    <row r="105" spans="3:9" x14ac:dyDescent="0.2">
      <c r="C105" s="11"/>
    </row>
    <row r="106" spans="3:9" x14ac:dyDescent="0.2">
      <c r="C106" s="11"/>
    </row>
    <row r="107" spans="3:9" x14ac:dyDescent="0.2">
      <c r="C107" s="11"/>
    </row>
    <row r="108" spans="3:9" x14ac:dyDescent="0.2">
      <c r="C108" s="11"/>
    </row>
    <row r="109" spans="3:9" x14ac:dyDescent="0.2">
      <c r="C109" s="11"/>
    </row>
    <row r="110" spans="3:9" x14ac:dyDescent="0.2">
      <c r="C110" s="11"/>
    </row>
    <row r="111" spans="3:9" x14ac:dyDescent="0.2">
      <c r="C111" s="11"/>
    </row>
    <row r="112" spans="3:9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</sheetData>
  <mergeCells count="7">
    <mergeCell ref="D50:D51"/>
    <mergeCell ref="E50:E51"/>
    <mergeCell ref="J48:J51"/>
    <mergeCell ref="M48:M51"/>
    <mergeCell ref="F48:F51"/>
    <mergeCell ref="H48:H51"/>
    <mergeCell ref="I48:I51"/>
  </mergeCells>
  <hyperlinks>
    <hyperlink ref="B1" r:id="rId1" xr:uid="{00000000-0004-0000-0100-000000000000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45"/>
  <sheetViews>
    <sheetView topLeftCell="A10" workbookViewId="0">
      <selection activeCell="U14" sqref="U14"/>
    </sheetView>
  </sheetViews>
  <sheetFormatPr baseColWidth="10" defaultColWidth="8.83203125" defaultRowHeight="15" x14ac:dyDescent="0.2"/>
  <cols>
    <col min="2" max="2" width="18.1640625" customWidth="1"/>
    <col min="3" max="3" width="11.1640625" customWidth="1"/>
    <col min="4" max="4" width="9.6640625" customWidth="1"/>
    <col min="5" max="5" width="9.5" customWidth="1"/>
    <col min="6" max="6" width="9.83203125" customWidth="1"/>
  </cols>
  <sheetData>
    <row r="2" spans="2:23" x14ac:dyDescent="0.2">
      <c r="D2" s="36" t="s">
        <v>480</v>
      </c>
      <c r="E2" s="36" t="s">
        <v>480</v>
      </c>
      <c r="F2" s="36" t="s">
        <v>480</v>
      </c>
      <c r="G2" s="36" t="s">
        <v>480</v>
      </c>
      <c r="H2" s="36" t="s">
        <v>480</v>
      </c>
      <c r="I2" s="36" t="s">
        <v>480</v>
      </c>
      <c r="J2" s="36" t="s">
        <v>480</v>
      </c>
      <c r="K2" s="36" t="s">
        <v>480</v>
      </c>
      <c r="L2" s="36" t="s">
        <v>480</v>
      </c>
      <c r="M2" s="36" t="s">
        <v>480</v>
      </c>
      <c r="N2" s="36" t="s">
        <v>481</v>
      </c>
      <c r="O2" s="36" t="s">
        <v>481</v>
      </c>
      <c r="P2" s="36" t="s">
        <v>481</v>
      </c>
      <c r="Q2" s="36" t="s">
        <v>481</v>
      </c>
      <c r="R2" s="36" t="s">
        <v>481</v>
      </c>
      <c r="S2" s="36" t="s">
        <v>481</v>
      </c>
      <c r="T2" s="36" t="s">
        <v>481</v>
      </c>
      <c r="U2" s="36" t="s">
        <v>481</v>
      </c>
      <c r="V2" s="36" t="s">
        <v>481</v>
      </c>
      <c r="W2" s="36" t="s">
        <v>481</v>
      </c>
    </row>
    <row r="3" spans="2:23" x14ac:dyDescent="0.2">
      <c r="D3" s="36" t="s">
        <v>474</v>
      </c>
      <c r="E3" s="36" t="s">
        <v>475</v>
      </c>
      <c r="F3" s="36" t="s">
        <v>475</v>
      </c>
      <c r="G3" s="36" t="s">
        <v>476</v>
      </c>
      <c r="H3" s="36" t="s">
        <v>477</v>
      </c>
      <c r="I3" s="36" t="s">
        <v>474</v>
      </c>
      <c r="J3" s="36" t="s">
        <v>475</v>
      </c>
      <c r="K3" s="36" t="s">
        <v>475</v>
      </c>
      <c r="L3" s="36" t="s">
        <v>476</v>
      </c>
      <c r="M3" s="36" t="s">
        <v>477</v>
      </c>
      <c r="N3" s="36" t="s">
        <v>474</v>
      </c>
      <c r="O3" s="36" t="s">
        <v>475</v>
      </c>
      <c r="P3" s="36" t="s">
        <v>475</v>
      </c>
      <c r="Q3" s="36" t="s">
        <v>476</v>
      </c>
      <c r="R3" s="36" t="s">
        <v>477</v>
      </c>
      <c r="S3" s="36" t="s">
        <v>474</v>
      </c>
      <c r="T3" s="36" t="s">
        <v>475</v>
      </c>
      <c r="U3" s="36" t="s">
        <v>475</v>
      </c>
      <c r="V3" s="36" t="s">
        <v>476</v>
      </c>
      <c r="W3" s="36" t="s">
        <v>477</v>
      </c>
    </row>
    <row r="4" spans="2:23" ht="16" thickBot="1" x14ac:dyDescent="0.25">
      <c r="D4" s="37" t="s">
        <v>478</v>
      </c>
      <c r="E4" s="37" t="s">
        <v>478</v>
      </c>
      <c r="F4" s="37" t="s">
        <v>478</v>
      </c>
      <c r="G4" s="37" t="s">
        <v>478</v>
      </c>
      <c r="H4" s="37" t="s">
        <v>478</v>
      </c>
      <c r="I4" s="37" t="s">
        <v>479</v>
      </c>
      <c r="J4" s="37" t="s">
        <v>479</v>
      </c>
      <c r="K4" s="37" t="s">
        <v>479</v>
      </c>
      <c r="L4" s="37" t="s">
        <v>479</v>
      </c>
      <c r="M4" s="37" t="s">
        <v>479</v>
      </c>
      <c r="N4" s="37" t="s">
        <v>478</v>
      </c>
      <c r="O4" s="37" t="s">
        <v>478</v>
      </c>
      <c r="P4" s="37" t="s">
        <v>478</v>
      </c>
      <c r="Q4" s="37" t="s">
        <v>478</v>
      </c>
      <c r="R4" s="37" t="s">
        <v>478</v>
      </c>
      <c r="S4" s="37" t="s">
        <v>479</v>
      </c>
      <c r="T4" s="37" t="s">
        <v>479</v>
      </c>
      <c r="U4" s="37" t="s">
        <v>479</v>
      </c>
      <c r="V4" s="37" t="s">
        <v>479</v>
      </c>
      <c r="W4" s="37" t="s">
        <v>479</v>
      </c>
    </row>
    <row r="5" spans="2:23" x14ac:dyDescent="0.2">
      <c r="B5" s="38" t="s">
        <v>18</v>
      </c>
      <c r="C5" s="39" t="s">
        <v>25</v>
      </c>
      <c r="D5" s="42">
        <v>2300000</v>
      </c>
      <c r="E5" s="42">
        <v>2200000</v>
      </c>
      <c r="F5" s="42">
        <v>225000</v>
      </c>
      <c r="G5" s="43">
        <f>AVERAGE(D5:F5)</f>
        <v>1575000</v>
      </c>
      <c r="H5" s="43">
        <f>_xlfn.STDEV.S(D5:F5)</f>
        <v>1170202.9738468451</v>
      </c>
      <c r="I5" s="42">
        <v>22484</v>
      </c>
      <c r="J5" s="42">
        <v>11998</v>
      </c>
      <c r="K5" s="42">
        <v>1211</v>
      </c>
      <c r="L5" s="43">
        <f>AVERAGE(I5:K5)</f>
        <v>11897.666666666666</v>
      </c>
      <c r="M5" s="43">
        <f>_xlfn.STDEV.S(I5:K5)</f>
        <v>10636.854907976011</v>
      </c>
      <c r="N5" s="42">
        <v>480000</v>
      </c>
      <c r="O5" s="42">
        <v>390000</v>
      </c>
      <c r="P5" s="42">
        <v>38000</v>
      </c>
      <c r="Q5" s="43">
        <f>AVERAGE(N5:P5)</f>
        <v>302666.66666666669</v>
      </c>
      <c r="R5" s="43">
        <f>_xlfn.STDEV.S(N5:P5)</f>
        <v>233583.67522867117</v>
      </c>
      <c r="S5" s="42">
        <v>3867</v>
      </c>
      <c r="T5" s="42">
        <v>2083</v>
      </c>
      <c r="U5" s="42">
        <v>205</v>
      </c>
      <c r="V5" s="43">
        <f>AVERAGE(S5:U5)</f>
        <v>2051.6666666666665</v>
      </c>
      <c r="W5" s="43">
        <f>_xlfn.STDEV.S(S5:U5)</f>
        <v>1831.2010630548828</v>
      </c>
    </row>
    <row r="6" spans="2:23" x14ac:dyDescent="0.2">
      <c r="B6" s="38" t="s">
        <v>19</v>
      </c>
      <c r="C6" s="39" t="s">
        <v>25</v>
      </c>
      <c r="D6" s="40">
        <v>684000</v>
      </c>
      <c r="E6" s="40">
        <v>982000</v>
      </c>
      <c r="F6" s="40">
        <v>522000</v>
      </c>
      <c r="G6" s="41">
        <f>AVERAGE(D6:F6)</f>
        <v>729333.33333333337</v>
      </c>
      <c r="H6" s="41">
        <f>_xlfn.STDEV.S(D6:F6)</f>
        <v>233326.66657142594</v>
      </c>
      <c r="I6" s="40">
        <v>5266</v>
      </c>
      <c r="J6" s="40">
        <v>10292</v>
      </c>
      <c r="K6" s="40">
        <v>6168</v>
      </c>
      <c r="L6" s="41">
        <f>AVERAGE(I6:K6)</f>
        <v>7242</v>
      </c>
      <c r="M6" s="41">
        <f>_xlfn.STDEV.S(I6:K6)</f>
        <v>2679.6037020425242</v>
      </c>
      <c r="N6" s="40">
        <v>111000</v>
      </c>
      <c r="O6" s="40">
        <v>160000</v>
      </c>
      <c r="P6" s="40">
        <v>81000</v>
      </c>
      <c r="Q6" s="41">
        <f>AVERAGE(N6:P6)</f>
        <v>117333.33333333333</v>
      </c>
      <c r="R6" s="41">
        <f>_xlfn.STDEV.S(N6:P6)</f>
        <v>39878.983604567104</v>
      </c>
      <c r="S6" s="40">
        <v>858</v>
      </c>
      <c r="T6" s="40">
        <v>1680</v>
      </c>
      <c r="U6" s="40">
        <v>956</v>
      </c>
      <c r="V6" s="41">
        <f>AVERAGE(S6:U6)</f>
        <v>1164.6666666666667</v>
      </c>
      <c r="W6" s="41">
        <f>_xlfn.STDEV.S(S6:U6)</f>
        <v>448.97364436382372</v>
      </c>
    </row>
    <row r="7" spans="2:23" x14ac:dyDescent="0.2">
      <c r="B7" s="23" t="s">
        <v>27</v>
      </c>
      <c r="C7" s="10" t="s">
        <v>25</v>
      </c>
    </row>
    <row r="8" spans="2:23" x14ac:dyDescent="0.2">
      <c r="B8" s="26" t="s">
        <v>76</v>
      </c>
      <c r="C8" s="9" t="s">
        <v>75</v>
      </c>
    </row>
    <row r="9" spans="2:23" x14ac:dyDescent="0.2">
      <c r="B9" s="23" t="s">
        <v>78</v>
      </c>
      <c r="C9" s="11" t="s">
        <v>72</v>
      </c>
      <c r="D9" s="35">
        <v>1860000</v>
      </c>
      <c r="E9" s="35">
        <v>1500000</v>
      </c>
      <c r="F9" s="35">
        <v>1100000</v>
      </c>
      <c r="G9" s="41">
        <f>AVERAGE(D9:F9)</f>
        <v>1486666.6666666667</v>
      </c>
      <c r="H9" s="41">
        <f>_xlfn.STDEV.S(D9:F9)</f>
        <v>380175.39811688696</v>
      </c>
      <c r="I9" s="44">
        <v>29126</v>
      </c>
      <c r="J9" s="44">
        <v>11142</v>
      </c>
      <c r="K9" s="44">
        <v>24763</v>
      </c>
      <c r="L9" s="41">
        <f>AVERAGE(I9:K9)</f>
        <v>21677</v>
      </c>
      <c r="M9" s="41">
        <f>_xlfn.STDEV.S(I9:K9)</f>
        <v>9380.7574854059621</v>
      </c>
      <c r="N9" s="35">
        <v>304000</v>
      </c>
      <c r="O9" s="35">
        <v>250000</v>
      </c>
      <c r="P9" s="35">
        <v>179000</v>
      </c>
      <c r="Q9" s="41">
        <f>AVERAGE(N9:P9)</f>
        <v>244333.33333333334</v>
      </c>
      <c r="R9" s="41">
        <f>_xlfn.STDEV.S(N9:P9)</f>
        <v>62692.37061503838</v>
      </c>
      <c r="S9" s="44">
        <v>4749</v>
      </c>
      <c r="T9" s="44">
        <v>1851</v>
      </c>
      <c r="U9" s="44">
        <v>3997</v>
      </c>
      <c r="V9" s="41">
        <f>AVERAGE(S9:U9)</f>
        <v>3532.3333333333335</v>
      </c>
      <c r="W9" s="41">
        <f>_xlfn.STDEV.S(S9:U9)</f>
        <v>1503.8408603749706</v>
      </c>
    </row>
    <row r="10" spans="2:23" x14ac:dyDescent="0.2">
      <c r="B10" s="27" t="s">
        <v>84</v>
      </c>
      <c r="C10" s="11" t="s">
        <v>92</v>
      </c>
    </row>
    <row r="11" spans="2:23" x14ac:dyDescent="0.2">
      <c r="B11" s="23" t="s">
        <v>79</v>
      </c>
      <c r="C11" s="11" t="s">
        <v>83</v>
      </c>
    </row>
    <row r="12" spans="2:23" x14ac:dyDescent="0.2">
      <c r="B12" s="29" t="s">
        <v>80</v>
      </c>
      <c r="C12" s="11" t="s">
        <v>83</v>
      </c>
    </row>
    <row r="13" spans="2:23" x14ac:dyDescent="0.2">
      <c r="B13" s="23" t="s">
        <v>81</v>
      </c>
      <c r="C13" s="11" t="s">
        <v>83</v>
      </c>
    </row>
    <row r="14" spans="2:23" x14ac:dyDescent="0.2">
      <c r="B14" s="23" t="s">
        <v>82</v>
      </c>
      <c r="C14" s="11" t="s">
        <v>83</v>
      </c>
    </row>
    <row r="15" spans="2:23" x14ac:dyDescent="0.2">
      <c r="B15" s="23" t="s">
        <v>91</v>
      </c>
      <c r="C15" s="11" t="s">
        <v>135</v>
      </c>
    </row>
    <row r="16" spans="2:23" x14ac:dyDescent="0.2">
      <c r="B16" s="23" t="s">
        <v>85</v>
      </c>
      <c r="C16" s="11" t="s">
        <v>83</v>
      </c>
      <c r="D16" s="35">
        <v>914000</v>
      </c>
      <c r="E16" s="35">
        <v>471000</v>
      </c>
      <c r="F16" s="35">
        <v>407000</v>
      </c>
      <c r="G16" s="43">
        <f>AVERAGE(D16:F16)</f>
        <v>597333.33333333337</v>
      </c>
      <c r="H16" s="43">
        <f>_xlfn.STDEV.S(D16:F16)</f>
        <v>276102.03427959984</v>
      </c>
      <c r="I16" s="44">
        <v>24216</v>
      </c>
      <c r="J16" s="44">
        <v>10241</v>
      </c>
      <c r="K16" s="44">
        <v>6818</v>
      </c>
      <c r="L16" s="43">
        <f>AVERAGE(I16:K16)</f>
        <v>13758.333333333334</v>
      </c>
      <c r="M16" s="43">
        <f>_xlfn.STDEV.S(I16:K16)</f>
        <v>9216.9043790924352</v>
      </c>
      <c r="N16" s="35">
        <v>155000</v>
      </c>
      <c r="O16" s="35">
        <v>783000</v>
      </c>
      <c r="P16" s="35">
        <v>68600</v>
      </c>
      <c r="Q16" s="43">
        <f>AVERAGE(N16:P16)</f>
        <v>335533.33333333331</v>
      </c>
      <c r="R16" s="43">
        <f>_xlfn.STDEV.S(N16:P16)</f>
        <v>389918.00847528619</v>
      </c>
      <c r="S16" s="44">
        <v>4118</v>
      </c>
      <c r="T16" s="44">
        <v>1704</v>
      </c>
      <c r="U16" s="44">
        <v>1148</v>
      </c>
      <c r="V16" s="43">
        <f>AVERAGE(S16:U16)</f>
        <v>2323.3333333333335</v>
      </c>
      <c r="W16" s="43">
        <f>_xlfn.STDEV.S(S16:U16)</f>
        <v>1578.8937055208412</v>
      </c>
    </row>
    <row r="17" spans="2:19" x14ac:dyDescent="0.2">
      <c r="B17" s="23" t="s">
        <v>86</v>
      </c>
      <c r="C17" s="11" t="s">
        <v>88</v>
      </c>
    </row>
    <row r="18" spans="2:19" x14ac:dyDescent="0.2">
      <c r="B18" s="23" t="s">
        <v>87</v>
      </c>
      <c r="C18" s="11" t="s">
        <v>75</v>
      </c>
      <c r="S18" t="s">
        <v>482</v>
      </c>
    </row>
    <row r="19" spans="2:19" x14ac:dyDescent="0.2">
      <c r="B19" s="29" t="s">
        <v>94</v>
      </c>
      <c r="C19" s="11" t="s">
        <v>95</v>
      </c>
    </row>
    <row r="20" spans="2:19" x14ac:dyDescent="0.2">
      <c r="B20" s="29" t="s">
        <v>89</v>
      </c>
      <c r="C20" s="11" t="s">
        <v>90</v>
      </c>
    </row>
    <row r="21" spans="2:19" x14ac:dyDescent="0.15">
      <c r="B21" s="30" t="s">
        <v>405</v>
      </c>
      <c r="C21" s="20" t="s">
        <v>359</v>
      </c>
    </row>
    <row r="22" spans="2:19" x14ac:dyDescent="0.15">
      <c r="B22" s="32" t="s">
        <v>361</v>
      </c>
      <c r="C22" s="20" t="s">
        <v>358</v>
      </c>
    </row>
    <row r="23" spans="2:19" x14ac:dyDescent="0.15">
      <c r="B23" s="30" t="s">
        <v>406</v>
      </c>
      <c r="C23" s="20" t="s">
        <v>407</v>
      </c>
    </row>
    <row r="24" spans="2:19" x14ac:dyDescent="0.15">
      <c r="B24" s="30" t="s">
        <v>364</v>
      </c>
      <c r="C24" s="22" t="s">
        <v>359</v>
      </c>
    </row>
    <row r="25" spans="2:19" x14ac:dyDescent="0.15">
      <c r="B25" s="30" t="s">
        <v>367</v>
      </c>
      <c r="C25" s="20" t="s">
        <v>359</v>
      </c>
    </row>
    <row r="26" spans="2:19" ht="30" x14ac:dyDescent="0.15">
      <c r="B26" s="31" t="s">
        <v>371</v>
      </c>
      <c r="C26" s="20" t="s">
        <v>359</v>
      </c>
    </row>
    <row r="27" spans="2:19" x14ac:dyDescent="0.15">
      <c r="B27" s="24" t="s">
        <v>372</v>
      </c>
      <c r="C27" s="22" t="s">
        <v>359</v>
      </c>
    </row>
    <row r="28" spans="2:19" x14ac:dyDescent="0.15">
      <c r="B28" s="24" t="s">
        <v>374</v>
      </c>
      <c r="C28" s="20" t="s">
        <v>359</v>
      </c>
    </row>
    <row r="29" spans="2:19" x14ac:dyDescent="0.15">
      <c r="B29" s="24" t="s">
        <v>377</v>
      </c>
      <c r="C29" s="20" t="s">
        <v>359</v>
      </c>
    </row>
    <row r="30" spans="2:19" ht="30" x14ac:dyDescent="0.15">
      <c r="B30" s="31" t="s">
        <v>379</v>
      </c>
      <c r="C30" s="20" t="s">
        <v>359</v>
      </c>
    </row>
    <row r="31" spans="2:19" x14ac:dyDescent="0.15">
      <c r="B31" s="25" t="s">
        <v>339</v>
      </c>
      <c r="C31" s="20" t="s">
        <v>359</v>
      </c>
    </row>
    <row r="32" spans="2:19" x14ac:dyDescent="0.15">
      <c r="B32" s="25" t="s">
        <v>347</v>
      </c>
      <c r="C32" s="20" t="s">
        <v>359</v>
      </c>
    </row>
    <row r="33" spans="2:3" x14ac:dyDescent="0.15">
      <c r="B33" s="25" t="s">
        <v>382</v>
      </c>
      <c r="C33" s="20" t="s">
        <v>359</v>
      </c>
    </row>
    <row r="34" spans="2:3" x14ac:dyDescent="0.15">
      <c r="B34" s="34" t="s">
        <v>383</v>
      </c>
      <c r="C34" s="20" t="s">
        <v>359</v>
      </c>
    </row>
    <row r="35" spans="2:3" x14ac:dyDescent="0.15">
      <c r="B35" s="28" t="s">
        <v>385</v>
      </c>
      <c r="C35" s="20" t="s">
        <v>359</v>
      </c>
    </row>
    <row r="36" spans="2:3" x14ac:dyDescent="0.15">
      <c r="B36" s="25" t="s">
        <v>387</v>
      </c>
      <c r="C36" s="20" t="s">
        <v>359</v>
      </c>
    </row>
    <row r="37" spans="2:3" x14ac:dyDescent="0.15">
      <c r="B37" s="25" t="s">
        <v>467</v>
      </c>
      <c r="C37" s="20" t="s">
        <v>359</v>
      </c>
    </row>
    <row r="38" spans="2:3" x14ac:dyDescent="0.15">
      <c r="B38" s="25" t="s">
        <v>468</v>
      </c>
      <c r="C38" s="20" t="s">
        <v>359</v>
      </c>
    </row>
    <row r="39" spans="2:3" x14ac:dyDescent="0.15">
      <c r="B39" s="25" t="s">
        <v>469</v>
      </c>
      <c r="C39" s="20" t="s">
        <v>359</v>
      </c>
    </row>
    <row r="40" spans="2:3" x14ac:dyDescent="0.15">
      <c r="B40" s="28" t="s">
        <v>392</v>
      </c>
      <c r="C40" s="20" t="s">
        <v>358</v>
      </c>
    </row>
    <row r="41" spans="2:3" x14ac:dyDescent="0.15">
      <c r="B41" s="25" t="s">
        <v>394</v>
      </c>
      <c r="C41" s="20" t="s">
        <v>359</v>
      </c>
    </row>
    <row r="42" spans="2:3" x14ac:dyDescent="0.15">
      <c r="B42" s="25" t="s">
        <v>396</v>
      </c>
      <c r="C42" s="20" t="s">
        <v>397</v>
      </c>
    </row>
    <row r="43" spans="2:3" x14ac:dyDescent="0.15">
      <c r="B43" s="25" t="s">
        <v>399</v>
      </c>
      <c r="C43" s="20" t="s">
        <v>397</v>
      </c>
    </row>
    <row r="44" spans="2:3" x14ac:dyDescent="0.15">
      <c r="B44" s="25" t="s">
        <v>401</v>
      </c>
      <c r="C44" s="20" t="s">
        <v>359</v>
      </c>
    </row>
    <row r="45" spans="2:3" x14ac:dyDescent="0.15">
      <c r="B45" s="24" t="s">
        <v>403</v>
      </c>
      <c r="C45" s="20" t="s"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1"/>
  <sheetViews>
    <sheetView workbookViewId="0">
      <selection activeCell="G1" sqref="G1:H1"/>
    </sheetView>
  </sheetViews>
  <sheetFormatPr baseColWidth="10" defaultColWidth="8.83203125" defaultRowHeight="14" x14ac:dyDescent="0.2"/>
  <cols>
    <col min="1" max="1" width="17" style="1" customWidth="1"/>
    <col min="2" max="2" width="15.5" style="1" customWidth="1"/>
    <col min="3" max="3" width="16.5" style="1" customWidth="1"/>
    <col min="4" max="4" width="13" style="1" customWidth="1"/>
    <col min="5" max="14" width="15.83203125" style="2" customWidth="1"/>
    <col min="15" max="16384" width="8.83203125" style="1"/>
  </cols>
  <sheetData>
    <row r="1" spans="1:14" x14ac:dyDescent="0.2">
      <c r="A1" s="334" t="s">
        <v>0</v>
      </c>
      <c r="B1" s="334" t="s">
        <v>134</v>
      </c>
      <c r="C1" s="334" t="s">
        <v>43</v>
      </c>
      <c r="D1" s="334" t="s">
        <v>44</v>
      </c>
      <c r="E1" s="333" t="s">
        <v>34</v>
      </c>
      <c r="F1" s="333"/>
      <c r="G1" s="333" t="s">
        <v>636</v>
      </c>
      <c r="H1" s="333"/>
      <c r="I1" s="333" t="s">
        <v>37</v>
      </c>
      <c r="J1" s="333"/>
      <c r="K1" s="334" t="s">
        <v>40</v>
      </c>
      <c r="L1" s="334" t="s">
        <v>41</v>
      </c>
      <c r="M1" s="334" t="s">
        <v>141</v>
      </c>
      <c r="N1" s="334" t="s">
        <v>42</v>
      </c>
    </row>
    <row r="2" spans="1:14" x14ac:dyDescent="0.2">
      <c r="A2" s="335"/>
      <c r="B2" s="335"/>
      <c r="C2" s="335"/>
      <c r="D2" s="335"/>
      <c r="E2" s="16" t="s">
        <v>35</v>
      </c>
      <c r="F2" s="16" t="s">
        <v>36</v>
      </c>
      <c r="G2" s="16" t="s">
        <v>35</v>
      </c>
      <c r="H2" s="16" t="s">
        <v>36</v>
      </c>
      <c r="I2" s="16" t="s">
        <v>38</v>
      </c>
      <c r="J2" s="16" t="s">
        <v>39</v>
      </c>
      <c r="K2" s="335"/>
      <c r="L2" s="335"/>
      <c r="M2" s="335"/>
      <c r="N2" s="335"/>
    </row>
    <row r="3" spans="1:14" x14ac:dyDescent="0.2">
      <c r="A3" s="13">
        <v>161025</v>
      </c>
      <c r="C3" s="1" t="s">
        <v>120</v>
      </c>
      <c r="D3" s="1" t="s">
        <v>45</v>
      </c>
      <c r="E3" s="2">
        <v>787.92</v>
      </c>
      <c r="F3" s="2">
        <v>22.805</v>
      </c>
      <c r="G3" s="2">
        <v>4664.8</v>
      </c>
      <c r="H3" s="2">
        <v>74.352000000000004</v>
      </c>
      <c r="I3" s="4"/>
      <c r="J3" s="4">
        <f>H3/G3</f>
        <v>1.5938947007374377E-2</v>
      </c>
    </row>
    <row r="4" spans="1:14" x14ac:dyDescent="0.2">
      <c r="A4" s="6" t="s">
        <v>307</v>
      </c>
      <c r="B4" s="6" t="s">
        <v>308</v>
      </c>
      <c r="C4" s="6" t="s">
        <v>311</v>
      </c>
      <c r="D4" s="6" t="s">
        <v>310</v>
      </c>
      <c r="E4" s="17">
        <v>447.98</v>
      </c>
      <c r="F4" s="17">
        <v>5.8898999999999999</v>
      </c>
      <c r="G4" s="17">
        <v>2210.6</v>
      </c>
      <c r="H4" s="17">
        <v>18.283999999999999</v>
      </c>
      <c r="I4" s="17"/>
      <c r="J4" s="17"/>
      <c r="K4" s="17"/>
      <c r="L4" s="17"/>
      <c r="M4" s="17"/>
      <c r="N4" s="17"/>
    </row>
    <row r="5" spans="1:14" x14ac:dyDescent="0.2">
      <c r="A5" s="6" t="s">
        <v>307</v>
      </c>
      <c r="B5" s="6" t="s">
        <v>308</v>
      </c>
      <c r="C5" s="6" t="s">
        <v>309</v>
      </c>
      <c r="D5" s="6" t="s">
        <v>310</v>
      </c>
      <c r="E5" s="17">
        <v>412.05</v>
      </c>
      <c r="F5" s="17">
        <v>5.4737999999999998</v>
      </c>
      <c r="G5" s="17">
        <v>2131.3000000000002</v>
      </c>
      <c r="H5" s="17">
        <v>17.427</v>
      </c>
      <c r="I5" s="17"/>
      <c r="J5" s="17"/>
      <c r="K5" s="17"/>
      <c r="L5" s="17"/>
      <c r="M5" s="17"/>
      <c r="N5" s="17"/>
    </row>
    <row r="6" spans="1:14" x14ac:dyDescent="0.2">
      <c r="A6" s="6" t="s">
        <v>312</v>
      </c>
      <c r="B6" s="6" t="s">
        <v>308</v>
      </c>
      <c r="C6" s="6" t="s">
        <v>311</v>
      </c>
      <c r="D6" s="6" t="s">
        <v>310</v>
      </c>
      <c r="E6" s="17">
        <v>237.68</v>
      </c>
      <c r="F6" s="17">
        <v>3.8214999999999999</v>
      </c>
      <c r="G6" s="17">
        <v>1248.5999999999999</v>
      </c>
      <c r="H6" s="17">
        <v>12.082000000000001</v>
      </c>
      <c r="I6" s="17"/>
      <c r="J6" s="17"/>
      <c r="K6" s="17"/>
      <c r="L6" s="17"/>
      <c r="M6" s="17"/>
      <c r="N6" s="17"/>
    </row>
    <row r="7" spans="1:14" x14ac:dyDescent="0.2">
      <c r="A7" s="6" t="s">
        <v>312</v>
      </c>
      <c r="B7" s="6" t="s">
        <v>308</v>
      </c>
      <c r="C7" s="6" t="s">
        <v>309</v>
      </c>
      <c r="D7" s="6" t="s">
        <v>310</v>
      </c>
      <c r="E7" s="17">
        <v>239.75</v>
      </c>
      <c r="F7" s="17">
        <v>4.0514999999999999</v>
      </c>
      <c r="G7" s="17">
        <v>1272.8</v>
      </c>
      <c r="H7" s="17">
        <v>12.948</v>
      </c>
      <c r="I7" s="17"/>
      <c r="J7" s="17"/>
      <c r="K7" s="17"/>
      <c r="L7" s="17"/>
      <c r="M7" s="17"/>
      <c r="N7" s="17"/>
    </row>
    <row r="8" spans="1:14" x14ac:dyDescent="0.2">
      <c r="A8" s="6" t="s">
        <v>313</v>
      </c>
      <c r="B8" s="6" t="s">
        <v>308</v>
      </c>
      <c r="C8" s="6" t="s">
        <v>311</v>
      </c>
      <c r="D8" s="6" t="s">
        <v>310</v>
      </c>
      <c r="E8" s="17">
        <v>1498</v>
      </c>
      <c r="F8" s="17">
        <v>10.02</v>
      </c>
      <c r="G8" s="17">
        <v>7538.6</v>
      </c>
      <c r="H8" s="17">
        <v>32.143999999999998</v>
      </c>
      <c r="I8" s="17"/>
      <c r="J8" s="17"/>
      <c r="K8" s="17"/>
      <c r="L8" s="17"/>
      <c r="M8" s="17"/>
      <c r="N8" s="17"/>
    </row>
    <row r="9" spans="1:14" x14ac:dyDescent="0.2">
      <c r="A9" s="6" t="s">
        <v>313</v>
      </c>
      <c r="B9" s="6" t="s">
        <v>308</v>
      </c>
      <c r="C9" s="6" t="s">
        <v>309</v>
      </c>
      <c r="D9" s="6" t="s">
        <v>310</v>
      </c>
      <c r="E9" s="17">
        <v>844.79</v>
      </c>
      <c r="F9" s="17">
        <v>6.2329999999999997</v>
      </c>
      <c r="G9" s="17">
        <v>4332.3</v>
      </c>
      <c r="H9" s="17">
        <v>20.190999999999999</v>
      </c>
      <c r="I9" s="17"/>
      <c r="J9" s="17"/>
      <c r="K9" s="17"/>
      <c r="L9" s="17"/>
      <c r="M9" s="17"/>
      <c r="N9" s="17"/>
    </row>
    <row r="10" spans="1:14" x14ac:dyDescent="0.2">
      <c r="A10" s="6" t="s">
        <v>314</v>
      </c>
      <c r="B10" s="6" t="s">
        <v>308</v>
      </c>
      <c r="C10" s="6" t="s">
        <v>311</v>
      </c>
      <c r="D10" s="6" t="s">
        <v>310</v>
      </c>
      <c r="E10" s="17">
        <v>311.77999999999997</v>
      </c>
      <c r="F10" s="17">
        <v>5.0365000000000002</v>
      </c>
      <c r="G10" s="17">
        <v>1712.8</v>
      </c>
      <c r="H10" s="17">
        <v>16.379000000000001</v>
      </c>
      <c r="I10" s="17"/>
      <c r="J10" s="17"/>
      <c r="K10" s="17"/>
      <c r="L10" s="17"/>
      <c r="M10" s="17"/>
      <c r="N10" s="17"/>
    </row>
    <row r="11" spans="1:14" x14ac:dyDescent="0.2">
      <c r="A11" s="6" t="s">
        <v>314</v>
      </c>
      <c r="B11" s="6" t="s">
        <v>308</v>
      </c>
      <c r="C11" s="6" t="s">
        <v>309</v>
      </c>
      <c r="D11" s="6" t="s">
        <v>310</v>
      </c>
      <c r="E11" s="17">
        <v>242.62</v>
      </c>
      <c r="F11" s="17">
        <v>4.6984000000000004</v>
      </c>
      <c r="G11" s="17">
        <v>1362.9</v>
      </c>
      <c r="H11" s="17">
        <v>15.188000000000001</v>
      </c>
      <c r="I11" s="17"/>
      <c r="J11" s="17"/>
      <c r="K11" s="17"/>
      <c r="L11" s="17"/>
      <c r="M11" s="17"/>
      <c r="N11" s="17"/>
    </row>
    <row r="12" spans="1:14" x14ac:dyDescent="0.2">
      <c r="A12" s="6" t="s">
        <v>318</v>
      </c>
      <c r="B12" s="6" t="s">
        <v>308</v>
      </c>
      <c r="C12" s="6" t="s">
        <v>311</v>
      </c>
      <c r="D12" s="6" t="s">
        <v>310</v>
      </c>
      <c r="E12" s="17">
        <v>207.5</v>
      </c>
      <c r="F12" s="17">
        <v>4.0092999999999996</v>
      </c>
      <c r="G12" s="17">
        <v>1085.9000000000001</v>
      </c>
      <c r="H12" s="17">
        <v>12.619</v>
      </c>
      <c r="I12" s="17"/>
      <c r="J12" s="17"/>
      <c r="K12" s="17"/>
      <c r="L12" s="17"/>
      <c r="M12" s="17"/>
      <c r="N12" s="17"/>
    </row>
    <row r="13" spans="1:14" x14ac:dyDescent="0.2">
      <c r="A13" s="6" t="s">
        <v>317</v>
      </c>
      <c r="B13" s="6" t="s">
        <v>308</v>
      </c>
      <c r="C13" s="6" t="s">
        <v>309</v>
      </c>
      <c r="D13" s="6" t="s">
        <v>310</v>
      </c>
      <c r="E13" s="17">
        <v>124.46</v>
      </c>
      <c r="F13" s="17">
        <v>2.6027999999999998</v>
      </c>
      <c r="G13" s="17">
        <v>685.19</v>
      </c>
      <c r="H13" s="17">
        <v>8.3611000000000004</v>
      </c>
      <c r="I13" s="17"/>
      <c r="J13" s="17"/>
      <c r="K13" s="17"/>
      <c r="L13" s="17"/>
      <c r="M13" s="17"/>
      <c r="N13" s="17"/>
    </row>
    <row r="14" spans="1:14" x14ac:dyDescent="0.2">
      <c r="A14" s="6" t="s">
        <v>315</v>
      </c>
      <c r="B14" s="6" t="s">
        <v>308</v>
      </c>
      <c r="C14" s="6" t="s">
        <v>316</v>
      </c>
      <c r="D14" s="6" t="s">
        <v>310</v>
      </c>
      <c r="E14" s="17">
        <v>82.222999999999999</v>
      </c>
      <c r="F14" s="17">
        <v>2.9554</v>
      </c>
      <c r="G14" s="17">
        <v>459.47</v>
      </c>
      <c r="H14" s="17">
        <v>8.8253000000000004</v>
      </c>
      <c r="I14" s="17"/>
      <c r="J14" s="17"/>
      <c r="K14" s="17"/>
      <c r="L14" s="17"/>
      <c r="M14" s="17"/>
      <c r="N14" s="17"/>
    </row>
    <row r="15" spans="1:14" x14ac:dyDescent="0.2">
      <c r="A15" s="1" t="s">
        <v>13</v>
      </c>
      <c r="B15" s="13" t="s">
        <v>25</v>
      </c>
      <c r="C15" s="6" t="s">
        <v>9</v>
      </c>
      <c r="D15" s="3" t="s">
        <v>45</v>
      </c>
      <c r="E15" s="5">
        <v>809.22</v>
      </c>
      <c r="F15" s="5">
        <v>11.132999999999999</v>
      </c>
      <c r="G15" s="5">
        <v>4350.7</v>
      </c>
      <c r="H15" s="5">
        <v>36.270000000000003</v>
      </c>
      <c r="I15" s="4">
        <f t="shared" ref="I15:I46" si="0">F15/E15</f>
        <v>1.3757692592867203E-2</v>
      </c>
      <c r="J15" s="4">
        <f t="shared" ref="J15:J46" si="1">H15/G15</f>
        <v>8.3365895143310276E-3</v>
      </c>
      <c r="K15" s="2">
        <v>74.83</v>
      </c>
      <c r="L15" s="2">
        <f>21.52-2.06</f>
        <v>19.46</v>
      </c>
      <c r="M15" s="4">
        <f t="shared" ref="M15:M25" si="2">L15/K15</f>
        <v>0.26005612722170252</v>
      </c>
      <c r="N15" s="2">
        <v>10000</v>
      </c>
    </row>
    <row r="16" spans="1:14" x14ac:dyDescent="0.2">
      <c r="A16" s="1" t="s">
        <v>13</v>
      </c>
      <c r="B16" s="13" t="s">
        <v>25</v>
      </c>
      <c r="C16" s="3" t="s">
        <v>26</v>
      </c>
      <c r="D16" s="3" t="s">
        <v>45</v>
      </c>
      <c r="E16" s="5">
        <v>539.89</v>
      </c>
      <c r="F16" s="5">
        <v>11.098000000000001</v>
      </c>
      <c r="G16" s="5">
        <v>2850.9</v>
      </c>
      <c r="H16" s="5">
        <v>34.868000000000002</v>
      </c>
      <c r="I16" s="4">
        <f t="shared" si="0"/>
        <v>2.0556039193168982E-2</v>
      </c>
      <c r="J16" s="4">
        <f t="shared" si="1"/>
        <v>1.2230523694271985E-2</v>
      </c>
      <c r="K16" s="2">
        <v>72.930000000000007</v>
      </c>
      <c r="L16" s="2">
        <f>16.33-2.12</f>
        <v>14.209999999999997</v>
      </c>
      <c r="M16" s="4">
        <f t="shared" si="2"/>
        <v>0.19484437131495949</v>
      </c>
      <c r="N16" s="2">
        <v>10000</v>
      </c>
    </row>
    <row r="17" spans="1:14" x14ac:dyDescent="0.2">
      <c r="A17" s="1" t="s">
        <v>13</v>
      </c>
      <c r="B17" s="13" t="s">
        <v>25</v>
      </c>
      <c r="C17" s="3" t="s">
        <v>8</v>
      </c>
      <c r="D17" s="3" t="s">
        <v>45</v>
      </c>
      <c r="E17" s="5">
        <v>431.02</v>
      </c>
      <c r="F17" s="5">
        <v>8.9042999999999992</v>
      </c>
      <c r="G17" s="5">
        <v>2558.6999999999998</v>
      </c>
      <c r="H17" s="5">
        <v>29.521999999999998</v>
      </c>
      <c r="I17" s="4">
        <f t="shared" si="0"/>
        <v>2.065867013131641E-2</v>
      </c>
      <c r="J17" s="4">
        <f t="shared" si="1"/>
        <v>1.153789033493571E-2</v>
      </c>
      <c r="K17" s="2">
        <v>63.79</v>
      </c>
      <c r="L17" s="2">
        <f>20.01-2.09</f>
        <v>17.920000000000002</v>
      </c>
      <c r="M17" s="4">
        <f t="shared" si="2"/>
        <v>0.28092177457281708</v>
      </c>
      <c r="N17" s="2">
        <v>10000</v>
      </c>
    </row>
    <row r="18" spans="1:14" x14ac:dyDescent="0.2">
      <c r="A18" s="1" t="s">
        <v>13</v>
      </c>
      <c r="B18" s="13" t="s">
        <v>25</v>
      </c>
      <c r="C18" s="3" t="s">
        <v>46</v>
      </c>
      <c r="D18" s="3" t="s">
        <v>47</v>
      </c>
      <c r="E18" s="5">
        <v>223.52</v>
      </c>
      <c r="F18" s="5">
        <v>6.6017999999999999</v>
      </c>
      <c r="G18" s="5">
        <v>1241.0999999999999</v>
      </c>
      <c r="H18" s="5">
        <v>20.486000000000001</v>
      </c>
      <c r="I18" s="4">
        <f t="shared" si="0"/>
        <v>2.9535612025769504E-2</v>
      </c>
      <c r="J18" s="4">
        <f t="shared" si="1"/>
        <v>1.6506325034243818E-2</v>
      </c>
      <c r="K18" s="2">
        <v>57.96</v>
      </c>
      <c r="L18" s="2">
        <f>20.17-2.08</f>
        <v>18.090000000000003</v>
      </c>
      <c r="M18" s="4">
        <f t="shared" si="2"/>
        <v>0.31211180124223609</v>
      </c>
      <c r="N18" s="2">
        <v>10000</v>
      </c>
    </row>
    <row r="19" spans="1:14" x14ac:dyDescent="0.2">
      <c r="A19" s="1" t="s">
        <v>13</v>
      </c>
      <c r="B19" s="13" t="s">
        <v>25</v>
      </c>
      <c r="C19" s="6" t="s">
        <v>10</v>
      </c>
      <c r="D19" s="3" t="s">
        <v>45</v>
      </c>
      <c r="E19" s="5">
        <v>737.73</v>
      </c>
      <c r="F19" s="5">
        <v>11.087999999999999</v>
      </c>
      <c r="G19" s="5">
        <v>4073.5</v>
      </c>
      <c r="H19" s="5">
        <v>36.344999999999999</v>
      </c>
      <c r="I19" s="4">
        <f t="shared" si="0"/>
        <v>1.502988898377455E-2</v>
      </c>
      <c r="J19" s="4">
        <f t="shared" si="1"/>
        <v>8.9223026881060513E-3</v>
      </c>
      <c r="K19" s="2">
        <v>66.39</v>
      </c>
      <c r="L19" s="2">
        <f>19.94-2.08</f>
        <v>17.86</v>
      </c>
      <c r="M19" s="4">
        <f t="shared" si="2"/>
        <v>0.26901641813526134</v>
      </c>
      <c r="N19" s="2">
        <v>10000</v>
      </c>
    </row>
    <row r="20" spans="1:14" x14ac:dyDescent="0.2">
      <c r="A20" s="1" t="s">
        <v>123</v>
      </c>
      <c r="B20" s="13" t="s">
        <v>25</v>
      </c>
      <c r="C20" s="3" t="s">
        <v>124</v>
      </c>
      <c r="D20" s="3" t="s">
        <v>45</v>
      </c>
      <c r="E20" s="5">
        <v>285.69</v>
      </c>
      <c r="F20" s="5">
        <v>8.1056000000000008</v>
      </c>
      <c r="G20" s="5">
        <v>1646.4</v>
      </c>
      <c r="H20" s="5">
        <v>25.532</v>
      </c>
      <c r="I20" s="4">
        <f t="shared" si="0"/>
        <v>2.8372011620987788E-2</v>
      </c>
      <c r="J20" s="4">
        <f t="shared" si="1"/>
        <v>1.5507774538386783E-2</v>
      </c>
      <c r="K20" s="2">
        <v>74.28</v>
      </c>
      <c r="L20" s="2">
        <f>17.55-2.1</f>
        <v>15.450000000000001</v>
      </c>
      <c r="M20" s="4">
        <f t="shared" si="2"/>
        <v>0.20799676898222941</v>
      </c>
      <c r="N20" s="2">
        <v>10000</v>
      </c>
    </row>
    <row r="21" spans="1:14" x14ac:dyDescent="0.2">
      <c r="A21" s="1" t="s">
        <v>13</v>
      </c>
      <c r="B21" s="13" t="s">
        <v>25</v>
      </c>
      <c r="C21" s="6" t="s">
        <v>11</v>
      </c>
      <c r="D21" s="3" t="s">
        <v>50</v>
      </c>
      <c r="E21" s="5">
        <v>756.95</v>
      </c>
      <c r="F21" s="5">
        <v>11.829000000000001</v>
      </c>
      <c r="G21" s="5">
        <v>4181.5</v>
      </c>
      <c r="H21" s="5">
        <v>38.792000000000002</v>
      </c>
      <c r="I21" s="4">
        <f t="shared" si="0"/>
        <v>1.5627188057335359E-2</v>
      </c>
      <c r="J21" s="4">
        <f t="shared" si="1"/>
        <v>9.2770536888676317E-3</v>
      </c>
      <c r="K21" s="2">
        <v>60.97</v>
      </c>
      <c r="L21" s="2">
        <f>17.86-2.09</f>
        <v>15.77</v>
      </c>
      <c r="M21" s="4">
        <f t="shared" si="2"/>
        <v>0.2586517959652288</v>
      </c>
      <c r="N21" s="2">
        <v>10000</v>
      </c>
    </row>
    <row r="22" spans="1:14" x14ac:dyDescent="0.2">
      <c r="A22" s="1" t="s">
        <v>13</v>
      </c>
      <c r="B22" s="13" t="s">
        <v>25</v>
      </c>
      <c r="C22" s="3" t="s">
        <v>48</v>
      </c>
      <c r="D22" s="3" t="s">
        <v>45</v>
      </c>
      <c r="E22" s="5">
        <v>318.93</v>
      </c>
      <c r="F22" s="5">
        <v>9.4093999999999998</v>
      </c>
      <c r="G22" s="5">
        <v>1622</v>
      </c>
      <c r="H22" s="5">
        <v>27.933</v>
      </c>
      <c r="I22" s="4">
        <f t="shared" si="0"/>
        <v>2.9503025742325901E-2</v>
      </c>
      <c r="J22" s="4">
        <f t="shared" si="1"/>
        <v>1.7221331689272503E-2</v>
      </c>
      <c r="K22" s="2">
        <v>54.05</v>
      </c>
      <c r="L22" s="2">
        <f>13.87-2.08</f>
        <v>11.79</v>
      </c>
      <c r="M22" s="4">
        <f t="shared" si="2"/>
        <v>0.21813135985198889</v>
      </c>
      <c r="N22" s="2">
        <v>10000</v>
      </c>
    </row>
    <row r="23" spans="1:14" x14ac:dyDescent="0.2">
      <c r="A23" s="1" t="s">
        <v>13</v>
      </c>
      <c r="B23" s="13" t="s">
        <v>25</v>
      </c>
      <c r="C23" s="3" t="s">
        <v>49</v>
      </c>
      <c r="D23" s="3" t="s">
        <v>45</v>
      </c>
      <c r="E23" s="5">
        <v>553.89</v>
      </c>
      <c r="F23" s="5">
        <v>12.747</v>
      </c>
      <c r="G23" s="5">
        <v>3011.4</v>
      </c>
      <c r="H23" s="5">
        <v>41.116999999999997</v>
      </c>
      <c r="I23" s="4">
        <f t="shared" si="0"/>
        <v>2.3013594757081732E-2</v>
      </c>
      <c r="J23" s="4">
        <f t="shared" si="1"/>
        <v>1.3653782293949656E-2</v>
      </c>
      <c r="K23" s="2">
        <v>59.33</v>
      </c>
      <c r="L23" s="2">
        <f>13-2.11</f>
        <v>10.89</v>
      </c>
      <c r="M23" s="4">
        <f t="shared" si="2"/>
        <v>0.18354963762009102</v>
      </c>
      <c r="N23" s="2">
        <v>10000</v>
      </c>
    </row>
    <row r="24" spans="1:14" x14ac:dyDescent="0.2">
      <c r="A24" s="1" t="s">
        <v>13</v>
      </c>
      <c r="B24" s="13" t="s">
        <v>25</v>
      </c>
      <c r="C24" s="3" t="s">
        <v>32</v>
      </c>
      <c r="D24" s="3" t="s">
        <v>45</v>
      </c>
      <c r="E24" s="5">
        <v>507.48</v>
      </c>
      <c r="F24" s="5">
        <v>15.973000000000001</v>
      </c>
      <c r="G24" s="5">
        <v>2769.3</v>
      </c>
      <c r="H24" s="5">
        <v>48.884999999999998</v>
      </c>
      <c r="I24" s="4">
        <f t="shared" si="0"/>
        <v>3.1475132024907385E-2</v>
      </c>
      <c r="J24" s="4">
        <f t="shared" si="1"/>
        <v>1.7652475354782794E-2</v>
      </c>
      <c r="K24" s="2">
        <v>31.24</v>
      </c>
      <c r="L24" s="2">
        <f>9.17-2.12</f>
        <v>7.05</v>
      </c>
      <c r="M24" s="4">
        <f t="shared" si="2"/>
        <v>0.22567221510883484</v>
      </c>
      <c r="N24" s="2">
        <v>10000</v>
      </c>
    </row>
    <row r="25" spans="1:14" x14ac:dyDescent="0.2">
      <c r="A25" s="1" t="s">
        <v>13</v>
      </c>
      <c r="B25" s="13" t="s">
        <v>25</v>
      </c>
      <c r="C25" s="6" t="s">
        <v>12</v>
      </c>
      <c r="D25" s="3" t="s">
        <v>51</v>
      </c>
      <c r="E25" s="5">
        <v>464.93</v>
      </c>
      <c r="F25" s="5">
        <v>9.8793000000000006</v>
      </c>
      <c r="G25" s="5">
        <v>2473.6999999999998</v>
      </c>
      <c r="H25" s="5">
        <v>31.379000000000001</v>
      </c>
      <c r="I25" s="4">
        <f t="shared" si="0"/>
        <v>2.1249005226593252E-2</v>
      </c>
      <c r="J25" s="4">
        <f t="shared" si="1"/>
        <v>1.2685046691191334E-2</v>
      </c>
      <c r="K25" s="2">
        <v>46.15</v>
      </c>
      <c r="L25" s="2">
        <f>15.91-2.07</f>
        <v>13.84</v>
      </c>
      <c r="M25" s="4">
        <f t="shared" si="2"/>
        <v>0.29989165763813652</v>
      </c>
      <c r="N25" s="2">
        <v>10000</v>
      </c>
    </row>
    <row r="26" spans="1:14" x14ac:dyDescent="0.2">
      <c r="A26" s="1" t="s">
        <v>14</v>
      </c>
      <c r="B26" s="13" t="s">
        <v>25</v>
      </c>
      <c r="C26" s="6" t="s">
        <v>9</v>
      </c>
      <c r="D26" s="1" t="s">
        <v>52</v>
      </c>
      <c r="E26" s="5">
        <v>790.8</v>
      </c>
      <c r="F26" s="5">
        <v>17.614999999999998</v>
      </c>
      <c r="G26" s="5">
        <v>3959.7</v>
      </c>
      <c r="H26" s="5">
        <v>52.427</v>
      </c>
      <c r="I26" s="4">
        <f t="shared" si="0"/>
        <v>2.22749114820435E-2</v>
      </c>
      <c r="J26" s="4">
        <f t="shared" si="1"/>
        <v>1.3240144455388035E-2</v>
      </c>
      <c r="M26" s="4"/>
      <c r="N26" s="2">
        <v>10000</v>
      </c>
    </row>
    <row r="27" spans="1:14" x14ac:dyDescent="0.2">
      <c r="A27" s="1" t="s">
        <v>14</v>
      </c>
      <c r="B27" s="13" t="s">
        <v>25</v>
      </c>
      <c r="C27" s="1" t="s">
        <v>26</v>
      </c>
      <c r="D27" s="1" t="s">
        <v>52</v>
      </c>
      <c r="E27" s="5">
        <v>334.82</v>
      </c>
      <c r="F27" s="5">
        <v>8.1575000000000006</v>
      </c>
      <c r="G27" s="5">
        <v>1690.8</v>
      </c>
      <c r="H27" s="5">
        <v>24.617000000000001</v>
      </c>
      <c r="I27" s="4">
        <f t="shared" si="0"/>
        <v>2.4363837285705753E-2</v>
      </c>
      <c r="J27" s="4">
        <f t="shared" si="1"/>
        <v>1.4559380175065058E-2</v>
      </c>
      <c r="M27" s="4"/>
      <c r="N27" s="2">
        <v>10000</v>
      </c>
    </row>
    <row r="28" spans="1:14" x14ac:dyDescent="0.2">
      <c r="A28" s="1" t="s">
        <v>14</v>
      </c>
      <c r="B28" s="13" t="s">
        <v>25</v>
      </c>
      <c r="C28" s="1" t="s">
        <v>57</v>
      </c>
      <c r="D28" s="1" t="s">
        <v>58</v>
      </c>
      <c r="E28" s="5">
        <v>617.65</v>
      </c>
      <c r="F28" s="5">
        <v>9.7039000000000009</v>
      </c>
      <c r="G28" s="5">
        <v>3203.5</v>
      </c>
      <c r="H28" s="5">
        <v>30.282</v>
      </c>
      <c r="I28" s="4">
        <f t="shared" si="0"/>
        <v>1.5711001376183927E-2</v>
      </c>
      <c r="J28" s="4">
        <f t="shared" si="1"/>
        <v>9.4527860152957711E-3</v>
      </c>
      <c r="M28" s="4"/>
      <c r="N28" s="2">
        <v>10000</v>
      </c>
    </row>
    <row r="29" spans="1:14" x14ac:dyDescent="0.2">
      <c r="A29" s="1" t="s">
        <v>14</v>
      </c>
      <c r="B29" s="13" t="s">
        <v>25</v>
      </c>
      <c r="C29" s="1" t="s">
        <v>53</v>
      </c>
      <c r="D29" s="1" t="s">
        <v>45</v>
      </c>
      <c r="E29" s="5">
        <v>513.11</v>
      </c>
      <c r="F29" s="5">
        <v>12.337999999999999</v>
      </c>
      <c r="G29" s="5">
        <v>2771.4</v>
      </c>
      <c r="H29" s="5">
        <v>38.319000000000003</v>
      </c>
      <c r="I29" s="4">
        <f t="shared" si="0"/>
        <v>2.4045526300403419E-2</v>
      </c>
      <c r="J29" s="4">
        <f t="shared" si="1"/>
        <v>1.3826585841091145E-2</v>
      </c>
      <c r="K29" s="2">
        <v>23.05</v>
      </c>
      <c r="L29" s="2">
        <f>11.14-2.05</f>
        <v>9.09</v>
      </c>
      <c r="M29" s="4">
        <f>L29/K29</f>
        <v>0.39436008676789586</v>
      </c>
      <c r="N29" s="2">
        <v>10000</v>
      </c>
    </row>
    <row r="30" spans="1:14" x14ac:dyDescent="0.2">
      <c r="A30" s="1" t="s">
        <v>14</v>
      </c>
      <c r="B30" s="13" t="s">
        <v>25</v>
      </c>
      <c r="C30" s="6" t="s">
        <v>10</v>
      </c>
      <c r="D30" s="1" t="s">
        <v>58</v>
      </c>
      <c r="E30" s="5">
        <v>847.19</v>
      </c>
      <c r="F30" s="5">
        <v>16.059999999999999</v>
      </c>
      <c r="G30" s="5">
        <v>4346.2</v>
      </c>
      <c r="H30" s="5">
        <v>48.777000000000001</v>
      </c>
      <c r="I30" s="4">
        <f t="shared" si="0"/>
        <v>1.8956786553193494E-2</v>
      </c>
      <c r="J30" s="4">
        <f t="shared" si="1"/>
        <v>1.1222907367355392E-2</v>
      </c>
      <c r="M30" s="4"/>
      <c r="N30" s="2">
        <v>10000</v>
      </c>
    </row>
    <row r="31" spans="1:14" x14ac:dyDescent="0.2">
      <c r="A31" s="1" t="s">
        <v>14</v>
      </c>
      <c r="B31" s="13" t="s">
        <v>25</v>
      </c>
      <c r="C31" s="1" t="s">
        <v>55</v>
      </c>
      <c r="D31" s="1" t="s">
        <v>56</v>
      </c>
      <c r="E31" s="5">
        <v>340.52</v>
      </c>
      <c r="F31" s="5">
        <v>17.550999999999998</v>
      </c>
      <c r="G31" s="5">
        <v>1732.4</v>
      </c>
      <c r="H31" s="5">
        <v>49.06</v>
      </c>
      <c r="I31" s="4">
        <f t="shared" si="0"/>
        <v>5.154175966169388E-2</v>
      </c>
      <c r="J31" s="4">
        <f t="shared" si="1"/>
        <v>2.8319094897252366E-2</v>
      </c>
      <c r="M31" s="4"/>
      <c r="N31" s="2">
        <v>10000</v>
      </c>
    </row>
    <row r="32" spans="1:14" x14ac:dyDescent="0.2">
      <c r="A32" s="3" t="s">
        <v>15</v>
      </c>
      <c r="B32" s="13" t="s">
        <v>25</v>
      </c>
      <c r="C32" s="6" t="s">
        <v>9</v>
      </c>
      <c r="D32" s="1" t="s">
        <v>71</v>
      </c>
      <c r="E32" s="5">
        <v>681.26</v>
      </c>
      <c r="F32" s="5">
        <v>12.157999999999999</v>
      </c>
      <c r="G32" s="5">
        <v>3535.6</v>
      </c>
      <c r="H32" s="5">
        <v>37.468000000000004</v>
      </c>
      <c r="I32" s="4">
        <f t="shared" si="0"/>
        <v>1.7846343539911338E-2</v>
      </c>
      <c r="J32" s="4">
        <f t="shared" si="1"/>
        <v>1.059735264170155E-2</v>
      </c>
      <c r="M32" s="4"/>
      <c r="N32" s="2">
        <v>10000</v>
      </c>
    </row>
    <row r="33" spans="1:14" x14ac:dyDescent="0.2">
      <c r="A33" s="3" t="s">
        <v>15</v>
      </c>
      <c r="B33" s="13" t="s">
        <v>25</v>
      </c>
      <c r="C33" s="3" t="s">
        <v>26</v>
      </c>
      <c r="D33" s="3" t="s">
        <v>45</v>
      </c>
      <c r="E33" s="5">
        <v>1445.1</v>
      </c>
      <c r="F33" s="5">
        <v>37.203000000000003</v>
      </c>
      <c r="G33" s="5">
        <v>7462.3</v>
      </c>
      <c r="H33" s="5">
        <v>111.43</v>
      </c>
      <c r="I33" s="4">
        <f t="shared" si="0"/>
        <v>2.5744239152999795E-2</v>
      </c>
      <c r="J33" s="4">
        <f t="shared" si="1"/>
        <v>1.4932393497983197E-2</v>
      </c>
      <c r="K33" s="2">
        <v>12.57</v>
      </c>
      <c r="L33" s="2">
        <f>4.71-2.14</f>
        <v>2.57</v>
      </c>
      <c r="M33" s="4">
        <f>L33/K33</f>
        <v>0.20445505171042161</v>
      </c>
      <c r="N33" s="2">
        <v>10000</v>
      </c>
    </row>
    <row r="34" spans="1:14" x14ac:dyDescent="0.2">
      <c r="A34" s="3" t="s">
        <v>15</v>
      </c>
      <c r="B34" s="13" t="s">
        <v>25</v>
      </c>
      <c r="C34" s="1" t="s">
        <v>8</v>
      </c>
      <c r="D34" s="1" t="s">
        <v>45</v>
      </c>
      <c r="E34" s="5">
        <v>2607.8000000000002</v>
      </c>
      <c r="F34" s="5">
        <v>44.774000000000001</v>
      </c>
      <c r="G34" s="5">
        <v>13388</v>
      </c>
      <c r="H34" s="5">
        <v>139.30000000000001</v>
      </c>
      <c r="I34" s="4">
        <f t="shared" si="0"/>
        <v>1.716926144642994E-2</v>
      </c>
      <c r="J34" s="4">
        <f t="shared" si="1"/>
        <v>1.0404840155363013E-2</v>
      </c>
      <c r="K34" s="2">
        <v>17.670000000000002</v>
      </c>
      <c r="L34" s="2">
        <f>5.4-2.11</f>
        <v>3.2900000000000005</v>
      </c>
      <c r="M34" s="4">
        <f>L34/K34</f>
        <v>0.18619128466327109</v>
      </c>
      <c r="N34" s="2">
        <v>10000</v>
      </c>
    </row>
    <row r="35" spans="1:14" x14ac:dyDescent="0.2">
      <c r="A35" s="3" t="s">
        <v>15</v>
      </c>
      <c r="B35" s="13" t="s">
        <v>25</v>
      </c>
      <c r="C35" s="1" t="s">
        <v>53</v>
      </c>
      <c r="D35" s="1" t="s">
        <v>45</v>
      </c>
      <c r="E35" s="5">
        <v>410.6</v>
      </c>
      <c r="F35" s="5">
        <v>9.0436999999999994</v>
      </c>
      <c r="G35" s="5">
        <v>2214.6</v>
      </c>
      <c r="H35" s="5">
        <v>28.638999999999999</v>
      </c>
      <c r="I35" s="4">
        <f t="shared" si="0"/>
        <v>2.2025572333170967E-2</v>
      </c>
      <c r="J35" s="4">
        <f t="shared" si="1"/>
        <v>1.2931906439086066E-2</v>
      </c>
      <c r="K35" s="2">
        <v>43.48</v>
      </c>
      <c r="L35" s="2">
        <f>18.26-2.13</f>
        <v>16.130000000000003</v>
      </c>
      <c r="M35" s="4">
        <f>L35/K35</f>
        <v>0.37097516099356032</v>
      </c>
      <c r="N35" s="2">
        <v>10000</v>
      </c>
    </row>
    <row r="36" spans="1:14" x14ac:dyDescent="0.2">
      <c r="A36" s="3" t="s">
        <v>15</v>
      </c>
      <c r="B36" s="13" t="s">
        <v>25</v>
      </c>
      <c r="C36" s="6" t="s">
        <v>10</v>
      </c>
      <c r="D36" s="1" t="s">
        <v>54</v>
      </c>
      <c r="E36" s="5">
        <v>746.71</v>
      </c>
      <c r="F36" s="5">
        <v>15.082000000000001</v>
      </c>
      <c r="G36" s="5">
        <v>3976.1</v>
      </c>
      <c r="H36" s="5">
        <v>46.411999999999999</v>
      </c>
      <c r="I36" s="4">
        <f t="shared" si="0"/>
        <v>2.0197934941275728E-2</v>
      </c>
      <c r="J36" s="4">
        <f t="shared" si="1"/>
        <v>1.1672744649279445E-2</v>
      </c>
      <c r="M36" s="4"/>
      <c r="N36" s="2">
        <v>10000</v>
      </c>
    </row>
    <row r="37" spans="1:14" x14ac:dyDescent="0.2">
      <c r="A37" s="3" t="s">
        <v>15</v>
      </c>
      <c r="B37" s="13" t="s">
        <v>25</v>
      </c>
      <c r="C37" s="1" t="s">
        <v>5</v>
      </c>
      <c r="D37" s="1" t="s">
        <v>59</v>
      </c>
      <c r="E37" s="5">
        <v>767.22</v>
      </c>
      <c r="F37" s="5">
        <v>34.243000000000002</v>
      </c>
      <c r="G37" s="5">
        <v>3844.2</v>
      </c>
      <c r="H37" s="5">
        <v>93.82</v>
      </c>
      <c r="I37" s="4">
        <f t="shared" si="0"/>
        <v>4.4632569536769112E-2</v>
      </c>
      <c r="J37" s="4">
        <f t="shared" si="1"/>
        <v>2.4405598043806254E-2</v>
      </c>
      <c r="K37" s="2">
        <v>14.18</v>
      </c>
      <c r="L37" s="2">
        <f>4.85-2.09</f>
        <v>2.76</v>
      </c>
      <c r="M37" s="4">
        <f>L37/K37</f>
        <v>0.19464033850493651</v>
      </c>
      <c r="N37" s="2">
        <v>10000</v>
      </c>
    </row>
    <row r="38" spans="1:14" x14ac:dyDescent="0.2">
      <c r="A38" s="3" t="s">
        <v>15</v>
      </c>
      <c r="B38" s="13" t="s">
        <v>25</v>
      </c>
      <c r="C38" s="1" t="s">
        <v>60</v>
      </c>
      <c r="D38" s="1" t="s">
        <v>52</v>
      </c>
      <c r="E38" s="5">
        <v>234.79</v>
      </c>
      <c r="F38" s="5">
        <v>9.4498999999999995</v>
      </c>
      <c r="G38" s="5">
        <v>1175</v>
      </c>
      <c r="H38" s="5">
        <v>25.923999999999999</v>
      </c>
      <c r="I38" s="4">
        <f t="shared" si="0"/>
        <v>4.0248306997742664E-2</v>
      </c>
      <c r="J38" s="4">
        <f t="shared" si="1"/>
        <v>2.2062978723404254E-2</v>
      </c>
      <c r="M38" s="4"/>
      <c r="N38" s="2">
        <v>10000</v>
      </c>
    </row>
    <row r="39" spans="1:14" x14ac:dyDescent="0.2">
      <c r="A39" s="1" t="s">
        <v>16</v>
      </c>
      <c r="B39" s="13" t="s">
        <v>25</v>
      </c>
      <c r="C39" s="6" t="s">
        <v>9</v>
      </c>
      <c r="D39" s="1" t="s">
        <v>45</v>
      </c>
      <c r="E39" s="5">
        <v>4099.8999999999996</v>
      </c>
      <c r="F39" s="5">
        <v>29.606000000000002</v>
      </c>
      <c r="G39" s="5">
        <v>21279</v>
      </c>
      <c r="H39" s="5">
        <v>97.072000000000003</v>
      </c>
      <c r="I39" s="4">
        <f t="shared" si="0"/>
        <v>7.2211517354081817E-3</v>
      </c>
      <c r="J39" s="4">
        <f t="shared" si="1"/>
        <v>4.5618685088584989E-3</v>
      </c>
      <c r="K39" s="2">
        <v>90.72</v>
      </c>
      <c r="L39" s="2">
        <f>23.92-2.08</f>
        <v>21.840000000000003</v>
      </c>
      <c r="M39" s="4">
        <f>L39/K39</f>
        <v>0.24074074074074078</v>
      </c>
      <c r="N39" s="2">
        <v>10000</v>
      </c>
    </row>
    <row r="40" spans="1:14" x14ac:dyDescent="0.2">
      <c r="A40" s="1" t="s">
        <v>16</v>
      </c>
      <c r="B40" s="13" t="s">
        <v>25</v>
      </c>
      <c r="C40" s="6" t="s">
        <v>9</v>
      </c>
      <c r="D40" s="1" t="s">
        <v>52</v>
      </c>
      <c r="E40" s="5">
        <v>924.19</v>
      </c>
      <c r="F40" s="5">
        <v>7.1475</v>
      </c>
      <c r="G40" s="5">
        <v>4901.8999999999996</v>
      </c>
      <c r="H40" s="5">
        <v>23.638000000000002</v>
      </c>
      <c r="I40" s="4">
        <f t="shared" si="0"/>
        <v>7.7337993269782183E-3</v>
      </c>
      <c r="J40" s="4">
        <f t="shared" si="1"/>
        <v>4.8222117954262638E-3</v>
      </c>
      <c r="M40" s="4"/>
      <c r="N40" s="2">
        <v>10000</v>
      </c>
    </row>
    <row r="41" spans="1:14" x14ac:dyDescent="0.2">
      <c r="A41" s="1" t="s">
        <v>16</v>
      </c>
      <c r="B41" s="13" t="s">
        <v>25</v>
      </c>
      <c r="C41" s="1" t="s">
        <v>61</v>
      </c>
      <c r="D41" s="1" t="s">
        <v>68</v>
      </c>
      <c r="E41" s="5">
        <v>198.54</v>
      </c>
      <c r="F41" s="5">
        <v>5.4221000000000004</v>
      </c>
      <c r="G41" s="5">
        <v>1002.7</v>
      </c>
      <c r="H41" s="5">
        <v>15.747</v>
      </c>
      <c r="I41" s="4">
        <f t="shared" si="0"/>
        <v>2.7309861992545585E-2</v>
      </c>
      <c r="J41" s="4">
        <f t="shared" si="1"/>
        <v>1.5704597586516406E-2</v>
      </c>
      <c r="M41" s="4"/>
      <c r="N41" s="2">
        <v>10000</v>
      </c>
    </row>
    <row r="42" spans="1:14" x14ac:dyDescent="0.2">
      <c r="A42" s="3" t="s">
        <v>16</v>
      </c>
      <c r="B42" s="13" t="s">
        <v>25</v>
      </c>
      <c r="C42" s="1" t="s">
        <v>26</v>
      </c>
      <c r="D42" s="1" t="s">
        <v>52</v>
      </c>
      <c r="E42" s="5">
        <v>270.35000000000002</v>
      </c>
      <c r="F42" s="5">
        <v>4.2100999999999997</v>
      </c>
      <c r="G42" s="5">
        <v>1398.5</v>
      </c>
      <c r="H42" s="5">
        <v>13.407</v>
      </c>
      <c r="I42" s="4">
        <f t="shared" si="0"/>
        <v>1.5572776031070832E-2</v>
      </c>
      <c r="J42" s="4">
        <f t="shared" si="1"/>
        <v>9.5867000357525919E-3</v>
      </c>
      <c r="M42" s="4"/>
      <c r="N42" s="2">
        <v>10000</v>
      </c>
    </row>
    <row r="43" spans="1:14" x14ac:dyDescent="0.2">
      <c r="A43" s="1" t="s">
        <v>16</v>
      </c>
      <c r="B43" s="13" t="s">
        <v>25</v>
      </c>
      <c r="C43" s="1" t="s">
        <v>70</v>
      </c>
      <c r="D43" s="1" t="s">
        <v>45</v>
      </c>
      <c r="E43" s="5">
        <v>1238.3</v>
      </c>
      <c r="F43" s="5">
        <v>14.86</v>
      </c>
      <c r="G43" s="5">
        <v>6422.9</v>
      </c>
      <c r="H43" s="5">
        <v>48.265000000000001</v>
      </c>
      <c r="I43" s="4">
        <f t="shared" si="0"/>
        <v>1.2000323023499959E-2</v>
      </c>
      <c r="J43" s="4">
        <f t="shared" si="1"/>
        <v>7.5145183639788882E-3</v>
      </c>
      <c r="K43" s="2">
        <v>74.91</v>
      </c>
      <c r="L43" s="2">
        <f>18.7-2.09</f>
        <v>16.61</v>
      </c>
      <c r="M43" s="4">
        <f>L43/K43</f>
        <v>0.22173274596182085</v>
      </c>
      <c r="N43" s="2">
        <v>10000</v>
      </c>
    </row>
    <row r="44" spans="1:14" x14ac:dyDescent="0.2">
      <c r="A44" s="1" t="s">
        <v>16</v>
      </c>
      <c r="B44" s="13" t="s">
        <v>25</v>
      </c>
      <c r="C44" s="1" t="s">
        <v>8</v>
      </c>
      <c r="D44" s="1" t="s">
        <v>45</v>
      </c>
      <c r="E44" s="5">
        <v>1623.2</v>
      </c>
      <c r="F44" s="5">
        <v>21.457000000000001</v>
      </c>
      <c r="G44" s="5">
        <v>8416.1</v>
      </c>
      <c r="H44" s="5">
        <v>68.634</v>
      </c>
      <c r="I44" s="4">
        <f t="shared" si="0"/>
        <v>1.3218950221784129E-2</v>
      </c>
      <c r="J44" s="4">
        <f t="shared" si="1"/>
        <v>8.1550837086061239E-3</v>
      </c>
      <c r="K44" s="2">
        <v>49.33</v>
      </c>
      <c r="L44" s="2">
        <f>12.42-2.07</f>
        <v>10.35</v>
      </c>
      <c r="M44" s="4">
        <f>L44/K44</f>
        <v>0.20981147374822623</v>
      </c>
      <c r="N44" s="2">
        <v>10000</v>
      </c>
    </row>
    <row r="45" spans="1:14" x14ac:dyDescent="0.2">
      <c r="A45" s="1" t="s">
        <v>16</v>
      </c>
      <c r="B45" s="13" t="s">
        <v>25</v>
      </c>
      <c r="C45" s="1" t="s">
        <v>8</v>
      </c>
      <c r="D45" s="1" t="s">
        <v>52</v>
      </c>
      <c r="E45" s="5">
        <v>313.89999999999998</v>
      </c>
      <c r="F45" s="5">
        <v>4.5951000000000004</v>
      </c>
      <c r="G45" s="5">
        <v>1631.1</v>
      </c>
      <c r="H45" s="5">
        <v>14.538</v>
      </c>
      <c r="I45" s="4">
        <f t="shared" si="0"/>
        <v>1.4638738451736225E-2</v>
      </c>
      <c r="J45" s="4">
        <f t="shared" si="1"/>
        <v>8.9130034945742141E-3</v>
      </c>
      <c r="M45" s="4"/>
      <c r="N45" s="2">
        <v>10000</v>
      </c>
    </row>
    <row r="46" spans="1:14" x14ac:dyDescent="0.2">
      <c r="A46" s="3" t="s">
        <v>16</v>
      </c>
      <c r="B46" s="13" t="s">
        <v>25</v>
      </c>
      <c r="C46" s="1" t="s">
        <v>6</v>
      </c>
      <c r="D46" s="1" t="s">
        <v>45</v>
      </c>
      <c r="E46" s="5">
        <v>541.77</v>
      </c>
      <c r="F46" s="5">
        <v>11.696</v>
      </c>
      <c r="G46" s="5">
        <v>2770.9</v>
      </c>
      <c r="H46" s="5">
        <v>36.435000000000002</v>
      </c>
      <c r="I46" s="4">
        <f t="shared" si="0"/>
        <v>2.1588496963656164E-2</v>
      </c>
      <c r="J46" s="4">
        <f t="shared" si="1"/>
        <v>1.3149157313508247E-2</v>
      </c>
      <c r="M46" s="4"/>
      <c r="N46" s="2">
        <v>10000</v>
      </c>
    </row>
    <row r="47" spans="1:14" x14ac:dyDescent="0.2">
      <c r="A47" s="3" t="s">
        <v>16</v>
      </c>
      <c r="B47" s="13" t="s">
        <v>25</v>
      </c>
      <c r="C47" s="1" t="s">
        <v>6</v>
      </c>
      <c r="D47" s="1" t="s">
        <v>52</v>
      </c>
      <c r="E47" s="5">
        <v>139.26</v>
      </c>
      <c r="F47" s="5">
        <v>3.2805</v>
      </c>
      <c r="G47" s="5">
        <v>710.18</v>
      </c>
      <c r="H47" s="5">
        <v>10.077999999999999</v>
      </c>
      <c r="I47" s="4">
        <f t="shared" ref="I47:I66" si="3">F47/E47</f>
        <v>2.3556656613528654E-2</v>
      </c>
      <c r="J47" s="4">
        <f t="shared" ref="J47:J66" si="4">H47/G47</f>
        <v>1.419076853755386E-2</v>
      </c>
      <c r="M47" s="4"/>
      <c r="N47" s="2">
        <v>10000</v>
      </c>
    </row>
    <row r="48" spans="1:14" x14ac:dyDescent="0.2">
      <c r="A48" s="1" t="s">
        <v>16</v>
      </c>
      <c r="B48" s="13" t="s">
        <v>25</v>
      </c>
      <c r="C48" s="6" t="s">
        <v>10</v>
      </c>
      <c r="D48" s="1" t="s">
        <v>45</v>
      </c>
      <c r="E48" s="5">
        <v>1152.5999999999999</v>
      </c>
      <c r="F48" s="5">
        <v>7.5875000000000004</v>
      </c>
      <c r="G48" s="5">
        <v>6058.6</v>
      </c>
      <c r="H48" s="5">
        <v>25.062000000000001</v>
      </c>
      <c r="I48" s="4">
        <f t="shared" si="3"/>
        <v>6.5829429116779463E-3</v>
      </c>
      <c r="J48" s="4">
        <f t="shared" si="4"/>
        <v>4.1365992143399463E-3</v>
      </c>
      <c r="M48" s="4"/>
      <c r="N48" s="2">
        <v>10000</v>
      </c>
    </row>
    <row r="49" spans="1:14" x14ac:dyDescent="0.2">
      <c r="A49" s="3" t="s">
        <v>16</v>
      </c>
      <c r="B49" s="13" t="s">
        <v>25</v>
      </c>
      <c r="C49" s="1" t="s">
        <v>5</v>
      </c>
      <c r="D49" s="1" t="s">
        <v>45</v>
      </c>
      <c r="E49" s="5">
        <v>653.41999999999996</v>
      </c>
      <c r="F49" s="5">
        <v>17.533000000000001</v>
      </c>
      <c r="G49" s="5">
        <v>3395.5</v>
      </c>
      <c r="H49" s="5">
        <v>53.813000000000002</v>
      </c>
      <c r="I49" s="4">
        <f t="shared" si="3"/>
        <v>2.6832665054635614E-2</v>
      </c>
      <c r="J49" s="4">
        <f t="shared" si="4"/>
        <v>1.5848328670298926E-2</v>
      </c>
      <c r="K49" s="2">
        <v>33.29</v>
      </c>
      <c r="L49" s="2">
        <f>8.7-2.09</f>
        <v>6.6099999999999994</v>
      </c>
      <c r="M49" s="4">
        <f>L49/K49</f>
        <v>0.19855812556323219</v>
      </c>
      <c r="N49" s="2">
        <v>10000</v>
      </c>
    </row>
    <row r="50" spans="1:14" x14ac:dyDescent="0.2">
      <c r="A50" s="3" t="s">
        <v>16</v>
      </c>
      <c r="B50" s="13" t="s">
        <v>25</v>
      </c>
      <c r="C50" s="1" t="s">
        <v>5</v>
      </c>
      <c r="D50" s="1" t="s">
        <v>52</v>
      </c>
      <c r="E50" s="5">
        <v>125.96</v>
      </c>
      <c r="F50" s="5">
        <v>3.0619999999999998</v>
      </c>
      <c r="G50" s="5">
        <v>648.37</v>
      </c>
      <c r="H50" s="5">
        <v>9.4458000000000002</v>
      </c>
      <c r="I50" s="4">
        <f t="shared" si="3"/>
        <v>2.4309304541124167E-2</v>
      </c>
      <c r="J50" s="4">
        <f t="shared" si="4"/>
        <v>1.4568533399139381E-2</v>
      </c>
      <c r="M50" s="4"/>
      <c r="N50" s="2">
        <v>10000</v>
      </c>
    </row>
    <row r="51" spans="1:14" x14ac:dyDescent="0.2">
      <c r="A51" s="1" t="s">
        <v>16</v>
      </c>
      <c r="B51" s="13" t="s">
        <v>25</v>
      </c>
      <c r="C51" s="6" t="s">
        <v>11</v>
      </c>
      <c r="D51" s="1" t="s">
        <v>45</v>
      </c>
      <c r="E51" s="5">
        <v>2181.8000000000002</v>
      </c>
      <c r="F51" s="5">
        <v>20.288</v>
      </c>
      <c r="G51" s="5">
        <v>11426</v>
      </c>
      <c r="H51" s="5">
        <v>66.506</v>
      </c>
      <c r="I51" s="4">
        <f t="shared" si="3"/>
        <v>9.2987441562013013E-3</v>
      </c>
      <c r="J51" s="4">
        <f t="shared" si="4"/>
        <v>5.8205846315420966E-3</v>
      </c>
      <c r="K51" s="2">
        <v>61.55</v>
      </c>
      <c r="L51" s="2">
        <f>17.74-2.09</f>
        <v>15.649999999999999</v>
      </c>
      <c r="M51" s="4">
        <f>L51/K51</f>
        <v>0.25426482534524775</v>
      </c>
      <c r="N51" s="2">
        <v>10000</v>
      </c>
    </row>
    <row r="52" spans="1:14" x14ac:dyDescent="0.2">
      <c r="A52" s="1" t="s">
        <v>16</v>
      </c>
      <c r="B52" s="13" t="s">
        <v>25</v>
      </c>
      <c r="C52" s="1" t="s">
        <v>48</v>
      </c>
      <c r="D52" s="1" t="s">
        <v>45</v>
      </c>
      <c r="E52" s="5">
        <v>931.57</v>
      </c>
      <c r="F52" s="5">
        <v>15.842000000000001</v>
      </c>
      <c r="G52" s="5">
        <v>4736.6000000000004</v>
      </c>
      <c r="H52" s="5">
        <v>49.918999999999997</v>
      </c>
      <c r="I52" s="4">
        <f t="shared" si="3"/>
        <v>1.7005700054746289E-2</v>
      </c>
      <c r="J52" s="4">
        <f t="shared" si="4"/>
        <v>1.0538994215259889E-2</v>
      </c>
      <c r="K52" s="7">
        <v>54.71</v>
      </c>
      <c r="L52" s="7">
        <f>14.21-3.26</f>
        <v>10.950000000000001</v>
      </c>
      <c r="M52" s="4">
        <f>L52/K52</f>
        <v>0.20014622555291539</v>
      </c>
      <c r="N52" s="2">
        <v>10000</v>
      </c>
    </row>
    <row r="53" spans="1:14" x14ac:dyDescent="0.2">
      <c r="A53" s="1" t="s">
        <v>16</v>
      </c>
      <c r="B53" s="13" t="s">
        <v>25</v>
      </c>
      <c r="C53" s="1" t="s">
        <v>48</v>
      </c>
      <c r="D53" s="1" t="s">
        <v>69</v>
      </c>
      <c r="E53" s="5">
        <v>182.99</v>
      </c>
      <c r="F53" s="5">
        <v>4.3333000000000004</v>
      </c>
      <c r="G53" s="5">
        <v>946.86</v>
      </c>
      <c r="H53" s="5">
        <v>13.347</v>
      </c>
      <c r="I53" s="4">
        <f t="shared" si="3"/>
        <v>2.3680528990655227E-2</v>
      </c>
      <c r="J53" s="4">
        <f t="shared" si="4"/>
        <v>1.4096064888156644E-2</v>
      </c>
      <c r="M53" s="4"/>
      <c r="N53" s="2">
        <v>10000</v>
      </c>
    </row>
    <row r="54" spans="1:14" x14ac:dyDescent="0.2">
      <c r="A54" s="1" t="s">
        <v>16</v>
      </c>
      <c r="B54" s="13" t="s">
        <v>25</v>
      </c>
      <c r="C54" s="3" t="s">
        <v>32</v>
      </c>
      <c r="D54" s="1" t="s">
        <v>45</v>
      </c>
      <c r="E54" s="5">
        <v>1486.1</v>
      </c>
      <c r="F54" s="5">
        <v>23.945</v>
      </c>
      <c r="G54" s="5">
        <v>7540.4</v>
      </c>
      <c r="H54" s="5">
        <v>75.209000000000003</v>
      </c>
      <c r="I54" s="4">
        <f t="shared" si="3"/>
        <v>1.611264383285109E-2</v>
      </c>
      <c r="J54" s="4">
        <f t="shared" si="4"/>
        <v>9.9741393029547515E-3</v>
      </c>
      <c r="K54" s="2">
        <v>32.25</v>
      </c>
      <c r="L54" s="2">
        <f>9.16-2.15</f>
        <v>7.01</v>
      </c>
      <c r="M54" s="4">
        <f>L54/K54</f>
        <v>0.21736434108527131</v>
      </c>
      <c r="N54" s="2">
        <v>10000</v>
      </c>
    </row>
    <row r="55" spans="1:14" x14ac:dyDescent="0.2">
      <c r="A55" s="1" t="s">
        <v>16</v>
      </c>
      <c r="B55" s="13" t="s">
        <v>25</v>
      </c>
      <c r="C55" s="6" t="s">
        <v>12</v>
      </c>
      <c r="D55" s="1" t="s">
        <v>45</v>
      </c>
      <c r="E55" s="5">
        <v>1146.5999999999999</v>
      </c>
      <c r="F55" s="5">
        <v>13.645</v>
      </c>
      <c r="G55" s="5">
        <v>5996.3</v>
      </c>
      <c r="H55" s="5">
        <v>44.35</v>
      </c>
      <c r="I55" s="4">
        <f t="shared" si="3"/>
        <v>1.1900401186115472E-2</v>
      </c>
      <c r="J55" s="4">
        <f t="shared" si="4"/>
        <v>7.3962276737321352E-3</v>
      </c>
      <c r="K55" s="2">
        <v>69.84</v>
      </c>
      <c r="L55" s="2">
        <f>21.88-2.13</f>
        <v>19.75</v>
      </c>
      <c r="M55" s="4">
        <f>L55/K55</f>
        <v>0.28278923253150057</v>
      </c>
      <c r="N55" s="2">
        <v>10000</v>
      </c>
    </row>
    <row r="56" spans="1:14" x14ac:dyDescent="0.2">
      <c r="A56" s="1" t="s">
        <v>16</v>
      </c>
      <c r="B56" s="13" t="s">
        <v>25</v>
      </c>
      <c r="C56" s="1" t="s">
        <v>62</v>
      </c>
      <c r="D56" s="1" t="s">
        <v>52</v>
      </c>
      <c r="E56" s="5">
        <v>69.122</v>
      </c>
      <c r="F56" s="5">
        <v>4.2088000000000001</v>
      </c>
      <c r="G56" s="5">
        <v>356.93</v>
      </c>
      <c r="H56" s="5">
        <v>11.865</v>
      </c>
      <c r="I56" s="4">
        <f t="shared" si="3"/>
        <v>6.0889441856427765E-2</v>
      </c>
      <c r="J56" s="4">
        <f t="shared" si="4"/>
        <v>3.3241812120023535E-2</v>
      </c>
      <c r="M56" s="4"/>
      <c r="N56" s="2">
        <v>10000</v>
      </c>
    </row>
    <row r="57" spans="1:14" x14ac:dyDescent="0.2">
      <c r="A57" s="1" t="s">
        <v>199</v>
      </c>
      <c r="B57" s="1" t="s">
        <v>209</v>
      </c>
      <c r="C57" s="1" t="s">
        <v>9</v>
      </c>
      <c r="D57" s="1" t="s">
        <v>148</v>
      </c>
      <c r="E57" s="2">
        <v>3020.5</v>
      </c>
      <c r="F57" s="2">
        <v>30.736999999999998</v>
      </c>
      <c r="G57" s="2">
        <v>15354</v>
      </c>
      <c r="H57" s="2">
        <v>92.781999999999996</v>
      </c>
      <c r="I57" s="4">
        <f t="shared" si="3"/>
        <v>1.0176129779837775E-2</v>
      </c>
      <c r="J57" s="4">
        <f t="shared" si="4"/>
        <v>6.0428552820112023E-3</v>
      </c>
      <c r="N57" s="2">
        <v>10000</v>
      </c>
    </row>
    <row r="58" spans="1:14" x14ac:dyDescent="0.2">
      <c r="A58" s="1" t="s">
        <v>117</v>
      </c>
      <c r="B58" s="13" t="s">
        <v>25</v>
      </c>
      <c r="C58" s="1" t="s">
        <v>9</v>
      </c>
      <c r="D58" s="1" t="s">
        <v>118</v>
      </c>
      <c r="E58" s="2">
        <v>1277.3</v>
      </c>
      <c r="F58" s="2">
        <v>16.402999999999999</v>
      </c>
      <c r="G58" s="2">
        <v>6648.5</v>
      </c>
      <c r="H58" s="2">
        <v>51.203000000000003</v>
      </c>
      <c r="I58" s="4">
        <f t="shared" si="3"/>
        <v>1.2841932200735926E-2</v>
      </c>
      <c r="J58" s="4">
        <f t="shared" si="4"/>
        <v>7.7014364142287735E-3</v>
      </c>
      <c r="K58" s="2">
        <v>56.67</v>
      </c>
      <c r="L58" s="2">
        <f>16.47-2.11</f>
        <v>14.36</v>
      </c>
      <c r="M58" s="4">
        <f t="shared" ref="M58:M64" si="5">L58/K58</f>
        <v>0.25339685900829362</v>
      </c>
      <c r="N58" s="2">
        <v>10000</v>
      </c>
    </row>
    <row r="59" spans="1:14" x14ac:dyDescent="0.2">
      <c r="A59" s="1" t="s">
        <v>98</v>
      </c>
      <c r="B59" s="13" t="s">
        <v>25</v>
      </c>
      <c r="C59" s="1" t="s">
        <v>101</v>
      </c>
      <c r="D59" s="1" t="s">
        <v>45</v>
      </c>
      <c r="E59" s="2">
        <v>1242.9000000000001</v>
      </c>
      <c r="F59" s="2">
        <v>21.599</v>
      </c>
      <c r="G59" s="2">
        <v>6682.7</v>
      </c>
      <c r="H59" s="2">
        <v>67.653999999999996</v>
      </c>
      <c r="I59" s="4">
        <f t="shared" si="3"/>
        <v>1.7377906508970954E-2</v>
      </c>
      <c r="J59" s="4">
        <f t="shared" si="4"/>
        <v>1.0123752375536834E-2</v>
      </c>
      <c r="K59" s="2">
        <v>46.7</v>
      </c>
      <c r="L59" s="2">
        <f>13.74-2.08</f>
        <v>11.66</v>
      </c>
      <c r="M59" s="4">
        <f t="shared" si="5"/>
        <v>0.24967880085653105</v>
      </c>
      <c r="N59" s="2">
        <v>10000</v>
      </c>
    </row>
    <row r="60" spans="1:14" x14ac:dyDescent="0.2">
      <c r="A60" s="1" t="s">
        <v>117</v>
      </c>
      <c r="B60" s="13" t="s">
        <v>25</v>
      </c>
      <c r="C60" s="1" t="s">
        <v>49</v>
      </c>
      <c r="D60" s="1" t="s">
        <v>118</v>
      </c>
      <c r="E60" s="2">
        <v>930.6</v>
      </c>
      <c r="F60" s="2">
        <v>18.370999999999999</v>
      </c>
      <c r="G60" s="2">
        <v>4992.8999999999996</v>
      </c>
      <c r="H60" s="2">
        <v>57.820999999999998</v>
      </c>
      <c r="I60" s="4">
        <f t="shared" si="3"/>
        <v>1.9741027294218783E-2</v>
      </c>
      <c r="J60" s="4">
        <f t="shared" si="4"/>
        <v>1.15806445152116E-2</v>
      </c>
      <c r="K60" s="2">
        <v>54.1</v>
      </c>
      <c r="L60" s="2">
        <f>12.27-2.08</f>
        <v>10.19</v>
      </c>
      <c r="M60" s="4">
        <f t="shared" si="5"/>
        <v>0.18835489833641403</v>
      </c>
      <c r="N60" s="2">
        <v>10000</v>
      </c>
    </row>
    <row r="61" spans="1:14" x14ac:dyDescent="0.2">
      <c r="A61" s="1" t="s">
        <v>98</v>
      </c>
      <c r="B61" s="13" t="s">
        <v>25</v>
      </c>
      <c r="C61" s="1" t="s">
        <v>99</v>
      </c>
      <c r="D61" s="1" t="s">
        <v>100</v>
      </c>
      <c r="E61" s="2">
        <v>815.79</v>
      </c>
      <c r="F61" s="2">
        <v>20.565000000000001</v>
      </c>
      <c r="G61" s="2">
        <v>4588.2</v>
      </c>
      <c r="H61" s="2">
        <v>64.367000000000004</v>
      </c>
      <c r="I61" s="4">
        <f t="shared" si="3"/>
        <v>2.5208693413746187E-2</v>
      </c>
      <c r="J61" s="4">
        <f t="shared" si="4"/>
        <v>1.4028813042151608E-2</v>
      </c>
      <c r="K61" s="2">
        <v>26.44</v>
      </c>
      <c r="L61" s="2">
        <f>8.85-2.11</f>
        <v>6.74</v>
      </c>
      <c r="M61" s="4">
        <f t="shared" si="5"/>
        <v>0.25491679273827533</v>
      </c>
      <c r="N61" s="2">
        <v>10000</v>
      </c>
    </row>
    <row r="62" spans="1:14" x14ac:dyDescent="0.2">
      <c r="A62" s="1" t="s">
        <v>111</v>
      </c>
      <c r="B62" s="13" t="s">
        <v>25</v>
      </c>
      <c r="C62" s="1" t="s">
        <v>9</v>
      </c>
      <c r="D62" s="1" t="s">
        <v>45</v>
      </c>
      <c r="E62" s="2">
        <v>883.62</v>
      </c>
      <c r="F62" s="2">
        <v>13.26</v>
      </c>
      <c r="G62" s="2">
        <v>4465.8999999999996</v>
      </c>
      <c r="H62" s="2">
        <v>41.045000000000002</v>
      </c>
      <c r="I62" s="4">
        <f t="shared" si="3"/>
        <v>1.5006450736742038E-2</v>
      </c>
      <c r="J62" s="4">
        <f t="shared" si="4"/>
        <v>9.1907566224053387E-3</v>
      </c>
      <c r="K62" s="2">
        <v>64.19</v>
      </c>
      <c r="L62" s="2">
        <f>17.66-2.14</f>
        <v>15.52</v>
      </c>
      <c r="M62" s="4">
        <f t="shared" si="5"/>
        <v>0.24178220906683284</v>
      </c>
      <c r="N62" s="2">
        <v>10000</v>
      </c>
    </row>
    <row r="63" spans="1:14" x14ac:dyDescent="0.2">
      <c r="A63" s="1" t="s">
        <v>111</v>
      </c>
      <c r="B63" s="13" t="s">
        <v>25</v>
      </c>
      <c r="C63" s="1" t="s">
        <v>10</v>
      </c>
      <c r="D63" s="1" t="s">
        <v>45</v>
      </c>
      <c r="E63" s="2">
        <v>838.51</v>
      </c>
      <c r="F63" s="2">
        <v>17.350999999999999</v>
      </c>
      <c r="G63" s="2">
        <v>4075.1</v>
      </c>
      <c r="H63" s="2">
        <v>51.460999999999999</v>
      </c>
      <c r="I63" s="4">
        <f t="shared" si="3"/>
        <v>2.0692657213390416E-2</v>
      </c>
      <c r="J63" s="4">
        <f t="shared" si="4"/>
        <v>1.2628156364261E-2</v>
      </c>
      <c r="K63" s="2">
        <v>31.25</v>
      </c>
      <c r="L63" s="2">
        <f>10.43-2.11</f>
        <v>8.32</v>
      </c>
      <c r="M63" s="4">
        <f t="shared" si="5"/>
        <v>0.26624000000000003</v>
      </c>
      <c r="N63" s="2">
        <v>10000</v>
      </c>
    </row>
    <row r="64" spans="1:14" x14ac:dyDescent="0.2">
      <c r="A64" s="1" t="s">
        <v>111</v>
      </c>
      <c r="B64" s="13" t="s">
        <v>25</v>
      </c>
      <c r="C64" s="1" t="s">
        <v>101</v>
      </c>
      <c r="D64" s="1" t="s">
        <v>109</v>
      </c>
      <c r="E64" s="2">
        <v>795.48</v>
      </c>
      <c r="F64" s="2">
        <v>35.176000000000002</v>
      </c>
      <c r="G64" s="2">
        <v>4188.5</v>
      </c>
      <c r="H64" s="2">
        <v>99.305999999999997</v>
      </c>
      <c r="I64" s="4">
        <f t="shared" si="3"/>
        <v>4.421984210790969E-2</v>
      </c>
      <c r="J64" s="4">
        <f t="shared" si="4"/>
        <v>2.3709203772233498E-2</v>
      </c>
      <c r="K64" s="2">
        <v>9.11</v>
      </c>
      <c r="L64" s="2">
        <f>4.55-2.14</f>
        <v>2.4099999999999997</v>
      </c>
      <c r="M64" s="4">
        <f t="shared" si="5"/>
        <v>0.26454445664105375</v>
      </c>
      <c r="N64" s="2">
        <v>10000</v>
      </c>
    </row>
    <row r="65" spans="1:14" x14ac:dyDescent="0.2">
      <c r="A65" s="1" t="s">
        <v>111</v>
      </c>
      <c r="B65" s="13" t="s">
        <v>25</v>
      </c>
      <c r="C65" s="1" t="s">
        <v>114</v>
      </c>
      <c r="D65" s="1" t="s">
        <v>104</v>
      </c>
      <c r="E65" s="2">
        <v>447.02</v>
      </c>
      <c r="F65" s="2">
        <v>31.039000000000001</v>
      </c>
      <c r="G65" s="2">
        <v>1953.6</v>
      </c>
      <c r="H65" s="2">
        <v>78.418999999999997</v>
      </c>
      <c r="I65" s="4">
        <f t="shared" si="3"/>
        <v>6.9435372019149039E-2</v>
      </c>
      <c r="J65" s="4">
        <f t="shared" si="4"/>
        <v>4.0140765765765765E-2</v>
      </c>
      <c r="M65" s="4"/>
      <c r="N65" s="2">
        <v>10000</v>
      </c>
    </row>
    <row r="66" spans="1:14" x14ac:dyDescent="0.2">
      <c r="A66" s="1" t="s">
        <v>111</v>
      </c>
      <c r="B66" s="13" t="s">
        <v>25</v>
      </c>
      <c r="C66" s="1" t="s">
        <v>112</v>
      </c>
      <c r="D66" s="1" t="s">
        <v>113</v>
      </c>
      <c r="E66" s="2">
        <v>485</v>
      </c>
      <c r="F66" s="2">
        <v>16.277999999999999</v>
      </c>
      <c r="G66" s="2">
        <v>2392.6</v>
      </c>
      <c r="H66" s="2">
        <v>46.786999999999999</v>
      </c>
      <c r="I66" s="4">
        <f t="shared" si="3"/>
        <v>3.3562886597938144E-2</v>
      </c>
      <c r="J66" s="4">
        <f t="shared" si="4"/>
        <v>1.9554877539078825E-2</v>
      </c>
      <c r="K66" s="2">
        <v>34.520000000000003</v>
      </c>
      <c r="L66" s="2">
        <f>8.21-2.12</f>
        <v>6.0900000000000007</v>
      </c>
      <c r="M66" s="4">
        <f>L66/K66</f>
        <v>0.17641946697566629</v>
      </c>
      <c r="N66" s="2">
        <v>10000</v>
      </c>
    </row>
    <row r="67" spans="1:14" x14ac:dyDescent="0.2">
      <c r="A67" s="1" t="s">
        <v>111</v>
      </c>
      <c r="B67" s="13" t="s">
        <v>25</v>
      </c>
      <c r="C67" s="1" t="s">
        <v>99</v>
      </c>
      <c r="D67" s="1" t="s">
        <v>45</v>
      </c>
      <c r="I67" s="4"/>
      <c r="J67" s="4"/>
      <c r="K67" s="2">
        <v>7.16</v>
      </c>
      <c r="L67" s="2">
        <f>3.81-2.07</f>
        <v>1.7400000000000002</v>
      </c>
      <c r="M67" s="4">
        <f>L67/K67</f>
        <v>0.24301675977653633</v>
      </c>
      <c r="N67" s="2">
        <v>10000</v>
      </c>
    </row>
    <row r="68" spans="1:14" x14ac:dyDescent="0.2">
      <c r="A68" s="1" t="s">
        <v>119</v>
      </c>
      <c r="B68" s="13" t="s">
        <v>25</v>
      </c>
      <c r="C68" s="1" t="s">
        <v>120</v>
      </c>
      <c r="D68" s="1" t="s">
        <v>109</v>
      </c>
      <c r="E68" s="2">
        <v>1524.2</v>
      </c>
      <c r="F68" s="2">
        <v>18.634</v>
      </c>
      <c r="G68" s="2">
        <v>8267.7000000000007</v>
      </c>
      <c r="H68" s="2">
        <v>59.116999999999997</v>
      </c>
      <c r="I68" s="4">
        <f t="shared" ref="I68:I110" si="6">F68/E68</f>
        <v>1.2225429733630756E-2</v>
      </c>
      <c r="J68" s="4">
        <f t="shared" ref="J68:J99" si="7">H68/G68</f>
        <v>7.1503562054743147E-3</v>
      </c>
      <c r="K68" s="2">
        <v>57.91</v>
      </c>
      <c r="L68" s="2">
        <f>15.92-2.11</f>
        <v>13.81</v>
      </c>
      <c r="M68" s="4">
        <f>L68/K68</f>
        <v>0.23847349335175275</v>
      </c>
      <c r="N68" s="2">
        <v>10000</v>
      </c>
    </row>
    <row r="69" spans="1:14" x14ac:dyDescent="0.2">
      <c r="A69" s="1" t="s">
        <v>119</v>
      </c>
      <c r="B69" s="13" t="s">
        <v>25</v>
      </c>
      <c r="C69" s="1" t="s">
        <v>10</v>
      </c>
      <c r="D69" s="1" t="s">
        <v>45</v>
      </c>
      <c r="E69" s="2">
        <v>1726.3</v>
      </c>
      <c r="F69" s="2">
        <v>22.652999999999999</v>
      </c>
      <c r="G69" s="2">
        <v>9280.4</v>
      </c>
      <c r="H69" s="2">
        <v>72.463999999999999</v>
      </c>
      <c r="I69" s="4">
        <f t="shared" si="6"/>
        <v>1.3122284655042575E-2</v>
      </c>
      <c r="J69" s="4">
        <f t="shared" si="7"/>
        <v>7.8082841256842377E-3</v>
      </c>
      <c r="K69" s="2">
        <v>37.450000000000003</v>
      </c>
      <c r="L69" s="2">
        <f>11.4-2.09</f>
        <v>9.31</v>
      </c>
      <c r="M69" s="4">
        <f>L69/K69</f>
        <v>0.24859813084112148</v>
      </c>
      <c r="N69" s="2">
        <v>10000</v>
      </c>
    </row>
    <row r="70" spans="1:14" x14ac:dyDescent="0.2">
      <c r="A70" s="1" t="s">
        <v>119</v>
      </c>
      <c r="B70" s="13" t="s">
        <v>25</v>
      </c>
      <c r="C70" s="1" t="s">
        <v>99</v>
      </c>
      <c r="D70" s="1" t="s">
        <v>45</v>
      </c>
      <c r="E70" s="2">
        <v>684.37</v>
      </c>
      <c r="F70" s="2">
        <v>40.548000000000002</v>
      </c>
      <c r="G70" s="2">
        <v>3183.3</v>
      </c>
      <c r="H70" s="2">
        <v>112.59</v>
      </c>
      <c r="I70" s="4">
        <f t="shared" si="6"/>
        <v>5.9248652044946448E-2</v>
      </c>
      <c r="J70" s="4">
        <f t="shared" si="7"/>
        <v>3.5368956743002541E-2</v>
      </c>
      <c r="K70" s="2">
        <v>7.11</v>
      </c>
      <c r="L70" s="2">
        <f>3.61-2.09</f>
        <v>1.52</v>
      </c>
      <c r="M70" s="4">
        <f>L70/K70</f>
        <v>0.21378340365682136</v>
      </c>
      <c r="N70" s="2">
        <v>10000</v>
      </c>
    </row>
    <row r="71" spans="1:14" x14ac:dyDescent="0.2">
      <c r="A71" s="1" t="s">
        <v>158</v>
      </c>
      <c r="B71" s="1" t="s">
        <v>219</v>
      </c>
      <c r="C71" s="1" t="s">
        <v>9</v>
      </c>
      <c r="D71" s="1" t="s">
        <v>148</v>
      </c>
      <c r="E71" s="2">
        <v>1346</v>
      </c>
      <c r="F71" s="2">
        <v>23.739000000000001</v>
      </c>
      <c r="G71" s="2">
        <v>7195.9</v>
      </c>
      <c r="H71" s="2">
        <v>71.941999999999993</v>
      </c>
      <c r="I71" s="4">
        <f t="shared" si="6"/>
        <v>1.7636701337295693E-2</v>
      </c>
      <c r="J71" s="4">
        <f t="shared" si="7"/>
        <v>9.9976375436012163E-3</v>
      </c>
      <c r="N71" s="2">
        <v>10000</v>
      </c>
    </row>
    <row r="72" spans="1:14" x14ac:dyDescent="0.2">
      <c r="A72" s="1" t="s">
        <v>20</v>
      </c>
      <c r="B72" s="13" t="s">
        <v>24</v>
      </c>
      <c r="C72" s="6" t="s">
        <v>9</v>
      </c>
      <c r="D72" s="1" t="s">
        <v>63</v>
      </c>
      <c r="E72" s="5">
        <v>638.29999999999995</v>
      </c>
      <c r="F72" s="5">
        <v>10.109</v>
      </c>
      <c r="G72" s="5">
        <v>3304.2</v>
      </c>
      <c r="H72" s="5">
        <v>32.148000000000003</v>
      </c>
      <c r="I72" s="4">
        <f t="shared" si="6"/>
        <v>1.583738054206486E-2</v>
      </c>
      <c r="J72" s="4">
        <f t="shared" si="7"/>
        <v>9.7294352642091891E-3</v>
      </c>
      <c r="K72" s="2">
        <v>74.98</v>
      </c>
      <c r="L72" s="2">
        <f>21.22-2.08</f>
        <v>19.14</v>
      </c>
      <c r="M72" s="4">
        <f t="shared" ref="M72:M89" si="8">L72/K72</f>
        <v>0.2552680714857295</v>
      </c>
      <c r="N72" s="2">
        <v>10000</v>
      </c>
    </row>
    <row r="73" spans="1:14" x14ac:dyDescent="0.2">
      <c r="A73" s="1" t="s">
        <v>20</v>
      </c>
      <c r="B73" s="13" t="s">
        <v>24</v>
      </c>
      <c r="C73" s="3" t="s">
        <v>26</v>
      </c>
      <c r="D73" s="1" t="s">
        <v>45</v>
      </c>
      <c r="E73" s="5">
        <v>392.07</v>
      </c>
      <c r="F73" s="5">
        <v>8.7883999999999993</v>
      </c>
      <c r="G73" s="5">
        <v>1970.7</v>
      </c>
      <c r="H73" s="5">
        <v>27.263999999999999</v>
      </c>
      <c r="I73" s="4">
        <f t="shared" si="6"/>
        <v>2.2415385007779221E-2</v>
      </c>
      <c r="J73" s="4">
        <f t="shared" si="7"/>
        <v>1.3834678033186177E-2</v>
      </c>
      <c r="K73" s="2">
        <v>73.33</v>
      </c>
      <c r="L73" s="2">
        <f>17.74-2.03</f>
        <v>15.709999999999999</v>
      </c>
      <c r="M73" s="4">
        <f t="shared" si="8"/>
        <v>0.21423701077321697</v>
      </c>
      <c r="N73" s="2">
        <v>10000</v>
      </c>
    </row>
    <row r="74" spans="1:14" x14ac:dyDescent="0.2">
      <c r="A74" s="1" t="s">
        <v>20</v>
      </c>
      <c r="B74" s="13" t="s">
        <v>24</v>
      </c>
      <c r="C74" s="1" t="s">
        <v>8</v>
      </c>
      <c r="D74" s="1" t="s">
        <v>45</v>
      </c>
      <c r="E74" s="5">
        <v>447.66</v>
      </c>
      <c r="F74" s="5">
        <v>10.242000000000001</v>
      </c>
      <c r="G74" s="5">
        <v>2259.9</v>
      </c>
      <c r="H74" s="5">
        <v>31.599</v>
      </c>
      <c r="I74" s="4">
        <f t="shared" si="6"/>
        <v>2.2878970647366305E-2</v>
      </c>
      <c r="J74" s="4">
        <f t="shared" si="7"/>
        <v>1.398247710075667E-2</v>
      </c>
      <c r="K74" s="2">
        <v>58.41</v>
      </c>
      <c r="L74" s="2">
        <f>14.5-2.05</f>
        <v>12.45</v>
      </c>
      <c r="M74" s="4">
        <f t="shared" si="8"/>
        <v>0.21314843348741655</v>
      </c>
      <c r="N74" s="2">
        <v>10000</v>
      </c>
    </row>
    <row r="75" spans="1:14" x14ac:dyDescent="0.2">
      <c r="A75" s="1" t="s">
        <v>20</v>
      </c>
      <c r="B75" s="13" t="s">
        <v>24</v>
      </c>
      <c r="C75" s="3" t="s">
        <v>67</v>
      </c>
      <c r="D75" s="1" t="s">
        <v>45</v>
      </c>
      <c r="E75" s="5">
        <v>173.69</v>
      </c>
      <c r="F75" s="5">
        <v>5.5198</v>
      </c>
      <c r="G75" s="5">
        <v>945.47</v>
      </c>
      <c r="H75" s="5">
        <v>17.213000000000001</v>
      </c>
      <c r="I75" s="4">
        <f t="shared" si="6"/>
        <v>3.1779607346421788E-2</v>
      </c>
      <c r="J75" s="4">
        <f t="shared" si="7"/>
        <v>1.8205760098152241E-2</v>
      </c>
      <c r="K75" s="2">
        <v>76.069999999999993</v>
      </c>
      <c r="L75" s="2">
        <f>20.69-2.06</f>
        <v>18.630000000000003</v>
      </c>
      <c r="M75" s="4">
        <f t="shared" si="8"/>
        <v>0.24490600762455639</v>
      </c>
      <c r="N75" s="2">
        <v>10000</v>
      </c>
    </row>
    <row r="76" spans="1:14" x14ac:dyDescent="0.2">
      <c r="A76" s="1" t="s">
        <v>20</v>
      </c>
      <c r="B76" s="13" t="s">
        <v>24</v>
      </c>
      <c r="C76" s="6" t="s">
        <v>10</v>
      </c>
      <c r="D76" s="1" t="s">
        <v>63</v>
      </c>
      <c r="E76" s="5">
        <v>580.77</v>
      </c>
      <c r="F76" s="5">
        <v>9.8413000000000004</v>
      </c>
      <c r="G76" s="5">
        <v>2987.3</v>
      </c>
      <c r="H76" s="5">
        <v>31.314</v>
      </c>
      <c r="I76" s="4">
        <f t="shared" si="6"/>
        <v>1.6945262324155864E-2</v>
      </c>
      <c r="J76" s="4">
        <f t="shared" si="7"/>
        <v>1.048237538914739E-2</v>
      </c>
      <c r="K76" s="2">
        <v>70.680000000000007</v>
      </c>
      <c r="L76" s="2">
        <f>20.5-2.06</f>
        <v>18.440000000000001</v>
      </c>
      <c r="M76" s="4">
        <f t="shared" si="8"/>
        <v>0.26089417091114886</v>
      </c>
      <c r="N76" s="2">
        <v>10000</v>
      </c>
    </row>
    <row r="77" spans="1:14" x14ac:dyDescent="0.2">
      <c r="A77" s="1" t="s">
        <v>20</v>
      </c>
      <c r="B77" s="13" t="s">
        <v>24</v>
      </c>
      <c r="C77" s="3" t="s">
        <v>5</v>
      </c>
      <c r="D77" s="1" t="s">
        <v>45</v>
      </c>
      <c r="E77" s="5">
        <v>263.64</v>
      </c>
      <c r="F77" s="5">
        <v>7.2262000000000004</v>
      </c>
      <c r="G77" s="5">
        <v>1288.5</v>
      </c>
      <c r="H77" s="5">
        <v>21.663</v>
      </c>
      <c r="I77" s="4">
        <f t="shared" si="6"/>
        <v>2.7409346077985133E-2</v>
      </c>
      <c r="J77" s="4">
        <f t="shared" si="7"/>
        <v>1.6812572759022117E-2</v>
      </c>
      <c r="K77" s="2">
        <v>79.31</v>
      </c>
      <c r="L77" s="2">
        <f>19.65-2.11</f>
        <v>17.54</v>
      </c>
      <c r="M77" s="4">
        <f t="shared" si="8"/>
        <v>0.22115748329340559</v>
      </c>
      <c r="N77" s="2">
        <v>10000</v>
      </c>
    </row>
    <row r="78" spans="1:14" x14ac:dyDescent="0.2">
      <c r="A78" s="1" t="s">
        <v>20</v>
      </c>
      <c r="B78" s="13" t="s">
        <v>24</v>
      </c>
      <c r="C78" s="6" t="s">
        <v>11</v>
      </c>
      <c r="D78" s="1" t="s">
        <v>45</v>
      </c>
      <c r="E78" s="5">
        <v>522.47</v>
      </c>
      <c r="F78" s="5">
        <v>11.694000000000001</v>
      </c>
      <c r="G78" s="5">
        <v>2632.4</v>
      </c>
      <c r="H78" s="5">
        <v>36.012999999999998</v>
      </c>
      <c r="I78" s="4">
        <f t="shared" si="6"/>
        <v>2.2382146343330717E-2</v>
      </c>
      <c r="J78" s="4">
        <f t="shared" si="7"/>
        <v>1.3680671630451297E-2</v>
      </c>
      <c r="K78" s="2">
        <v>48.76</v>
      </c>
      <c r="L78" s="2">
        <f>14.11-2.12</f>
        <v>11.989999999999998</v>
      </c>
      <c r="M78" s="4">
        <f t="shared" si="8"/>
        <v>0.24589827727645608</v>
      </c>
      <c r="N78" s="2">
        <v>10000</v>
      </c>
    </row>
    <row r="79" spans="1:14" x14ac:dyDescent="0.2">
      <c r="A79" s="1" t="s">
        <v>20</v>
      </c>
      <c r="B79" s="13" t="s">
        <v>24</v>
      </c>
      <c r="C79" s="3" t="s">
        <v>48</v>
      </c>
      <c r="D79" s="1" t="s">
        <v>45</v>
      </c>
      <c r="E79" s="5">
        <v>243.8</v>
      </c>
      <c r="F79" s="5">
        <v>8.1318999999999999</v>
      </c>
      <c r="G79" s="5">
        <v>1297.2</v>
      </c>
      <c r="H79" s="5">
        <v>24.47</v>
      </c>
      <c r="I79" s="4">
        <f t="shared" si="6"/>
        <v>3.3354799015586543E-2</v>
      </c>
      <c r="J79" s="4">
        <f t="shared" si="7"/>
        <v>1.8863706444650012E-2</v>
      </c>
      <c r="K79" s="2">
        <v>59.93</v>
      </c>
      <c r="L79" s="2">
        <f>15.13-2.08</f>
        <v>13.05</v>
      </c>
      <c r="M79" s="4">
        <f t="shared" si="8"/>
        <v>0.21775404638745205</v>
      </c>
      <c r="N79" s="2">
        <v>10000</v>
      </c>
    </row>
    <row r="80" spans="1:14" x14ac:dyDescent="0.2">
      <c r="A80" s="1" t="s">
        <v>20</v>
      </c>
      <c r="B80" s="13" t="s">
        <v>24</v>
      </c>
      <c r="C80" s="6" t="s">
        <v>33</v>
      </c>
      <c r="D80" s="1" t="s">
        <v>45</v>
      </c>
      <c r="E80" s="5">
        <v>560.77</v>
      </c>
      <c r="F80" s="5">
        <v>20.273</v>
      </c>
      <c r="G80" s="5">
        <v>2874.4</v>
      </c>
      <c r="H80" s="5">
        <v>58.484999999999999</v>
      </c>
      <c r="I80" s="4">
        <f t="shared" si="6"/>
        <v>3.6152076608948411E-2</v>
      </c>
      <c r="J80" s="4">
        <f t="shared" si="7"/>
        <v>2.0346854995825215E-2</v>
      </c>
      <c r="K80" s="2">
        <v>17.09</v>
      </c>
      <c r="L80" s="2">
        <f>6.06-2.1</f>
        <v>3.9599999999999995</v>
      </c>
      <c r="M80" s="4">
        <f t="shared" si="8"/>
        <v>0.23171445289643064</v>
      </c>
      <c r="N80" s="2">
        <v>10000</v>
      </c>
    </row>
    <row r="81" spans="1:14" x14ac:dyDescent="0.2">
      <c r="A81" s="1" t="s">
        <v>20</v>
      </c>
      <c r="B81" s="13" t="s">
        <v>24</v>
      </c>
      <c r="C81" s="6" t="s">
        <v>12</v>
      </c>
      <c r="D81" s="1" t="s">
        <v>45</v>
      </c>
      <c r="E81" s="5">
        <v>320.35000000000002</v>
      </c>
      <c r="F81" s="5">
        <v>9.0067000000000004</v>
      </c>
      <c r="G81" s="5">
        <v>1666.6</v>
      </c>
      <c r="H81" s="5">
        <v>27.248999999999999</v>
      </c>
      <c r="I81" s="4">
        <f t="shared" si="6"/>
        <v>2.8115186514749493E-2</v>
      </c>
      <c r="J81" s="4">
        <f t="shared" si="7"/>
        <v>1.6350054002160087E-2</v>
      </c>
      <c r="K81" s="2">
        <v>39.68</v>
      </c>
      <c r="L81" s="2">
        <f>14.57-2.04</f>
        <v>12.530000000000001</v>
      </c>
      <c r="M81" s="4">
        <f t="shared" si="8"/>
        <v>0.31577620967741937</v>
      </c>
      <c r="N81" s="2">
        <v>10000</v>
      </c>
    </row>
    <row r="82" spans="1:14" x14ac:dyDescent="0.2">
      <c r="A82" s="1" t="s">
        <v>64</v>
      </c>
      <c r="B82" s="13" t="s">
        <v>24</v>
      </c>
      <c r="C82" s="6" t="s">
        <v>9</v>
      </c>
      <c r="D82" s="1" t="s">
        <v>45</v>
      </c>
      <c r="E82" s="5">
        <v>591.15</v>
      </c>
      <c r="F82" s="5">
        <v>12.212</v>
      </c>
      <c r="G82" s="5">
        <v>3007.6</v>
      </c>
      <c r="H82" s="5">
        <v>37.67</v>
      </c>
      <c r="I82" s="4">
        <f t="shared" si="6"/>
        <v>2.0658039414700163E-2</v>
      </c>
      <c r="J82" s="4">
        <f t="shared" si="7"/>
        <v>1.252493682670568E-2</v>
      </c>
      <c r="K82" s="2">
        <v>45.93</v>
      </c>
      <c r="L82" s="2">
        <f>13.49-2.08</f>
        <v>11.41</v>
      </c>
      <c r="M82" s="4">
        <f t="shared" si="8"/>
        <v>0.24842151099499238</v>
      </c>
      <c r="N82" s="2">
        <v>10000</v>
      </c>
    </row>
    <row r="83" spans="1:14" x14ac:dyDescent="0.2">
      <c r="A83" s="1" t="s">
        <v>64</v>
      </c>
      <c r="B83" s="13" t="s">
        <v>24</v>
      </c>
      <c r="C83" s="1" t="s">
        <v>65</v>
      </c>
      <c r="D83" s="1" t="s">
        <v>45</v>
      </c>
      <c r="E83" s="5">
        <v>374.46</v>
      </c>
      <c r="F83" s="5">
        <v>9.9484999999999992</v>
      </c>
      <c r="G83" s="5">
        <v>1887.4</v>
      </c>
      <c r="H83" s="5">
        <v>29.719000000000001</v>
      </c>
      <c r="I83" s="4">
        <f t="shared" si="6"/>
        <v>2.6567590663889334E-2</v>
      </c>
      <c r="J83" s="4">
        <f t="shared" si="7"/>
        <v>1.5745999788068243E-2</v>
      </c>
      <c r="K83" s="2">
        <v>55.75</v>
      </c>
      <c r="L83" s="2">
        <f>14.07-2.08</f>
        <v>11.99</v>
      </c>
      <c r="M83" s="4">
        <f t="shared" si="8"/>
        <v>0.21506726457399103</v>
      </c>
      <c r="N83" s="2">
        <v>10000</v>
      </c>
    </row>
    <row r="84" spans="1:14" x14ac:dyDescent="0.2">
      <c r="A84" s="1" t="s">
        <v>64</v>
      </c>
      <c r="B84" s="13" t="s">
        <v>24</v>
      </c>
      <c r="C84" s="1" t="s">
        <v>8</v>
      </c>
      <c r="D84" s="1" t="s">
        <v>45</v>
      </c>
      <c r="E84" s="5">
        <v>426.61</v>
      </c>
      <c r="F84" s="5">
        <v>14.231999999999999</v>
      </c>
      <c r="G84" s="5">
        <v>2104.5</v>
      </c>
      <c r="H84" s="5">
        <v>41.295999999999999</v>
      </c>
      <c r="I84" s="4">
        <f t="shared" si="6"/>
        <v>3.3360680715407515E-2</v>
      </c>
      <c r="J84" s="4">
        <f t="shared" si="7"/>
        <v>1.9622713233547161E-2</v>
      </c>
      <c r="K84" s="2">
        <v>30.7</v>
      </c>
      <c r="L84" s="2">
        <f>8.67-2.06</f>
        <v>6.6099999999999994</v>
      </c>
      <c r="M84" s="4">
        <f t="shared" si="8"/>
        <v>0.21530944625407164</v>
      </c>
      <c r="N84" s="2">
        <v>10000</v>
      </c>
    </row>
    <row r="85" spans="1:14" x14ac:dyDescent="0.2">
      <c r="A85" s="1" t="s">
        <v>64</v>
      </c>
      <c r="B85" s="13" t="s">
        <v>24</v>
      </c>
      <c r="C85" s="6" t="s">
        <v>10</v>
      </c>
      <c r="D85" s="1" t="s">
        <v>45</v>
      </c>
      <c r="E85" s="5">
        <v>566.4</v>
      </c>
      <c r="F85" s="5">
        <v>13.063000000000001</v>
      </c>
      <c r="G85" s="5">
        <v>2922.9</v>
      </c>
      <c r="H85" s="5">
        <v>40.097000000000001</v>
      </c>
      <c r="I85" s="4">
        <f t="shared" si="6"/>
        <v>2.3063206214689269E-2</v>
      </c>
      <c r="J85" s="4">
        <f t="shared" si="7"/>
        <v>1.371822505046358E-2</v>
      </c>
      <c r="K85" s="2">
        <v>40.729999999999997</v>
      </c>
      <c r="L85" s="2">
        <f>12.38-2.09</f>
        <v>10.290000000000001</v>
      </c>
      <c r="M85" s="4">
        <f t="shared" si="8"/>
        <v>0.25263933218757678</v>
      </c>
      <c r="N85" s="2">
        <v>10000</v>
      </c>
    </row>
    <row r="86" spans="1:14" x14ac:dyDescent="0.2">
      <c r="A86" s="1" t="s">
        <v>64</v>
      </c>
      <c r="B86" s="13" t="s">
        <v>24</v>
      </c>
      <c r="C86" s="1" t="s">
        <v>5</v>
      </c>
      <c r="D86" s="1" t="s">
        <v>63</v>
      </c>
      <c r="E86" s="5">
        <v>264.69</v>
      </c>
      <c r="F86" s="5">
        <v>8.1190999999999995</v>
      </c>
      <c r="G86" s="5">
        <v>1295.7</v>
      </c>
      <c r="H86" s="5">
        <v>23.686</v>
      </c>
      <c r="I86" s="4">
        <f t="shared" si="6"/>
        <v>3.0673995995315274E-2</v>
      </c>
      <c r="J86" s="4">
        <f t="shared" si="7"/>
        <v>1.8280466157289496E-2</v>
      </c>
      <c r="K86" s="2">
        <v>64.47</v>
      </c>
      <c r="L86" s="2">
        <f>16.21-2.11</f>
        <v>14.100000000000001</v>
      </c>
      <c r="M86" s="4">
        <f t="shared" si="8"/>
        <v>0.21870637505816662</v>
      </c>
      <c r="N86" s="2">
        <v>10000</v>
      </c>
    </row>
    <row r="87" spans="1:14" x14ac:dyDescent="0.2">
      <c r="A87" s="1" t="s">
        <v>121</v>
      </c>
      <c r="B87" s="13" t="s">
        <v>24</v>
      </c>
      <c r="C87" s="1" t="s">
        <v>122</v>
      </c>
      <c r="D87" s="1" t="s">
        <v>100</v>
      </c>
      <c r="E87" s="5">
        <v>440.92</v>
      </c>
      <c r="F87" s="5">
        <v>24.728000000000002</v>
      </c>
      <c r="G87" s="5">
        <v>2230.1999999999998</v>
      </c>
      <c r="H87" s="5">
        <v>24.728000000000002</v>
      </c>
      <c r="I87" s="4">
        <f t="shared" si="6"/>
        <v>5.6082736097251201E-2</v>
      </c>
      <c r="J87" s="4">
        <f t="shared" si="7"/>
        <v>1.1087794816608378E-2</v>
      </c>
      <c r="K87" s="2">
        <v>9.92</v>
      </c>
      <c r="L87" s="2">
        <f>4.52-2.07</f>
        <v>2.4499999999999997</v>
      </c>
      <c r="M87" s="4">
        <f t="shared" si="8"/>
        <v>0.24697580645161288</v>
      </c>
      <c r="N87" s="2">
        <v>10000</v>
      </c>
    </row>
    <row r="88" spans="1:14" x14ac:dyDescent="0.2">
      <c r="A88" s="1" t="s">
        <v>125</v>
      </c>
      <c r="B88" s="13" t="s">
        <v>24</v>
      </c>
      <c r="C88" s="1" t="s">
        <v>7</v>
      </c>
      <c r="D88" s="1" t="s">
        <v>45</v>
      </c>
      <c r="E88" s="5">
        <v>256.14999999999998</v>
      </c>
      <c r="F88" s="5">
        <v>14.113</v>
      </c>
      <c r="G88" s="5">
        <v>1373.9</v>
      </c>
      <c r="H88" s="5">
        <v>40.405000000000001</v>
      </c>
      <c r="I88" s="4">
        <f t="shared" si="6"/>
        <v>5.5096623072418506E-2</v>
      </c>
      <c r="J88" s="4">
        <f t="shared" si="7"/>
        <v>2.9408981730839216E-2</v>
      </c>
      <c r="K88" s="2">
        <v>22.1</v>
      </c>
      <c r="L88" s="2">
        <f>7.08-2.12</f>
        <v>4.96</v>
      </c>
      <c r="M88" s="4">
        <f t="shared" si="8"/>
        <v>0.22443438914027147</v>
      </c>
      <c r="N88" s="2">
        <v>10000</v>
      </c>
    </row>
    <row r="89" spans="1:14" x14ac:dyDescent="0.2">
      <c r="A89" s="1" t="s">
        <v>64</v>
      </c>
      <c r="B89" s="13" t="s">
        <v>24</v>
      </c>
      <c r="C89" s="3" t="s">
        <v>49</v>
      </c>
      <c r="D89" s="1" t="s">
        <v>45</v>
      </c>
      <c r="E89" s="5">
        <v>423.88</v>
      </c>
      <c r="F89" s="5">
        <v>27.568999999999999</v>
      </c>
      <c r="G89" s="5">
        <v>2122.6999999999998</v>
      </c>
      <c r="H89" s="5">
        <v>75.206000000000003</v>
      </c>
      <c r="I89" s="4">
        <f t="shared" si="6"/>
        <v>6.5039633858639243E-2</v>
      </c>
      <c r="J89" s="4">
        <f t="shared" si="7"/>
        <v>3.5429405945258403E-2</v>
      </c>
      <c r="K89" s="2">
        <v>10.130000000000001</v>
      </c>
      <c r="L89" s="2">
        <f>4.3-2.08</f>
        <v>2.2199999999999998</v>
      </c>
      <c r="M89" s="4">
        <f t="shared" si="8"/>
        <v>0.2191510365251727</v>
      </c>
      <c r="N89" s="2">
        <v>10000</v>
      </c>
    </row>
    <row r="90" spans="1:14" x14ac:dyDescent="0.2">
      <c r="A90" s="1" t="s">
        <v>64</v>
      </c>
      <c r="B90" s="13" t="s">
        <v>24</v>
      </c>
      <c r="C90" s="3" t="s">
        <v>32</v>
      </c>
      <c r="D90" s="1" t="s">
        <v>45</v>
      </c>
      <c r="E90" s="5">
        <v>358.82</v>
      </c>
      <c r="F90" s="5">
        <v>25.059000000000001</v>
      </c>
      <c r="G90" s="5">
        <v>1937.2</v>
      </c>
      <c r="H90" s="5">
        <v>71.382999999999996</v>
      </c>
      <c r="I90" s="4">
        <f t="shared" si="6"/>
        <v>6.9837244300763615E-2</v>
      </c>
      <c r="J90" s="4">
        <f t="shared" si="7"/>
        <v>3.6848544290728882E-2</v>
      </c>
      <c r="K90" s="2" t="s">
        <v>66</v>
      </c>
      <c r="L90" s="2">
        <f>10.05-2.08</f>
        <v>7.9700000000000006</v>
      </c>
      <c r="M90" s="4"/>
      <c r="N90" s="2">
        <v>10000</v>
      </c>
    </row>
    <row r="91" spans="1:14" x14ac:dyDescent="0.2">
      <c r="A91" s="1" t="s">
        <v>64</v>
      </c>
      <c r="B91" s="13" t="s">
        <v>24</v>
      </c>
      <c r="C91" s="1" t="s">
        <v>12</v>
      </c>
      <c r="D91" s="1" t="s">
        <v>45</v>
      </c>
      <c r="E91" s="5">
        <v>339.47</v>
      </c>
      <c r="F91" s="5">
        <v>13.553000000000001</v>
      </c>
      <c r="G91" s="5">
        <v>1717.5</v>
      </c>
      <c r="H91" s="5">
        <v>38.590000000000003</v>
      </c>
      <c r="I91" s="4">
        <f t="shared" si="6"/>
        <v>3.9923999175184847E-2</v>
      </c>
      <c r="J91" s="4">
        <f t="shared" si="7"/>
        <v>2.2468704512372636E-2</v>
      </c>
      <c r="K91" s="2">
        <v>23.06</v>
      </c>
      <c r="L91" s="2">
        <f>8.56-2.08</f>
        <v>6.48</v>
      </c>
      <c r="M91" s="4">
        <f t="shared" ref="M91:M97" si="9">L91/K91</f>
        <v>0.28100607111882048</v>
      </c>
      <c r="N91" s="2">
        <v>10000</v>
      </c>
    </row>
    <row r="92" spans="1:14" x14ac:dyDescent="0.2">
      <c r="A92" s="1" t="s">
        <v>115</v>
      </c>
      <c r="B92" s="13" t="s">
        <v>25</v>
      </c>
      <c r="C92" s="1" t="s">
        <v>9</v>
      </c>
      <c r="D92" s="1" t="s">
        <v>100</v>
      </c>
      <c r="E92" s="2">
        <v>2319.9</v>
      </c>
      <c r="F92" s="2">
        <v>22.248999999999999</v>
      </c>
      <c r="G92" s="2">
        <v>11765</v>
      </c>
      <c r="H92" s="2">
        <v>70.768000000000001</v>
      </c>
      <c r="I92" s="4">
        <f t="shared" si="6"/>
        <v>9.5904995904995891E-3</v>
      </c>
      <c r="J92" s="4">
        <f t="shared" si="7"/>
        <v>6.0151296217594557E-3</v>
      </c>
      <c r="K92" s="2">
        <v>56.34</v>
      </c>
      <c r="L92" s="2">
        <f>16.28-2.07</f>
        <v>14.21</v>
      </c>
      <c r="M92" s="4">
        <f t="shared" si="9"/>
        <v>0.25221867234646789</v>
      </c>
      <c r="N92" s="2">
        <v>10000</v>
      </c>
    </row>
    <row r="93" spans="1:14" x14ac:dyDescent="0.2">
      <c r="A93" s="1" t="s">
        <v>115</v>
      </c>
      <c r="B93" s="13" t="s">
        <v>25</v>
      </c>
      <c r="C93" s="1" t="s">
        <v>116</v>
      </c>
      <c r="D93" s="1" t="s">
        <v>45</v>
      </c>
      <c r="E93" s="2">
        <v>2208.1</v>
      </c>
      <c r="F93" s="2">
        <v>25.15</v>
      </c>
      <c r="G93" s="2">
        <v>11258</v>
      </c>
      <c r="H93" s="2">
        <v>78.998999999999995</v>
      </c>
      <c r="I93" s="4">
        <f t="shared" si="6"/>
        <v>1.1389882704587654E-2</v>
      </c>
      <c r="J93" s="4">
        <f t="shared" si="7"/>
        <v>7.0171433647184221E-3</v>
      </c>
      <c r="K93" s="2">
        <v>35.42</v>
      </c>
      <c r="L93" s="2">
        <f>11.3-2.1</f>
        <v>9.2000000000000011</v>
      </c>
      <c r="M93" s="4">
        <f t="shared" si="9"/>
        <v>0.25974025974025977</v>
      </c>
      <c r="N93" s="2">
        <v>10000</v>
      </c>
    </row>
    <row r="94" spans="1:14" x14ac:dyDescent="0.2">
      <c r="A94" s="1" t="s">
        <v>102</v>
      </c>
      <c r="B94" s="13" t="s">
        <v>25</v>
      </c>
      <c r="C94" s="1" t="s">
        <v>103</v>
      </c>
      <c r="D94" s="1" t="s">
        <v>45</v>
      </c>
      <c r="E94" s="2">
        <v>1587.8</v>
      </c>
      <c r="F94" s="2">
        <v>39.593000000000004</v>
      </c>
      <c r="G94" s="2">
        <v>7887.3</v>
      </c>
      <c r="H94" s="2">
        <v>114.29</v>
      </c>
      <c r="I94" s="4">
        <f t="shared" si="6"/>
        <v>2.4935760171306214E-2</v>
      </c>
      <c r="J94" s="4">
        <f t="shared" si="7"/>
        <v>1.4490383274377797E-2</v>
      </c>
      <c r="K94" s="2">
        <v>16.29</v>
      </c>
      <c r="L94" s="2">
        <f>6.31-2.09</f>
        <v>4.22</v>
      </c>
      <c r="M94" s="4">
        <f t="shared" si="9"/>
        <v>0.25905463474524248</v>
      </c>
      <c r="N94" s="2">
        <v>10000</v>
      </c>
    </row>
    <row r="95" spans="1:14" x14ac:dyDescent="0.2">
      <c r="A95" s="1" t="s">
        <v>460</v>
      </c>
      <c r="B95" s="13" t="s">
        <v>25</v>
      </c>
      <c r="C95" s="1" t="s">
        <v>112</v>
      </c>
      <c r="D95" s="1" t="s">
        <v>45</v>
      </c>
      <c r="E95" s="2">
        <v>956.23</v>
      </c>
      <c r="F95" s="2">
        <v>23.204999999999998</v>
      </c>
      <c r="G95" s="2">
        <v>4736.3</v>
      </c>
      <c r="H95" s="2">
        <v>69.064999999999998</v>
      </c>
      <c r="I95" s="4">
        <f t="shared" si="6"/>
        <v>2.4267174215408426E-2</v>
      </c>
      <c r="J95" s="4">
        <f t="shared" si="7"/>
        <v>1.4582057724384012E-2</v>
      </c>
      <c r="K95" s="2">
        <v>28.42</v>
      </c>
      <c r="L95" s="2">
        <f>7.49-2.26</f>
        <v>5.23</v>
      </c>
      <c r="M95" s="4">
        <f t="shared" si="9"/>
        <v>0.1840253342716397</v>
      </c>
      <c r="N95" s="2">
        <v>10000</v>
      </c>
    </row>
    <row r="96" spans="1:14" x14ac:dyDescent="0.2">
      <c r="A96" s="1" t="s">
        <v>102</v>
      </c>
      <c r="B96" s="13" t="s">
        <v>25</v>
      </c>
      <c r="C96" s="1" t="s">
        <v>99</v>
      </c>
      <c r="D96" s="1" t="s">
        <v>104</v>
      </c>
      <c r="E96" s="2">
        <v>1040.3</v>
      </c>
      <c r="F96" s="2">
        <v>43.398000000000003</v>
      </c>
      <c r="G96" s="2">
        <v>5185.6000000000004</v>
      </c>
      <c r="H96" s="2">
        <v>119.69</v>
      </c>
      <c r="I96" s="4">
        <f t="shared" si="6"/>
        <v>4.1716812457944827E-2</v>
      </c>
      <c r="J96" s="4">
        <f t="shared" si="7"/>
        <v>2.3081224930576981E-2</v>
      </c>
      <c r="K96" s="2">
        <v>7.8</v>
      </c>
      <c r="L96" s="2">
        <f>3.8-2.09</f>
        <v>1.71</v>
      </c>
      <c r="M96" s="4">
        <f t="shared" si="9"/>
        <v>0.21923076923076923</v>
      </c>
      <c r="N96" s="2">
        <v>10000</v>
      </c>
    </row>
    <row r="97" spans="1:14" x14ac:dyDescent="0.2">
      <c r="A97" s="1" t="s">
        <v>115</v>
      </c>
      <c r="B97" s="13" t="s">
        <v>25</v>
      </c>
      <c r="C97" s="1" t="s">
        <v>12</v>
      </c>
      <c r="D97" s="1" t="s">
        <v>45</v>
      </c>
      <c r="E97" s="2">
        <v>869.65</v>
      </c>
      <c r="F97" s="2">
        <v>23.326000000000001</v>
      </c>
      <c r="G97" s="2">
        <v>4427.3</v>
      </c>
      <c r="H97" s="2">
        <v>68.941999999999993</v>
      </c>
      <c r="I97" s="4">
        <f t="shared" si="6"/>
        <v>2.6822284827229346E-2</v>
      </c>
      <c r="J97" s="4">
        <f t="shared" si="7"/>
        <v>1.5572019063537595E-2</v>
      </c>
      <c r="K97" s="2">
        <v>16.64</v>
      </c>
      <c r="L97" s="2">
        <f>7.09-2.1</f>
        <v>4.99</v>
      </c>
      <c r="M97" s="4">
        <f t="shared" si="9"/>
        <v>0.29987980769230771</v>
      </c>
      <c r="N97" s="2">
        <v>10000</v>
      </c>
    </row>
    <row r="98" spans="1:14" x14ac:dyDescent="0.2">
      <c r="A98" s="1" t="s">
        <v>147</v>
      </c>
      <c r="B98" s="1" t="s">
        <v>209</v>
      </c>
      <c r="C98" s="1" t="s">
        <v>9</v>
      </c>
      <c r="D98" s="1" t="s">
        <v>148</v>
      </c>
      <c r="E98" s="2">
        <v>1063.5</v>
      </c>
      <c r="F98" s="2">
        <v>23.106999999999999</v>
      </c>
      <c r="G98" s="2">
        <v>5668</v>
      </c>
      <c r="H98" s="2">
        <v>69.813999999999993</v>
      </c>
      <c r="I98" s="4">
        <f t="shared" si="6"/>
        <v>2.1727315467795015E-2</v>
      </c>
      <c r="J98" s="4">
        <f t="shared" si="7"/>
        <v>1.2317219477769936E-2</v>
      </c>
      <c r="N98" s="2">
        <v>1000000</v>
      </c>
    </row>
    <row r="99" spans="1:14" x14ac:dyDescent="0.2">
      <c r="A99" s="1" t="s">
        <v>319</v>
      </c>
      <c r="B99" s="1" t="s">
        <v>308</v>
      </c>
      <c r="C99" s="1" t="s">
        <v>120</v>
      </c>
      <c r="D99" s="1" t="s">
        <v>45</v>
      </c>
      <c r="E99" s="2">
        <v>488.26</v>
      </c>
      <c r="F99" s="2">
        <v>25.382000000000001</v>
      </c>
      <c r="G99" s="2">
        <v>2524.6</v>
      </c>
      <c r="H99" s="2">
        <v>67.183999999999997</v>
      </c>
      <c r="I99" s="4">
        <f t="shared" si="6"/>
        <v>5.1984598369721052E-2</v>
      </c>
      <c r="J99" s="4">
        <f t="shared" si="7"/>
        <v>2.6611740473738415E-2</v>
      </c>
    </row>
    <row r="100" spans="1:14" x14ac:dyDescent="0.2">
      <c r="A100" s="1" t="s">
        <v>319</v>
      </c>
      <c r="B100" s="1" t="s">
        <v>308</v>
      </c>
      <c r="C100" s="1" t="s">
        <v>320</v>
      </c>
      <c r="D100" s="1" t="s">
        <v>310</v>
      </c>
      <c r="E100" s="2">
        <v>138.78</v>
      </c>
      <c r="F100" s="2">
        <v>8.2840000000000007</v>
      </c>
      <c r="G100" s="2">
        <v>741.8</v>
      </c>
      <c r="H100" s="2">
        <v>21.282</v>
      </c>
      <c r="I100" s="4">
        <f t="shared" si="6"/>
        <v>5.9691598212998999E-2</v>
      </c>
      <c r="J100" s="4">
        <f t="shared" ref="J100:J130" si="10">H100/G100</f>
        <v>2.8689673766513886E-2</v>
      </c>
    </row>
    <row r="101" spans="1:14" x14ac:dyDescent="0.2">
      <c r="A101" s="1" t="s">
        <v>319</v>
      </c>
      <c r="B101" s="1" t="s">
        <v>308</v>
      </c>
      <c r="C101" s="1" t="s">
        <v>57</v>
      </c>
      <c r="D101" s="1" t="s">
        <v>45</v>
      </c>
      <c r="E101" s="2">
        <v>94.453000000000003</v>
      </c>
      <c r="F101" s="2">
        <v>8.3287999999999993</v>
      </c>
      <c r="G101" s="2">
        <v>530.63</v>
      </c>
      <c r="H101" s="2">
        <v>21.126000000000001</v>
      </c>
      <c r="I101" s="4">
        <f t="shared" si="6"/>
        <v>8.8179306109917088E-2</v>
      </c>
      <c r="J101" s="4">
        <f t="shared" si="10"/>
        <v>3.9813052409400147E-2</v>
      </c>
    </row>
    <row r="102" spans="1:14" x14ac:dyDescent="0.2">
      <c r="A102" s="1" t="s">
        <v>319</v>
      </c>
      <c r="B102" s="1" t="s">
        <v>308</v>
      </c>
      <c r="C102" s="1" t="s">
        <v>46</v>
      </c>
      <c r="D102" s="1" t="s">
        <v>45</v>
      </c>
      <c r="E102" s="2">
        <v>146.38999999999999</v>
      </c>
      <c r="F102" s="2">
        <v>8.1455000000000002</v>
      </c>
      <c r="G102" s="2">
        <v>674.26</v>
      </c>
      <c r="H102" s="2">
        <v>20.603999999999999</v>
      </c>
      <c r="I102" s="4">
        <f t="shared" si="6"/>
        <v>5.56424619167976E-2</v>
      </c>
      <c r="J102" s="4">
        <f t="shared" si="10"/>
        <v>3.055794500637736E-2</v>
      </c>
    </row>
    <row r="103" spans="1:14" x14ac:dyDescent="0.2">
      <c r="A103" s="1" t="s">
        <v>319</v>
      </c>
      <c r="B103" s="1" t="s">
        <v>93</v>
      </c>
      <c r="C103" s="1" t="s">
        <v>110</v>
      </c>
      <c r="D103" s="1" t="s">
        <v>45</v>
      </c>
      <c r="E103" s="2">
        <v>491.11</v>
      </c>
      <c r="F103" s="2">
        <v>22.251000000000001</v>
      </c>
      <c r="G103" s="2">
        <v>2435.8000000000002</v>
      </c>
      <c r="H103" s="2">
        <v>58.064</v>
      </c>
      <c r="I103" s="4">
        <f t="shared" si="6"/>
        <v>4.5307568569159663E-2</v>
      </c>
      <c r="J103" s="4">
        <f t="shared" si="10"/>
        <v>2.3837753510140405E-2</v>
      </c>
    </row>
    <row r="104" spans="1:14" x14ac:dyDescent="0.2">
      <c r="A104" s="1" t="s">
        <v>319</v>
      </c>
      <c r="B104" s="1" t="s">
        <v>93</v>
      </c>
      <c r="C104" s="1" t="s">
        <v>124</v>
      </c>
      <c r="D104" s="1" t="s">
        <v>45</v>
      </c>
      <c r="E104" s="2">
        <v>150.69999999999999</v>
      </c>
      <c r="F104" s="2">
        <v>11.221</v>
      </c>
      <c r="G104" s="2">
        <v>796.6</v>
      </c>
      <c r="H104" s="2">
        <v>28.739000000000001</v>
      </c>
      <c r="I104" s="4">
        <f t="shared" si="6"/>
        <v>7.4459190444591913E-2</v>
      </c>
      <c r="J104" s="4">
        <f t="shared" si="10"/>
        <v>3.6077077579713783E-2</v>
      </c>
    </row>
    <row r="105" spans="1:14" x14ac:dyDescent="0.2">
      <c r="A105" s="1" t="s">
        <v>319</v>
      </c>
      <c r="B105" s="1" t="s">
        <v>308</v>
      </c>
      <c r="C105" s="1" t="s">
        <v>321</v>
      </c>
      <c r="D105" s="1" t="s">
        <v>45</v>
      </c>
      <c r="E105" s="2">
        <v>309.19</v>
      </c>
      <c r="F105" s="2">
        <v>25.295000000000002</v>
      </c>
      <c r="G105" s="2">
        <v>1836</v>
      </c>
      <c r="H105" s="2">
        <v>65.454999999999998</v>
      </c>
      <c r="I105" s="4">
        <f t="shared" si="6"/>
        <v>8.1810537210129694E-2</v>
      </c>
      <c r="J105" s="4">
        <f t="shared" si="10"/>
        <v>3.5650871459694991E-2</v>
      </c>
    </row>
    <row r="106" spans="1:14" x14ac:dyDescent="0.2">
      <c r="A106" s="1" t="s">
        <v>319</v>
      </c>
      <c r="B106" s="1" t="s">
        <v>93</v>
      </c>
      <c r="C106" s="1" t="s">
        <v>48</v>
      </c>
      <c r="D106" s="1" t="s">
        <v>45</v>
      </c>
      <c r="E106" s="2">
        <v>99.667000000000002</v>
      </c>
      <c r="F106" s="2">
        <v>12.882999999999999</v>
      </c>
      <c r="G106" s="2">
        <v>523.54999999999995</v>
      </c>
      <c r="H106" s="2">
        <v>25.896999999999998</v>
      </c>
      <c r="I106" s="4">
        <f t="shared" si="6"/>
        <v>0.12926043725606268</v>
      </c>
      <c r="J106" s="4">
        <f t="shared" si="10"/>
        <v>4.9464234552573774E-2</v>
      </c>
    </row>
    <row r="107" spans="1:14" x14ac:dyDescent="0.2">
      <c r="A107" s="1" t="s">
        <v>319</v>
      </c>
      <c r="B107" s="1" t="s">
        <v>93</v>
      </c>
      <c r="C107" s="1" t="s">
        <v>49</v>
      </c>
      <c r="D107" s="1" t="s">
        <v>45</v>
      </c>
      <c r="E107" s="2">
        <v>188.14</v>
      </c>
      <c r="F107" s="2">
        <v>26.79</v>
      </c>
      <c r="G107" s="2">
        <v>918.2</v>
      </c>
      <c r="H107" s="2">
        <v>50.09</v>
      </c>
      <c r="I107" s="4">
        <f t="shared" si="6"/>
        <v>0.14239396194323375</v>
      </c>
      <c r="J107" s="4">
        <f t="shared" si="10"/>
        <v>5.4552385101285121E-2</v>
      </c>
    </row>
    <row r="108" spans="1:14" x14ac:dyDescent="0.2">
      <c r="A108" s="1" t="s">
        <v>319</v>
      </c>
      <c r="B108" s="1" t="s">
        <v>93</v>
      </c>
      <c r="C108" s="1" t="s">
        <v>322</v>
      </c>
      <c r="D108" s="1" t="s">
        <v>45</v>
      </c>
      <c r="E108" s="2">
        <v>291.99</v>
      </c>
      <c r="F108" s="2">
        <v>29.393999999999998</v>
      </c>
      <c r="G108" s="2">
        <v>1373.7</v>
      </c>
      <c r="H108" s="2">
        <v>68.766999999999996</v>
      </c>
      <c r="I108" s="4">
        <f t="shared" si="6"/>
        <v>0.10066783109010581</v>
      </c>
      <c r="J108" s="4">
        <f t="shared" si="10"/>
        <v>5.0059692800465891E-2</v>
      </c>
    </row>
    <row r="109" spans="1:14" x14ac:dyDescent="0.2">
      <c r="A109" s="1" t="s">
        <v>319</v>
      </c>
      <c r="B109" s="1" t="s">
        <v>93</v>
      </c>
      <c r="C109" s="1" t="s">
        <v>197</v>
      </c>
      <c r="D109" s="1" t="s">
        <v>45</v>
      </c>
      <c r="E109" s="2">
        <v>302.01</v>
      </c>
      <c r="F109" s="2">
        <v>17.146000000000001</v>
      </c>
      <c r="G109" s="2">
        <v>1518.3</v>
      </c>
      <c r="H109" s="2">
        <v>43.109000000000002</v>
      </c>
      <c r="I109" s="4">
        <f t="shared" si="6"/>
        <v>5.6772954537929209E-2</v>
      </c>
      <c r="J109" s="4">
        <f t="shared" si="10"/>
        <v>2.8392939471777647E-2</v>
      </c>
    </row>
    <row r="110" spans="1:14" x14ac:dyDescent="0.2">
      <c r="A110" s="1" t="s">
        <v>159</v>
      </c>
      <c r="B110" s="1" t="s">
        <v>209</v>
      </c>
      <c r="C110" s="1" t="s">
        <v>9</v>
      </c>
      <c r="D110" s="1" t="s">
        <v>148</v>
      </c>
      <c r="E110" s="2">
        <v>1141.3</v>
      </c>
      <c r="F110" s="2">
        <v>83.739000000000004</v>
      </c>
      <c r="G110" s="2">
        <v>4591.8</v>
      </c>
      <c r="H110" s="2">
        <v>195.73</v>
      </c>
      <c r="I110" s="4">
        <f t="shared" si="6"/>
        <v>7.3371593796547799E-2</v>
      </c>
      <c r="J110" s="4">
        <f t="shared" si="10"/>
        <v>4.2625985452328062E-2</v>
      </c>
      <c r="N110" s="2">
        <v>10000</v>
      </c>
    </row>
    <row r="111" spans="1:14" x14ac:dyDescent="0.2">
      <c r="A111" s="1" t="s">
        <v>159</v>
      </c>
      <c r="B111" s="1" t="s">
        <v>212</v>
      </c>
      <c r="C111" s="1" t="s">
        <v>144</v>
      </c>
      <c r="D111" s="1" t="s">
        <v>145</v>
      </c>
      <c r="G111" s="2">
        <v>122.11</v>
      </c>
      <c r="H111" s="2">
        <v>7.8884999999999996</v>
      </c>
      <c r="I111" s="4" t="s">
        <v>206</v>
      </c>
      <c r="J111" s="4">
        <f t="shared" si="10"/>
        <v>6.4601588731471621E-2</v>
      </c>
      <c r="N111" s="2">
        <v>100000</v>
      </c>
    </row>
    <row r="112" spans="1:14" x14ac:dyDescent="0.2">
      <c r="A112" s="1" t="s">
        <v>220</v>
      </c>
      <c r="B112" s="1" t="s">
        <v>209</v>
      </c>
      <c r="C112" s="1" t="s">
        <v>9</v>
      </c>
      <c r="D112" s="1" t="s">
        <v>148</v>
      </c>
      <c r="E112" s="2">
        <v>1953.8</v>
      </c>
      <c r="F112" s="2">
        <v>38.072000000000003</v>
      </c>
      <c r="G112" s="2">
        <v>11099</v>
      </c>
      <c r="H112" s="2">
        <v>118.67</v>
      </c>
      <c r="I112" s="4">
        <f t="shared" ref="I112:I117" si="11">F112/E112</f>
        <v>1.9486129593612449E-2</v>
      </c>
      <c r="J112" s="4">
        <f t="shared" si="10"/>
        <v>1.0691954230110821E-2</v>
      </c>
      <c r="N112" s="2">
        <v>10000</v>
      </c>
    </row>
    <row r="113" spans="1:14" x14ac:dyDescent="0.2">
      <c r="A113" s="1" t="s">
        <v>220</v>
      </c>
      <c r="B113" s="1" t="s">
        <v>209</v>
      </c>
      <c r="C113" s="1" t="s">
        <v>9</v>
      </c>
      <c r="D113" s="1" t="s">
        <v>148</v>
      </c>
      <c r="E113" s="2">
        <v>3769.5</v>
      </c>
      <c r="F113" s="2">
        <v>35.594999999999999</v>
      </c>
      <c r="G113" s="2">
        <v>19559</v>
      </c>
      <c r="H113" s="2">
        <v>111.14</v>
      </c>
      <c r="I113" s="4">
        <f t="shared" si="11"/>
        <v>9.4428969359331479E-3</v>
      </c>
      <c r="J113" s="4">
        <f t="shared" si="10"/>
        <v>5.682294595838233E-3</v>
      </c>
      <c r="N113" s="2">
        <v>10000</v>
      </c>
    </row>
    <row r="114" spans="1:14" x14ac:dyDescent="0.2">
      <c r="A114" s="1" t="s">
        <v>151</v>
      </c>
      <c r="B114" s="1" t="s">
        <v>24</v>
      </c>
      <c r="C114" s="1" t="s">
        <v>9</v>
      </c>
      <c r="D114" s="1" t="s">
        <v>150</v>
      </c>
      <c r="E114" s="2">
        <v>64.655000000000001</v>
      </c>
      <c r="F114" s="2">
        <v>11.651</v>
      </c>
      <c r="G114" s="2">
        <v>341.78</v>
      </c>
      <c r="H114" s="2">
        <v>24.082999999999998</v>
      </c>
      <c r="I114" s="4">
        <f t="shared" si="11"/>
        <v>0.18020261387363698</v>
      </c>
      <c r="J114" s="4">
        <f t="shared" si="10"/>
        <v>7.0463456024343146E-2</v>
      </c>
      <c r="N114" s="2">
        <v>5000</v>
      </c>
    </row>
    <row r="115" spans="1:14" x14ac:dyDescent="0.2">
      <c r="A115" s="1" t="s">
        <v>203</v>
      </c>
      <c r="B115" s="1" t="s">
        <v>217</v>
      </c>
      <c r="C115" s="1" t="s">
        <v>9</v>
      </c>
      <c r="D115" s="1" t="s">
        <v>148</v>
      </c>
      <c r="E115" s="2">
        <v>56.069000000000003</v>
      </c>
      <c r="F115" s="2">
        <v>6.4511000000000003</v>
      </c>
      <c r="G115" s="2">
        <v>307.18</v>
      </c>
      <c r="H115" s="2">
        <v>16.698</v>
      </c>
      <c r="I115" s="4">
        <f t="shared" si="11"/>
        <v>0.11505644830476734</v>
      </c>
      <c r="J115" s="4">
        <f t="shared" si="10"/>
        <v>5.4359007747900256E-2</v>
      </c>
      <c r="N115" s="2">
        <v>10000</v>
      </c>
    </row>
    <row r="116" spans="1:14" x14ac:dyDescent="0.2">
      <c r="A116" s="1" t="s">
        <v>149</v>
      </c>
      <c r="B116" s="1" t="s">
        <v>210</v>
      </c>
      <c r="C116" s="1" t="s">
        <v>9</v>
      </c>
      <c r="D116" s="1" t="s">
        <v>150</v>
      </c>
      <c r="E116" s="2">
        <v>160.86000000000001</v>
      </c>
      <c r="F116" s="2">
        <v>16.684999999999999</v>
      </c>
      <c r="G116" s="2">
        <v>1027.8</v>
      </c>
      <c r="H116" s="2">
        <v>46.012</v>
      </c>
      <c r="I116" s="4">
        <f t="shared" si="11"/>
        <v>0.10372373492477929</v>
      </c>
      <c r="J116" s="4">
        <f t="shared" si="10"/>
        <v>4.4767464487254334E-2</v>
      </c>
      <c r="N116" s="2">
        <v>5000</v>
      </c>
    </row>
    <row r="117" spans="1:14" x14ac:dyDescent="0.2">
      <c r="A117" s="1" t="s">
        <v>160</v>
      </c>
      <c r="B117" s="1" t="s">
        <v>24</v>
      </c>
      <c r="C117" s="1" t="s">
        <v>9</v>
      </c>
      <c r="D117" s="1" t="s">
        <v>148</v>
      </c>
      <c r="E117" s="2">
        <v>84.17</v>
      </c>
      <c r="F117" s="2">
        <v>7.9466000000000001</v>
      </c>
      <c r="G117" s="2">
        <v>423.94</v>
      </c>
      <c r="H117" s="2">
        <v>19.300999999999998</v>
      </c>
      <c r="I117" s="4">
        <f t="shared" si="11"/>
        <v>9.4411310443150764E-2</v>
      </c>
      <c r="J117" s="4">
        <f t="shared" si="10"/>
        <v>4.5527669009765528E-2</v>
      </c>
      <c r="N117" s="2">
        <v>10000</v>
      </c>
    </row>
    <row r="118" spans="1:14" x14ac:dyDescent="0.2">
      <c r="A118" s="1" t="s">
        <v>160</v>
      </c>
      <c r="B118" s="1" t="s">
        <v>24</v>
      </c>
      <c r="C118" s="1" t="s">
        <v>323</v>
      </c>
      <c r="D118" s="1" t="s">
        <v>145</v>
      </c>
      <c r="G118" s="2">
        <v>49.933999999999997</v>
      </c>
      <c r="H118" s="2">
        <v>4.7603</v>
      </c>
      <c r="I118" s="4"/>
      <c r="J118" s="4">
        <f t="shared" si="10"/>
        <v>9.5331838026194576E-2</v>
      </c>
    </row>
    <row r="119" spans="1:14" x14ac:dyDescent="0.2">
      <c r="A119" s="1" t="s">
        <v>200</v>
      </c>
      <c r="B119" s="1" t="s">
        <v>24</v>
      </c>
      <c r="C119" s="1" t="s">
        <v>9</v>
      </c>
      <c r="D119" s="1" t="s">
        <v>148</v>
      </c>
      <c r="E119" s="2">
        <v>82.748999999999995</v>
      </c>
      <c r="F119" s="2">
        <v>6.7434000000000003</v>
      </c>
      <c r="G119" s="2">
        <v>379.96</v>
      </c>
      <c r="H119" s="2">
        <v>17.03</v>
      </c>
      <c r="I119" s="4">
        <f>F119/E119</f>
        <v>8.1492223470978509E-2</v>
      </c>
      <c r="J119" s="4">
        <f t="shared" si="10"/>
        <v>4.4820507421833883E-2</v>
      </c>
      <c r="N119" s="2">
        <v>10000</v>
      </c>
    </row>
    <row r="120" spans="1:14" x14ac:dyDescent="0.2">
      <c r="A120" s="1" t="s">
        <v>201</v>
      </c>
      <c r="B120" s="1" t="s">
        <v>24</v>
      </c>
      <c r="C120" s="1" t="s">
        <v>9</v>
      </c>
      <c r="D120" s="1" t="s">
        <v>148</v>
      </c>
      <c r="E120" s="2">
        <v>78.72</v>
      </c>
      <c r="F120" s="2">
        <v>6.8868999999999998</v>
      </c>
      <c r="G120" s="2">
        <v>377.94</v>
      </c>
      <c r="H120" s="2">
        <v>17.597999999999999</v>
      </c>
      <c r="I120" s="4">
        <f>F120/E120</f>
        <v>8.7486026422764221E-2</v>
      </c>
      <c r="J120" s="4">
        <f t="shared" si="10"/>
        <v>4.6562946499444355E-2</v>
      </c>
      <c r="N120" s="2">
        <v>10000</v>
      </c>
    </row>
    <row r="121" spans="1:14" x14ac:dyDescent="0.2">
      <c r="A121" s="1" t="s">
        <v>202</v>
      </c>
      <c r="B121" s="1" t="s">
        <v>24</v>
      </c>
      <c r="C121" s="1" t="s">
        <v>9</v>
      </c>
      <c r="D121" s="1" t="s">
        <v>148</v>
      </c>
      <c r="E121" s="2">
        <v>84.744</v>
      </c>
      <c r="F121" s="2">
        <v>7.1875999999999998</v>
      </c>
      <c r="G121" s="2">
        <v>416.47</v>
      </c>
      <c r="H121" s="2">
        <v>17.954999999999998</v>
      </c>
      <c r="I121" s="4">
        <f>F121/E121</f>
        <v>8.4815444161238554E-2</v>
      </c>
      <c r="J121" s="4">
        <f t="shared" si="10"/>
        <v>4.3112349028741559E-2</v>
      </c>
      <c r="N121" s="2">
        <v>10000</v>
      </c>
    </row>
    <row r="122" spans="1:14" x14ac:dyDescent="0.2">
      <c r="A122" s="1" t="s">
        <v>152</v>
      </c>
      <c r="B122" s="1" t="s">
        <v>24</v>
      </c>
      <c r="C122" s="1" t="s">
        <v>9</v>
      </c>
      <c r="D122" s="1" t="s">
        <v>148</v>
      </c>
      <c r="E122" s="2">
        <v>71.204999999999998</v>
      </c>
      <c r="F122" s="2">
        <v>14.861000000000001</v>
      </c>
      <c r="G122" s="2">
        <v>309.49</v>
      </c>
      <c r="H122" s="2">
        <v>23.928999999999998</v>
      </c>
      <c r="I122" s="4">
        <f>F122/E122</f>
        <v>0.20870725370409382</v>
      </c>
      <c r="J122" s="4">
        <f t="shared" si="10"/>
        <v>7.7317522375521017E-2</v>
      </c>
      <c r="N122" s="2">
        <v>5000</v>
      </c>
    </row>
    <row r="123" spans="1:14" x14ac:dyDescent="0.2">
      <c r="A123" s="1" t="s">
        <v>152</v>
      </c>
      <c r="B123" s="1" t="s">
        <v>24</v>
      </c>
      <c r="C123" s="1" t="s">
        <v>320</v>
      </c>
      <c r="D123" s="1" t="s">
        <v>45</v>
      </c>
      <c r="E123" s="2">
        <v>24.279</v>
      </c>
      <c r="F123" s="2">
        <v>3.0352999999999999</v>
      </c>
      <c r="G123" s="2">
        <v>116.61</v>
      </c>
      <c r="H123" s="2">
        <v>6.0678999999999998</v>
      </c>
      <c r="I123" s="4">
        <f>F123/E123</f>
        <v>0.1250175048395733</v>
      </c>
      <c r="J123" s="4">
        <f t="shared" si="10"/>
        <v>5.2035845982334274E-2</v>
      </c>
    </row>
    <row r="124" spans="1:14" x14ac:dyDescent="0.2">
      <c r="A124" s="1" t="s">
        <v>152</v>
      </c>
      <c r="B124" s="1" t="s">
        <v>24</v>
      </c>
      <c r="C124" s="1" t="s">
        <v>57</v>
      </c>
      <c r="D124" s="1" t="s">
        <v>45</v>
      </c>
      <c r="E124" s="2">
        <v>36.659999999999997</v>
      </c>
      <c r="F124" s="2">
        <v>3.3492000000000002</v>
      </c>
      <c r="G124" s="2">
        <v>154.97999999999999</v>
      </c>
      <c r="H124" s="2">
        <v>6.6611000000000002</v>
      </c>
      <c r="I124" s="4"/>
      <c r="J124" s="4">
        <f t="shared" si="10"/>
        <v>4.2980384565750422E-2</v>
      </c>
    </row>
    <row r="125" spans="1:14" x14ac:dyDescent="0.2">
      <c r="A125" s="1" t="s">
        <v>152</v>
      </c>
      <c r="B125" s="1" t="s">
        <v>24</v>
      </c>
      <c r="C125" s="1" t="s">
        <v>46</v>
      </c>
      <c r="D125" s="1" t="s">
        <v>45</v>
      </c>
      <c r="G125" s="2">
        <v>225.6</v>
      </c>
      <c r="H125" s="2">
        <v>21.785</v>
      </c>
      <c r="I125" s="4"/>
      <c r="J125" s="4">
        <f t="shared" si="10"/>
        <v>9.6564716312056736E-2</v>
      </c>
    </row>
    <row r="126" spans="1:14" x14ac:dyDescent="0.2">
      <c r="A126" s="1" t="s">
        <v>152</v>
      </c>
      <c r="B126" s="1" t="s">
        <v>24</v>
      </c>
      <c r="C126" s="1" t="s">
        <v>110</v>
      </c>
      <c r="D126" s="1" t="s">
        <v>45</v>
      </c>
      <c r="G126" s="2">
        <v>309.58</v>
      </c>
      <c r="H126" s="2">
        <v>27.96</v>
      </c>
      <c r="I126" s="4"/>
      <c r="J126" s="4">
        <f t="shared" si="10"/>
        <v>9.0315911880612457E-2</v>
      </c>
    </row>
    <row r="127" spans="1:14" x14ac:dyDescent="0.2">
      <c r="A127" s="1" t="s">
        <v>152</v>
      </c>
      <c r="B127" s="1" t="s">
        <v>24</v>
      </c>
      <c r="C127" s="1" t="s">
        <v>324</v>
      </c>
      <c r="D127" s="1" t="s">
        <v>325</v>
      </c>
      <c r="G127" s="2">
        <v>92.057000000000002</v>
      </c>
      <c r="H127" s="2">
        <v>8.3023000000000007</v>
      </c>
      <c r="I127" s="4"/>
      <c r="J127" s="4">
        <f t="shared" si="10"/>
        <v>9.018651487665251E-2</v>
      </c>
    </row>
    <row r="128" spans="1:14" x14ac:dyDescent="0.2">
      <c r="A128" s="1" t="s">
        <v>152</v>
      </c>
      <c r="B128" s="1" t="s">
        <v>24</v>
      </c>
      <c r="C128" s="1" t="s">
        <v>326</v>
      </c>
      <c r="D128" s="1" t="s">
        <v>45</v>
      </c>
      <c r="G128" s="2">
        <v>375.03</v>
      </c>
      <c r="H128" s="2">
        <v>29.204999999999998</v>
      </c>
      <c r="I128" s="4"/>
      <c r="J128" s="4">
        <f t="shared" si="10"/>
        <v>7.7873770098392137E-2</v>
      </c>
    </row>
    <row r="129" spans="1:14" x14ac:dyDescent="0.2">
      <c r="A129" s="1" t="s">
        <v>152</v>
      </c>
      <c r="B129" s="1" t="s">
        <v>24</v>
      </c>
      <c r="C129" s="1" t="s">
        <v>48</v>
      </c>
      <c r="D129" s="1" t="s">
        <v>45</v>
      </c>
      <c r="G129" s="2">
        <v>124.43</v>
      </c>
      <c r="H129" s="2">
        <v>9.9319000000000006</v>
      </c>
      <c r="I129" s="4"/>
      <c r="J129" s="4">
        <f t="shared" si="10"/>
        <v>7.9819175440006426E-2</v>
      </c>
    </row>
    <row r="130" spans="1:14" x14ac:dyDescent="0.2">
      <c r="A130" s="21" t="s">
        <v>152</v>
      </c>
      <c r="B130" s="1" t="s">
        <v>24</v>
      </c>
      <c r="C130" s="1" t="s">
        <v>197</v>
      </c>
      <c r="D130" s="1" t="s">
        <v>45</v>
      </c>
      <c r="E130" s="2">
        <v>72.921999999999997</v>
      </c>
      <c r="F130" s="2">
        <v>13.071</v>
      </c>
      <c r="G130" s="2">
        <v>306.58999999999997</v>
      </c>
      <c r="H130" s="2">
        <v>17.838000000000001</v>
      </c>
      <c r="I130" s="4"/>
      <c r="J130" s="4">
        <f t="shared" si="10"/>
        <v>5.8181936788544969E-2</v>
      </c>
    </row>
    <row r="131" spans="1:14" x14ac:dyDescent="0.2">
      <c r="A131" s="1" t="s">
        <v>438</v>
      </c>
      <c r="B131" s="1" t="s">
        <v>439</v>
      </c>
      <c r="C131" s="1" t="s">
        <v>440</v>
      </c>
      <c r="D131" s="1" t="s">
        <v>441</v>
      </c>
      <c r="I131" s="4"/>
      <c r="J131" s="4"/>
      <c r="N131" s="2">
        <v>86000</v>
      </c>
    </row>
    <row r="132" spans="1:14" x14ac:dyDescent="0.2">
      <c r="A132" s="1" t="s">
        <v>340</v>
      </c>
      <c r="B132" s="1" t="s">
        <v>216</v>
      </c>
      <c r="C132" s="1" t="s">
        <v>120</v>
      </c>
      <c r="D132" s="1" t="s">
        <v>45</v>
      </c>
      <c r="E132" s="2">
        <v>94.575000000000003</v>
      </c>
      <c r="F132" s="2">
        <v>17.957999999999998</v>
      </c>
      <c r="G132" s="2">
        <v>455.98</v>
      </c>
      <c r="H132" s="2">
        <v>31.984999999999999</v>
      </c>
      <c r="I132" s="4"/>
      <c r="J132" s="4">
        <f t="shared" ref="J132:J163" si="12">H132/G132</f>
        <v>7.0145620421948329E-2</v>
      </c>
    </row>
    <row r="133" spans="1:14" x14ac:dyDescent="0.2">
      <c r="A133" s="1" t="s">
        <v>161</v>
      </c>
      <c r="B133" s="1" t="s">
        <v>24</v>
      </c>
      <c r="C133" s="1" t="s">
        <v>9</v>
      </c>
      <c r="D133" s="1" t="s">
        <v>162</v>
      </c>
      <c r="E133" s="2">
        <v>61.545000000000002</v>
      </c>
      <c r="F133" s="2">
        <v>5.7529000000000003</v>
      </c>
      <c r="G133" s="2">
        <v>327.83</v>
      </c>
      <c r="H133" s="2">
        <v>15.143000000000001</v>
      </c>
      <c r="I133" s="4">
        <f>F133/E133</f>
        <v>9.3474693313835414E-2</v>
      </c>
      <c r="J133" s="4">
        <f t="shared" si="12"/>
        <v>4.6191623707409334E-2</v>
      </c>
      <c r="N133" s="2">
        <v>10000</v>
      </c>
    </row>
    <row r="134" spans="1:14" x14ac:dyDescent="0.2">
      <c r="A134" s="1" t="s">
        <v>161</v>
      </c>
      <c r="B134" s="1" t="s">
        <v>216</v>
      </c>
      <c r="C134" s="1" t="s">
        <v>144</v>
      </c>
      <c r="D134" s="1" t="s">
        <v>145</v>
      </c>
      <c r="G134" s="2">
        <v>34.508000000000003</v>
      </c>
      <c r="H134" s="2">
        <v>5.8181000000000003</v>
      </c>
      <c r="I134" s="4"/>
      <c r="J134" s="4">
        <f t="shared" si="12"/>
        <v>0.16860148371392139</v>
      </c>
    </row>
    <row r="135" spans="1:14" x14ac:dyDescent="0.2">
      <c r="A135" s="1" t="s">
        <v>423</v>
      </c>
      <c r="B135" s="9" t="s">
        <v>75</v>
      </c>
      <c r="C135" s="1" t="s">
        <v>124</v>
      </c>
      <c r="D135" s="1" t="s">
        <v>422</v>
      </c>
      <c r="E135" s="2" t="s">
        <v>461</v>
      </c>
      <c r="F135" s="2" t="s">
        <v>462</v>
      </c>
      <c r="G135" s="2">
        <v>158.69999999999999</v>
      </c>
      <c r="H135" s="2">
        <v>13.864000000000001</v>
      </c>
      <c r="I135" s="4"/>
      <c r="J135" s="4">
        <f t="shared" si="12"/>
        <v>8.7359798361688737E-2</v>
      </c>
      <c r="N135" s="2">
        <v>10000</v>
      </c>
    </row>
    <row r="136" spans="1:14" x14ac:dyDescent="0.2">
      <c r="A136" s="1" t="s">
        <v>424</v>
      </c>
      <c r="B136" s="9" t="s">
        <v>75</v>
      </c>
      <c r="C136" s="1" t="s">
        <v>108</v>
      </c>
      <c r="D136" s="1" t="s">
        <v>425</v>
      </c>
      <c r="E136" s="2" t="s">
        <v>426</v>
      </c>
      <c r="F136" s="2" t="s">
        <v>427</v>
      </c>
      <c r="G136" s="2">
        <v>116.57</v>
      </c>
      <c r="H136" s="2">
        <v>11.063000000000001</v>
      </c>
      <c r="I136" s="4"/>
      <c r="J136" s="4">
        <f t="shared" si="12"/>
        <v>9.4904349318006356E-2</v>
      </c>
      <c r="N136" s="2">
        <v>10000</v>
      </c>
    </row>
    <row r="137" spans="1:14" x14ac:dyDescent="0.2">
      <c r="A137" s="1" t="s">
        <v>428</v>
      </c>
      <c r="B137" s="9" t="s">
        <v>75</v>
      </c>
      <c r="C137" s="1" t="s">
        <v>174</v>
      </c>
      <c r="D137" s="1" t="s">
        <v>422</v>
      </c>
      <c r="E137" s="2" t="s">
        <v>426</v>
      </c>
      <c r="F137" s="2" t="s">
        <v>427</v>
      </c>
      <c r="G137" s="2">
        <v>157.33000000000001</v>
      </c>
      <c r="H137" s="2">
        <v>13.851000000000001</v>
      </c>
      <c r="I137" s="4"/>
      <c r="J137" s="4">
        <f t="shared" si="12"/>
        <v>8.8037882158520306E-2</v>
      </c>
      <c r="N137" s="2">
        <v>10000</v>
      </c>
    </row>
    <row r="138" spans="1:14" x14ac:dyDescent="0.2">
      <c r="A138" s="1" t="s">
        <v>428</v>
      </c>
      <c r="B138" s="9" t="s">
        <v>75</v>
      </c>
      <c r="C138" s="1" t="s">
        <v>110</v>
      </c>
      <c r="D138" s="1" t="s">
        <v>422</v>
      </c>
      <c r="E138" s="2">
        <v>62.807000000000002</v>
      </c>
      <c r="F138" s="2">
        <v>8.0867000000000004</v>
      </c>
      <c r="G138" s="2">
        <v>357.57</v>
      </c>
      <c r="H138" s="2">
        <v>20.155000000000001</v>
      </c>
      <c r="I138" s="4">
        <f>F138/E138</f>
        <v>0.12875475663540689</v>
      </c>
      <c r="J138" s="4">
        <f t="shared" si="12"/>
        <v>5.6366585563665861E-2</v>
      </c>
      <c r="N138" s="2">
        <v>10000</v>
      </c>
    </row>
    <row r="139" spans="1:14" x14ac:dyDescent="0.2">
      <c r="A139" s="1" t="s">
        <v>442</v>
      </c>
      <c r="B139" s="1" t="s">
        <v>443</v>
      </c>
      <c r="C139" s="1" t="s">
        <v>444</v>
      </c>
      <c r="D139" s="1" t="s">
        <v>50</v>
      </c>
      <c r="E139" s="2">
        <v>43.83</v>
      </c>
      <c r="F139" s="2">
        <v>11.805</v>
      </c>
      <c r="G139" s="2">
        <v>161.6</v>
      </c>
      <c r="H139" s="2">
        <v>10.345000000000001</v>
      </c>
      <c r="I139" s="4">
        <f>F139/E139</f>
        <v>0.26933607118412045</v>
      </c>
      <c r="J139" s="4">
        <f t="shared" si="12"/>
        <v>6.4016089108910892E-2</v>
      </c>
      <c r="N139" s="2">
        <v>30000</v>
      </c>
    </row>
    <row r="140" spans="1:14" x14ac:dyDescent="0.2">
      <c r="A140" s="1" t="s">
        <v>445</v>
      </c>
      <c r="B140" s="1" t="s">
        <v>446</v>
      </c>
      <c r="C140" s="1" t="s">
        <v>447</v>
      </c>
      <c r="D140" s="1" t="s">
        <v>448</v>
      </c>
      <c r="E140" s="2" t="s">
        <v>449</v>
      </c>
      <c r="F140" s="2" t="s">
        <v>436</v>
      </c>
      <c r="G140" s="2">
        <v>147.09</v>
      </c>
      <c r="H140" s="2">
        <v>10.019</v>
      </c>
      <c r="I140" s="2" t="s">
        <v>436</v>
      </c>
      <c r="J140" s="4">
        <f t="shared" si="12"/>
        <v>6.8114759670949751E-2</v>
      </c>
      <c r="N140" s="2">
        <v>85000</v>
      </c>
    </row>
    <row r="141" spans="1:14" x14ac:dyDescent="0.2">
      <c r="A141" s="1" t="s">
        <v>450</v>
      </c>
      <c r="B141" s="1" t="s">
        <v>451</v>
      </c>
      <c r="C141" s="1" t="s">
        <v>452</v>
      </c>
      <c r="D141" s="1" t="s">
        <v>448</v>
      </c>
      <c r="E141" s="2" t="s">
        <v>436</v>
      </c>
      <c r="F141" s="2" t="s">
        <v>436</v>
      </c>
      <c r="G141" s="2">
        <v>270.13</v>
      </c>
      <c r="H141" s="2">
        <v>13.382</v>
      </c>
      <c r="I141" s="2" t="s">
        <v>436</v>
      </c>
      <c r="J141" s="4">
        <f t="shared" si="12"/>
        <v>4.9539110798504427E-2</v>
      </c>
      <c r="N141" s="2">
        <v>95000</v>
      </c>
    </row>
    <row r="142" spans="1:14" x14ac:dyDescent="0.2">
      <c r="A142" s="1" t="s">
        <v>450</v>
      </c>
      <c r="B142" s="1" t="s">
        <v>453</v>
      </c>
      <c r="C142" s="1" t="s">
        <v>454</v>
      </c>
      <c r="D142" s="1" t="s">
        <v>455</v>
      </c>
      <c r="E142" s="2" t="s">
        <v>436</v>
      </c>
      <c r="F142" s="2" t="s">
        <v>436</v>
      </c>
      <c r="G142" s="2">
        <v>228.89</v>
      </c>
      <c r="H142" s="2">
        <v>18.544</v>
      </c>
      <c r="I142" s="2" t="s">
        <v>436</v>
      </c>
      <c r="J142" s="4">
        <f t="shared" si="12"/>
        <v>8.1017082441347379E-2</v>
      </c>
      <c r="N142" s="2">
        <v>100000</v>
      </c>
    </row>
    <row r="143" spans="1:14" x14ac:dyDescent="0.2">
      <c r="A143" s="1" t="s">
        <v>327</v>
      </c>
      <c r="C143" s="1" t="s">
        <v>120</v>
      </c>
      <c r="D143" s="1" t="s">
        <v>45</v>
      </c>
      <c r="E143" s="2">
        <v>6019.8</v>
      </c>
      <c r="F143" s="2">
        <v>18.63</v>
      </c>
      <c r="G143" s="2">
        <v>31703</v>
      </c>
      <c r="H143" s="2">
        <v>55.969000000000001</v>
      </c>
      <c r="I143" s="4"/>
      <c r="J143" s="4">
        <f t="shared" si="12"/>
        <v>1.7654165220957008E-3</v>
      </c>
    </row>
    <row r="144" spans="1:14" x14ac:dyDescent="0.2">
      <c r="A144" s="1" t="s">
        <v>146</v>
      </c>
      <c r="B144" s="1" t="s">
        <v>211</v>
      </c>
      <c r="C144" s="1" t="s">
        <v>9</v>
      </c>
      <c r="D144" s="1" t="s">
        <v>162</v>
      </c>
      <c r="E144" s="2">
        <v>5596.8</v>
      </c>
      <c r="F144" s="2">
        <v>65.686000000000007</v>
      </c>
      <c r="G144" s="2">
        <v>29576</v>
      </c>
      <c r="H144" s="2">
        <v>201.57</v>
      </c>
      <c r="I144" s="4">
        <f t="shared" ref="I144:I175" si="13">F144/E144</f>
        <v>1.1736349342481418E-2</v>
      </c>
      <c r="J144" s="4">
        <f t="shared" si="12"/>
        <v>6.8153232350554498E-3</v>
      </c>
      <c r="N144" s="2">
        <v>10000</v>
      </c>
    </row>
    <row r="145" spans="1:14" x14ac:dyDescent="0.2">
      <c r="A145" s="1" t="s">
        <v>146</v>
      </c>
      <c r="B145" s="1" t="s">
        <v>208</v>
      </c>
      <c r="C145" s="1" t="s">
        <v>144</v>
      </c>
      <c r="D145" s="1" t="s">
        <v>145</v>
      </c>
      <c r="E145" s="2">
        <v>635.67999999999995</v>
      </c>
      <c r="F145" s="2">
        <v>14.228</v>
      </c>
      <c r="G145" s="2">
        <v>3260.6</v>
      </c>
      <c r="H145" s="2">
        <v>36.75</v>
      </c>
      <c r="I145" s="4">
        <f t="shared" si="13"/>
        <v>2.2382330732443997E-2</v>
      </c>
      <c r="J145" s="4">
        <f t="shared" si="12"/>
        <v>1.1270931730356376E-2</v>
      </c>
      <c r="N145" s="2">
        <v>1000000</v>
      </c>
    </row>
    <row r="146" spans="1:14" x14ac:dyDescent="0.2">
      <c r="A146" s="1" t="s">
        <v>163</v>
      </c>
      <c r="B146" s="1" t="s">
        <v>212</v>
      </c>
      <c r="C146" s="1" t="s">
        <v>9</v>
      </c>
      <c r="D146" s="1" t="s">
        <v>162</v>
      </c>
      <c r="E146" s="2">
        <v>3493.5</v>
      </c>
      <c r="F146" s="2">
        <v>89.387</v>
      </c>
      <c r="G146" s="2">
        <v>17785</v>
      </c>
      <c r="H146" s="2">
        <v>251.66</v>
      </c>
      <c r="I146" s="4">
        <f t="shared" si="13"/>
        <v>2.5586660941748964E-2</v>
      </c>
      <c r="J146" s="4">
        <f t="shared" si="12"/>
        <v>1.4150126511104864E-2</v>
      </c>
      <c r="N146" s="2">
        <v>10000</v>
      </c>
    </row>
    <row r="147" spans="1:14" x14ac:dyDescent="0.2">
      <c r="A147" s="1" t="s">
        <v>105</v>
      </c>
      <c r="B147" s="11" t="s">
        <v>83</v>
      </c>
      <c r="C147" s="1" t="s">
        <v>9</v>
      </c>
      <c r="D147" s="1" t="s">
        <v>45</v>
      </c>
      <c r="E147" s="2">
        <v>3811.1</v>
      </c>
      <c r="F147" s="2">
        <v>28.984999999999999</v>
      </c>
      <c r="G147" s="2">
        <v>19863</v>
      </c>
      <c r="H147" s="2">
        <v>94.613</v>
      </c>
      <c r="I147" s="4">
        <f t="shared" si="13"/>
        <v>7.6054157592296192E-3</v>
      </c>
      <c r="J147" s="4">
        <f t="shared" si="12"/>
        <v>4.7632784574334185E-3</v>
      </c>
      <c r="K147" s="2">
        <v>69.56</v>
      </c>
      <c r="L147" s="2">
        <f>18.88-2.09</f>
        <v>16.79</v>
      </c>
      <c r="M147" s="4">
        <f t="shared" ref="M147:M152" si="14">L147/K147</f>
        <v>0.24137435307648072</v>
      </c>
      <c r="N147" s="2">
        <v>10000</v>
      </c>
    </row>
    <row r="148" spans="1:14" x14ac:dyDescent="0.2">
      <c r="A148" s="1" t="s">
        <v>105</v>
      </c>
      <c r="B148" s="11" t="s">
        <v>83</v>
      </c>
      <c r="C148" s="1" t="s">
        <v>106</v>
      </c>
      <c r="D148" s="1" t="s">
        <v>107</v>
      </c>
      <c r="E148" s="2">
        <v>1463.4</v>
      </c>
      <c r="F148" s="2">
        <v>14.634</v>
      </c>
      <c r="G148" s="2">
        <v>7606.1</v>
      </c>
      <c r="H148" s="2">
        <v>46.606000000000002</v>
      </c>
      <c r="I148" s="4">
        <f t="shared" si="13"/>
        <v>0.01</v>
      </c>
      <c r="J148" s="4">
        <f t="shared" si="12"/>
        <v>6.1274503359145952E-3</v>
      </c>
      <c r="K148" s="2">
        <v>41.96</v>
      </c>
      <c r="L148" s="2">
        <f>11-2.09</f>
        <v>8.91</v>
      </c>
      <c r="M148" s="4">
        <f t="shared" si="14"/>
        <v>0.21234509056244041</v>
      </c>
      <c r="N148" s="2">
        <v>10000</v>
      </c>
    </row>
    <row r="149" spans="1:14" x14ac:dyDescent="0.2">
      <c r="A149" s="1" t="s">
        <v>105</v>
      </c>
      <c r="B149" s="11" t="s">
        <v>83</v>
      </c>
      <c r="C149" s="1" t="s">
        <v>57</v>
      </c>
      <c r="D149" s="1" t="s">
        <v>45</v>
      </c>
      <c r="E149" s="2">
        <v>4958.3</v>
      </c>
      <c r="F149" s="2">
        <v>31.324000000000002</v>
      </c>
      <c r="G149" s="2">
        <v>26107</v>
      </c>
      <c r="H149" s="2">
        <v>102.86</v>
      </c>
      <c r="I149" s="4">
        <f t="shared" si="13"/>
        <v>6.3174878486578065E-3</v>
      </c>
      <c r="J149" s="4">
        <f t="shared" si="12"/>
        <v>3.9399394798329953E-3</v>
      </c>
      <c r="K149" s="2">
        <v>89.15</v>
      </c>
      <c r="L149" s="2">
        <f>19.14-2.1</f>
        <v>17.04</v>
      </c>
      <c r="M149" s="4">
        <f t="shared" si="14"/>
        <v>0.19113853056646099</v>
      </c>
      <c r="N149" s="2">
        <v>10000</v>
      </c>
    </row>
    <row r="150" spans="1:14" x14ac:dyDescent="0.2">
      <c r="A150" s="1" t="s">
        <v>105</v>
      </c>
      <c r="B150" s="11" t="s">
        <v>83</v>
      </c>
      <c r="C150" s="1" t="s">
        <v>108</v>
      </c>
      <c r="D150" s="1" t="s">
        <v>45</v>
      </c>
      <c r="E150" s="2">
        <v>1064.5999999999999</v>
      </c>
      <c r="F150" s="2">
        <v>12.598000000000001</v>
      </c>
      <c r="G150" s="2">
        <v>5531.8</v>
      </c>
      <c r="H150" s="2">
        <v>40.479999999999997</v>
      </c>
      <c r="I150" s="4">
        <f t="shared" si="13"/>
        <v>1.1833552507984221E-2</v>
      </c>
      <c r="J150" s="4">
        <f t="shared" si="12"/>
        <v>7.317690444339997E-3</v>
      </c>
      <c r="K150" s="2">
        <v>73.12</v>
      </c>
      <c r="L150" s="2">
        <f>23.46-2.08</f>
        <v>21.380000000000003</v>
      </c>
      <c r="M150" s="4">
        <f t="shared" si="14"/>
        <v>0.29239606126914663</v>
      </c>
      <c r="N150" s="2">
        <v>10000</v>
      </c>
    </row>
    <row r="151" spans="1:14" x14ac:dyDescent="0.2">
      <c r="A151" s="1" t="s">
        <v>105</v>
      </c>
      <c r="B151" s="11" t="s">
        <v>83</v>
      </c>
      <c r="C151" s="1" t="s">
        <v>110</v>
      </c>
      <c r="D151" s="1" t="s">
        <v>45</v>
      </c>
      <c r="E151" s="2">
        <v>3304.8</v>
      </c>
      <c r="F151" s="2">
        <v>28.521000000000001</v>
      </c>
      <c r="G151" s="2">
        <v>17279</v>
      </c>
      <c r="H151" s="2">
        <v>93.334000000000003</v>
      </c>
      <c r="I151" s="4">
        <f t="shared" si="13"/>
        <v>8.6301742919389982E-3</v>
      </c>
      <c r="J151" s="4">
        <f t="shared" si="12"/>
        <v>5.4015857399155043E-3</v>
      </c>
      <c r="K151" s="2">
        <v>47.74</v>
      </c>
      <c r="L151" s="2">
        <f>10.96-2.08</f>
        <v>8.8800000000000008</v>
      </c>
      <c r="M151" s="4">
        <f t="shared" si="14"/>
        <v>0.18600754084625054</v>
      </c>
      <c r="N151" s="2">
        <v>10000</v>
      </c>
    </row>
    <row r="152" spans="1:14" x14ac:dyDescent="0.2">
      <c r="A152" s="1" t="s">
        <v>139</v>
      </c>
      <c r="B152" s="11" t="s">
        <v>140</v>
      </c>
      <c r="C152" s="1" t="s">
        <v>124</v>
      </c>
      <c r="D152" s="1" t="s">
        <v>100</v>
      </c>
      <c r="E152" s="2">
        <v>1744.8</v>
      </c>
      <c r="F152" s="2">
        <v>22.766999999999999</v>
      </c>
      <c r="G152" s="2">
        <v>9339.5</v>
      </c>
      <c r="H152" s="2">
        <v>72.481999999999999</v>
      </c>
      <c r="I152" s="4">
        <f t="shared" si="13"/>
        <v>1.3048486932599725E-2</v>
      </c>
      <c r="J152" s="4">
        <f t="shared" si="12"/>
        <v>7.7608008994057495E-3</v>
      </c>
      <c r="K152" s="2">
        <v>70.56</v>
      </c>
      <c r="L152" s="2">
        <f>16.98-2.11</f>
        <v>14.870000000000001</v>
      </c>
      <c r="M152" s="4">
        <f t="shared" si="14"/>
        <v>0.21074263038548754</v>
      </c>
      <c r="N152" s="2">
        <v>10000</v>
      </c>
    </row>
    <row r="153" spans="1:14" x14ac:dyDescent="0.2">
      <c r="A153" s="3" t="s">
        <v>139</v>
      </c>
      <c r="B153" s="11" t="s">
        <v>83</v>
      </c>
      <c r="C153" s="3" t="s">
        <v>5</v>
      </c>
      <c r="D153" s="3" t="s">
        <v>45</v>
      </c>
      <c r="E153" s="14" t="s">
        <v>251</v>
      </c>
      <c r="F153" s="14" t="s">
        <v>252</v>
      </c>
      <c r="G153" s="14" t="s">
        <v>253</v>
      </c>
      <c r="H153" s="14" t="s">
        <v>254</v>
      </c>
      <c r="I153" s="4">
        <f t="shared" si="13"/>
        <v>1.3048486932599725E-2</v>
      </c>
      <c r="J153" s="4">
        <f t="shared" si="12"/>
        <v>7.7608008994057495E-3</v>
      </c>
      <c r="M153" s="4"/>
      <c r="N153" s="2">
        <v>10000</v>
      </c>
    </row>
    <row r="154" spans="1:14" x14ac:dyDescent="0.2">
      <c r="A154" s="1" t="s">
        <v>105</v>
      </c>
      <c r="B154" s="11" t="s">
        <v>83</v>
      </c>
      <c r="C154" s="1" t="s">
        <v>101</v>
      </c>
      <c r="D154" s="1" t="s">
        <v>45</v>
      </c>
      <c r="E154" s="2">
        <v>4678.8</v>
      </c>
      <c r="F154" s="2">
        <v>34.54</v>
      </c>
      <c r="G154" s="2">
        <v>24438</v>
      </c>
      <c r="H154" s="2">
        <v>112.4</v>
      </c>
      <c r="I154" s="4">
        <f t="shared" si="13"/>
        <v>7.3822347610498417E-3</v>
      </c>
      <c r="J154" s="4">
        <f t="shared" si="12"/>
        <v>4.599394385792618E-3</v>
      </c>
      <c r="K154" s="2">
        <v>50.8</v>
      </c>
      <c r="L154" s="2">
        <f>13.79-2.11</f>
        <v>11.68</v>
      </c>
      <c r="M154" s="4">
        <f>L154/K154</f>
        <v>0.22992125984251968</v>
      </c>
      <c r="N154" s="2">
        <v>10000</v>
      </c>
    </row>
    <row r="155" spans="1:14" x14ac:dyDescent="0.2">
      <c r="A155" s="1" t="s">
        <v>105</v>
      </c>
      <c r="B155" s="11" t="s">
        <v>83</v>
      </c>
      <c r="C155" s="1" t="s">
        <v>7</v>
      </c>
      <c r="D155" s="1" t="s">
        <v>109</v>
      </c>
      <c r="E155" s="2">
        <v>2366.4</v>
      </c>
      <c r="F155" s="2">
        <v>26.591999999999999</v>
      </c>
      <c r="G155" s="2">
        <v>12339</v>
      </c>
      <c r="H155" s="2">
        <v>85.082999999999998</v>
      </c>
      <c r="I155" s="4">
        <f t="shared" si="13"/>
        <v>1.1237322515212981E-2</v>
      </c>
      <c r="J155" s="4">
        <f t="shared" si="12"/>
        <v>6.8954534403112078E-3</v>
      </c>
      <c r="K155" s="2">
        <v>44.06</v>
      </c>
      <c r="L155" s="2">
        <f>11.19-2.09</f>
        <v>9.1</v>
      </c>
      <c r="M155" s="4">
        <f>L155/K155</f>
        <v>0.20653654108034497</v>
      </c>
      <c r="N155" s="2">
        <v>10000</v>
      </c>
    </row>
    <row r="156" spans="1:14" x14ac:dyDescent="0.2">
      <c r="A156" s="1" t="s">
        <v>105</v>
      </c>
      <c r="B156" s="11" t="s">
        <v>83</v>
      </c>
      <c r="C156" s="1" t="s">
        <v>12</v>
      </c>
      <c r="D156" s="1" t="s">
        <v>45</v>
      </c>
      <c r="E156" s="2">
        <v>3162.5</v>
      </c>
      <c r="F156" s="2">
        <v>29.891999999999999</v>
      </c>
      <c r="G156" s="2">
        <v>16779</v>
      </c>
      <c r="H156" s="2">
        <v>97.759</v>
      </c>
      <c r="I156" s="4">
        <f t="shared" si="13"/>
        <v>9.4520158102766802E-3</v>
      </c>
      <c r="J156" s="4">
        <f t="shared" si="12"/>
        <v>5.826270933905477E-3</v>
      </c>
      <c r="K156" s="2">
        <v>38.68</v>
      </c>
      <c r="L156" s="2">
        <f>11.93-2.07</f>
        <v>9.86</v>
      </c>
      <c r="M156" s="4">
        <f>L156/K156</f>
        <v>0.25491209927611169</v>
      </c>
      <c r="N156" s="2">
        <v>10000</v>
      </c>
    </row>
    <row r="157" spans="1:14" x14ac:dyDescent="0.2">
      <c r="A157" s="1" t="s">
        <v>188</v>
      </c>
      <c r="B157" s="1" t="s">
        <v>213</v>
      </c>
      <c r="C157" s="1" t="s">
        <v>193</v>
      </c>
      <c r="D157" s="1" t="s">
        <v>148</v>
      </c>
      <c r="E157" s="2">
        <v>4068.9</v>
      </c>
      <c r="F157" s="2">
        <v>40.39</v>
      </c>
      <c r="G157" s="2">
        <v>21366</v>
      </c>
      <c r="H157" s="2">
        <v>126.09</v>
      </c>
      <c r="I157" s="4">
        <f t="shared" si="13"/>
        <v>9.9265157659318235E-3</v>
      </c>
      <c r="J157" s="4">
        <f t="shared" si="12"/>
        <v>5.9014321819713562E-3</v>
      </c>
      <c r="N157" s="2">
        <v>10000</v>
      </c>
    </row>
    <row r="158" spans="1:14" x14ac:dyDescent="0.2">
      <c r="A158" s="3" t="s">
        <v>186</v>
      </c>
      <c r="B158" s="1" t="s">
        <v>95</v>
      </c>
      <c r="C158" s="3" t="s">
        <v>9</v>
      </c>
      <c r="D158" s="3" t="s">
        <v>45</v>
      </c>
      <c r="E158" s="14" t="s">
        <v>271</v>
      </c>
      <c r="F158" s="14" t="s">
        <v>272</v>
      </c>
      <c r="G158" s="14" t="s">
        <v>273</v>
      </c>
      <c r="H158" s="14">
        <v>126.09</v>
      </c>
      <c r="I158" s="4">
        <f t="shared" si="13"/>
        <v>9.9265157659318235E-3</v>
      </c>
      <c r="J158" s="4">
        <f t="shared" si="12"/>
        <v>5.9014321819713562E-3</v>
      </c>
      <c r="M158" s="4"/>
      <c r="N158" s="2">
        <v>10000</v>
      </c>
    </row>
    <row r="159" spans="1:14" x14ac:dyDescent="0.2">
      <c r="A159" s="1" t="s">
        <v>191</v>
      </c>
      <c r="B159" s="1" t="s">
        <v>213</v>
      </c>
      <c r="C159" s="1" t="s">
        <v>192</v>
      </c>
      <c r="D159" s="1" t="s">
        <v>148</v>
      </c>
      <c r="E159" s="2">
        <v>3582.6</v>
      </c>
      <c r="F159" s="2">
        <v>31.573</v>
      </c>
      <c r="G159" s="2">
        <v>18614</v>
      </c>
      <c r="H159" s="2">
        <v>99.489000000000004</v>
      </c>
      <c r="I159" s="4">
        <f t="shared" si="13"/>
        <v>8.8128733322168258E-3</v>
      </c>
      <c r="J159" s="4">
        <f t="shared" si="12"/>
        <v>5.3448479638981417E-3</v>
      </c>
      <c r="N159" s="2">
        <v>10000</v>
      </c>
    </row>
    <row r="160" spans="1:14" x14ac:dyDescent="0.2">
      <c r="A160" s="3" t="s">
        <v>298</v>
      </c>
      <c r="B160" s="1" t="s">
        <v>95</v>
      </c>
      <c r="C160" s="3" t="s">
        <v>10</v>
      </c>
      <c r="D160" s="3" t="s">
        <v>259</v>
      </c>
      <c r="E160" s="14" t="s">
        <v>267</v>
      </c>
      <c r="F160" s="14" t="s">
        <v>268</v>
      </c>
      <c r="G160" s="14" t="s">
        <v>269</v>
      </c>
      <c r="H160" s="14" t="s">
        <v>270</v>
      </c>
      <c r="I160" s="4">
        <f t="shared" si="13"/>
        <v>8.8128733322168258E-3</v>
      </c>
      <c r="J160" s="4">
        <f t="shared" si="12"/>
        <v>5.3448479638981417E-3</v>
      </c>
      <c r="M160" s="4"/>
      <c r="N160" s="2">
        <v>10000</v>
      </c>
    </row>
    <row r="161" spans="1:14" x14ac:dyDescent="0.2">
      <c r="A161" s="1" t="s">
        <v>186</v>
      </c>
      <c r="B161" s="1" t="s">
        <v>213</v>
      </c>
      <c r="C161" s="1" t="s">
        <v>187</v>
      </c>
      <c r="D161" s="1" t="s">
        <v>148</v>
      </c>
      <c r="E161" s="2">
        <v>1712.4</v>
      </c>
      <c r="F161" s="2">
        <v>26.957000000000001</v>
      </c>
      <c r="G161" s="2">
        <v>9103.7999999999993</v>
      </c>
      <c r="H161" s="2">
        <v>84.01</v>
      </c>
      <c r="I161" s="4">
        <f t="shared" si="13"/>
        <v>1.5742233123102078E-2</v>
      </c>
      <c r="J161" s="4">
        <f t="shared" si="12"/>
        <v>9.2280146751905802E-3</v>
      </c>
      <c r="N161" s="2">
        <v>10000</v>
      </c>
    </row>
    <row r="162" spans="1:14" x14ac:dyDescent="0.2">
      <c r="A162" s="1" t="s">
        <v>191</v>
      </c>
      <c r="B162" s="1" t="s">
        <v>213</v>
      </c>
      <c r="C162" s="1" t="s">
        <v>184</v>
      </c>
      <c r="D162" s="1" t="s">
        <v>148</v>
      </c>
      <c r="E162" s="2">
        <v>3381.1</v>
      </c>
      <c r="F162" s="2">
        <v>61.649000000000001</v>
      </c>
      <c r="G162" s="2">
        <v>18191</v>
      </c>
      <c r="H162" s="2">
        <v>189.56</v>
      </c>
      <c r="I162" s="4">
        <f t="shared" si="13"/>
        <v>1.8233415160746502E-2</v>
      </c>
      <c r="J162" s="4">
        <f t="shared" si="12"/>
        <v>1.0420537628497609E-2</v>
      </c>
      <c r="N162" s="2">
        <v>10000</v>
      </c>
    </row>
    <row r="163" spans="1:14" x14ac:dyDescent="0.2">
      <c r="A163" s="3" t="s">
        <v>299</v>
      </c>
      <c r="B163" s="1" t="s">
        <v>95</v>
      </c>
      <c r="C163" s="3" t="s">
        <v>11</v>
      </c>
      <c r="D163" s="3" t="s">
        <v>259</v>
      </c>
      <c r="E163" s="14" t="s">
        <v>264</v>
      </c>
      <c r="F163" s="14" t="s">
        <v>265</v>
      </c>
      <c r="G163" s="14" t="s">
        <v>266</v>
      </c>
      <c r="H163" s="14">
        <v>189.56</v>
      </c>
      <c r="I163" s="4">
        <f t="shared" si="13"/>
        <v>1.8233415160746502E-2</v>
      </c>
      <c r="J163" s="4">
        <f t="shared" si="12"/>
        <v>1.0420537628497609E-2</v>
      </c>
      <c r="M163" s="4"/>
      <c r="N163" s="2">
        <v>10000</v>
      </c>
    </row>
    <row r="164" spans="1:14" x14ac:dyDescent="0.2">
      <c r="A164" s="1" t="s">
        <v>188</v>
      </c>
      <c r="B164" s="1" t="s">
        <v>213</v>
      </c>
      <c r="C164" s="1" t="s">
        <v>189</v>
      </c>
      <c r="D164" s="1" t="s">
        <v>190</v>
      </c>
      <c r="E164" s="2">
        <v>1872.7</v>
      </c>
      <c r="F164" s="2">
        <v>38.591999999999999</v>
      </c>
      <c r="G164" s="2">
        <v>9776.2000000000007</v>
      </c>
      <c r="H164" s="2">
        <v>115.71</v>
      </c>
      <c r="I164" s="4">
        <f t="shared" si="13"/>
        <v>2.0607678752603192E-2</v>
      </c>
      <c r="J164" s="4">
        <f t="shared" ref="J164:J195" si="15">H164/G164</f>
        <v>1.1835887154518113E-2</v>
      </c>
      <c r="N164" s="2">
        <v>10000</v>
      </c>
    </row>
    <row r="165" spans="1:14" x14ac:dyDescent="0.2">
      <c r="A165" s="3" t="s">
        <v>298</v>
      </c>
      <c r="B165" s="1" t="s">
        <v>95</v>
      </c>
      <c r="C165" s="3" t="s">
        <v>7</v>
      </c>
      <c r="D165" s="3" t="s">
        <v>259</v>
      </c>
      <c r="E165" s="14" t="s">
        <v>260</v>
      </c>
      <c r="F165" s="14" t="s">
        <v>261</v>
      </c>
      <c r="G165" s="14" t="s">
        <v>262</v>
      </c>
      <c r="H165" s="14" t="s">
        <v>263</v>
      </c>
      <c r="I165" s="4">
        <f t="shared" si="13"/>
        <v>2.0607678752603192E-2</v>
      </c>
      <c r="J165" s="4">
        <f t="shared" si="15"/>
        <v>1.1835887154518113E-2</v>
      </c>
      <c r="M165" s="4"/>
      <c r="N165" s="2">
        <v>10000</v>
      </c>
    </row>
    <row r="166" spans="1:14" x14ac:dyDescent="0.2">
      <c r="A166" s="1" t="s">
        <v>188</v>
      </c>
      <c r="B166" s="1" t="s">
        <v>213</v>
      </c>
      <c r="C166" s="1" t="s">
        <v>194</v>
      </c>
      <c r="D166" s="1" t="s">
        <v>148</v>
      </c>
      <c r="E166" s="2">
        <v>4218.5</v>
      </c>
      <c r="F166" s="2">
        <v>64.683000000000007</v>
      </c>
      <c r="G166" s="2">
        <v>22370</v>
      </c>
      <c r="H166" s="2">
        <v>199.9</v>
      </c>
      <c r="I166" s="4">
        <f t="shared" si="13"/>
        <v>1.5333175299276997E-2</v>
      </c>
      <c r="J166" s="4">
        <f t="shared" si="15"/>
        <v>8.9360751005811354E-3</v>
      </c>
      <c r="N166" s="2">
        <v>10000</v>
      </c>
    </row>
    <row r="167" spans="1:14" x14ac:dyDescent="0.2">
      <c r="A167" s="3" t="s">
        <v>299</v>
      </c>
      <c r="B167" s="1" t="s">
        <v>95</v>
      </c>
      <c r="C167" s="3" t="s">
        <v>33</v>
      </c>
      <c r="D167" s="3" t="s">
        <v>259</v>
      </c>
      <c r="E167" s="14" t="s">
        <v>274</v>
      </c>
      <c r="F167" s="14" t="s">
        <v>275</v>
      </c>
      <c r="G167" s="14" t="s">
        <v>276</v>
      </c>
      <c r="H167" s="14">
        <v>199.9</v>
      </c>
      <c r="I167" s="4">
        <f t="shared" si="13"/>
        <v>1.5333175299276997E-2</v>
      </c>
      <c r="J167" s="4">
        <f t="shared" si="15"/>
        <v>8.9360751005811354E-3</v>
      </c>
      <c r="M167" s="4"/>
      <c r="N167" s="2">
        <v>10000</v>
      </c>
    </row>
    <row r="168" spans="1:14" x14ac:dyDescent="0.2">
      <c r="A168" s="1" t="s">
        <v>143</v>
      </c>
      <c r="B168" s="1" t="s">
        <v>213</v>
      </c>
      <c r="C168" s="1" t="s">
        <v>9</v>
      </c>
      <c r="D168" s="1" t="s">
        <v>45</v>
      </c>
      <c r="E168" s="2">
        <v>4395.8999999999996</v>
      </c>
      <c r="F168" s="2">
        <v>38.362000000000002</v>
      </c>
      <c r="G168" s="2">
        <v>23336</v>
      </c>
      <c r="H168" s="2">
        <v>120.89</v>
      </c>
      <c r="I168" s="4">
        <f t="shared" si="13"/>
        <v>8.7267681248436053E-3</v>
      </c>
      <c r="J168" s="4">
        <f t="shared" si="15"/>
        <v>5.1804079533767566E-3</v>
      </c>
      <c r="N168" s="2">
        <v>10000</v>
      </c>
    </row>
    <row r="169" spans="1:14" x14ac:dyDescent="0.2">
      <c r="A169" s="1" t="s">
        <v>143</v>
      </c>
      <c r="B169" s="1" t="s">
        <v>207</v>
      </c>
      <c r="C169" s="1" t="s">
        <v>144</v>
      </c>
      <c r="D169" s="1" t="s">
        <v>145</v>
      </c>
      <c r="E169" s="2">
        <v>367.76</v>
      </c>
      <c r="F169" s="2">
        <v>3.8889</v>
      </c>
      <c r="G169" s="2">
        <v>1989.6</v>
      </c>
      <c r="H169" s="2">
        <v>11.542</v>
      </c>
      <c r="I169" s="4">
        <f t="shared" si="13"/>
        <v>1.0574559495323037E-2</v>
      </c>
      <c r="J169" s="4">
        <f t="shared" si="15"/>
        <v>5.801166063530358E-3</v>
      </c>
      <c r="N169" s="2">
        <v>60000</v>
      </c>
    </row>
    <row r="170" spans="1:14" x14ac:dyDescent="0.2">
      <c r="A170" s="1" t="s">
        <v>204</v>
      </c>
      <c r="B170" s="1" t="s">
        <v>218</v>
      </c>
      <c r="C170" s="1" t="s">
        <v>9</v>
      </c>
      <c r="D170" s="1" t="s">
        <v>148</v>
      </c>
      <c r="E170" s="2">
        <v>3829.4</v>
      </c>
      <c r="F170" s="2">
        <v>36.290999999999997</v>
      </c>
      <c r="G170" s="2">
        <v>20142</v>
      </c>
      <c r="H170" s="2">
        <v>114.09</v>
      </c>
      <c r="I170" s="4">
        <f t="shared" si="13"/>
        <v>9.476941557424139E-3</v>
      </c>
      <c r="J170" s="4">
        <f t="shared" si="15"/>
        <v>5.6642835865355979E-3</v>
      </c>
      <c r="N170" s="2">
        <v>10000</v>
      </c>
    </row>
    <row r="171" spans="1:14" x14ac:dyDescent="0.2">
      <c r="A171" s="1" t="s">
        <v>421</v>
      </c>
      <c r="B171" s="11" t="s">
        <v>25</v>
      </c>
      <c r="C171" s="1" t="s">
        <v>463</v>
      </c>
      <c r="D171" s="1" t="s">
        <v>422</v>
      </c>
      <c r="E171" s="2">
        <v>1853.4</v>
      </c>
      <c r="F171" s="2">
        <v>23.946000000000002</v>
      </c>
      <c r="G171" s="2">
        <v>9786.4</v>
      </c>
      <c r="H171" s="2">
        <v>69.825000000000003</v>
      </c>
      <c r="I171" s="4">
        <f t="shared" si="13"/>
        <v>1.292003884752347E-2</v>
      </c>
      <c r="J171" s="4">
        <f t="shared" si="15"/>
        <v>7.1349014959535689E-3</v>
      </c>
      <c r="N171" s="2">
        <v>10000</v>
      </c>
    </row>
    <row r="172" spans="1:14" x14ac:dyDescent="0.2">
      <c r="A172" s="1" t="s">
        <v>177</v>
      </c>
      <c r="B172" s="1" t="s">
        <v>213</v>
      </c>
      <c r="C172" s="1" t="s">
        <v>9</v>
      </c>
      <c r="D172" s="1" t="s">
        <v>179</v>
      </c>
      <c r="E172" s="2">
        <v>2299.4</v>
      </c>
      <c r="F172" s="2">
        <v>81.275000000000006</v>
      </c>
      <c r="G172" s="2">
        <v>12200</v>
      </c>
      <c r="H172" s="2">
        <v>248.92</v>
      </c>
      <c r="I172" s="4">
        <f t="shared" si="13"/>
        <v>3.5346177263633989E-2</v>
      </c>
      <c r="J172" s="4">
        <f t="shared" si="15"/>
        <v>2.0403278688524588E-2</v>
      </c>
      <c r="N172" s="2">
        <v>1000</v>
      </c>
    </row>
    <row r="173" spans="1:14" x14ac:dyDescent="0.2">
      <c r="A173" s="1" t="s">
        <v>177</v>
      </c>
      <c r="B173" s="1" t="s">
        <v>213</v>
      </c>
      <c r="C173" s="1" t="s">
        <v>10</v>
      </c>
      <c r="D173" s="1" t="s">
        <v>178</v>
      </c>
      <c r="E173" s="2">
        <v>2409.5</v>
      </c>
      <c r="F173" s="2">
        <v>86.45</v>
      </c>
      <c r="G173" s="2">
        <v>13640</v>
      </c>
      <c r="H173" s="2">
        <v>284.25</v>
      </c>
      <c r="I173" s="4">
        <f t="shared" si="13"/>
        <v>3.5878813031749328E-2</v>
      </c>
      <c r="J173" s="4">
        <f t="shared" si="15"/>
        <v>2.0839442815249267E-2</v>
      </c>
      <c r="N173" s="2">
        <v>831</v>
      </c>
    </row>
    <row r="174" spans="1:14" x14ac:dyDescent="0.2">
      <c r="A174" s="3" t="s">
        <v>177</v>
      </c>
      <c r="B174" s="1" t="s">
        <v>95</v>
      </c>
      <c r="C174" s="3" t="s">
        <v>224</v>
      </c>
      <c r="D174" s="3" t="s">
        <v>225</v>
      </c>
      <c r="E174" s="14" t="s">
        <v>226</v>
      </c>
      <c r="F174" s="14" t="s">
        <v>227</v>
      </c>
      <c r="G174" s="14">
        <v>136.4</v>
      </c>
      <c r="H174" s="14">
        <v>284.25</v>
      </c>
      <c r="I174" s="4">
        <f t="shared" si="13"/>
        <v>0.35878813031749324</v>
      </c>
      <c r="J174" s="4">
        <f t="shared" si="15"/>
        <v>2.0839442815249267</v>
      </c>
      <c r="M174" s="4"/>
      <c r="N174" s="2">
        <v>800</v>
      </c>
    </row>
    <row r="175" spans="1:14" x14ac:dyDescent="0.2">
      <c r="A175" s="1" t="s">
        <v>195</v>
      </c>
      <c r="B175" s="1" t="s">
        <v>213</v>
      </c>
      <c r="C175" s="1" t="s">
        <v>184</v>
      </c>
      <c r="D175" s="1" t="s">
        <v>196</v>
      </c>
      <c r="E175" s="2">
        <v>1605.8</v>
      </c>
      <c r="F175" s="2">
        <v>24.03</v>
      </c>
      <c r="G175" s="2">
        <v>8373.2999999999993</v>
      </c>
      <c r="H175" s="2">
        <v>74.441999999999993</v>
      </c>
      <c r="I175" s="4">
        <f t="shared" si="13"/>
        <v>1.4964503674181095E-2</v>
      </c>
      <c r="J175" s="4">
        <f t="shared" si="15"/>
        <v>8.8904016337644654E-3</v>
      </c>
      <c r="N175" s="2">
        <v>10000</v>
      </c>
    </row>
    <row r="176" spans="1:14" x14ac:dyDescent="0.2">
      <c r="A176" s="3" t="s">
        <v>177</v>
      </c>
      <c r="B176" s="1" t="s">
        <v>95</v>
      </c>
      <c r="C176" s="3" t="s">
        <v>11</v>
      </c>
      <c r="D176" s="3" t="s">
        <v>259</v>
      </c>
      <c r="E176" s="14" t="s">
        <v>277</v>
      </c>
      <c r="F176" s="14" t="s">
        <v>278</v>
      </c>
      <c r="G176" s="14" t="s">
        <v>279</v>
      </c>
      <c r="H176" s="14" t="s">
        <v>280</v>
      </c>
      <c r="I176" s="4">
        <f t="shared" ref="I176:I202" si="16">F176/E176</f>
        <v>1.4964503674181095E-2</v>
      </c>
      <c r="J176" s="4">
        <f t="shared" si="15"/>
        <v>8.8904016337644654E-3</v>
      </c>
      <c r="M176" s="4"/>
      <c r="N176" s="2">
        <v>10000</v>
      </c>
    </row>
    <row r="177" spans="1:14" x14ac:dyDescent="0.2">
      <c r="A177" s="1" t="s">
        <v>177</v>
      </c>
      <c r="B177" s="1" t="s">
        <v>214</v>
      </c>
      <c r="C177" s="1" t="s">
        <v>49</v>
      </c>
      <c r="D177" s="1" t="s">
        <v>148</v>
      </c>
      <c r="E177" s="2">
        <v>1096.5</v>
      </c>
      <c r="F177" s="2">
        <v>75.826999999999998</v>
      </c>
      <c r="G177" s="2">
        <v>6287.7</v>
      </c>
      <c r="H177" s="2">
        <v>250.9</v>
      </c>
      <c r="I177" s="4">
        <f t="shared" si="16"/>
        <v>6.9153670770633835E-2</v>
      </c>
      <c r="J177" s="4">
        <f t="shared" si="15"/>
        <v>3.9903303274647327E-2</v>
      </c>
      <c r="N177" s="2">
        <v>1000</v>
      </c>
    </row>
    <row r="178" spans="1:14" x14ac:dyDescent="0.2">
      <c r="A178" s="3" t="s">
        <v>255</v>
      </c>
      <c r="B178" s="1" t="s">
        <v>95</v>
      </c>
      <c r="C178" s="6" t="s">
        <v>49</v>
      </c>
      <c r="D178" s="3" t="s">
        <v>45</v>
      </c>
      <c r="E178" s="14" t="s">
        <v>221</v>
      </c>
      <c r="F178" s="14" t="s">
        <v>222</v>
      </c>
      <c r="G178" s="14" t="s">
        <v>223</v>
      </c>
      <c r="H178" s="14">
        <v>250.9</v>
      </c>
      <c r="I178" s="4">
        <f t="shared" si="16"/>
        <v>6.9153670770633835E-2</v>
      </c>
      <c r="J178" s="4">
        <f t="shared" si="15"/>
        <v>3.9903303274647327E-2</v>
      </c>
      <c r="M178" s="4"/>
      <c r="N178" s="2">
        <v>1000</v>
      </c>
    </row>
    <row r="179" spans="1:14" x14ac:dyDescent="0.2">
      <c r="A179" s="1" t="s">
        <v>177</v>
      </c>
      <c r="B179" s="1" t="s">
        <v>213</v>
      </c>
      <c r="C179" s="1" t="s">
        <v>180</v>
      </c>
      <c r="D179" s="1" t="s">
        <v>148</v>
      </c>
      <c r="E179" s="2">
        <v>1108.2</v>
      </c>
      <c r="F179" s="2">
        <v>90.424999999999997</v>
      </c>
      <c r="G179" s="2">
        <v>5573.8</v>
      </c>
      <c r="H179" s="2">
        <v>276.18</v>
      </c>
      <c r="I179" s="4">
        <f t="shared" si="16"/>
        <v>8.1596282259519939E-2</v>
      </c>
      <c r="J179" s="4">
        <f t="shared" si="15"/>
        <v>4.9549678854641357E-2</v>
      </c>
      <c r="N179" s="2">
        <v>1000</v>
      </c>
    </row>
    <row r="180" spans="1:14" x14ac:dyDescent="0.2">
      <c r="A180" s="3" t="s">
        <v>177</v>
      </c>
      <c r="B180" s="1" t="s">
        <v>95</v>
      </c>
      <c r="C180" s="3" t="s">
        <v>33</v>
      </c>
      <c r="D180" s="3" t="s">
        <v>45</v>
      </c>
      <c r="E180" s="14" t="s">
        <v>228</v>
      </c>
      <c r="F180" s="14" t="s">
        <v>229</v>
      </c>
      <c r="G180" s="14" t="s">
        <v>230</v>
      </c>
      <c r="H180" s="14">
        <v>276.18</v>
      </c>
      <c r="I180" s="4">
        <f t="shared" si="16"/>
        <v>8.1596282259519939E-2</v>
      </c>
      <c r="J180" s="4">
        <f t="shared" si="15"/>
        <v>4.9549678854641357E-2</v>
      </c>
      <c r="M180" s="4"/>
      <c r="N180" s="2">
        <v>1000</v>
      </c>
    </row>
    <row r="181" spans="1:14" x14ac:dyDescent="0.2">
      <c r="A181" s="1" t="s">
        <v>177</v>
      </c>
      <c r="B181" s="1" t="s">
        <v>213</v>
      </c>
      <c r="C181" s="1" t="s">
        <v>197</v>
      </c>
      <c r="D181" s="1" t="s">
        <v>148</v>
      </c>
      <c r="E181" s="2">
        <v>756.42</v>
      </c>
      <c r="F181" s="2">
        <v>15.154</v>
      </c>
      <c r="G181" s="2">
        <v>3946.9</v>
      </c>
      <c r="H181" s="2">
        <v>46.53</v>
      </c>
      <c r="I181" s="4">
        <f t="shared" si="16"/>
        <v>2.0033843631844742E-2</v>
      </c>
      <c r="J181" s="4">
        <f t="shared" si="15"/>
        <v>1.1788998961210063E-2</v>
      </c>
      <c r="N181" s="2">
        <v>10000</v>
      </c>
    </row>
    <row r="182" spans="1:14" x14ac:dyDescent="0.2">
      <c r="A182" s="3" t="s">
        <v>177</v>
      </c>
      <c r="B182" s="1" t="s">
        <v>95</v>
      </c>
      <c r="C182" s="3" t="s">
        <v>12</v>
      </c>
      <c r="D182" s="3" t="s">
        <v>45</v>
      </c>
      <c r="E182" s="14">
        <v>756.42</v>
      </c>
      <c r="F182" s="14" t="s">
        <v>281</v>
      </c>
      <c r="G182" s="14" t="s">
        <v>282</v>
      </c>
      <c r="H182" s="14" t="s">
        <v>283</v>
      </c>
      <c r="I182" s="4">
        <f t="shared" si="16"/>
        <v>2.0033843631844742E-2</v>
      </c>
      <c r="J182" s="4">
        <f t="shared" si="15"/>
        <v>1.1788998961210063E-2</v>
      </c>
      <c r="M182" s="4"/>
      <c r="N182" s="2">
        <v>10000</v>
      </c>
    </row>
    <row r="183" spans="1:14" x14ac:dyDescent="0.2">
      <c r="A183" s="1" t="s">
        <v>183</v>
      </c>
      <c r="B183" s="1" t="s">
        <v>215</v>
      </c>
      <c r="C183" s="1" t="s">
        <v>9</v>
      </c>
      <c r="D183" s="1" t="s">
        <v>148</v>
      </c>
      <c r="E183" s="2">
        <v>1596.2</v>
      </c>
      <c r="F183" s="2">
        <v>60.091999999999999</v>
      </c>
      <c r="G183" s="2">
        <v>7856.4</v>
      </c>
      <c r="H183" s="2">
        <v>185.07</v>
      </c>
      <c r="I183" s="4">
        <f t="shared" si="16"/>
        <v>3.7646911414609699E-2</v>
      </c>
      <c r="J183" s="4">
        <f t="shared" si="15"/>
        <v>2.3556590804948832E-2</v>
      </c>
      <c r="N183" s="2">
        <v>1000</v>
      </c>
    </row>
    <row r="184" spans="1:14" x14ac:dyDescent="0.2">
      <c r="A184" s="3" t="s">
        <v>256</v>
      </c>
      <c r="B184" s="1" t="s">
        <v>215</v>
      </c>
      <c r="C184" s="6" t="s">
        <v>9</v>
      </c>
      <c r="D184" s="3" t="s">
        <v>225</v>
      </c>
      <c r="E184" s="14" t="s">
        <v>238</v>
      </c>
      <c r="F184" s="14" t="s">
        <v>239</v>
      </c>
      <c r="G184" s="14" t="s">
        <v>240</v>
      </c>
      <c r="H184" s="14">
        <v>185.07</v>
      </c>
      <c r="I184" s="4">
        <f t="shared" si="16"/>
        <v>3.7646911414609699E-2</v>
      </c>
      <c r="J184" s="4">
        <f t="shared" si="15"/>
        <v>2.3556590804948832E-2</v>
      </c>
      <c r="M184" s="4"/>
      <c r="N184" s="2">
        <v>1000</v>
      </c>
    </row>
    <row r="185" spans="1:14" x14ac:dyDescent="0.2">
      <c r="A185" s="1" t="s">
        <v>183</v>
      </c>
      <c r="B185" s="1" t="s">
        <v>215</v>
      </c>
      <c r="C185" s="1" t="s">
        <v>10</v>
      </c>
      <c r="D185" s="1" t="s">
        <v>175</v>
      </c>
      <c r="E185" s="2">
        <v>1315.8</v>
      </c>
      <c r="F185" s="2">
        <v>17.934000000000001</v>
      </c>
      <c r="G185" s="2">
        <v>7024.4</v>
      </c>
      <c r="H185" s="2">
        <v>56.844000000000001</v>
      </c>
      <c r="I185" s="4">
        <f t="shared" si="16"/>
        <v>1.3629730962152304E-2</v>
      </c>
      <c r="J185" s="4">
        <f t="shared" si="15"/>
        <v>8.092363760605889E-3</v>
      </c>
      <c r="N185" s="2">
        <v>10000</v>
      </c>
    </row>
    <row r="186" spans="1:14" x14ac:dyDescent="0.2">
      <c r="A186" s="3" t="s">
        <v>300</v>
      </c>
      <c r="B186" s="1" t="s">
        <v>215</v>
      </c>
      <c r="C186" s="3" t="s">
        <v>284</v>
      </c>
      <c r="D186" s="3" t="s">
        <v>45</v>
      </c>
      <c r="E186" s="14" t="s">
        <v>285</v>
      </c>
      <c r="F186" s="14" t="s">
        <v>286</v>
      </c>
      <c r="G186" s="14" t="s">
        <v>287</v>
      </c>
      <c r="H186" s="14" t="s">
        <v>288</v>
      </c>
      <c r="I186" s="4">
        <f t="shared" si="16"/>
        <v>1.3629730962152304E-2</v>
      </c>
      <c r="J186" s="4">
        <f t="shared" si="15"/>
        <v>8.092363760605889E-3</v>
      </c>
      <c r="M186" s="4"/>
      <c r="N186" s="2">
        <v>10000</v>
      </c>
    </row>
    <row r="187" spans="1:14" x14ac:dyDescent="0.2">
      <c r="A187" s="1" t="s">
        <v>183</v>
      </c>
      <c r="B187" s="1" t="s">
        <v>215</v>
      </c>
      <c r="C187" s="1" t="s">
        <v>184</v>
      </c>
      <c r="D187" s="1" t="s">
        <v>150</v>
      </c>
      <c r="E187" s="2">
        <v>1665.3</v>
      </c>
      <c r="F187" s="2">
        <v>73.08</v>
      </c>
      <c r="G187" s="2">
        <v>8419.7000000000007</v>
      </c>
      <c r="H187" s="2">
        <v>226.92</v>
      </c>
      <c r="I187" s="4">
        <f t="shared" si="16"/>
        <v>4.3883984867591423E-2</v>
      </c>
      <c r="J187" s="4">
        <f t="shared" si="15"/>
        <v>2.6951079017067111E-2</v>
      </c>
      <c r="N187" s="2">
        <v>1000</v>
      </c>
    </row>
    <row r="188" spans="1:14" x14ac:dyDescent="0.2">
      <c r="A188" s="3" t="s">
        <v>256</v>
      </c>
      <c r="B188" s="1" t="s">
        <v>215</v>
      </c>
      <c r="C188" s="3" t="s">
        <v>234</v>
      </c>
      <c r="D188" s="3" t="s">
        <v>45</v>
      </c>
      <c r="E188" s="14" t="s">
        <v>235</v>
      </c>
      <c r="F188" s="14" t="s">
        <v>236</v>
      </c>
      <c r="G188" s="14" t="s">
        <v>237</v>
      </c>
      <c r="H188" s="14">
        <v>226.92</v>
      </c>
      <c r="I188" s="4">
        <f t="shared" si="16"/>
        <v>4.3883984867591423E-2</v>
      </c>
      <c r="J188" s="4">
        <f t="shared" si="15"/>
        <v>2.6951079017067111E-2</v>
      </c>
      <c r="M188" s="4"/>
      <c r="N188" s="2">
        <v>1000</v>
      </c>
    </row>
    <row r="189" spans="1:14" x14ac:dyDescent="0.2">
      <c r="A189" s="1" t="s">
        <v>181</v>
      </c>
      <c r="B189" s="1" t="s">
        <v>215</v>
      </c>
      <c r="C189" s="1" t="s">
        <v>49</v>
      </c>
      <c r="D189" s="1" t="s">
        <v>182</v>
      </c>
      <c r="E189" s="2">
        <v>1115.4000000000001</v>
      </c>
      <c r="F189" s="2">
        <v>63.624000000000002</v>
      </c>
      <c r="G189" s="2">
        <v>5877.8</v>
      </c>
      <c r="H189" s="2">
        <v>210.2</v>
      </c>
      <c r="I189" s="4">
        <f t="shared" si="16"/>
        <v>5.7041420118343192E-2</v>
      </c>
      <c r="J189" s="4">
        <f t="shared" si="15"/>
        <v>3.5761679539963932E-2</v>
      </c>
      <c r="N189" s="2">
        <v>1000</v>
      </c>
    </row>
    <row r="190" spans="1:14" x14ac:dyDescent="0.2">
      <c r="A190" s="3" t="s">
        <v>256</v>
      </c>
      <c r="B190" s="1" t="s">
        <v>215</v>
      </c>
      <c r="C190" s="3" t="s">
        <v>49</v>
      </c>
      <c r="D190" s="3" t="s">
        <v>45</v>
      </c>
      <c r="E190" s="14" t="s">
        <v>231</v>
      </c>
      <c r="F190" s="14" t="s">
        <v>232</v>
      </c>
      <c r="G190" s="14" t="s">
        <v>233</v>
      </c>
      <c r="H190" s="14">
        <v>210.52</v>
      </c>
      <c r="I190" s="4">
        <f t="shared" si="16"/>
        <v>5.7041420118343192E-2</v>
      </c>
      <c r="J190" s="4">
        <f t="shared" si="15"/>
        <v>3.5816121678178908E-2</v>
      </c>
      <c r="M190" s="4"/>
      <c r="N190" s="2">
        <v>1000</v>
      </c>
    </row>
    <row r="191" spans="1:14" x14ac:dyDescent="0.2">
      <c r="A191" s="1" t="s">
        <v>183</v>
      </c>
      <c r="B191" s="1" t="s">
        <v>215</v>
      </c>
      <c r="C191" s="1" t="s">
        <v>12</v>
      </c>
      <c r="D191" s="1" t="s">
        <v>148</v>
      </c>
      <c r="E191" s="2">
        <v>892.96</v>
      </c>
      <c r="F191" s="2">
        <v>53.177999999999997</v>
      </c>
      <c r="G191" s="2">
        <v>4867.8</v>
      </c>
      <c r="H191" s="2">
        <v>167.6</v>
      </c>
      <c r="I191" s="4">
        <f t="shared" si="16"/>
        <v>5.9552499552051601E-2</v>
      </c>
      <c r="J191" s="4">
        <f t="shared" si="15"/>
        <v>3.4430338140433045E-2</v>
      </c>
      <c r="N191" s="2">
        <v>1000</v>
      </c>
    </row>
    <row r="192" spans="1:14" x14ac:dyDescent="0.2">
      <c r="A192" s="3" t="s">
        <v>181</v>
      </c>
      <c r="B192" s="1" t="s">
        <v>215</v>
      </c>
      <c r="C192" s="6" t="s">
        <v>241</v>
      </c>
      <c r="D192" s="3" t="s">
        <v>225</v>
      </c>
      <c r="E192" s="14">
        <v>892.96</v>
      </c>
      <c r="F192" s="14" t="s">
        <v>242</v>
      </c>
      <c r="G192" s="14" t="s">
        <v>243</v>
      </c>
      <c r="H192" s="14">
        <v>167.6</v>
      </c>
      <c r="I192" s="4">
        <f t="shared" si="16"/>
        <v>5.9552499552051601E-2</v>
      </c>
      <c r="J192" s="4">
        <f t="shared" si="15"/>
        <v>3.4430338140433045E-2</v>
      </c>
      <c r="M192" s="4"/>
      <c r="N192" s="2">
        <v>1000</v>
      </c>
    </row>
    <row r="193" spans="1:14" x14ac:dyDescent="0.2">
      <c r="A193" s="1" t="s">
        <v>185</v>
      </c>
      <c r="B193" s="1" t="s">
        <v>24</v>
      </c>
      <c r="C193" s="1" t="s">
        <v>9</v>
      </c>
      <c r="D193" s="1" t="s">
        <v>190</v>
      </c>
      <c r="E193" s="2">
        <v>329.65</v>
      </c>
      <c r="F193" s="2">
        <v>9.1824999999999992</v>
      </c>
      <c r="G193" s="2">
        <v>1721.3</v>
      </c>
      <c r="H193" s="2">
        <v>27.373999999999999</v>
      </c>
      <c r="I193" s="4">
        <f t="shared" si="16"/>
        <v>2.7855301076899742E-2</v>
      </c>
      <c r="J193" s="4">
        <f t="shared" si="15"/>
        <v>1.5903096496833788E-2</v>
      </c>
      <c r="N193" s="2">
        <v>10000</v>
      </c>
    </row>
    <row r="194" spans="1:14" x14ac:dyDescent="0.2">
      <c r="A194" s="3" t="s">
        <v>185</v>
      </c>
      <c r="B194" s="1" t="s">
        <v>24</v>
      </c>
      <c r="C194" s="6" t="s">
        <v>9</v>
      </c>
      <c r="D194" s="3" t="s">
        <v>259</v>
      </c>
      <c r="E194" s="14">
        <v>329.65</v>
      </c>
      <c r="F194" s="14" t="s">
        <v>289</v>
      </c>
      <c r="G194" s="14" t="s">
        <v>290</v>
      </c>
      <c r="H194" s="14" t="s">
        <v>291</v>
      </c>
      <c r="I194" s="4">
        <f t="shared" si="16"/>
        <v>2.7855301076899742E-2</v>
      </c>
      <c r="J194" s="4">
        <f t="shared" si="15"/>
        <v>1.5903096496833788E-2</v>
      </c>
      <c r="M194" s="4"/>
      <c r="N194" s="2">
        <v>10000</v>
      </c>
    </row>
    <row r="195" spans="1:14" x14ac:dyDescent="0.2">
      <c r="A195" s="1" t="s">
        <v>185</v>
      </c>
      <c r="B195" s="1" t="s">
        <v>24</v>
      </c>
      <c r="C195" s="1" t="s">
        <v>10</v>
      </c>
      <c r="D195" s="1" t="s">
        <v>148</v>
      </c>
      <c r="E195" s="2">
        <v>260.29000000000002</v>
      </c>
      <c r="F195" s="2">
        <v>27.521000000000001</v>
      </c>
      <c r="G195" s="2">
        <v>1693.3</v>
      </c>
      <c r="H195" s="2">
        <v>92.507000000000005</v>
      </c>
      <c r="I195" s="4">
        <f t="shared" si="16"/>
        <v>0.10573206807791309</v>
      </c>
      <c r="J195" s="4">
        <f t="shared" si="15"/>
        <v>5.4631193527431648E-2</v>
      </c>
      <c r="N195" s="2">
        <v>1000</v>
      </c>
    </row>
    <row r="196" spans="1:14" x14ac:dyDescent="0.2">
      <c r="A196" s="3" t="s">
        <v>258</v>
      </c>
      <c r="B196" s="1" t="s">
        <v>24</v>
      </c>
      <c r="C196" s="3" t="s">
        <v>224</v>
      </c>
      <c r="D196" s="3" t="s">
        <v>45</v>
      </c>
      <c r="E196" s="14">
        <v>260.29000000000002</v>
      </c>
      <c r="F196" s="14" t="s">
        <v>248</v>
      </c>
      <c r="G196" s="14" t="s">
        <v>249</v>
      </c>
      <c r="H196" s="14" t="s">
        <v>250</v>
      </c>
      <c r="I196" s="4">
        <f t="shared" si="16"/>
        <v>0.10573206807791309</v>
      </c>
      <c r="J196" s="4">
        <f t="shared" ref="J196:J202" si="17">H196/G196</f>
        <v>5.4631193527431648E-2</v>
      </c>
      <c r="K196" s="7"/>
      <c r="L196" s="7"/>
      <c r="M196" s="4"/>
      <c r="N196" s="2">
        <v>1000</v>
      </c>
    </row>
    <row r="197" spans="1:14" x14ac:dyDescent="0.2">
      <c r="A197" s="1" t="s">
        <v>185</v>
      </c>
      <c r="B197" s="1" t="s">
        <v>24</v>
      </c>
      <c r="C197" s="1" t="s">
        <v>184</v>
      </c>
      <c r="D197" s="1" t="s">
        <v>148</v>
      </c>
      <c r="E197" s="2">
        <v>383.83</v>
      </c>
      <c r="F197" s="2">
        <v>36.475999999999999</v>
      </c>
      <c r="G197" s="2">
        <v>1778.8</v>
      </c>
      <c r="H197" s="2">
        <v>103.27</v>
      </c>
      <c r="I197" s="4">
        <f t="shared" si="16"/>
        <v>9.5031654638772375E-2</v>
      </c>
      <c r="J197" s="4">
        <f t="shared" si="17"/>
        <v>5.8055992804137618E-2</v>
      </c>
      <c r="N197" s="2">
        <v>1000</v>
      </c>
    </row>
    <row r="198" spans="1:14" x14ac:dyDescent="0.2">
      <c r="A198" s="3" t="s">
        <v>257</v>
      </c>
      <c r="B198" s="1" t="s">
        <v>24</v>
      </c>
      <c r="C198" s="3" t="s">
        <v>234</v>
      </c>
      <c r="D198" s="3" t="s">
        <v>225</v>
      </c>
      <c r="E198" s="14">
        <v>383.83</v>
      </c>
      <c r="F198" s="14" t="s">
        <v>246</v>
      </c>
      <c r="G198" s="14" t="s">
        <v>247</v>
      </c>
      <c r="H198" s="14">
        <v>103.27</v>
      </c>
      <c r="I198" s="4">
        <f t="shared" si="16"/>
        <v>9.5031654638772375E-2</v>
      </c>
      <c r="J198" s="4">
        <f t="shared" si="17"/>
        <v>5.8055992804137618E-2</v>
      </c>
      <c r="M198" s="4"/>
      <c r="N198" s="2">
        <v>1000</v>
      </c>
    </row>
    <row r="199" spans="1:14" x14ac:dyDescent="0.2">
      <c r="A199" s="3" t="s">
        <v>257</v>
      </c>
      <c r="B199" s="1" t="s">
        <v>24</v>
      </c>
      <c r="C199" s="3" t="s">
        <v>49</v>
      </c>
      <c r="D199" s="3" t="s">
        <v>45</v>
      </c>
      <c r="E199" s="14">
        <v>170.2</v>
      </c>
      <c r="F199" s="14" t="s">
        <v>244</v>
      </c>
      <c r="G199" s="14">
        <v>944.95</v>
      </c>
      <c r="H199" s="14" t="s">
        <v>245</v>
      </c>
      <c r="I199" s="4">
        <f t="shared" si="16"/>
        <v>0.13843713278495889</v>
      </c>
      <c r="J199" s="4">
        <f t="shared" si="17"/>
        <v>8.095560611672574E-2</v>
      </c>
      <c r="M199" s="4"/>
      <c r="N199" s="2">
        <v>1000</v>
      </c>
    </row>
    <row r="200" spans="1:14" x14ac:dyDescent="0.2">
      <c r="A200" s="1" t="s">
        <v>198</v>
      </c>
      <c r="B200" s="1" t="s">
        <v>216</v>
      </c>
      <c r="C200" s="1" t="s">
        <v>12</v>
      </c>
      <c r="D200" s="1" t="s">
        <v>45</v>
      </c>
      <c r="E200" s="2">
        <v>134.68</v>
      </c>
      <c r="F200" s="2">
        <v>7.7988</v>
      </c>
      <c r="G200" s="2">
        <v>766.16</v>
      </c>
      <c r="H200" s="2">
        <v>22.541</v>
      </c>
      <c r="I200" s="4">
        <f t="shared" si="16"/>
        <v>5.7906147906147905E-2</v>
      </c>
      <c r="J200" s="4">
        <f t="shared" si="17"/>
        <v>2.9420747624517074E-2</v>
      </c>
      <c r="N200" s="2">
        <v>10000</v>
      </c>
    </row>
    <row r="201" spans="1:14" x14ac:dyDescent="0.2">
      <c r="A201" s="3" t="s">
        <v>257</v>
      </c>
      <c r="B201" s="1" t="s">
        <v>24</v>
      </c>
      <c r="C201" s="3" t="s">
        <v>292</v>
      </c>
      <c r="D201" s="3" t="s">
        <v>293</v>
      </c>
      <c r="E201" s="14">
        <v>134.68</v>
      </c>
      <c r="F201" s="14" t="s">
        <v>294</v>
      </c>
      <c r="G201" s="14">
        <v>766.16</v>
      </c>
      <c r="H201" s="14" t="s">
        <v>295</v>
      </c>
      <c r="I201" s="4">
        <f t="shared" si="16"/>
        <v>5.7906147906147905E-2</v>
      </c>
      <c r="J201" s="4">
        <f t="shared" si="17"/>
        <v>2.9420747624517074E-2</v>
      </c>
      <c r="M201" s="4"/>
      <c r="N201" s="2">
        <v>10000</v>
      </c>
    </row>
    <row r="202" spans="1:14" x14ac:dyDescent="0.2">
      <c r="A202" s="1" t="s">
        <v>205</v>
      </c>
      <c r="C202" s="1" t="s">
        <v>194</v>
      </c>
      <c r="D202" s="1" t="s">
        <v>45</v>
      </c>
      <c r="E202" s="2">
        <v>1086</v>
      </c>
      <c r="F202" s="2">
        <v>27.64</v>
      </c>
      <c r="G202" s="2">
        <v>5753.7</v>
      </c>
      <c r="H202" s="2">
        <v>81.204999999999998</v>
      </c>
      <c r="I202" s="4">
        <f t="shared" si="16"/>
        <v>2.5451197053406999E-2</v>
      </c>
      <c r="J202" s="4">
        <f t="shared" si="17"/>
        <v>1.4113526947877018E-2</v>
      </c>
      <c r="N202" s="2">
        <v>10000</v>
      </c>
    </row>
    <row r="203" spans="1:14" x14ac:dyDescent="0.2">
      <c r="A203" s="1" t="s">
        <v>418</v>
      </c>
      <c r="B203" s="1" t="s">
        <v>419</v>
      </c>
      <c r="C203" s="1" t="s">
        <v>415</v>
      </c>
      <c r="D203" s="1" t="s">
        <v>416</v>
      </c>
      <c r="E203" s="2" t="s">
        <v>412</v>
      </c>
      <c r="F203" s="2" t="s">
        <v>420</v>
      </c>
      <c r="G203" s="2" t="s">
        <v>411</v>
      </c>
      <c r="H203" s="2" t="s">
        <v>411</v>
      </c>
      <c r="I203" s="4"/>
      <c r="J203" s="4"/>
      <c r="N203" s="2">
        <v>150000</v>
      </c>
    </row>
    <row r="204" spans="1:14" x14ac:dyDescent="0.2">
      <c r="A204" s="1" t="s">
        <v>434</v>
      </c>
      <c r="B204" s="1" t="s">
        <v>435</v>
      </c>
      <c r="C204" s="1" t="s">
        <v>110</v>
      </c>
      <c r="D204" s="1" t="s">
        <v>50</v>
      </c>
      <c r="E204" s="2" t="s">
        <v>436</v>
      </c>
      <c r="F204" s="2" t="s">
        <v>437</v>
      </c>
      <c r="G204" s="2" t="s">
        <v>436</v>
      </c>
      <c r="H204" s="2" t="s">
        <v>437</v>
      </c>
      <c r="I204" s="2" t="s">
        <v>436</v>
      </c>
      <c r="J204" s="2" t="s">
        <v>437</v>
      </c>
      <c r="N204" s="2">
        <v>150000</v>
      </c>
    </row>
    <row r="205" spans="1:14" x14ac:dyDescent="0.2">
      <c r="A205" s="1" t="s">
        <v>434</v>
      </c>
      <c r="B205" s="1" t="s">
        <v>456</v>
      </c>
      <c r="C205" s="1" t="s">
        <v>120</v>
      </c>
      <c r="D205" s="1" t="s">
        <v>50</v>
      </c>
      <c r="E205" s="2" t="s">
        <v>436</v>
      </c>
      <c r="F205" s="2" t="s">
        <v>437</v>
      </c>
      <c r="G205" s="2" t="s">
        <v>436</v>
      </c>
      <c r="H205" s="2" t="s">
        <v>437</v>
      </c>
      <c r="I205" s="2" t="s">
        <v>436</v>
      </c>
      <c r="J205" s="2" t="s">
        <v>437</v>
      </c>
      <c r="N205" s="2">
        <v>150000</v>
      </c>
    </row>
    <row r="206" spans="1:14" x14ac:dyDescent="0.2">
      <c r="A206" s="1" t="s">
        <v>413</v>
      </c>
      <c r="B206" s="1" t="s">
        <v>414</v>
      </c>
      <c r="C206" s="1" t="s">
        <v>415</v>
      </c>
      <c r="D206" s="1" t="s">
        <v>416</v>
      </c>
      <c r="E206" s="2" t="s">
        <v>417</v>
      </c>
      <c r="F206" s="2" t="s">
        <v>412</v>
      </c>
      <c r="G206" s="2">
        <v>15.396000000000001</v>
      </c>
      <c r="H206" s="2">
        <v>2.9289000000000001</v>
      </c>
      <c r="I206" s="4"/>
      <c r="J206" s="4">
        <f>H206/G206</f>
        <v>0.19023772408417769</v>
      </c>
      <c r="N206" s="2">
        <v>150000</v>
      </c>
    </row>
    <row r="207" spans="1:14" x14ac:dyDescent="0.2">
      <c r="A207" s="1" t="s">
        <v>459</v>
      </c>
      <c r="B207" s="1" t="s">
        <v>414</v>
      </c>
      <c r="C207" s="1" t="s">
        <v>120</v>
      </c>
      <c r="D207" s="1" t="s">
        <v>50</v>
      </c>
      <c r="E207" s="2" t="s">
        <v>437</v>
      </c>
      <c r="F207" s="2" t="s">
        <v>437</v>
      </c>
      <c r="G207" s="2">
        <v>15.396000000000001</v>
      </c>
      <c r="H207" s="2">
        <v>2.9289000000000001</v>
      </c>
      <c r="N207" s="2">
        <v>150000</v>
      </c>
    </row>
    <row r="208" spans="1:14" x14ac:dyDescent="0.2">
      <c r="A208" s="1" t="s">
        <v>409</v>
      </c>
      <c r="B208" s="1" t="s">
        <v>410</v>
      </c>
      <c r="C208" s="1" t="s">
        <v>9</v>
      </c>
      <c r="D208" s="1" t="s">
        <v>45</v>
      </c>
      <c r="E208" s="2" t="s">
        <v>411</v>
      </c>
      <c r="F208" s="2" t="s">
        <v>412</v>
      </c>
      <c r="G208" s="2">
        <v>10.739000000000001</v>
      </c>
      <c r="H208" s="2">
        <v>1.9677</v>
      </c>
      <c r="I208" s="4"/>
      <c r="J208" s="4">
        <f>H208/G208</f>
        <v>0.18322935096377688</v>
      </c>
      <c r="N208" s="2">
        <v>150000</v>
      </c>
    </row>
    <row r="209" spans="1:15" x14ac:dyDescent="0.2">
      <c r="A209" s="1" t="s">
        <v>457</v>
      </c>
      <c r="B209" s="1" t="s">
        <v>458</v>
      </c>
      <c r="C209" s="1" t="s">
        <v>120</v>
      </c>
      <c r="D209" s="1" t="s">
        <v>448</v>
      </c>
      <c r="E209" s="2" t="s">
        <v>437</v>
      </c>
      <c r="F209" s="2" t="s">
        <v>436</v>
      </c>
      <c r="G209" s="2">
        <v>10.739000000000001</v>
      </c>
      <c r="H209" s="2">
        <v>1.9677</v>
      </c>
      <c r="N209" s="2">
        <v>150000</v>
      </c>
    </row>
    <row r="210" spans="1:15" x14ac:dyDescent="0.2">
      <c r="A210" s="1" t="s">
        <v>172</v>
      </c>
      <c r="C210" s="1" t="s">
        <v>9</v>
      </c>
      <c r="D210" s="1" t="s">
        <v>148</v>
      </c>
      <c r="E210" s="2">
        <v>195.6</v>
      </c>
      <c r="F210" s="2">
        <v>21.266999999999999</v>
      </c>
      <c r="G210" s="2">
        <v>1233.7</v>
      </c>
      <c r="H210" s="2">
        <v>71.379000000000005</v>
      </c>
      <c r="I210" s="4">
        <f t="shared" ref="I210:I221" si="18">F210/E210</f>
        <v>0.10872699386503068</v>
      </c>
      <c r="J210" s="4">
        <f t="shared" ref="J210:J217" si="19">H210/G210</f>
        <v>5.7857663937748237E-2</v>
      </c>
      <c r="N210" s="2">
        <v>2000</v>
      </c>
    </row>
    <row r="211" spans="1:15" x14ac:dyDescent="0.2">
      <c r="A211" s="1" t="s">
        <v>171</v>
      </c>
      <c r="C211" s="1" t="s">
        <v>10</v>
      </c>
      <c r="D211" s="1" t="s">
        <v>148</v>
      </c>
      <c r="E211" s="2">
        <v>194.4</v>
      </c>
      <c r="F211" s="2">
        <v>21.628</v>
      </c>
      <c r="G211" s="2">
        <v>1084.9000000000001</v>
      </c>
      <c r="H211" s="2">
        <v>65.838999999999999</v>
      </c>
      <c r="I211" s="4">
        <f t="shared" si="18"/>
        <v>0.1112551440329218</v>
      </c>
      <c r="J211" s="4">
        <f t="shared" si="19"/>
        <v>6.0686699234952526E-2</v>
      </c>
      <c r="N211" s="2">
        <v>2000</v>
      </c>
    </row>
    <row r="212" spans="1:15" x14ac:dyDescent="0.2">
      <c r="A212" s="1" t="s">
        <v>153</v>
      </c>
      <c r="C212" s="1" t="s">
        <v>9</v>
      </c>
      <c r="D212" s="1" t="s">
        <v>148</v>
      </c>
      <c r="E212" s="2">
        <v>147.47</v>
      </c>
      <c r="F212" s="2">
        <v>11.379</v>
      </c>
      <c r="G212" s="2">
        <v>825.93</v>
      </c>
      <c r="H212" s="2">
        <v>33.832000000000001</v>
      </c>
      <c r="I212" s="4">
        <f t="shared" si="18"/>
        <v>7.7161456567437448E-2</v>
      </c>
      <c r="J212" s="4">
        <f t="shared" si="19"/>
        <v>4.0962309154528836E-2</v>
      </c>
      <c r="N212" s="2">
        <v>5000</v>
      </c>
    </row>
    <row r="213" spans="1:15" x14ac:dyDescent="0.2">
      <c r="A213" s="1" t="s">
        <v>153</v>
      </c>
      <c r="C213" s="1" t="s">
        <v>173</v>
      </c>
      <c r="D213" s="1" t="s">
        <v>148</v>
      </c>
      <c r="E213" s="2">
        <v>157.19</v>
      </c>
      <c r="F213" s="2">
        <v>17.199000000000002</v>
      </c>
      <c r="G213" s="2">
        <v>798.68</v>
      </c>
      <c r="H213" s="2">
        <v>49.749000000000002</v>
      </c>
      <c r="I213" s="4">
        <f t="shared" si="18"/>
        <v>0.10941535721101853</v>
      </c>
      <c r="J213" s="4">
        <f t="shared" si="19"/>
        <v>6.2289026894375724E-2</v>
      </c>
      <c r="N213" s="2">
        <v>2000</v>
      </c>
    </row>
    <row r="214" spans="1:15" x14ac:dyDescent="0.2">
      <c r="A214" s="1" t="s">
        <v>153</v>
      </c>
      <c r="C214" s="1" t="s">
        <v>174</v>
      </c>
      <c r="D214" s="1" t="s">
        <v>175</v>
      </c>
      <c r="E214" s="2">
        <v>148.66</v>
      </c>
      <c r="F214" s="2">
        <v>18.326000000000001</v>
      </c>
      <c r="G214" s="2">
        <v>792.29</v>
      </c>
      <c r="H214" s="2">
        <v>51.749000000000002</v>
      </c>
      <c r="I214" s="4">
        <f t="shared" si="18"/>
        <v>0.12327458630431859</v>
      </c>
      <c r="J214" s="4">
        <f t="shared" si="19"/>
        <v>6.5315730351260273E-2</v>
      </c>
      <c r="N214" s="2">
        <v>2000</v>
      </c>
    </row>
    <row r="215" spans="1:15" x14ac:dyDescent="0.2">
      <c r="A215" s="1" t="s">
        <v>153</v>
      </c>
      <c r="C215" s="1" t="s">
        <v>187</v>
      </c>
      <c r="D215" s="1" t="s">
        <v>148</v>
      </c>
      <c r="E215" s="2">
        <v>72.441000000000003</v>
      </c>
      <c r="F215" s="2">
        <v>7.1631</v>
      </c>
      <c r="G215" s="2">
        <v>406.47</v>
      </c>
      <c r="H215" s="2">
        <v>20.015000000000001</v>
      </c>
      <c r="I215" s="4">
        <f t="shared" si="18"/>
        <v>9.8881848676854261E-2</v>
      </c>
      <c r="J215" s="4">
        <f t="shared" si="19"/>
        <v>4.9241026398012151E-2</v>
      </c>
      <c r="N215" s="2">
        <v>10000</v>
      </c>
    </row>
    <row r="216" spans="1:15" x14ac:dyDescent="0.2">
      <c r="A216" s="3" t="s">
        <v>301</v>
      </c>
      <c r="B216" s="13"/>
      <c r="C216" s="6" t="s">
        <v>5</v>
      </c>
      <c r="D216" s="3" t="s">
        <v>45</v>
      </c>
      <c r="E216" s="14" t="s">
        <v>296</v>
      </c>
      <c r="F216" s="14" t="s">
        <v>297</v>
      </c>
      <c r="G216" s="14">
        <v>406.47</v>
      </c>
      <c r="H216" s="14" t="s">
        <v>302</v>
      </c>
      <c r="I216" s="4">
        <f t="shared" si="18"/>
        <v>9.8881848676854261E-2</v>
      </c>
      <c r="J216" s="4">
        <f t="shared" si="19"/>
        <v>4.9241026398012151E-2</v>
      </c>
      <c r="M216" s="4"/>
      <c r="N216" s="2">
        <v>10000</v>
      </c>
    </row>
    <row r="217" spans="1:15" x14ac:dyDescent="0.2">
      <c r="A217" s="1" t="s">
        <v>153</v>
      </c>
      <c r="C217" s="1" t="s">
        <v>176</v>
      </c>
      <c r="D217" s="1" t="s">
        <v>148</v>
      </c>
      <c r="E217" s="2">
        <v>125.52</v>
      </c>
      <c r="F217" s="2">
        <v>14.632</v>
      </c>
      <c r="G217" s="2">
        <v>933.11</v>
      </c>
      <c r="H217" s="2">
        <v>51.283000000000001</v>
      </c>
      <c r="I217" s="4">
        <f t="shared" si="18"/>
        <v>0.1165710643722116</v>
      </c>
      <c r="J217" s="4">
        <f t="shared" si="19"/>
        <v>5.4959222385356499E-2</v>
      </c>
      <c r="N217" s="2">
        <v>2000</v>
      </c>
    </row>
    <row r="218" spans="1:15" x14ac:dyDescent="0.2">
      <c r="A218" s="3" t="s">
        <v>328</v>
      </c>
      <c r="B218" s="13"/>
      <c r="C218" s="6" t="s">
        <v>120</v>
      </c>
      <c r="D218" s="3" t="s">
        <v>45</v>
      </c>
      <c r="E218" s="14" t="s">
        <v>329</v>
      </c>
      <c r="F218" s="14" t="s">
        <v>330</v>
      </c>
      <c r="G218" s="14" t="s">
        <v>331</v>
      </c>
      <c r="H218" s="14" t="s">
        <v>332</v>
      </c>
      <c r="I218" s="4">
        <f t="shared" si="18"/>
        <v>3.8926345898457455E-2</v>
      </c>
      <c r="J218" s="4"/>
      <c r="M218" s="4"/>
    </row>
    <row r="219" spans="1:15" x14ac:dyDescent="0.2">
      <c r="A219" s="1" t="s">
        <v>164</v>
      </c>
      <c r="C219" s="1" t="s">
        <v>9</v>
      </c>
      <c r="D219" s="1" t="s">
        <v>45</v>
      </c>
      <c r="E219" s="2">
        <v>1088.0999999999999</v>
      </c>
      <c r="F219" s="2">
        <v>17.988</v>
      </c>
      <c r="G219" s="2">
        <v>6014.7</v>
      </c>
      <c r="H219" s="2">
        <v>58.582000000000001</v>
      </c>
      <c r="I219" s="4">
        <f t="shared" si="18"/>
        <v>1.6531568789633307E-2</v>
      </c>
      <c r="J219" s="4">
        <f t="shared" ref="J219:J239" si="20">H219/G219</f>
        <v>9.7398041465077238E-3</v>
      </c>
      <c r="N219" s="2">
        <v>10000</v>
      </c>
    </row>
    <row r="220" spans="1:15" x14ac:dyDescent="0.2">
      <c r="A220" s="1" t="s">
        <v>165</v>
      </c>
      <c r="C220" s="1" t="s">
        <v>9</v>
      </c>
      <c r="D220" s="1" t="s">
        <v>148</v>
      </c>
      <c r="E220" s="2">
        <v>322.3</v>
      </c>
      <c r="F220" s="2">
        <v>11.986000000000001</v>
      </c>
      <c r="G220" s="2">
        <v>1775.1</v>
      </c>
      <c r="H220" s="2">
        <v>35.450000000000003</v>
      </c>
      <c r="I220" s="4">
        <f t="shared" si="18"/>
        <v>3.7188954390319579E-2</v>
      </c>
      <c r="J220" s="4">
        <f t="shared" si="20"/>
        <v>1.9970705875725313E-2</v>
      </c>
      <c r="N220" s="2">
        <v>10000</v>
      </c>
    </row>
    <row r="221" spans="1:15" x14ac:dyDescent="0.2">
      <c r="A221" s="1" t="s">
        <v>166</v>
      </c>
      <c r="C221" s="1" t="s">
        <v>9</v>
      </c>
      <c r="D221" s="1" t="s">
        <v>148</v>
      </c>
      <c r="E221" s="2">
        <v>111.02</v>
      </c>
      <c r="F221" s="2">
        <v>5.4508999999999999</v>
      </c>
      <c r="G221" s="2">
        <v>560.33000000000004</v>
      </c>
      <c r="H221" s="2">
        <v>15.856</v>
      </c>
      <c r="I221" s="4">
        <f t="shared" si="18"/>
        <v>4.9098360655737708E-2</v>
      </c>
      <c r="J221" s="4">
        <f t="shared" si="20"/>
        <v>2.8297610336765831E-2</v>
      </c>
      <c r="N221" s="2">
        <v>10000</v>
      </c>
    </row>
    <row r="222" spans="1:15" x14ac:dyDescent="0.2">
      <c r="A222" s="1" t="s">
        <v>154</v>
      </c>
      <c r="C222" s="1" t="s">
        <v>9</v>
      </c>
      <c r="D222" s="1" t="s">
        <v>148</v>
      </c>
      <c r="G222" s="2">
        <v>373.48</v>
      </c>
      <c r="H222" s="2">
        <v>32.328000000000003</v>
      </c>
      <c r="I222" s="4"/>
      <c r="J222" s="4">
        <f t="shared" si="20"/>
        <v>8.6558851879618731E-2</v>
      </c>
      <c r="N222" s="2">
        <v>5000</v>
      </c>
    </row>
    <row r="223" spans="1:15" x14ac:dyDescent="0.2">
      <c r="A223" s="1" t="s">
        <v>155</v>
      </c>
      <c r="C223" s="1" t="s">
        <v>9</v>
      </c>
      <c r="D223" s="1" t="s">
        <v>148</v>
      </c>
      <c r="E223" s="2">
        <v>14077</v>
      </c>
      <c r="F223" s="2">
        <v>127.73</v>
      </c>
      <c r="G223" s="2">
        <v>77435</v>
      </c>
      <c r="H223" s="2">
        <v>417.92</v>
      </c>
      <c r="I223" s="4">
        <f>F223/E223</f>
        <v>9.0736662641187748E-3</v>
      </c>
      <c r="J223" s="4">
        <f t="shared" si="20"/>
        <v>5.3970426809582233E-3</v>
      </c>
      <c r="N223" s="2">
        <v>5000</v>
      </c>
      <c r="O223" s="2"/>
    </row>
    <row r="224" spans="1:15" x14ac:dyDescent="0.2">
      <c r="A224" s="1" t="s">
        <v>167</v>
      </c>
      <c r="C224" s="1" t="s">
        <v>9</v>
      </c>
      <c r="D224" s="1" t="s">
        <v>45</v>
      </c>
      <c r="E224" s="2">
        <v>149.97</v>
      </c>
      <c r="F224" s="2">
        <v>8.6885999999999992</v>
      </c>
      <c r="G224" s="2">
        <v>899.66</v>
      </c>
      <c r="H224" s="2">
        <v>26.143999999999998</v>
      </c>
      <c r="I224" s="4">
        <f>F224/E224</f>
        <v>5.7935587117423477E-2</v>
      </c>
      <c r="J224" s="4">
        <f t="shared" si="20"/>
        <v>2.9059867060889668E-2</v>
      </c>
      <c r="N224" s="2">
        <v>10000</v>
      </c>
      <c r="O224" s="2"/>
    </row>
    <row r="225" spans="1:14" x14ac:dyDescent="0.2">
      <c r="A225" s="1" t="s">
        <v>169</v>
      </c>
      <c r="C225" s="1" t="s">
        <v>9</v>
      </c>
      <c r="D225" s="1" t="s">
        <v>148</v>
      </c>
      <c r="E225" s="2">
        <v>605.9</v>
      </c>
      <c r="F225" s="2">
        <v>16.59</v>
      </c>
      <c r="G225" s="2">
        <v>3440</v>
      </c>
      <c r="H225" s="2">
        <v>52.237000000000002</v>
      </c>
      <c r="I225" s="4">
        <f>F225/E225</f>
        <v>2.7380755900313584E-2</v>
      </c>
      <c r="J225" s="4">
        <f t="shared" si="20"/>
        <v>1.5185174418604652E-2</v>
      </c>
      <c r="N225" s="2">
        <v>10000</v>
      </c>
    </row>
    <row r="226" spans="1:14" x14ac:dyDescent="0.2">
      <c r="A226" s="1" t="s">
        <v>168</v>
      </c>
      <c r="C226" s="1" t="s">
        <v>9</v>
      </c>
      <c r="D226" s="1" t="s">
        <v>45</v>
      </c>
      <c r="E226" s="2">
        <v>702.87</v>
      </c>
      <c r="F226" s="2">
        <v>15.962999999999999</v>
      </c>
      <c r="G226" s="2">
        <v>3981.5</v>
      </c>
      <c r="H226" s="2">
        <v>50.881999999999998</v>
      </c>
      <c r="I226" s="4">
        <f>F226/E226</f>
        <v>2.2711169917623456E-2</v>
      </c>
      <c r="J226" s="4">
        <f t="shared" si="20"/>
        <v>1.2779605676252668E-2</v>
      </c>
      <c r="N226" s="2">
        <v>10000</v>
      </c>
    </row>
    <row r="227" spans="1:14" x14ac:dyDescent="0.2">
      <c r="A227" s="1" t="s">
        <v>333</v>
      </c>
      <c r="B227" s="1" t="s">
        <v>334</v>
      </c>
      <c r="C227" s="1" t="s">
        <v>120</v>
      </c>
      <c r="D227" s="1" t="s">
        <v>45</v>
      </c>
      <c r="E227" s="2" t="s">
        <v>335</v>
      </c>
      <c r="F227" s="2">
        <v>54.866999999999997</v>
      </c>
      <c r="G227" s="2">
        <v>20887</v>
      </c>
      <c r="H227" s="2">
        <v>177</v>
      </c>
      <c r="I227" s="4"/>
      <c r="J227" s="4">
        <f t="shared" si="20"/>
        <v>8.4741705366974673E-3</v>
      </c>
    </row>
    <row r="228" spans="1:14" x14ac:dyDescent="0.2">
      <c r="A228" s="1" t="s">
        <v>333</v>
      </c>
      <c r="B228" s="1" t="s">
        <v>334</v>
      </c>
      <c r="C228" s="1" t="s">
        <v>57</v>
      </c>
      <c r="D228" s="1" t="s">
        <v>45</v>
      </c>
      <c r="E228" s="2">
        <v>3156</v>
      </c>
      <c r="F228" s="2">
        <v>55.088999999999999</v>
      </c>
      <c r="G228" s="2">
        <v>17856</v>
      </c>
      <c r="H228" s="2">
        <v>176.41</v>
      </c>
      <c r="I228" s="4">
        <f>F228/E228</f>
        <v>1.745532319391635E-2</v>
      </c>
      <c r="J228" s="4">
        <f t="shared" si="20"/>
        <v>9.8795922939068099E-3</v>
      </c>
    </row>
    <row r="229" spans="1:14" x14ac:dyDescent="0.2">
      <c r="A229" s="1" t="s">
        <v>333</v>
      </c>
      <c r="B229" s="1" t="s">
        <v>334</v>
      </c>
      <c r="C229" s="1" t="s">
        <v>46</v>
      </c>
      <c r="D229" s="1" t="s">
        <v>45</v>
      </c>
      <c r="E229" s="2">
        <v>909.03</v>
      </c>
      <c r="F229" s="2">
        <v>27.228999999999999</v>
      </c>
      <c r="G229" s="2">
        <v>4864</v>
      </c>
      <c r="H229" s="2">
        <v>82.956000000000003</v>
      </c>
      <c r="I229" s="4">
        <f>F229/E229</f>
        <v>2.9953906911763088E-2</v>
      </c>
      <c r="J229" s="4">
        <f t="shared" si="20"/>
        <v>1.7055098684210526E-2</v>
      </c>
    </row>
    <row r="230" spans="1:14" x14ac:dyDescent="0.2">
      <c r="A230" s="1" t="s">
        <v>333</v>
      </c>
      <c r="B230" s="1" t="s">
        <v>334</v>
      </c>
      <c r="C230" s="1" t="s">
        <v>324</v>
      </c>
      <c r="D230" s="1" t="s">
        <v>45</v>
      </c>
      <c r="E230" s="2">
        <v>1673.6</v>
      </c>
      <c r="F230" s="2">
        <v>51.725000000000001</v>
      </c>
      <c r="G230" s="2">
        <v>9357.5</v>
      </c>
      <c r="H230" s="2">
        <v>158.81</v>
      </c>
      <c r="I230" s="4">
        <f>F230/E230</f>
        <v>3.0906429254302106E-2</v>
      </c>
      <c r="J230" s="4">
        <f t="shared" si="20"/>
        <v>1.6971413304835693E-2</v>
      </c>
    </row>
    <row r="231" spans="1:14" ht="14" customHeight="1" x14ac:dyDescent="0.2">
      <c r="A231" s="1" t="s">
        <v>333</v>
      </c>
      <c r="B231" s="1" t="s">
        <v>334</v>
      </c>
      <c r="C231" s="3" t="s">
        <v>101</v>
      </c>
      <c r="D231" s="1" t="s">
        <v>45</v>
      </c>
      <c r="E231" s="2">
        <v>4134.7</v>
      </c>
      <c r="F231" s="2">
        <v>96.248999999999995</v>
      </c>
      <c r="G231" s="2">
        <v>22762</v>
      </c>
      <c r="H231" s="2">
        <v>294.33</v>
      </c>
      <c r="I231" s="4">
        <f>F231/E231</f>
        <v>2.3278351512806248E-2</v>
      </c>
      <c r="J231" s="4">
        <f t="shared" si="20"/>
        <v>1.2930761795975748E-2</v>
      </c>
    </row>
    <row r="232" spans="1:14" x14ac:dyDescent="0.2">
      <c r="A232" s="1" t="s">
        <v>333</v>
      </c>
      <c r="B232" s="1" t="s">
        <v>334</v>
      </c>
      <c r="C232" s="1" t="s">
        <v>33</v>
      </c>
      <c r="D232" s="1" t="s">
        <v>45</v>
      </c>
      <c r="E232" s="2">
        <v>3412.4</v>
      </c>
      <c r="F232" s="2">
        <v>160.43</v>
      </c>
      <c r="G232" s="2">
        <v>19522</v>
      </c>
      <c r="H232" s="2">
        <v>488.94</v>
      </c>
      <c r="I232" s="4"/>
      <c r="J232" s="4">
        <f t="shared" si="20"/>
        <v>2.5045589591230405E-2</v>
      </c>
    </row>
    <row r="233" spans="1:14" x14ac:dyDescent="0.2">
      <c r="A233" s="1" t="s">
        <v>170</v>
      </c>
      <c r="C233" s="1" t="s">
        <v>9</v>
      </c>
      <c r="D233" s="1" t="s">
        <v>148</v>
      </c>
      <c r="E233" s="2">
        <v>2998.3</v>
      </c>
      <c r="F233" s="2">
        <v>29.975000000000001</v>
      </c>
      <c r="G233" s="2">
        <v>17188</v>
      </c>
      <c r="H233" s="2">
        <v>101.76</v>
      </c>
      <c r="I233" s="4">
        <f>F233/E233</f>
        <v>9.9973318213654409E-3</v>
      </c>
      <c r="J233" s="4">
        <f t="shared" si="20"/>
        <v>5.9204095880847109E-3</v>
      </c>
      <c r="N233" s="2">
        <v>10000</v>
      </c>
    </row>
    <row r="234" spans="1:14" x14ac:dyDescent="0.2">
      <c r="A234" s="1" t="s">
        <v>336</v>
      </c>
      <c r="B234" s="1" t="s">
        <v>334</v>
      </c>
      <c r="C234" s="1" t="s">
        <v>120</v>
      </c>
      <c r="D234" s="1" t="s">
        <v>45</v>
      </c>
      <c r="E234" s="2">
        <v>6524.2</v>
      </c>
      <c r="F234" s="2">
        <v>57.502000000000002</v>
      </c>
      <c r="G234" s="2">
        <v>37464</v>
      </c>
      <c r="H234" s="2">
        <v>191.28</v>
      </c>
      <c r="I234" s="4"/>
      <c r="J234" s="4">
        <f t="shared" si="20"/>
        <v>5.1057014734144776E-3</v>
      </c>
    </row>
    <row r="235" spans="1:14" x14ac:dyDescent="0.2">
      <c r="A235" s="3" t="s">
        <v>341</v>
      </c>
      <c r="B235" s="1" t="s">
        <v>334</v>
      </c>
      <c r="C235" s="1" t="s">
        <v>120</v>
      </c>
      <c r="D235" s="1" t="s">
        <v>45</v>
      </c>
      <c r="E235" s="2">
        <v>376.12</v>
      </c>
      <c r="F235" s="2">
        <v>7.7899000000000003</v>
      </c>
      <c r="G235" s="2">
        <v>2118.5</v>
      </c>
      <c r="H235" s="2">
        <v>23.968</v>
      </c>
      <c r="I235" s="4"/>
      <c r="J235" s="4">
        <f t="shared" si="20"/>
        <v>1.1313665329242389E-2</v>
      </c>
    </row>
    <row r="236" spans="1:14" x14ac:dyDescent="0.2">
      <c r="A236" s="3" t="s">
        <v>343</v>
      </c>
      <c r="B236" s="1" t="s">
        <v>334</v>
      </c>
      <c r="C236" s="1" t="s">
        <v>120</v>
      </c>
      <c r="D236" s="1" t="s">
        <v>45</v>
      </c>
      <c r="E236" s="2">
        <v>1173.8</v>
      </c>
      <c r="F236" s="2">
        <v>26.045999999999999</v>
      </c>
      <c r="G236" s="2">
        <v>6986.3</v>
      </c>
      <c r="H236" s="2">
        <v>82.123000000000005</v>
      </c>
      <c r="I236" s="4"/>
      <c r="J236" s="4">
        <f t="shared" si="20"/>
        <v>1.1754863089188841E-2</v>
      </c>
    </row>
    <row r="237" spans="1:14" x14ac:dyDescent="0.2">
      <c r="A237" s="3" t="s">
        <v>342</v>
      </c>
      <c r="B237" s="1" t="s">
        <v>334</v>
      </c>
      <c r="C237" s="1" t="s">
        <v>120</v>
      </c>
      <c r="D237" s="1" t="s">
        <v>45</v>
      </c>
      <c r="E237" s="2">
        <v>4346.3999999999996</v>
      </c>
      <c r="F237" s="2">
        <v>55.831000000000003</v>
      </c>
      <c r="G237" s="2">
        <v>24824</v>
      </c>
      <c r="H237" s="2">
        <v>178.13</v>
      </c>
      <c r="I237" s="4"/>
      <c r="J237" s="4">
        <f t="shared" si="20"/>
        <v>7.1757170480180469E-3</v>
      </c>
    </row>
    <row r="238" spans="1:14" x14ac:dyDescent="0.2">
      <c r="A238" s="1" t="s">
        <v>156</v>
      </c>
      <c r="C238" s="1" t="s">
        <v>9</v>
      </c>
      <c r="D238" s="1" t="s">
        <v>148</v>
      </c>
      <c r="E238" s="2">
        <v>569.67999999999995</v>
      </c>
      <c r="F238" s="2">
        <v>20.47</v>
      </c>
      <c r="G238" s="2">
        <v>3311.3</v>
      </c>
      <c r="H238" s="2">
        <v>66.694000000000003</v>
      </c>
      <c r="I238" s="4">
        <f>F238/E238</f>
        <v>3.5932453307119791E-2</v>
      </c>
      <c r="J238" s="4">
        <f t="shared" si="20"/>
        <v>2.0141334219188838E-2</v>
      </c>
      <c r="N238" s="2">
        <v>5000</v>
      </c>
    </row>
    <row r="239" spans="1:14" x14ac:dyDescent="0.2">
      <c r="A239" s="1" t="s">
        <v>157</v>
      </c>
      <c r="C239" s="1" t="s">
        <v>9</v>
      </c>
      <c r="D239" s="1" t="s">
        <v>148</v>
      </c>
      <c r="E239" s="2">
        <v>677.13</v>
      </c>
      <c r="F239" s="2">
        <v>19.759</v>
      </c>
      <c r="G239" s="2">
        <v>3675.9</v>
      </c>
      <c r="H239" s="2">
        <v>63.067</v>
      </c>
      <c r="I239" s="4">
        <f>F239/E239</f>
        <v>2.9180511866259064E-2</v>
      </c>
      <c r="J239" s="4">
        <f t="shared" si="20"/>
        <v>1.7156886748823416E-2</v>
      </c>
      <c r="N239" s="2">
        <v>5000</v>
      </c>
    </row>
    <row r="240" spans="1:14" x14ac:dyDescent="0.2">
      <c r="A240" s="1" t="s">
        <v>337</v>
      </c>
      <c r="B240" s="1" t="s">
        <v>334</v>
      </c>
      <c r="C240" s="1" t="s">
        <v>57</v>
      </c>
      <c r="D240" s="1" t="s">
        <v>45</v>
      </c>
      <c r="E240" s="2">
        <v>887.48</v>
      </c>
      <c r="F240" s="2">
        <v>25.584</v>
      </c>
      <c r="G240" s="2">
        <v>5129.2</v>
      </c>
      <c r="H240" s="2">
        <v>81.13</v>
      </c>
    </row>
    <row r="241" spans="1:10" x14ac:dyDescent="0.2">
      <c r="A241" s="1" t="s">
        <v>337</v>
      </c>
      <c r="B241" s="1" t="s">
        <v>334</v>
      </c>
      <c r="C241" s="1" t="s">
        <v>46</v>
      </c>
      <c r="D241" s="1" t="s">
        <v>45</v>
      </c>
      <c r="E241" s="2">
        <v>235.71</v>
      </c>
      <c r="F241" s="2">
        <v>10.797000000000001</v>
      </c>
      <c r="G241" s="2" t="s">
        <v>338</v>
      </c>
      <c r="H241" s="2">
        <v>36.003999999999998</v>
      </c>
      <c r="I241" s="4"/>
      <c r="J241" s="15"/>
    </row>
    <row r="242" spans="1:10" x14ac:dyDescent="0.2">
      <c r="A242" s="1" t="s">
        <v>337</v>
      </c>
      <c r="B242" s="1" t="s">
        <v>334</v>
      </c>
      <c r="C242" s="1" t="s">
        <v>110</v>
      </c>
      <c r="D242" s="1" t="s">
        <v>45</v>
      </c>
      <c r="E242" s="2">
        <v>1329.1</v>
      </c>
      <c r="F242" s="2">
        <v>34.712000000000003</v>
      </c>
      <c r="G242" s="2">
        <v>8170.3</v>
      </c>
      <c r="H242" s="2">
        <v>116.83</v>
      </c>
    </row>
    <row r="243" spans="1:10" x14ac:dyDescent="0.2">
      <c r="A243" s="1" t="s">
        <v>337</v>
      </c>
      <c r="B243" s="1" t="s">
        <v>334</v>
      </c>
      <c r="C243" s="1" t="s">
        <v>324</v>
      </c>
      <c r="D243" s="1" t="s">
        <v>45</v>
      </c>
      <c r="E243" s="2">
        <v>438.9</v>
      </c>
      <c r="F243" s="2">
        <v>31.035</v>
      </c>
      <c r="G243" s="2">
        <v>2088.8000000000002</v>
      </c>
      <c r="H243" s="2">
        <v>88.168999999999997</v>
      </c>
      <c r="I243" s="4"/>
      <c r="J243" s="15">
        <f>H243/G243</f>
        <v>4.2210360015319796E-2</v>
      </c>
    </row>
    <row r="244" spans="1:10" x14ac:dyDescent="0.2">
      <c r="A244" s="1" t="s">
        <v>337</v>
      </c>
      <c r="B244" s="1" t="s">
        <v>334</v>
      </c>
      <c r="C244" s="1" t="s">
        <v>326</v>
      </c>
      <c r="D244" s="1" t="s">
        <v>45</v>
      </c>
      <c r="E244" s="2">
        <v>1414.8</v>
      </c>
      <c r="F244" s="2">
        <v>43.045000000000002</v>
      </c>
      <c r="G244" s="2">
        <v>7752.9</v>
      </c>
      <c r="H244" s="2">
        <v>133.86000000000001</v>
      </c>
    </row>
    <row r="245" spans="1:10" x14ac:dyDescent="0.2">
      <c r="A245" s="1" t="s">
        <v>337</v>
      </c>
      <c r="B245" s="1" t="s">
        <v>334</v>
      </c>
      <c r="C245" s="1" t="s">
        <v>48</v>
      </c>
      <c r="D245" s="1" t="s">
        <v>45</v>
      </c>
      <c r="E245" s="2">
        <v>359.01</v>
      </c>
      <c r="F245" s="2">
        <v>12.06</v>
      </c>
      <c r="G245" s="2">
        <v>1920.6</v>
      </c>
      <c r="H245" s="2">
        <v>36.445999999999998</v>
      </c>
      <c r="I245" s="4"/>
    </row>
    <row r="246" spans="1:10" x14ac:dyDescent="0.2">
      <c r="A246" s="1" t="s">
        <v>337</v>
      </c>
      <c r="B246" s="1" t="s">
        <v>334</v>
      </c>
      <c r="C246" s="1" t="s">
        <v>33</v>
      </c>
      <c r="D246" s="1" t="s">
        <v>45</v>
      </c>
      <c r="E246" s="2">
        <v>1063.9000000000001</v>
      </c>
      <c r="F246" s="2">
        <v>61.874000000000002</v>
      </c>
      <c r="G246" s="2">
        <v>5574.1</v>
      </c>
      <c r="H246" s="2">
        <v>180.16</v>
      </c>
    </row>
    <row r="247" spans="1:10" x14ac:dyDescent="0.2">
      <c r="A247" s="1" t="s">
        <v>337</v>
      </c>
      <c r="B247" s="1" t="s">
        <v>334</v>
      </c>
      <c r="C247" s="1" t="s">
        <v>197</v>
      </c>
      <c r="D247" s="1" t="s">
        <v>45</v>
      </c>
      <c r="E247" s="2">
        <v>609.52</v>
      </c>
      <c r="F247" s="2">
        <v>24.245999999999999</v>
      </c>
      <c r="G247" s="2">
        <v>3869.8</v>
      </c>
      <c r="H247" s="2">
        <v>82.546999999999997</v>
      </c>
    </row>
    <row r="248" spans="1:10" ht="30" x14ac:dyDescent="0.2">
      <c r="A248" s="18" t="s">
        <v>361</v>
      </c>
      <c r="C248" s="1" t="s">
        <v>120</v>
      </c>
      <c r="D248" s="1" t="s">
        <v>45</v>
      </c>
      <c r="E248" s="2">
        <v>3174.7</v>
      </c>
      <c r="F248" s="2">
        <v>43.076999999999998</v>
      </c>
      <c r="G248" s="2">
        <v>18378</v>
      </c>
      <c r="H248" s="2">
        <v>139.09</v>
      </c>
    </row>
    <row r="249" spans="1:10" x14ac:dyDescent="0.2">
      <c r="A249" s="1" t="s">
        <v>344</v>
      </c>
      <c r="C249" s="1" t="s">
        <v>120</v>
      </c>
      <c r="D249" s="1" t="s">
        <v>45</v>
      </c>
      <c r="E249" s="2">
        <v>751.7</v>
      </c>
      <c r="F249" s="2">
        <v>22.757000000000001</v>
      </c>
      <c r="G249" s="2">
        <v>4543.8999999999996</v>
      </c>
      <c r="H249" s="2">
        <v>71.195999999999998</v>
      </c>
    </row>
    <row r="250" spans="1:10" x14ac:dyDescent="0.2">
      <c r="A250" s="1" t="s">
        <v>345</v>
      </c>
      <c r="C250" s="1" t="s">
        <v>120</v>
      </c>
      <c r="D250" s="1" t="s">
        <v>45</v>
      </c>
      <c r="E250" s="2">
        <v>1680</v>
      </c>
      <c r="F250" s="2">
        <v>47.174999999999997</v>
      </c>
      <c r="G250" s="2">
        <v>10034</v>
      </c>
      <c r="H250" s="2">
        <v>151.03</v>
      </c>
    </row>
    <row r="251" spans="1:10" x14ac:dyDescent="0.2">
      <c r="A251" s="1" t="s">
        <v>346</v>
      </c>
      <c r="C251" s="1" t="s">
        <v>120</v>
      </c>
      <c r="D251" s="1" t="s">
        <v>45</v>
      </c>
      <c r="E251" s="2">
        <v>2045.3</v>
      </c>
      <c r="F251" s="2">
        <v>63.542000000000002</v>
      </c>
      <c r="G251" s="2">
        <v>12178</v>
      </c>
      <c r="H251" s="2">
        <v>202.67</v>
      </c>
    </row>
    <row r="252" spans="1:10" x14ac:dyDescent="0.2">
      <c r="A252" s="1" t="s">
        <v>348</v>
      </c>
      <c r="B252" s="1" t="s">
        <v>334</v>
      </c>
      <c r="C252" s="1" t="s">
        <v>120</v>
      </c>
      <c r="D252" s="1" t="s">
        <v>45</v>
      </c>
      <c r="E252" s="2">
        <v>1863.3</v>
      </c>
      <c r="F252" s="2">
        <v>59.23</v>
      </c>
      <c r="G252" s="2">
        <v>11099</v>
      </c>
      <c r="H252" s="2">
        <v>186.17</v>
      </c>
    </row>
    <row r="253" spans="1:10" x14ac:dyDescent="0.2">
      <c r="A253" s="1" t="s">
        <v>353</v>
      </c>
      <c r="B253" s="1" t="s">
        <v>334</v>
      </c>
      <c r="C253" s="1" t="s">
        <v>120</v>
      </c>
      <c r="D253" s="1" t="s">
        <v>45</v>
      </c>
      <c r="E253" s="2">
        <v>2730.1</v>
      </c>
      <c r="F253" s="2">
        <v>63.848999999999997</v>
      </c>
      <c r="G253" s="2">
        <v>16030</v>
      </c>
      <c r="H253" s="2">
        <v>205.97</v>
      </c>
    </row>
    <row r="254" spans="1:10" x14ac:dyDescent="0.2">
      <c r="A254" s="1" t="s">
        <v>352</v>
      </c>
      <c r="B254" s="1" t="s">
        <v>334</v>
      </c>
      <c r="C254" s="1" t="s">
        <v>120</v>
      </c>
      <c r="D254" s="1" t="s">
        <v>45</v>
      </c>
      <c r="E254" s="2">
        <v>2515.1999999999998</v>
      </c>
      <c r="F254" s="2">
        <v>62.215000000000003</v>
      </c>
      <c r="G254" s="2">
        <v>15148</v>
      </c>
      <c r="H254" s="2">
        <v>201.99</v>
      </c>
    </row>
    <row r="255" spans="1:10" x14ac:dyDescent="0.2">
      <c r="A255" s="1" t="s">
        <v>351</v>
      </c>
      <c r="B255" s="1" t="s">
        <v>334</v>
      </c>
      <c r="C255" s="1" t="s">
        <v>120</v>
      </c>
      <c r="D255" s="1" t="s">
        <v>45</v>
      </c>
      <c r="E255" s="2">
        <v>2510.1</v>
      </c>
      <c r="F255" s="2">
        <v>58.728000000000002</v>
      </c>
      <c r="G255" s="2">
        <v>14275</v>
      </c>
      <c r="H255" s="2">
        <v>187.91</v>
      </c>
    </row>
    <row r="256" spans="1:10" x14ac:dyDescent="0.2">
      <c r="A256" s="1" t="s">
        <v>349</v>
      </c>
      <c r="B256" s="1" t="s">
        <v>350</v>
      </c>
      <c r="C256" s="1" t="s">
        <v>120</v>
      </c>
      <c r="D256" s="1" t="s">
        <v>45</v>
      </c>
      <c r="E256" s="2">
        <v>2089.8000000000002</v>
      </c>
      <c r="F256" s="2">
        <v>52.363999999999997</v>
      </c>
      <c r="G256" s="2">
        <v>12500</v>
      </c>
      <c r="H256" s="2">
        <v>169.83</v>
      </c>
    </row>
    <row r="257" spans="1:14" x14ac:dyDescent="0.2">
      <c r="A257" s="1" t="s">
        <v>304</v>
      </c>
      <c r="B257" s="1" t="s">
        <v>303</v>
      </c>
      <c r="C257" s="1" t="s">
        <v>305</v>
      </c>
      <c r="D257" s="1" t="s">
        <v>306</v>
      </c>
      <c r="E257" s="2">
        <v>1272.3</v>
      </c>
      <c r="F257" s="2">
        <v>23.507999999999999</v>
      </c>
      <c r="G257" s="2">
        <v>7528.6</v>
      </c>
      <c r="H257" s="2">
        <v>76.793000000000006</v>
      </c>
      <c r="N257" s="2">
        <v>10000</v>
      </c>
    </row>
    <row r="258" spans="1:14" x14ac:dyDescent="0.2">
      <c r="A258" s="19" t="s">
        <v>431</v>
      </c>
      <c r="B258" s="1" t="s">
        <v>432</v>
      </c>
      <c r="C258" s="1" t="s">
        <v>433</v>
      </c>
      <c r="D258" s="1" t="s">
        <v>422</v>
      </c>
      <c r="E258" s="2">
        <v>334.71</v>
      </c>
      <c r="F258" s="2">
        <v>12.579000000000001</v>
      </c>
      <c r="G258" s="2">
        <v>2140.3000000000002</v>
      </c>
      <c r="H258" s="2">
        <v>39.866</v>
      </c>
      <c r="I258" s="4">
        <f>F258/E258</f>
        <v>3.7581787218786418E-2</v>
      </c>
      <c r="J258" s="4">
        <f>H258/G258</f>
        <v>1.8626360790543379E-2</v>
      </c>
      <c r="N258" s="2">
        <v>10000</v>
      </c>
    </row>
    <row r="259" spans="1:14" x14ac:dyDescent="0.2">
      <c r="A259" s="19" t="s">
        <v>431</v>
      </c>
      <c r="B259" s="1" t="s">
        <v>432</v>
      </c>
      <c r="C259" s="1" t="s">
        <v>112</v>
      </c>
      <c r="D259" s="1" t="s">
        <v>422</v>
      </c>
      <c r="E259" s="2">
        <v>264.77</v>
      </c>
      <c r="F259" s="2">
        <v>10.661</v>
      </c>
      <c r="G259" s="2">
        <v>1655.3</v>
      </c>
      <c r="H259" s="2">
        <v>33.140999999999998</v>
      </c>
      <c r="I259" s="4">
        <f>F259/E259</f>
        <v>4.0265135778222612E-2</v>
      </c>
      <c r="J259" s="4">
        <f>H259/G259</f>
        <v>2.002114420346765E-2</v>
      </c>
      <c r="N259" s="2">
        <v>10000</v>
      </c>
    </row>
    <row r="260" spans="1:14" x14ac:dyDescent="0.2">
      <c r="A260" s="19" t="s">
        <v>401</v>
      </c>
      <c r="B260" s="1" t="s">
        <v>429</v>
      </c>
      <c r="C260" s="1" t="s">
        <v>430</v>
      </c>
      <c r="D260" s="1" t="s">
        <v>422</v>
      </c>
      <c r="E260" s="2">
        <v>1401.3</v>
      </c>
      <c r="F260" s="2">
        <v>24.224</v>
      </c>
      <c r="G260" s="2">
        <v>8302.2999999999993</v>
      </c>
      <c r="H260" s="2">
        <v>78.902000000000001</v>
      </c>
      <c r="I260" s="4">
        <f>F260/E260</f>
        <v>1.7286805109541142E-2</v>
      </c>
      <c r="J260" s="4">
        <f>H260/G260</f>
        <v>9.5036315237946121E-3</v>
      </c>
      <c r="N260" s="2">
        <v>8700</v>
      </c>
    </row>
    <row r="261" spans="1:14" x14ac:dyDescent="0.2">
      <c r="A261" s="19" t="s">
        <v>401</v>
      </c>
      <c r="B261" s="1" t="s">
        <v>429</v>
      </c>
      <c r="C261" s="1" t="s">
        <v>112</v>
      </c>
      <c r="D261" s="1" t="s">
        <v>107</v>
      </c>
      <c r="E261" s="2">
        <v>788.9</v>
      </c>
      <c r="F261" s="2">
        <v>16.686</v>
      </c>
      <c r="G261" s="2">
        <v>4697.7</v>
      </c>
      <c r="H261" s="2">
        <v>53.15</v>
      </c>
      <c r="I261" s="4">
        <f>F261/E261</f>
        <v>2.1150969704652047E-2</v>
      </c>
      <c r="J261" s="4">
        <f>H261/G261</f>
        <v>1.1314047299742428E-2</v>
      </c>
      <c r="N261" s="2">
        <v>10000</v>
      </c>
    </row>
  </sheetData>
  <sortState xmlns:xlrd2="http://schemas.microsoft.com/office/spreadsheetml/2017/richdata2" ref="A3:N261">
    <sortCondition ref="A3:A261"/>
  </sortState>
  <mergeCells count="11">
    <mergeCell ref="I1:J1"/>
    <mergeCell ref="K1:K2"/>
    <mergeCell ref="L1:L2"/>
    <mergeCell ref="N1:N2"/>
    <mergeCell ref="A1:A2"/>
    <mergeCell ref="C1:C2"/>
    <mergeCell ref="D1:D2"/>
    <mergeCell ref="E1:F1"/>
    <mergeCell ref="G1:H1"/>
    <mergeCell ref="B1:B2"/>
    <mergeCell ref="M1:M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2016+2018 boar</vt:lpstr>
      <vt:lpstr>134Cs backcals</vt:lpstr>
      <vt:lpstr>Cs soil</vt:lpstr>
      <vt:lpstr>Cs Data (Boar)</vt:lpstr>
      <vt:lpstr>'2016+2018 boar'!Print_Area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OKUDA</dc:creator>
  <cp:lastModifiedBy>Luxton,Jared</cp:lastModifiedBy>
  <cp:lastPrinted>2018-04-20T01:48:56Z</cp:lastPrinted>
  <dcterms:created xsi:type="dcterms:W3CDTF">2016-07-01T00:09:41Z</dcterms:created>
  <dcterms:modified xsi:type="dcterms:W3CDTF">2019-12-01T07:08:26Z</dcterms:modified>
</cp:coreProperties>
</file>