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m\Desktop\"/>
    </mc:Choice>
  </mc:AlternateContent>
  <bookViews>
    <workbookView xWindow="0" yWindow="0" windowWidth="14380" windowHeight="4290" tabRatio="691"/>
  </bookViews>
  <sheets>
    <sheet name="Individual Data (Boar)" sheetId="1" r:id="rId1"/>
    <sheet name="134Cs backcals" sheetId="4" r:id="rId2"/>
    <sheet name="Cs soil" sheetId="3" r:id="rId3"/>
    <sheet name="Cs Data (Boar)" sheetId="2" r:id="rId4"/>
  </sheets>
  <definedNames>
    <definedName name="_xlnm.Print_Area" localSheetId="0">'Individual Data (Boar)'!$B$5:$T$50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5" i="1" l="1"/>
  <c r="AG15" i="1"/>
  <c r="AF25" i="1"/>
  <c r="AG25" i="1"/>
  <c r="AF29" i="1"/>
  <c r="AG29" i="1"/>
  <c r="AF34" i="1"/>
  <c r="AG34" i="1"/>
  <c r="AF38" i="1"/>
  <c r="AG38" i="1"/>
  <c r="AG52" i="1"/>
  <c r="AG51" i="1"/>
  <c r="AE49" i="1"/>
  <c r="AG49" i="1"/>
  <c r="AE48" i="1"/>
  <c r="AG48" i="1"/>
  <c r="AE47" i="1"/>
  <c r="AG47" i="1"/>
  <c r="AE46" i="1"/>
  <c r="AG46" i="1"/>
  <c r="AE45" i="1"/>
  <c r="AG45" i="1"/>
  <c r="AE44" i="1"/>
  <c r="AG44" i="1"/>
  <c r="AE43" i="1"/>
  <c r="AG43" i="1"/>
  <c r="AE42" i="1"/>
  <c r="AG42" i="1"/>
  <c r="AE41" i="1"/>
  <c r="AG41" i="1"/>
  <c r="AE40" i="1"/>
  <c r="AG40" i="1"/>
  <c r="AE39" i="1"/>
  <c r="AG39" i="1"/>
  <c r="AE38" i="1"/>
  <c r="AE37" i="1"/>
  <c r="AG37" i="1"/>
  <c r="AE36" i="1"/>
  <c r="AG36" i="1"/>
  <c r="AE35" i="1"/>
  <c r="AG35" i="1"/>
  <c r="AE34" i="1"/>
  <c r="AE33" i="1"/>
  <c r="AG33" i="1"/>
  <c r="AE32" i="1"/>
  <c r="AG32" i="1"/>
  <c r="AE31" i="1"/>
  <c r="AG31" i="1"/>
  <c r="AE30" i="1"/>
  <c r="AG30" i="1"/>
  <c r="AE29" i="1"/>
  <c r="AE28" i="1"/>
  <c r="AG28" i="1"/>
  <c r="AE27" i="1"/>
  <c r="AG27" i="1"/>
  <c r="AE26" i="1"/>
  <c r="AE25" i="1"/>
  <c r="AE24" i="1"/>
  <c r="AG24" i="1"/>
  <c r="AE23" i="1"/>
  <c r="AG23" i="1"/>
  <c r="AE22" i="1"/>
  <c r="AG22" i="1"/>
  <c r="AE21" i="1"/>
  <c r="AG21" i="1"/>
  <c r="AE20" i="1"/>
  <c r="AG20" i="1"/>
  <c r="AE19" i="1"/>
  <c r="AG19" i="1"/>
  <c r="AE18" i="1"/>
  <c r="AG18" i="1"/>
  <c r="AE17" i="1"/>
  <c r="AG17" i="1"/>
  <c r="AE16" i="1"/>
  <c r="AG16" i="1"/>
  <c r="AE15" i="1"/>
  <c r="AE14" i="1"/>
  <c r="AG14" i="1"/>
  <c r="AE13" i="1"/>
  <c r="AG13" i="1"/>
  <c r="AE12" i="1"/>
  <c r="AG12" i="1"/>
  <c r="AE11" i="1"/>
  <c r="AG11" i="1"/>
  <c r="AE10" i="1"/>
  <c r="AG10" i="1"/>
  <c r="AE9" i="1"/>
  <c r="AG9" i="1"/>
  <c r="V49" i="1"/>
  <c r="AA49" i="1"/>
  <c r="O49" i="1"/>
  <c r="AD49" i="1"/>
  <c r="V48" i="1"/>
  <c r="AA48" i="1"/>
  <c r="O48" i="1"/>
  <c r="AD48" i="1"/>
  <c r="V47" i="1"/>
  <c r="AA47" i="1"/>
  <c r="O47" i="1"/>
  <c r="AD47" i="1"/>
  <c r="V46" i="1"/>
  <c r="AA46" i="1"/>
  <c r="O46" i="1"/>
  <c r="AD46" i="1"/>
  <c r="V45" i="1"/>
  <c r="AA45" i="1"/>
  <c r="O45" i="1"/>
  <c r="AD45" i="1"/>
  <c r="V44" i="1"/>
  <c r="AA44" i="1"/>
  <c r="O44" i="1"/>
  <c r="AD44" i="1"/>
  <c r="V43" i="1"/>
  <c r="AA43" i="1"/>
  <c r="O43" i="1"/>
  <c r="AD43" i="1"/>
  <c r="V42" i="1"/>
  <c r="AA42" i="1"/>
  <c r="O42" i="1"/>
  <c r="AD42" i="1"/>
  <c r="V41" i="1"/>
  <c r="AA41" i="1"/>
  <c r="O41" i="1"/>
  <c r="AD41" i="1"/>
  <c r="V40" i="1"/>
  <c r="AA40" i="1"/>
  <c r="O40" i="1"/>
  <c r="AD40" i="1"/>
  <c r="AA39" i="1"/>
  <c r="O39" i="1"/>
  <c r="AD39" i="1"/>
  <c r="AA38" i="1"/>
  <c r="O38" i="1"/>
  <c r="AD38" i="1"/>
  <c r="V37" i="1"/>
  <c r="AA37" i="1"/>
  <c r="O37" i="1"/>
  <c r="AD37" i="1"/>
  <c r="V36" i="1"/>
  <c r="AA36" i="1"/>
  <c r="O36" i="1"/>
  <c r="AD36" i="1"/>
  <c r="V35" i="1"/>
  <c r="AA35" i="1"/>
  <c r="O35" i="1"/>
  <c r="AD35" i="1"/>
  <c r="AA34" i="1"/>
  <c r="O34" i="1"/>
  <c r="AD34" i="1"/>
  <c r="V33" i="1"/>
  <c r="AA33" i="1"/>
  <c r="O33" i="1"/>
  <c r="AD33" i="1"/>
  <c r="V32" i="1"/>
  <c r="AA32" i="1"/>
  <c r="O32" i="1"/>
  <c r="AD32" i="1"/>
  <c r="V31" i="1"/>
  <c r="AA31" i="1"/>
  <c r="O31" i="1"/>
  <c r="AD31" i="1"/>
  <c r="AA30" i="1"/>
  <c r="O30" i="1"/>
  <c r="AD30" i="1"/>
  <c r="V29" i="1"/>
  <c r="AA29" i="1"/>
  <c r="O29" i="1"/>
  <c r="AD29" i="1"/>
  <c r="V28" i="1"/>
  <c r="AA28" i="1"/>
  <c r="O28" i="1"/>
  <c r="AD28" i="1"/>
  <c r="V27" i="1"/>
  <c r="AA27" i="1"/>
  <c r="O27" i="1"/>
  <c r="AD27" i="1"/>
  <c r="V26" i="1"/>
  <c r="AA26" i="1"/>
  <c r="AD26" i="1"/>
  <c r="AA25" i="1"/>
  <c r="O25" i="1"/>
  <c r="AD25" i="1"/>
  <c r="V24" i="1"/>
  <c r="AA24" i="1"/>
  <c r="O24" i="1"/>
  <c r="AD24" i="1"/>
  <c r="AA23" i="1"/>
  <c r="O23" i="1"/>
  <c r="AD23" i="1"/>
  <c r="V22" i="1"/>
  <c r="AA22" i="1"/>
  <c r="O22" i="1"/>
  <c r="AD22" i="1"/>
  <c r="V21" i="1"/>
  <c r="AA21" i="1"/>
  <c r="O21" i="1"/>
  <c r="AD21" i="1"/>
  <c r="V20" i="1"/>
  <c r="AA20" i="1"/>
  <c r="O20" i="1"/>
  <c r="AD20" i="1"/>
  <c r="V19" i="1"/>
  <c r="AA19" i="1"/>
  <c r="O19" i="1"/>
  <c r="AD19" i="1"/>
  <c r="V18" i="1"/>
  <c r="AA18" i="1"/>
  <c r="O18" i="1"/>
  <c r="AD18" i="1"/>
  <c r="V17" i="1"/>
  <c r="AA17" i="1"/>
  <c r="O17" i="1"/>
  <c r="AD17" i="1"/>
  <c r="V16" i="1"/>
  <c r="AA16" i="1"/>
  <c r="O16" i="1"/>
  <c r="AD16" i="1"/>
  <c r="V15" i="1"/>
  <c r="AA15" i="1"/>
  <c r="O15" i="1"/>
  <c r="AD15" i="1"/>
  <c r="V14" i="1"/>
  <c r="AA14" i="1"/>
  <c r="O14" i="1"/>
  <c r="AD14" i="1"/>
  <c r="V13" i="1"/>
  <c r="AA13" i="1"/>
  <c r="O13" i="1"/>
  <c r="AD13" i="1"/>
  <c r="V12" i="1"/>
  <c r="AA12" i="1"/>
  <c r="O12" i="1"/>
  <c r="AD12" i="1"/>
  <c r="V11" i="1"/>
  <c r="AA11" i="1"/>
  <c r="O11" i="1"/>
  <c r="AD11" i="1"/>
  <c r="V10" i="1"/>
  <c r="AA10" i="1"/>
  <c r="O10" i="1"/>
  <c r="AD10" i="1"/>
  <c r="V9" i="1"/>
  <c r="AA9" i="1"/>
  <c r="O9" i="1"/>
  <c r="AD9" i="1"/>
  <c r="K45" i="4"/>
  <c r="K44" i="4"/>
  <c r="K41" i="4"/>
  <c r="K40" i="4"/>
  <c r="K39" i="4"/>
  <c r="K38" i="4"/>
  <c r="K37" i="4"/>
  <c r="K36" i="4"/>
  <c r="K35" i="4"/>
  <c r="K33" i="4"/>
  <c r="K32" i="4"/>
  <c r="K31" i="4"/>
  <c r="K30" i="4"/>
  <c r="K29" i="4"/>
  <c r="K28" i="4"/>
  <c r="K27" i="4"/>
  <c r="K26" i="4"/>
  <c r="K25" i="4"/>
  <c r="K24" i="4"/>
  <c r="K23" i="4"/>
  <c r="K21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H23" i="4"/>
  <c r="E23" i="4"/>
  <c r="I23" i="4"/>
  <c r="H19" i="4"/>
  <c r="E19" i="4"/>
  <c r="I19" i="4"/>
  <c r="H10" i="4"/>
  <c r="E10" i="4"/>
  <c r="I10" i="4"/>
  <c r="H45" i="4"/>
  <c r="E45" i="4"/>
  <c r="I45" i="4"/>
  <c r="H44" i="4"/>
  <c r="E44" i="4"/>
  <c r="I44" i="4"/>
  <c r="H41" i="4"/>
  <c r="E41" i="4"/>
  <c r="I41" i="4"/>
  <c r="H40" i="4"/>
  <c r="E40" i="4"/>
  <c r="I40" i="4"/>
  <c r="H39" i="4"/>
  <c r="E39" i="4"/>
  <c r="I39" i="4"/>
  <c r="H38" i="4"/>
  <c r="E38" i="4"/>
  <c r="I38" i="4"/>
  <c r="H37" i="4"/>
  <c r="E37" i="4"/>
  <c r="I37" i="4"/>
  <c r="H36" i="4"/>
  <c r="E36" i="4"/>
  <c r="I36" i="4"/>
  <c r="H35" i="4"/>
  <c r="E35" i="4"/>
  <c r="I35" i="4"/>
  <c r="H33" i="4"/>
  <c r="E33" i="4"/>
  <c r="I33" i="4"/>
  <c r="H32" i="4"/>
  <c r="E32" i="4"/>
  <c r="I32" i="4"/>
  <c r="H31" i="4"/>
  <c r="E31" i="4"/>
  <c r="I31" i="4"/>
  <c r="H30" i="4"/>
  <c r="E30" i="4"/>
  <c r="I30" i="4"/>
  <c r="H29" i="4"/>
  <c r="E29" i="4"/>
  <c r="I29" i="4"/>
  <c r="H28" i="4"/>
  <c r="E28" i="4"/>
  <c r="I28" i="4"/>
  <c r="H27" i="4"/>
  <c r="E27" i="4"/>
  <c r="I27" i="4"/>
  <c r="H26" i="4"/>
  <c r="E26" i="4"/>
  <c r="I26" i="4"/>
  <c r="H25" i="4"/>
  <c r="E25" i="4"/>
  <c r="I25" i="4"/>
  <c r="H24" i="4"/>
  <c r="E24" i="4"/>
  <c r="I24" i="4"/>
  <c r="H21" i="4"/>
  <c r="E21" i="4"/>
  <c r="I21" i="4"/>
  <c r="H18" i="4"/>
  <c r="E18" i="4"/>
  <c r="I18" i="4"/>
  <c r="H17" i="4"/>
  <c r="E17" i="4"/>
  <c r="H16" i="4"/>
  <c r="E16" i="4"/>
  <c r="I16" i="4"/>
  <c r="H15" i="4"/>
  <c r="E15" i="4"/>
  <c r="I15" i="4"/>
  <c r="H14" i="4"/>
  <c r="E14" i="4"/>
  <c r="I14" i="4"/>
  <c r="H13" i="4"/>
  <c r="E13" i="4"/>
  <c r="I13" i="4"/>
  <c r="H12" i="4"/>
  <c r="E12" i="4"/>
  <c r="I12" i="4"/>
  <c r="H11" i="4"/>
  <c r="E11" i="4"/>
  <c r="I11" i="4"/>
  <c r="H9" i="4"/>
  <c r="E9" i="4"/>
  <c r="I9" i="4"/>
  <c r="H8" i="4"/>
  <c r="E8" i="4"/>
  <c r="I8" i="4"/>
  <c r="H7" i="4"/>
  <c r="E7" i="4"/>
  <c r="I7" i="4"/>
  <c r="H6" i="4"/>
  <c r="E6" i="4"/>
  <c r="I6" i="4"/>
  <c r="H5" i="4"/>
  <c r="E5" i="4"/>
  <c r="I5" i="4"/>
  <c r="E43" i="4"/>
  <c r="E42" i="4"/>
  <c r="E34" i="4"/>
  <c r="E20" i="4"/>
  <c r="AK47" i="1"/>
  <c r="AK46" i="1"/>
  <c r="U14" i="1"/>
  <c r="W14" i="1"/>
  <c r="U27" i="1"/>
  <c r="R64" i="1"/>
  <c r="Q64" i="1"/>
  <c r="R63" i="1"/>
  <c r="Q63" i="1"/>
  <c r="J60" i="1"/>
  <c r="R65" i="1"/>
  <c r="Q65" i="1"/>
  <c r="AH19" i="1"/>
  <c r="W39" i="1"/>
  <c r="W25" i="1"/>
  <c r="U9" i="1"/>
  <c r="W9" i="1"/>
  <c r="U10" i="1"/>
  <c r="W10" i="1"/>
  <c r="U11" i="1"/>
  <c r="W11" i="1"/>
  <c r="U12" i="1"/>
  <c r="W12" i="1"/>
  <c r="U13" i="1"/>
  <c r="W13" i="1"/>
  <c r="U15" i="1"/>
  <c r="W15" i="1"/>
  <c r="U16" i="1"/>
  <c r="W16" i="1"/>
  <c r="U17" i="1"/>
  <c r="W17" i="1"/>
  <c r="U18" i="1"/>
  <c r="W18" i="1"/>
  <c r="U19" i="1"/>
  <c r="W19" i="1"/>
  <c r="U20" i="1"/>
  <c r="W20" i="1"/>
  <c r="U21" i="1"/>
  <c r="W21" i="1"/>
  <c r="U22" i="1"/>
  <c r="W22" i="1"/>
  <c r="W23" i="1"/>
  <c r="U26" i="1"/>
  <c r="W26" i="1"/>
  <c r="U28" i="1"/>
  <c r="W28" i="1"/>
  <c r="U29" i="1"/>
  <c r="W29" i="1"/>
  <c r="U31" i="1"/>
  <c r="W31" i="1"/>
  <c r="U32" i="1"/>
  <c r="W32" i="1"/>
  <c r="U33" i="1"/>
  <c r="W33" i="1"/>
  <c r="U35" i="1"/>
  <c r="W35" i="1"/>
  <c r="U36" i="1"/>
  <c r="W36" i="1"/>
  <c r="U37" i="1"/>
  <c r="W37" i="1"/>
  <c r="U40" i="1"/>
  <c r="W40" i="1"/>
  <c r="U41" i="1"/>
  <c r="W41" i="1"/>
  <c r="U42" i="1"/>
  <c r="W42" i="1"/>
  <c r="U43" i="1"/>
  <c r="W43" i="1"/>
  <c r="U44" i="1"/>
  <c r="W44" i="1"/>
  <c r="U45" i="1"/>
  <c r="W45" i="1"/>
  <c r="U48" i="1"/>
  <c r="W48" i="1"/>
  <c r="U49" i="1"/>
  <c r="W49" i="1"/>
  <c r="W52" i="1"/>
  <c r="W51" i="1"/>
  <c r="J61" i="1"/>
  <c r="J62" i="1"/>
  <c r="I61" i="1"/>
  <c r="I60" i="1"/>
  <c r="I62" i="1"/>
  <c r="U30" i="1"/>
  <c r="Z49" i="1"/>
  <c r="AK49" i="1"/>
  <c r="Z48" i="1"/>
  <c r="AK48" i="1"/>
  <c r="Z45" i="1"/>
  <c r="AK45" i="1"/>
  <c r="Z44" i="1"/>
  <c r="AK44" i="1"/>
  <c r="Z43" i="1"/>
  <c r="AK43" i="1"/>
  <c r="Z42" i="1"/>
  <c r="AK42" i="1"/>
  <c r="Z41" i="1"/>
  <c r="AK41" i="1"/>
  <c r="Z40" i="1"/>
  <c r="AK40" i="1"/>
  <c r="Z39" i="1"/>
  <c r="AK39" i="1"/>
  <c r="Z38" i="1"/>
  <c r="AK38" i="1"/>
  <c r="Z37" i="1"/>
  <c r="AK37" i="1"/>
  <c r="Z36" i="1"/>
  <c r="AK36" i="1"/>
  <c r="Z35" i="1"/>
  <c r="AK35" i="1"/>
  <c r="Z34" i="1"/>
  <c r="AK34" i="1"/>
  <c r="Z33" i="1"/>
  <c r="AK33" i="1"/>
  <c r="Z32" i="1"/>
  <c r="AK32" i="1"/>
  <c r="Z31" i="1"/>
  <c r="AK31" i="1"/>
  <c r="Z30" i="1"/>
  <c r="AK30" i="1"/>
  <c r="Z29" i="1"/>
  <c r="AK29" i="1"/>
  <c r="Z28" i="1"/>
  <c r="AK28" i="1"/>
  <c r="Z27" i="1"/>
  <c r="AK27" i="1"/>
  <c r="Z26" i="1"/>
  <c r="AK26" i="1"/>
  <c r="Z25" i="1"/>
  <c r="AK25" i="1"/>
  <c r="Z24" i="1"/>
  <c r="AK24" i="1"/>
  <c r="Z23" i="1"/>
  <c r="AK23" i="1"/>
  <c r="Z22" i="1"/>
  <c r="AK22" i="1"/>
  <c r="Z21" i="1"/>
  <c r="AK21" i="1"/>
  <c r="Z20" i="1"/>
  <c r="AK20" i="1"/>
  <c r="Z19" i="1"/>
  <c r="AK19" i="1"/>
  <c r="Z18" i="1"/>
  <c r="AK18" i="1"/>
  <c r="Z17" i="1"/>
  <c r="AK17" i="1"/>
  <c r="Z16" i="1"/>
  <c r="AK16" i="1"/>
  <c r="Z15" i="1"/>
  <c r="AK15" i="1"/>
  <c r="Z14" i="1"/>
  <c r="AK14" i="1"/>
  <c r="Z13" i="1"/>
  <c r="AK13" i="1"/>
  <c r="Z12" i="1"/>
  <c r="AK12" i="1"/>
  <c r="Z11" i="1"/>
  <c r="AK11" i="1"/>
  <c r="Z10" i="1"/>
  <c r="AK10" i="1"/>
  <c r="Z9" i="1"/>
  <c r="AK9" i="1"/>
  <c r="AH49" i="1"/>
  <c r="AJ49" i="1"/>
  <c r="AH48" i="1"/>
  <c r="AJ48" i="1"/>
  <c r="AH47" i="1"/>
  <c r="AJ47" i="1"/>
  <c r="AH46" i="1"/>
  <c r="AJ46" i="1"/>
  <c r="AH45" i="1"/>
  <c r="AJ45" i="1"/>
  <c r="AH44" i="1"/>
  <c r="AJ44" i="1"/>
  <c r="AH43" i="1"/>
  <c r="AJ43" i="1"/>
  <c r="AH42" i="1"/>
  <c r="AJ42" i="1"/>
  <c r="AH41" i="1"/>
  <c r="AJ41" i="1"/>
  <c r="AH40" i="1"/>
  <c r="AJ40" i="1"/>
  <c r="AB39" i="1"/>
  <c r="AH39" i="1"/>
  <c r="AJ39" i="1"/>
  <c r="AH38" i="1"/>
  <c r="AJ38" i="1"/>
  <c r="AH37" i="1"/>
  <c r="AJ37" i="1"/>
  <c r="AH36" i="1"/>
  <c r="AJ36" i="1"/>
  <c r="AH35" i="1"/>
  <c r="AJ35" i="1"/>
  <c r="AB34" i="1"/>
  <c r="AH34" i="1"/>
  <c r="AJ34" i="1"/>
  <c r="AH33" i="1"/>
  <c r="AJ33" i="1"/>
  <c r="AH32" i="1"/>
  <c r="AJ32" i="1"/>
  <c r="AH31" i="1"/>
  <c r="AJ31" i="1"/>
  <c r="AB30" i="1"/>
  <c r="AH30" i="1"/>
  <c r="AJ30" i="1"/>
  <c r="AH29" i="1"/>
  <c r="AJ29" i="1"/>
  <c r="AH28" i="1"/>
  <c r="AJ28" i="1"/>
  <c r="AB27" i="1"/>
  <c r="AH27" i="1"/>
  <c r="AJ27" i="1"/>
  <c r="AH26" i="1"/>
  <c r="AJ26" i="1"/>
  <c r="AB25" i="1"/>
  <c r="AH25" i="1"/>
  <c r="AJ25" i="1"/>
  <c r="AB24" i="1"/>
  <c r="AH24" i="1"/>
  <c r="AJ24" i="1"/>
  <c r="AB23" i="1"/>
  <c r="AH23" i="1"/>
  <c r="AJ23" i="1"/>
  <c r="AH22" i="1"/>
  <c r="AJ22" i="1"/>
  <c r="AH21" i="1"/>
  <c r="AJ21" i="1"/>
  <c r="AH20" i="1"/>
  <c r="AB20" i="1"/>
  <c r="AJ20" i="1"/>
  <c r="AB19" i="1"/>
  <c r="AJ19" i="1"/>
  <c r="AH18" i="1"/>
  <c r="AJ18" i="1"/>
  <c r="AH17" i="1"/>
  <c r="AB17" i="1"/>
  <c r="AJ17" i="1"/>
  <c r="AH16" i="1"/>
  <c r="AJ16" i="1"/>
  <c r="AH15" i="1"/>
  <c r="AJ15" i="1"/>
  <c r="AB14" i="1"/>
  <c r="AH14" i="1"/>
  <c r="AJ14" i="1"/>
  <c r="AH13" i="1"/>
  <c r="AJ13" i="1"/>
  <c r="AH12" i="1"/>
  <c r="AJ12" i="1"/>
  <c r="AH11" i="1"/>
  <c r="AJ11" i="1"/>
  <c r="AH10" i="1"/>
  <c r="AJ10" i="1"/>
  <c r="AH9" i="1"/>
  <c r="AJ9" i="1"/>
  <c r="AF49" i="1"/>
  <c r="AI49" i="1"/>
  <c r="AF48" i="1"/>
  <c r="AI48" i="1"/>
  <c r="AF47" i="1"/>
  <c r="AI47" i="1"/>
  <c r="AF46" i="1"/>
  <c r="AI46" i="1"/>
  <c r="AF45" i="1"/>
  <c r="AI45" i="1"/>
  <c r="AF44" i="1"/>
  <c r="AI44" i="1"/>
  <c r="AF43" i="1"/>
  <c r="AI43" i="1"/>
  <c r="AF42" i="1"/>
  <c r="AI42" i="1"/>
  <c r="AF41" i="1"/>
  <c r="AI41" i="1"/>
  <c r="AF40" i="1"/>
  <c r="AI40" i="1"/>
  <c r="AF39" i="1"/>
  <c r="AI39" i="1"/>
  <c r="AI38" i="1"/>
  <c r="AF37" i="1"/>
  <c r="AI37" i="1"/>
  <c r="AF36" i="1"/>
  <c r="AI36" i="1"/>
  <c r="AF35" i="1"/>
  <c r="AI35" i="1"/>
  <c r="AI34" i="1"/>
  <c r="AF33" i="1"/>
  <c r="AI33" i="1"/>
  <c r="AF32" i="1"/>
  <c r="AI32" i="1"/>
  <c r="AF31" i="1"/>
  <c r="AI31" i="1"/>
  <c r="AF30" i="1"/>
  <c r="AI30" i="1"/>
  <c r="AI29" i="1"/>
  <c r="AF28" i="1"/>
  <c r="AI28" i="1"/>
  <c r="AF27" i="1"/>
  <c r="AI27" i="1"/>
  <c r="AF26" i="1"/>
  <c r="AI26" i="1"/>
  <c r="AI25" i="1"/>
  <c r="AF24" i="1"/>
  <c r="AI24" i="1"/>
  <c r="AF23" i="1"/>
  <c r="AI23" i="1"/>
  <c r="AF22" i="1"/>
  <c r="AI22" i="1"/>
  <c r="AF21" i="1"/>
  <c r="AI21" i="1"/>
  <c r="AF20" i="1"/>
  <c r="AI20" i="1"/>
  <c r="AF19" i="1"/>
  <c r="AI19" i="1"/>
  <c r="AF18" i="1"/>
  <c r="AI18" i="1"/>
  <c r="AF17" i="1"/>
  <c r="AI17" i="1"/>
  <c r="AF16" i="1"/>
  <c r="AI16" i="1"/>
  <c r="AI15" i="1"/>
  <c r="AF14" i="1"/>
  <c r="AI14" i="1"/>
  <c r="AF13" i="1"/>
  <c r="AI13" i="1"/>
  <c r="AF12" i="1"/>
  <c r="AI12" i="1"/>
  <c r="AF11" i="1"/>
  <c r="AI11" i="1"/>
  <c r="AF10" i="1"/>
  <c r="AI10" i="1"/>
  <c r="AF9" i="1"/>
  <c r="AI9" i="1"/>
  <c r="AB49" i="1"/>
  <c r="AB48" i="1"/>
  <c r="AB45" i="1"/>
  <c r="AB44" i="1"/>
  <c r="AB43" i="1"/>
  <c r="AB42" i="1"/>
  <c r="AB41" i="1"/>
  <c r="AB40" i="1"/>
  <c r="AB38" i="1"/>
  <c r="AB37" i="1"/>
  <c r="AB36" i="1"/>
  <c r="AB35" i="1"/>
  <c r="AB33" i="1"/>
  <c r="AB32" i="1"/>
  <c r="AB31" i="1"/>
  <c r="AB29" i="1"/>
  <c r="AB28" i="1"/>
  <c r="AB26" i="1"/>
  <c r="AB22" i="1"/>
  <c r="AB21" i="1"/>
  <c r="AB18" i="1"/>
  <c r="AB16" i="1"/>
  <c r="AB15" i="1"/>
  <c r="AB13" i="1"/>
  <c r="AB12" i="1"/>
  <c r="AB11" i="1"/>
  <c r="AB10" i="1"/>
  <c r="AB9" i="1"/>
  <c r="P52" i="1"/>
  <c r="P51" i="1"/>
  <c r="P116" i="1"/>
  <c r="W16" i="3"/>
  <c r="V16" i="3"/>
  <c r="R16" i="3"/>
  <c r="Q16" i="3"/>
  <c r="M16" i="3"/>
  <c r="L16" i="3"/>
  <c r="H16" i="3"/>
  <c r="G16" i="3"/>
  <c r="W9" i="3"/>
  <c r="V9" i="3"/>
  <c r="R9" i="3"/>
  <c r="Q9" i="3"/>
  <c r="M9" i="3"/>
  <c r="L9" i="3"/>
  <c r="H9" i="3"/>
  <c r="G9" i="3"/>
  <c r="W6" i="3"/>
  <c r="V6" i="3"/>
  <c r="R6" i="3"/>
  <c r="Q6" i="3"/>
  <c r="M6" i="3"/>
  <c r="L6" i="3"/>
  <c r="H6" i="3"/>
  <c r="G6" i="3"/>
  <c r="W5" i="3"/>
  <c r="V5" i="3"/>
  <c r="M5" i="3"/>
  <c r="L5" i="3"/>
  <c r="R5" i="3"/>
  <c r="Q5" i="3"/>
  <c r="H5" i="3"/>
  <c r="G5" i="3"/>
  <c r="I139" i="2"/>
  <c r="J139" i="2"/>
  <c r="J140" i="2"/>
  <c r="J141" i="2"/>
  <c r="J142" i="2"/>
  <c r="I138" i="2"/>
  <c r="I260" i="2"/>
  <c r="I261" i="2"/>
  <c r="I258" i="2"/>
  <c r="I259" i="2"/>
  <c r="J259" i="2"/>
  <c r="J258" i="2"/>
  <c r="J261" i="2"/>
  <c r="J260" i="2"/>
  <c r="J138" i="2"/>
  <c r="J208" i="2"/>
  <c r="J206" i="2"/>
  <c r="I171" i="2"/>
  <c r="J171" i="2"/>
  <c r="J135" i="2"/>
  <c r="J136" i="2"/>
  <c r="J137" i="2"/>
  <c r="J236" i="2"/>
  <c r="J237" i="2"/>
  <c r="J235" i="2"/>
  <c r="J132" i="2"/>
  <c r="J243" i="2"/>
  <c r="J3" i="2"/>
  <c r="J234" i="2"/>
  <c r="J232" i="2"/>
  <c r="J227" i="2"/>
  <c r="J231" i="2"/>
  <c r="I231" i="2"/>
  <c r="J228" i="2"/>
  <c r="I228" i="2"/>
  <c r="J229" i="2"/>
  <c r="I229" i="2"/>
  <c r="J230" i="2"/>
  <c r="I230" i="2"/>
  <c r="I218" i="2"/>
  <c r="J143" i="2"/>
  <c r="J134" i="2"/>
  <c r="J130" i="2"/>
  <c r="J126" i="2"/>
  <c r="J128" i="2"/>
  <c r="J124" i="2"/>
  <c r="J129" i="2"/>
  <c r="J125" i="2"/>
  <c r="J127" i="2"/>
  <c r="J123" i="2"/>
  <c r="I123" i="2"/>
  <c r="J118" i="2"/>
  <c r="J108" i="2"/>
  <c r="I108" i="2"/>
  <c r="J109" i="2"/>
  <c r="I109" i="2"/>
  <c r="J99" i="2"/>
  <c r="I99" i="2"/>
  <c r="J103" i="2"/>
  <c r="I103" i="2"/>
  <c r="J105" i="2"/>
  <c r="I105" i="2"/>
  <c r="J107" i="2"/>
  <c r="I107" i="2"/>
  <c r="J101" i="2"/>
  <c r="I101" i="2"/>
  <c r="J106" i="2"/>
  <c r="I106" i="2"/>
  <c r="J102" i="2"/>
  <c r="I102" i="2"/>
  <c r="J104" i="2"/>
  <c r="I104" i="2"/>
  <c r="J100" i="2"/>
  <c r="I100" i="2"/>
  <c r="J216" i="2"/>
  <c r="I216" i="2"/>
  <c r="J201" i="2"/>
  <c r="I201" i="2"/>
  <c r="J194" i="2"/>
  <c r="I194" i="2"/>
  <c r="J186" i="2"/>
  <c r="I186" i="2"/>
  <c r="J182" i="2"/>
  <c r="I182" i="2"/>
  <c r="J176" i="2"/>
  <c r="I176" i="2"/>
  <c r="J167" i="2"/>
  <c r="I167" i="2"/>
  <c r="J158" i="2"/>
  <c r="I158" i="2"/>
  <c r="J160" i="2"/>
  <c r="I160" i="2"/>
  <c r="J163" i="2"/>
  <c r="I163" i="2"/>
  <c r="J165" i="2"/>
  <c r="I165" i="2"/>
  <c r="J153" i="2"/>
  <c r="I153" i="2"/>
  <c r="J196" i="2"/>
  <c r="I196" i="2"/>
  <c r="J198" i="2"/>
  <c r="I198" i="2"/>
  <c r="J199" i="2"/>
  <c r="I199" i="2"/>
  <c r="J192" i="2"/>
  <c r="I192" i="2"/>
  <c r="J184" i="2"/>
  <c r="I184" i="2"/>
  <c r="J188" i="2"/>
  <c r="I188" i="2"/>
  <c r="J190" i="2"/>
  <c r="I190" i="2"/>
  <c r="J180" i="2"/>
  <c r="I180" i="2"/>
  <c r="J174" i="2"/>
  <c r="I174" i="2"/>
  <c r="J178" i="2"/>
  <c r="I178" i="2"/>
  <c r="I57" i="2"/>
  <c r="I113" i="2"/>
  <c r="I119" i="2"/>
  <c r="I120" i="2"/>
  <c r="I121" i="2"/>
  <c r="I115" i="2"/>
  <c r="I170" i="2"/>
  <c r="I202" i="2"/>
  <c r="J202" i="2"/>
  <c r="J170" i="2"/>
  <c r="J115" i="2"/>
  <c r="J121" i="2"/>
  <c r="J120" i="2"/>
  <c r="J119" i="2"/>
  <c r="J113" i="2"/>
  <c r="J57" i="2"/>
  <c r="J111" i="2"/>
  <c r="J215" i="2"/>
  <c r="I215" i="2"/>
  <c r="J200" i="2"/>
  <c r="I200" i="2"/>
  <c r="J193" i="2"/>
  <c r="I193" i="2"/>
  <c r="J185" i="2"/>
  <c r="I185" i="2"/>
  <c r="J181" i="2"/>
  <c r="I181" i="2"/>
  <c r="J175" i="2"/>
  <c r="I175" i="2"/>
  <c r="J166" i="2"/>
  <c r="I166" i="2"/>
  <c r="J157" i="2"/>
  <c r="I157" i="2"/>
  <c r="J159" i="2"/>
  <c r="I159" i="2"/>
  <c r="J162" i="2"/>
  <c r="I162" i="2"/>
  <c r="J164" i="2"/>
  <c r="I164" i="2"/>
  <c r="J161" i="2"/>
  <c r="I161" i="2"/>
  <c r="J195" i="2"/>
  <c r="I195" i="2"/>
  <c r="J197" i="2"/>
  <c r="I197" i="2"/>
  <c r="J191" i="2"/>
  <c r="I191" i="2"/>
  <c r="J183" i="2"/>
  <c r="I183" i="2"/>
  <c r="J187" i="2"/>
  <c r="I187" i="2"/>
  <c r="J189" i="2"/>
  <c r="I189" i="2"/>
  <c r="J179" i="2"/>
  <c r="I179" i="2"/>
  <c r="J172" i="2"/>
  <c r="I172" i="2"/>
  <c r="J173" i="2"/>
  <c r="I173" i="2"/>
  <c r="J177" i="2"/>
  <c r="I177" i="2"/>
  <c r="I223" i="2"/>
  <c r="I238" i="2"/>
  <c r="I239" i="2"/>
  <c r="I71" i="2"/>
  <c r="I110" i="2"/>
  <c r="I112" i="2"/>
  <c r="I117" i="2"/>
  <c r="I133" i="2"/>
  <c r="I144" i="2"/>
  <c r="I146" i="2"/>
  <c r="I168" i="2"/>
  <c r="I219" i="2"/>
  <c r="I220" i="2"/>
  <c r="I221" i="2"/>
  <c r="I224" i="2"/>
  <c r="I226" i="2"/>
  <c r="I225" i="2"/>
  <c r="I233" i="2"/>
  <c r="I152" i="2"/>
  <c r="I211" i="2"/>
  <c r="I210" i="2"/>
  <c r="I213" i="2"/>
  <c r="I214" i="2"/>
  <c r="I217" i="2"/>
  <c r="J217" i="2"/>
  <c r="J214" i="2"/>
  <c r="J213" i="2"/>
  <c r="J210" i="2"/>
  <c r="J211" i="2"/>
  <c r="J152" i="2"/>
  <c r="J233" i="2"/>
  <c r="J225" i="2"/>
  <c r="J226" i="2"/>
  <c r="J224" i="2"/>
  <c r="J221" i="2"/>
  <c r="J220" i="2"/>
  <c r="J219" i="2"/>
  <c r="J168" i="2"/>
  <c r="J146" i="2"/>
  <c r="J144" i="2"/>
  <c r="J133" i="2"/>
  <c r="J117" i="2"/>
  <c r="J112" i="2"/>
  <c r="J110" i="2"/>
  <c r="J71" i="2"/>
  <c r="J239" i="2"/>
  <c r="J238" i="2"/>
  <c r="J223" i="2"/>
  <c r="J222" i="2"/>
  <c r="J212" i="2"/>
  <c r="I212" i="2"/>
  <c r="J122" i="2"/>
  <c r="I122" i="2"/>
  <c r="J114" i="2"/>
  <c r="I114" i="2"/>
  <c r="J116" i="2"/>
  <c r="I116" i="2"/>
  <c r="J98" i="2"/>
  <c r="I98" i="2"/>
  <c r="J145" i="2"/>
  <c r="I145" i="2"/>
  <c r="J169" i="2"/>
  <c r="I169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9" i="2"/>
  <c r="M29" i="2"/>
  <c r="L33" i="2"/>
  <c r="M33" i="2"/>
  <c r="L34" i="2"/>
  <c r="M34" i="2"/>
  <c r="L35" i="2"/>
  <c r="M35" i="2"/>
  <c r="L37" i="2"/>
  <c r="M37" i="2"/>
  <c r="L39" i="2"/>
  <c r="M39" i="2"/>
  <c r="L43" i="2"/>
  <c r="M43" i="2"/>
  <c r="L44" i="2"/>
  <c r="M44" i="2"/>
  <c r="L49" i="2"/>
  <c r="M49" i="2"/>
  <c r="L51" i="2"/>
  <c r="M51" i="2"/>
  <c r="L52" i="2"/>
  <c r="M52" i="2"/>
  <c r="L54" i="2"/>
  <c r="M54" i="2"/>
  <c r="L55" i="2"/>
  <c r="M55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6" i="2"/>
  <c r="M66" i="2"/>
  <c r="L67" i="2"/>
  <c r="M67" i="2"/>
  <c r="L68" i="2"/>
  <c r="M68" i="2"/>
  <c r="L69" i="2"/>
  <c r="M69" i="2"/>
  <c r="L70" i="2"/>
  <c r="M70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147" i="2"/>
  <c r="M147" i="2"/>
  <c r="L152" i="2"/>
  <c r="M152" i="2"/>
  <c r="L148" i="2"/>
  <c r="M148" i="2"/>
  <c r="L149" i="2"/>
  <c r="M149" i="2"/>
  <c r="L150" i="2"/>
  <c r="M150" i="2"/>
  <c r="L151" i="2"/>
  <c r="M151" i="2"/>
  <c r="L154" i="2"/>
  <c r="M154" i="2"/>
  <c r="L155" i="2"/>
  <c r="M155" i="2"/>
  <c r="L156" i="2"/>
  <c r="M156" i="2"/>
  <c r="L15" i="2"/>
  <c r="M15" i="2"/>
  <c r="I20" i="2"/>
  <c r="J20" i="2"/>
  <c r="I61" i="2"/>
  <c r="J61" i="2"/>
  <c r="I59" i="2"/>
  <c r="J59" i="2"/>
  <c r="I94" i="2"/>
  <c r="J94" i="2"/>
  <c r="I96" i="2"/>
  <c r="J96" i="2"/>
  <c r="I148" i="2"/>
  <c r="J148" i="2"/>
  <c r="I150" i="2"/>
  <c r="J150" i="2"/>
  <c r="I155" i="2"/>
  <c r="J155" i="2"/>
  <c r="I149" i="2"/>
  <c r="J149" i="2"/>
  <c r="I154" i="2"/>
  <c r="J154" i="2"/>
  <c r="I151" i="2"/>
  <c r="J151" i="2"/>
  <c r="I147" i="2"/>
  <c r="J147" i="2"/>
  <c r="I156" i="2"/>
  <c r="J156" i="2"/>
  <c r="I63" i="2"/>
  <c r="J63" i="2"/>
  <c r="I62" i="2"/>
  <c r="J62" i="2"/>
  <c r="I66" i="2"/>
  <c r="J66" i="2"/>
  <c r="I64" i="2"/>
  <c r="J64" i="2"/>
  <c r="I65" i="2"/>
  <c r="J65" i="2"/>
  <c r="I95" i="2"/>
  <c r="J95" i="2"/>
  <c r="I93" i="2"/>
  <c r="J93" i="2"/>
  <c r="I92" i="2"/>
  <c r="J92" i="2"/>
  <c r="I97" i="2"/>
  <c r="J97" i="2"/>
  <c r="I60" i="2"/>
  <c r="J60" i="2"/>
  <c r="I58" i="2"/>
  <c r="J58" i="2"/>
  <c r="I69" i="2"/>
  <c r="J69" i="2"/>
  <c r="I68" i="2"/>
  <c r="J68" i="2"/>
  <c r="I70" i="2"/>
  <c r="J70" i="2"/>
  <c r="J88" i="2"/>
  <c r="I88" i="2"/>
  <c r="J87" i="2"/>
  <c r="I87" i="2"/>
  <c r="I77" i="2"/>
  <c r="J77" i="2"/>
  <c r="I75" i="2"/>
  <c r="J75" i="2"/>
  <c r="I79" i="2"/>
  <c r="J79" i="2"/>
  <c r="I74" i="2"/>
  <c r="J74" i="2"/>
  <c r="I78" i="2"/>
  <c r="J78" i="2"/>
  <c r="I76" i="2"/>
  <c r="J76" i="2"/>
  <c r="I72" i="2"/>
  <c r="J72" i="2"/>
  <c r="I81" i="2"/>
  <c r="J81" i="2"/>
  <c r="I80" i="2"/>
  <c r="J80" i="2"/>
  <c r="I91" i="2"/>
  <c r="J91" i="2"/>
  <c r="I85" i="2"/>
  <c r="J85" i="2"/>
  <c r="I82" i="2"/>
  <c r="J82" i="2"/>
  <c r="I86" i="2"/>
  <c r="J86" i="2"/>
  <c r="I83" i="2"/>
  <c r="J83" i="2"/>
  <c r="I89" i="2"/>
  <c r="J89" i="2"/>
  <c r="I90" i="2"/>
  <c r="J90" i="2"/>
  <c r="I84" i="2"/>
  <c r="J84" i="2"/>
  <c r="J47" i="2"/>
  <c r="I47" i="2"/>
  <c r="J73" i="2"/>
  <c r="I73" i="2"/>
  <c r="L90" i="2"/>
  <c r="J54" i="2"/>
  <c r="I54" i="2"/>
  <c r="J55" i="2"/>
  <c r="I55" i="2"/>
  <c r="J40" i="2"/>
  <c r="I40" i="2"/>
  <c r="J39" i="2"/>
  <c r="I39" i="2"/>
  <c r="J48" i="2"/>
  <c r="I48" i="2"/>
  <c r="J51" i="2"/>
  <c r="I51" i="2"/>
  <c r="J56" i="2"/>
  <c r="I56" i="2"/>
  <c r="J41" i="2"/>
  <c r="I41" i="2"/>
  <c r="J44" i="2"/>
  <c r="I44" i="2"/>
  <c r="J45" i="2"/>
  <c r="I45" i="2"/>
  <c r="J52" i="2"/>
  <c r="I52" i="2"/>
  <c r="J43" i="2"/>
  <c r="I43" i="2"/>
  <c r="J53" i="2"/>
  <c r="I53" i="2"/>
  <c r="J46" i="2"/>
  <c r="I46" i="2"/>
  <c r="J50" i="2"/>
  <c r="I50" i="2"/>
  <c r="J49" i="2"/>
  <c r="I49" i="2"/>
  <c r="J42" i="2"/>
  <c r="I42" i="2"/>
  <c r="J32" i="2"/>
  <c r="I32" i="2"/>
  <c r="J36" i="2"/>
  <c r="I36" i="2"/>
  <c r="J34" i="2"/>
  <c r="I34" i="2"/>
  <c r="J38" i="2"/>
  <c r="I38" i="2"/>
  <c r="J35" i="2"/>
  <c r="I35" i="2"/>
  <c r="J37" i="2"/>
  <c r="I37" i="2"/>
  <c r="J33" i="2"/>
  <c r="I33" i="2"/>
  <c r="J26" i="2"/>
  <c r="I26" i="2"/>
  <c r="J30" i="2"/>
  <c r="I30" i="2"/>
  <c r="J28" i="2"/>
  <c r="I28" i="2"/>
  <c r="J31" i="2"/>
  <c r="I31" i="2"/>
  <c r="J29" i="2"/>
  <c r="I29" i="2"/>
  <c r="J27" i="2"/>
  <c r="I27" i="2"/>
  <c r="J18" i="2"/>
  <c r="J22" i="2"/>
  <c r="J17" i="2"/>
  <c r="J23" i="2"/>
  <c r="J21" i="2"/>
  <c r="J19" i="2"/>
  <c r="J15" i="2"/>
  <c r="J25" i="2"/>
  <c r="J24" i="2"/>
  <c r="I18" i="2"/>
  <c r="I22" i="2"/>
  <c r="I17" i="2"/>
  <c r="I23" i="2"/>
  <c r="I21" i="2"/>
  <c r="I19" i="2"/>
  <c r="I15" i="2"/>
  <c r="I25" i="2"/>
  <c r="I24" i="2"/>
  <c r="J16" i="2"/>
  <c r="I16" i="2"/>
</calcChain>
</file>

<file path=xl/comments1.xml><?xml version="1.0" encoding="utf-8"?>
<comments xmlns="http://schemas.openxmlformats.org/spreadsheetml/2006/main">
  <authors>
    <author>Hinton</author>
  </authors>
  <commentList>
    <comment ref="Q14" authorId="0" shapeId="0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missing sample, used 160728-1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tissue sample missing, estimated Cs-134 and 137 concentrations from 3 boar taken at the same location (160726-2; 161206 O-229; 161208 O-237)</t>
        </r>
      </text>
    </comment>
    <comment ref="V23" authorId="0" shapeId="0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Hinton:
tissue sample missing, estimated Cs-134 and 137 concentrations from 3 boar taken at the same location (160726-2; 161206 O-229; 161208 O-237)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not detected, after 10 h count, used half of detection limit</t>
        </r>
      </text>
    </comment>
    <comment ref="Q25" authorId="0" shapeId="0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tissue sample missing, estimated Cs-134 and 137 concentrations from 3 boar taken at the same location (160726-2; 161206 O-229; 161208 O-237)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sample not found, used avg value from other  boar taken from okuma, Ottozawa-chuodai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Janelle, died after release, took tissue sample</t>
        </r>
      </text>
    </comment>
    <comment ref="V27" authorId="0" shapeId="0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used data from same location 161216 F-117</t>
        </r>
      </text>
    </comment>
    <comment ref="U30" authorId="0" shapeId="0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134Cs  estimated as 18% of 137Cs activity</t>
        </r>
      </text>
    </comment>
    <comment ref="V34" authorId="0" shapeId="0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sample not found, used avg value from other  boar taken from okuma, Ottozawa-chuodai</t>
        </r>
      </text>
    </comment>
    <comment ref="V39" authorId="0" shapeId="0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sample not found, used avg value from other  boar taken from okuma, Ottozawa-chuodai</t>
        </r>
      </text>
    </comment>
  </commentList>
</comments>
</file>

<file path=xl/comments2.xml><?xml version="1.0" encoding="utf-8"?>
<comments xmlns="http://schemas.openxmlformats.org/spreadsheetml/2006/main">
  <authors>
    <author>Hinton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Dose Conversion Factor (DCF) from ERICA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Janelle, died after release, took tissue sample</t>
        </r>
      </text>
    </comment>
  </commentList>
</comments>
</file>

<file path=xl/sharedStrings.xml><?xml version="1.0" encoding="utf-8"?>
<sst xmlns="http://schemas.openxmlformats.org/spreadsheetml/2006/main" count="1798" uniqueCount="559">
  <si>
    <t>ID</t>
    <phoneticPr fontId="1"/>
  </si>
  <si>
    <t>Capture location</t>
    <phoneticPr fontId="1"/>
  </si>
  <si>
    <t>Place name</t>
    <phoneticPr fontId="1"/>
  </si>
  <si>
    <t>Lat.</t>
    <phoneticPr fontId="1"/>
  </si>
  <si>
    <t>Lon.</t>
    <phoneticPr fontId="1"/>
  </si>
  <si>
    <t>Sex</t>
    <phoneticPr fontId="1"/>
  </si>
  <si>
    <t>Age (weeks)</t>
    <phoneticPr fontId="1"/>
  </si>
  <si>
    <t>Lung</t>
    <phoneticPr fontId="1"/>
  </si>
  <si>
    <t>Liver</t>
    <phoneticPr fontId="1"/>
  </si>
  <si>
    <t>Spleen</t>
    <phoneticPr fontId="1"/>
  </si>
  <si>
    <t>Kidney</t>
    <phoneticPr fontId="1"/>
  </si>
  <si>
    <t>Biceps femoris</t>
    <phoneticPr fontId="1"/>
  </si>
  <si>
    <t>Longissimus</t>
    <phoneticPr fontId="1"/>
  </si>
  <si>
    <t>Masseter</t>
    <phoneticPr fontId="1"/>
  </si>
  <si>
    <t>Tongue</t>
    <phoneticPr fontId="1"/>
  </si>
  <si>
    <t>160603-1</t>
    <phoneticPr fontId="1"/>
  </si>
  <si>
    <t>160603-B</t>
    <phoneticPr fontId="1"/>
  </si>
  <si>
    <t>160603-D</t>
    <phoneticPr fontId="1"/>
  </si>
  <si>
    <t>160603-E</t>
    <phoneticPr fontId="1"/>
  </si>
  <si>
    <t>Weight (kg)</t>
    <phoneticPr fontId="1"/>
  </si>
  <si>
    <t>160610-1</t>
    <phoneticPr fontId="1"/>
  </si>
  <si>
    <t>160610-2</t>
    <phoneticPr fontId="1"/>
  </si>
  <si>
    <t>160617-1</t>
    <phoneticPr fontId="1"/>
  </si>
  <si>
    <t>Female</t>
    <phoneticPr fontId="1"/>
  </si>
  <si>
    <t>Male</t>
    <phoneticPr fontId="1"/>
  </si>
  <si>
    <t>Male</t>
    <phoneticPr fontId="1"/>
  </si>
  <si>
    <t>Fukushima</t>
    <phoneticPr fontId="1"/>
  </si>
  <si>
    <t>Namie</t>
    <phoneticPr fontId="1"/>
  </si>
  <si>
    <t>Heart</t>
    <phoneticPr fontId="1"/>
  </si>
  <si>
    <t>160610-3</t>
    <phoneticPr fontId="1"/>
  </si>
  <si>
    <t>Sakai-Matsukiuchi</t>
    <phoneticPr fontId="1"/>
  </si>
  <si>
    <t>Akougi-Koakuto</t>
    <phoneticPr fontId="1"/>
  </si>
  <si>
    <t>33-39</t>
    <phoneticPr fontId="1"/>
  </si>
  <si>
    <t>27-31</t>
    <phoneticPr fontId="1"/>
  </si>
  <si>
    <t>Thyroid</t>
  </si>
  <si>
    <t>Thyroid</t>
    <phoneticPr fontId="1"/>
  </si>
  <si>
    <t>Cs-137 (Bq/kg)</t>
    <phoneticPr fontId="1"/>
  </si>
  <si>
    <t>Cs-134 (Bq/kg)</t>
    <phoneticPr fontId="1"/>
  </si>
  <si>
    <t>Activity</t>
    <phoneticPr fontId="1"/>
  </si>
  <si>
    <t>Act. err</t>
    <phoneticPr fontId="1"/>
  </si>
  <si>
    <t>err/Activity</t>
    <phoneticPr fontId="1"/>
  </si>
  <si>
    <t>Cs-134</t>
    <phoneticPr fontId="1"/>
  </si>
  <si>
    <t>Cs-137</t>
    <phoneticPr fontId="1"/>
  </si>
  <si>
    <t>Fresh weight (g)</t>
    <phoneticPr fontId="1"/>
  </si>
  <si>
    <t>Dry weight (g)</t>
    <phoneticPr fontId="1"/>
  </si>
  <si>
    <t>Live time (s)</t>
    <phoneticPr fontId="1"/>
  </si>
  <si>
    <t>Part</t>
    <phoneticPr fontId="1"/>
  </si>
  <si>
    <t>Fresh or Dry</t>
    <phoneticPr fontId="1"/>
  </si>
  <si>
    <t>Dry</t>
    <phoneticPr fontId="1"/>
  </si>
  <si>
    <t>Liver</t>
    <phoneticPr fontId="1"/>
  </si>
  <si>
    <t>Dry</t>
    <phoneticPr fontId="1"/>
  </si>
  <si>
    <t>Spleen</t>
    <phoneticPr fontId="1"/>
  </si>
  <si>
    <t>Testicle</t>
    <phoneticPr fontId="1"/>
  </si>
  <si>
    <t>Dry</t>
    <phoneticPr fontId="1"/>
  </si>
  <si>
    <t>Dry</t>
    <phoneticPr fontId="1"/>
  </si>
  <si>
    <t>Fresh</t>
    <phoneticPr fontId="1"/>
  </si>
  <si>
    <t>Liver</t>
    <phoneticPr fontId="1"/>
  </si>
  <si>
    <t>Fresh</t>
    <phoneticPr fontId="1"/>
  </si>
  <si>
    <t>Spleen</t>
    <phoneticPr fontId="1"/>
  </si>
  <si>
    <t>Fresh</t>
    <phoneticPr fontId="1"/>
  </si>
  <si>
    <t>Kidney</t>
    <phoneticPr fontId="1"/>
  </si>
  <si>
    <t>Fresh</t>
    <phoneticPr fontId="1"/>
  </si>
  <si>
    <t>Dry</t>
    <phoneticPr fontId="1"/>
  </si>
  <si>
    <t>Spleen</t>
    <phoneticPr fontId="1"/>
  </si>
  <si>
    <t>Bladder</t>
    <phoneticPr fontId="1"/>
  </si>
  <si>
    <t>Urine</t>
    <phoneticPr fontId="1"/>
  </si>
  <si>
    <t>Dry</t>
    <phoneticPr fontId="1"/>
  </si>
  <si>
    <t>160617-2</t>
    <phoneticPr fontId="1"/>
  </si>
  <si>
    <t>Heart</t>
    <phoneticPr fontId="1"/>
  </si>
  <si>
    <t>?</t>
    <phoneticPr fontId="1"/>
  </si>
  <si>
    <t>Liver</t>
    <phoneticPr fontId="1"/>
  </si>
  <si>
    <t>Fresh</t>
    <phoneticPr fontId="1"/>
  </si>
  <si>
    <t>Fresh</t>
    <phoneticPr fontId="1"/>
  </si>
  <si>
    <t>Heart?</t>
    <phoneticPr fontId="1"/>
  </si>
  <si>
    <t>Fresh</t>
    <phoneticPr fontId="1"/>
  </si>
  <si>
    <t>Namie</t>
  </si>
  <si>
    <t>Male</t>
  </si>
  <si>
    <t>Female</t>
  </si>
  <si>
    <t>Fukushima</t>
  </si>
  <si>
    <t>160720-5</t>
  </si>
  <si>
    <t>6-9</t>
  </si>
  <si>
    <t>160722-1</t>
  </si>
  <si>
    <t>160726-1</t>
  </si>
  <si>
    <t>160726-2</t>
  </si>
  <si>
    <t>160726-3</t>
  </si>
  <si>
    <t>160726-4</t>
  </si>
  <si>
    <t>Okuma</t>
  </si>
  <si>
    <t>160723-1</t>
  </si>
  <si>
    <t>160801-1</t>
  </si>
  <si>
    <t>160801-2</t>
  </si>
  <si>
    <t>160801-3</t>
  </si>
  <si>
    <t xml:space="preserve">Tomioka </t>
  </si>
  <si>
    <t>160804-1</t>
  </si>
  <si>
    <t xml:space="preserve">Nagasaki </t>
  </si>
  <si>
    <t>160728-1</t>
  </si>
  <si>
    <t>Katsurao</t>
    <phoneticPr fontId="1"/>
  </si>
  <si>
    <t>Namie</t>
    <phoneticPr fontId="1"/>
  </si>
  <si>
    <t>160803-1</t>
    <phoneticPr fontId="1"/>
  </si>
  <si>
    <t>Okuma</t>
    <phoneticPr fontId="1"/>
  </si>
  <si>
    <t>63-68</t>
    <phoneticPr fontId="1"/>
  </si>
  <si>
    <t>82-86</t>
    <phoneticPr fontId="1"/>
  </si>
  <si>
    <t>160607-2</t>
    <phoneticPr fontId="1"/>
  </si>
  <si>
    <t>Thyroid</t>
    <phoneticPr fontId="1"/>
  </si>
  <si>
    <t>Dry</t>
    <phoneticPr fontId="1"/>
  </si>
  <si>
    <t>Masseter</t>
    <phoneticPr fontId="1"/>
  </si>
  <si>
    <t>160621-2</t>
    <phoneticPr fontId="1"/>
  </si>
  <si>
    <t>Masseter</t>
    <phoneticPr fontId="1"/>
  </si>
  <si>
    <t>Dry</t>
    <phoneticPr fontId="1"/>
  </si>
  <si>
    <t>160726-1</t>
    <phoneticPr fontId="1"/>
  </si>
  <si>
    <t>Heart</t>
    <phoneticPr fontId="1"/>
  </si>
  <si>
    <t>Dry</t>
    <phoneticPr fontId="1"/>
  </si>
  <si>
    <t>Liver</t>
    <phoneticPr fontId="1"/>
  </si>
  <si>
    <t>Dry</t>
    <phoneticPr fontId="1"/>
  </si>
  <si>
    <t>Longissimus</t>
    <phoneticPr fontId="1"/>
  </si>
  <si>
    <t>160610-1</t>
    <phoneticPr fontId="1"/>
  </si>
  <si>
    <t>Testicle</t>
    <phoneticPr fontId="1"/>
  </si>
  <si>
    <t>Dry</t>
    <phoneticPr fontId="1"/>
  </si>
  <si>
    <t>Masseter2</t>
    <phoneticPr fontId="1"/>
  </si>
  <si>
    <t>160621-2</t>
    <phoneticPr fontId="1"/>
  </si>
  <si>
    <t>Longissimus</t>
    <phoneticPr fontId="1"/>
  </si>
  <si>
    <t>160607-2</t>
    <phoneticPr fontId="1"/>
  </si>
  <si>
    <t>Dry</t>
    <phoneticPr fontId="1"/>
  </si>
  <si>
    <t>160610-2</t>
    <phoneticPr fontId="1"/>
  </si>
  <si>
    <t>Biceps femoris</t>
    <phoneticPr fontId="1"/>
  </si>
  <si>
    <t>160617-2</t>
    <phoneticPr fontId="1"/>
  </si>
  <si>
    <t>Masseter</t>
    <phoneticPr fontId="1"/>
  </si>
  <si>
    <t>160603-1</t>
    <phoneticPr fontId="1"/>
  </si>
  <si>
    <t>Lung</t>
    <phoneticPr fontId="1"/>
  </si>
  <si>
    <t>160617-2</t>
    <phoneticPr fontId="1"/>
  </si>
  <si>
    <t>Katsurao-Noyuki</t>
    <phoneticPr fontId="1"/>
  </si>
  <si>
    <t>Kumashin-machi</t>
    <phoneticPr fontId="1"/>
  </si>
  <si>
    <t>Watari-Kouya</t>
    <phoneticPr fontId="1"/>
  </si>
  <si>
    <t>Murohara-Kamiyachi</t>
    <phoneticPr fontId="1"/>
  </si>
  <si>
    <t>Kumanabedu</t>
    <phoneticPr fontId="1"/>
  </si>
  <si>
    <t>Kumanabedu</t>
    <phoneticPr fontId="1"/>
  </si>
  <si>
    <t>Yamaguchi-Gohonmatsu</t>
    <phoneticPr fontId="1"/>
  </si>
  <si>
    <t>Higashisonogicho-Nakaogo</t>
    <phoneticPr fontId="1"/>
  </si>
  <si>
    <t>Capture location</t>
    <phoneticPr fontId="1"/>
  </si>
  <si>
    <t>Katsurao</t>
    <phoneticPr fontId="1"/>
  </si>
  <si>
    <t>Katsurao-Kashiwabara</t>
    <phoneticPr fontId="1"/>
  </si>
  <si>
    <t>Kumaasahidai</t>
    <phoneticPr fontId="1"/>
  </si>
  <si>
    <t>Yonomoriminami</t>
    <phoneticPr fontId="1"/>
  </si>
  <si>
    <t>160726-1</t>
    <phoneticPr fontId="1"/>
  </si>
  <si>
    <t>Okuma</t>
    <phoneticPr fontId="1"/>
  </si>
  <si>
    <t>DW/FW</t>
    <phoneticPr fontId="1"/>
  </si>
  <si>
    <t>21</t>
    <phoneticPr fontId="1"/>
  </si>
  <si>
    <t>160726-4</t>
    <phoneticPr fontId="1"/>
  </si>
  <si>
    <t>Bile</t>
    <phoneticPr fontId="1"/>
  </si>
  <si>
    <t>Liquid</t>
    <phoneticPr fontId="1"/>
  </si>
  <si>
    <t>160722-1</t>
    <phoneticPr fontId="1"/>
  </si>
  <si>
    <t>160621-3</t>
    <phoneticPr fontId="1"/>
  </si>
  <si>
    <t>Dry</t>
    <phoneticPr fontId="1"/>
  </si>
  <si>
    <t>160720-11</t>
    <phoneticPr fontId="1"/>
  </si>
  <si>
    <t>Dry</t>
    <phoneticPr fontId="1"/>
  </si>
  <si>
    <t>160720-1</t>
    <phoneticPr fontId="1"/>
  </si>
  <si>
    <t>160720-7</t>
    <phoneticPr fontId="1"/>
  </si>
  <si>
    <t>160917-2</t>
    <phoneticPr fontId="1"/>
  </si>
  <si>
    <t>160919-2</t>
    <phoneticPr fontId="1"/>
  </si>
  <si>
    <t>160920-1</t>
    <phoneticPr fontId="1"/>
  </si>
  <si>
    <t>161101-3</t>
    <phoneticPr fontId="1"/>
  </si>
  <si>
    <t>161111-3</t>
    <phoneticPr fontId="1"/>
  </si>
  <si>
    <t>160610-3</t>
    <phoneticPr fontId="1"/>
  </si>
  <si>
    <t>160715-1</t>
    <phoneticPr fontId="1"/>
  </si>
  <si>
    <t>160720-2</t>
    <phoneticPr fontId="1"/>
  </si>
  <si>
    <t>160720-9</t>
    <phoneticPr fontId="1"/>
  </si>
  <si>
    <t>Dry</t>
    <phoneticPr fontId="1"/>
  </si>
  <si>
    <t>160722-2</t>
    <phoneticPr fontId="1"/>
  </si>
  <si>
    <t>160918-1</t>
    <phoneticPr fontId="1"/>
  </si>
  <si>
    <t>160918-3</t>
    <phoneticPr fontId="1"/>
  </si>
  <si>
    <t>160919-1</t>
    <phoneticPr fontId="1"/>
  </si>
  <si>
    <t>160928-1</t>
    <phoneticPr fontId="1"/>
  </si>
  <si>
    <t>161004-7</t>
    <phoneticPr fontId="1"/>
  </si>
  <si>
    <t>161004-4</t>
    <phoneticPr fontId="1"/>
  </si>
  <si>
    <t>161022-2</t>
    <phoneticPr fontId="1"/>
  </si>
  <si>
    <t>160916-1</t>
    <phoneticPr fontId="1"/>
  </si>
  <si>
    <t>160916-1</t>
    <phoneticPr fontId="1"/>
  </si>
  <si>
    <t>Heart</t>
    <phoneticPr fontId="1"/>
  </si>
  <si>
    <t>Kidney</t>
    <phoneticPr fontId="1"/>
  </si>
  <si>
    <t>Dry</t>
    <phoneticPr fontId="1"/>
  </si>
  <si>
    <t>Rectal content</t>
    <phoneticPr fontId="1"/>
  </si>
  <si>
    <t>160801-1</t>
    <phoneticPr fontId="1"/>
  </si>
  <si>
    <t>Dry</t>
    <phoneticPr fontId="1"/>
  </si>
  <si>
    <t>Dry</t>
    <phoneticPr fontId="1"/>
  </si>
  <si>
    <t>Thyroid</t>
    <phoneticPr fontId="1"/>
  </si>
  <si>
    <t>160801-2</t>
    <phoneticPr fontId="1"/>
  </si>
  <si>
    <t>Dry</t>
    <phoneticPr fontId="1"/>
  </si>
  <si>
    <t>160801-2</t>
    <phoneticPr fontId="1"/>
  </si>
  <si>
    <t>Masseter</t>
    <phoneticPr fontId="1"/>
  </si>
  <si>
    <t>160801-3</t>
    <phoneticPr fontId="1"/>
  </si>
  <si>
    <t>160726-3</t>
    <phoneticPr fontId="1"/>
  </si>
  <si>
    <t>Lung</t>
    <phoneticPr fontId="1"/>
  </si>
  <si>
    <t>160726-3</t>
    <phoneticPr fontId="1"/>
  </si>
  <si>
    <t>Spleen</t>
    <phoneticPr fontId="1"/>
  </si>
  <si>
    <t>Dry</t>
    <phoneticPr fontId="1"/>
  </si>
  <si>
    <t>160726-3</t>
    <phoneticPr fontId="1"/>
  </si>
  <si>
    <t>Longissimus</t>
    <phoneticPr fontId="1"/>
  </si>
  <si>
    <t>Biceps femoris</t>
    <phoneticPr fontId="1"/>
  </si>
  <si>
    <t>Thyroid</t>
    <phoneticPr fontId="1"/>
  </si>
  <si>
    <t>160801-1</t>
    <phoneticPr fontId="1"/>
  </si>
  <si>
    <t>Dry</t>
    <phoneticPr fontId="1"/>
  </si>
  <si>
    <t>Tongue</t>
    <phoneticPr fontId="1"/>
  </si>
  <si>
    <t>160801-3</t>
    <phoneticPr fontId="1"/>
  </si>
  <si>
    <t>160607-1</t>
    <phoneticPr fontId="1"/>
  </si>
  <si>
    <t>160720-3</t>
    <phoneticPr fontId="1"/>
  </si>
  <si>
    <t>160720-4</t>
    <phoneticPr fontId="1"/>
  </si>
  <si>
    <t>160720-5</t>
    <phoneticPr fontId="1"/>
  </si>
  <si>
    <t>160720-10</t>
    <phoneticPr fontId="1"/>
  </si>
  <si>
    <t>160728-1</t>
    <phoneticPr fontId="1"/>
  </si>
  <si>
    <t>160802-2</t>
    <phoneticPr fontId="1"/>
  </si>
  <si>
    <t>-</t>
    <phoneticPr fontId="1"/>
  </si>
  <si>
    <t>Okuma</t>
    <phoneticPr fontId="1"/>
  </si>
  <si>
    <t>Namie</t>
    <phoneticPr fontId="1"/>
  </si>
  <si>
    <t>Namie</t>
    <phoneticPr fontId="1"/>
  </si>
  <si>
    <t>Fukushima</t>
    <phoneticPr fontId="1"/>
  </si>
  <si>
    <t>Namie</t>
    <phoneticPr fontId="1"/>
  </si>
  <si>
    <t>Namie</t>
    <phoneticPr fontId="1"/>
  </si>
  <si>
    <t>Okuma</t>
    <phoneticPr fontId="1"/>
  </si>
  <si>
    <t>Okuma</t>
    <phoneticPr fontId="1"/>
  </si>
  <si>
    <t>Tomioka</t>
    <phoneticPr fontId="1"/>
  </si>
  <si>
    <t>Fukushima</t>
    <phoneticPr fontId="1"/>
  </si>
  <si>
    <t>Fukushima</t>
    <phoneticPr fontId="1"/>
  </si>
  <si>
    <t>Katsurao</t>
    <phoneticPr fontId="1"/>
  </si>
  <si>
    <t>Namie</t>
    <phoneticPr fontId="1"/>
  </si>
  <si>
    <t>160719-1?</t>
    <phoneticPr fontId="1"/>
  </si>
  <si>
    <t>1096.5</t>
    <phoneticPr fontId="1"/>
  </si>
  <si>
    <t>75.827</t>
    <phoneticPr fontId="1"/>
  </si>
  <si>
    <t>6287.7</t>
    <phoneticPr fontId="1"/>
  </si>
  <si>
    <t>Longissimus</t>
    <phoneticPr fontId="1"/>
  </si>
  <si>
    <t>Dry</t>
    <phoneticPr fontId="1"/>
  </si>
  <si>
    <t>2409.5</t>
    <phoneticPr fontId="1"/>
  </si>
  <si>
    <t>864.50</t>
    <phoneticPr fontId="1"/>
  </si>
  <si>
    <t>1108.2</t>
    <phoneticPr fontId="1"/>
  </si>
  <si>
    <t>90.425</t>
    <phoneticPr fontId="1"/>
  </si>
  <si>
    <t>5573.8</t>
    <phoneticPr fontId="1"/>
  </si>
  <si>
    <t>1115.4</t>
    <phoneticPr fontId="1"/>
  </si>
  <si>
    <t>63.624</t>
    <phoneticPr fontId="1"/>
  </si>
  <si>
    <t>5877.8</t>
    <phoneticPr fontId="1"/>
  </si>
  <si>
    <t>Masseter</t>
    <phoneticPr fontId="1"/>
  </si>
  <si>
    <t>1665.3</t>
    <phoneticPr fontId="1"/>
  </si>
  <si>
    <t>73.080</t>
    <phoneticPr fontId="1"/>
  </si>
  <si>
    <t>8419.7</t>
    <phoneticPr fontId="1"/>
  </si>
  <si>
    <t>1596.2</t>
    <phoneticPr fontId="1"/>
  </si>
  <si>
    <t>60.092</t>
    <phoneticPr fontId="1"/>
  </si>
  <si>
    <t>7856.4</t>
    <phoneticPr fontId="1"/>
  </si>
  <si>
    <t>Tongue</t>
    <phoneticPr fontId="1"/>
  </si>
  <si>
    <t>53.178</t>
    <phoneticPr fontId="1"/>
  </si>
  <si>
    <t>4867.8</t>
    <phoneticPr fontId="1"/>
  </si>
  <si>
    <t>23.562</t>
    <phoneticPr fontId="1"/>
  </si>
  <si>
    <t>76.499</t>
    <phoneticPr fontId="1"/>
  </si>
  <si>
    <t>36.476</t>
    <phoneticPr fontId="1"/>
  </si>
  <si>
    <t>1778.8</t>
    <phoneticPr fontId="1"/>
  </si>
  <si>
    <t>27.521</t>
    <phoneticPr fontId="1"/>
  </si>
  <si>
    <t>1693.3</t>
    <phoneticPr fontId="1"/>
  </si>
  <si>
    <t>92.507</t>
    <phoneticPr fontId="1"/>
  </si>
  <si>
    <t>1744.8</t>
    <phoneticPr fontId="1"/>
  </si>
  <si>
    <t>22.767</t>
    <phoneticPr fontId="1"/>
  </si>
  <si>
    <t>9339.5</t>
    <phoneticPr fontId="1"/>
  </si>
  <si>
    <t>72.482</t>
    <phoneticPr fontId="1"/>
  </si>
  <si>
    <t>160801-1</t>
    <phoneticPr fontId="1"/>
  </si>
  <si>
    <t>160801-2</t>
    <phoneticPr fontId="1"/>
  </si>
  <si>
    <t>160801-3</t>
    <phoneticPr fontId="1"/>
  </si>
  <si>
    <t>160801-3</t>
    <phoneticPr fontId="1"/>
  </si>
  <si>
    <t>Dry</t>
    <phoneticPr fontId="1"/>
  </si>
  <si>
    <t>1872.7</t>
    <phoneticPr fontId="1"/>
  </si>
  <si>
    <t>38.592</t>
    <phoneticPr fontId="1"/>
  </si>
  <si>
    <t>9776.2</t>
    <phoneticPr fontId="1"/>
  </si>
  <si>
    <t>115.71</t>
    <phoneticPr fontId="1"/>
  </si>
  <si>
    <t>3381.1</t>
    <phoneticPr fontId="1"/>
  </si>
  <si>
    <t>61.649</t>
    <phoneticPr fontId="1"/>
  </si>
  <si>
    <t>18191</t>
    <phoneticPr fontId="1"/>
  </si>
  <si>
    <t>3582.6</t>
    <phoneticPr fontId="1"/>
  </si>
  <si>
    <t>31.573</t>
    <phoneticPr fontId="1"/>
  </si>
  <si>
    <t>18614</t>
    <phoneticPr fontId="1"/>
  </si>
  <si>
    <t>99.489</t>
    <phoneticPr fontId="1"/>
  </si>
  <si>
    <t>4068.9</t>
    <phoneticPr fontId="1"/>
  </si>
  <si>
    <t>40.390</t>
    <phoneticPr fontId="1"/>
  </si>
  <si>
    <t>21366</t>
    <phoneticPr fontId="1"/>
  </si>
  <si>
    <t>4218.5</t>
    <phoneticPr fontId="1"/>
  </si>
  <si>
    <t>64.683</t>
    <phoneticPr fontId="1"/>
  </si>
  <si>
    <t>22370</t>
    <phoneticPr fontId="1"/>
  </si>
  <si>
    <t>1605.8</t>
    <phoneticPr fontId="1"/>
  </si>
  <si>
    <t>24.030</t>
    <phoneticPr fontId="1"/>
  </si>
  <si>
    <t>8373.3</t>
    <phoneticPr fontId="1"/>
  </si>
  <si>
    <t>74.442</t>
    <phoneticPr fontId="1"/>
  </si>
  <si>
    <t>15.154</t>
    <phoneticPr fontId="1"/>
  </si>
  <si>
    <t>3946.9</t>
    <phoneticPr fontId="1"/>
  </si>
  <si>
    <t>46.530</t>
    <phoneticPr fontId="1"/>
  </si>
  <si>
    <t>Longissimus</t>
    <phoneticPr fontId="1"/>
  </si>
  <si>
    <t>1315.8</t>
    <phoneticPr fontId="1"/>
  </si>
  <si>
    <t>17.934</t>
    <phoneticPr fontId="1"/>
  </si>
  <si>
    <t>7024.4</t>
    <phoneticPr fontId="1"/>
  </si>
  <si>
    <t>56.844</t>
    <phoneticPr fontId="1"/>
  </si>
  <si>
    <t>9.1825</t>
    <phoneticPr fontId="1"/>
  </si>
  <si>
    <t>1721.3</t>
    <phoneticPr fontId="1"/>
  </si>
  <si>
    <t>27.374</t>
    <phoneticPr fontId="1"/>
  </si>
  <si>
    <t>Tongue</t>
    <phoneticPr fontId="1"/>
  </si>
  <si>
    <t>Dry</t>
    <phoneticPr fontId="1"/>
  </si>
  <si>
    <t>7.7988</t>
    <phoneticPr fontId="1"/>
  </si>
  <si>
    <t>22.541</t>
    <phoneticPr fontId="1"/>
  </si>
  <si>
    <t>72.441</t>
    <phoneticPr fontId="1"/>
  </si>
  <si>
    <t>7.1631</t>
    <phoneticPr fontId="1"/>
  </si>
  <si>
    <t>160726-3</t>
    <phoneticPr fontId="1"/>
  </si>
  <si>
    <t>160726-3</t>
    <phoneticPr fontId="1"/>
  </si>
  <si>
    <t>160801-2</t>
    <phoneticPr fontId="1"/>
  </si>
  <si>
    <t>160917-2</t>
    <phoneticPr fontId="1"/>
  </si>
  <si>
    <t>20.015</t>
    <phoneticPr fontId="1"/>
  </si>
  <si>
    <t>Okuma</t>
    <phoneticPr fontId="1"/>
  </si>
  <si>
    <t>161209 O-242</t>
    <phoneticPr fontId="1"/>
  </si>
  <si>
    <t>Biceps femoris</t>
    <phoneticPr fontId="1"/>
  </si>
  <si>
    <t>Dry</t>
    <phoneticPr fontId="1"/>
  </si>
  <si>
    <t>160531-1</t>
    <phoneticPr fontId="1"/>
  </si>
  <si>
    <t>Namie</t>
    <phoneticPr fontId="1"/>
  </si>
  <si>
    <t>Longissimus</t>
    <phoneticPr fontId="1"/>
  </si>
  <si>
    <t>Dry</t>
    <phoneticPr fontId="1"/>
  </si>
  <si>
    <t>Biceps femoris</t>
    <phoneticPr fontId="1"/>
  </si>
  <si>
    <t>160531-2</t>
    <phoneticPr fontId="1"/>
  </si>
  <si>
    <t>160531-3</t>
    <phoneticPr fontId="1"/>
  </si>
  <si>
    <t>160531-4</t>
    <phoneticPr fontId="1"/>
  </si>
  <si>
    <t>160531-5</t>
    <phoneticPr fontId="1"/>
  </si>
  <si>
    <t>Testicle</t>
    <phoneticPr fontId="1"/>
  </si>
  <si>
    <t>160531-5</t>
    <phoneticPr fontId="1"/>
  </si>
  <si>
    <t>160531-5</t>
    <phoneticPr fontId="1"/>
  </si>
  <si>
    <t>160708-1</t>
    <phoneticPr fontId="1"/>
  </si>
  <si>
    <t>Heart</t>
    <phoneticPr fontId="1"/>
  </si>
  <si>
    <t>Masseter</t>
    <phoneticPr fontId="1"/>
  </si>
  <si>
    <t>Thyroid</t>
    <phoneticPr fontId="1"/>
  </si>
  <si>
    <t>Bile</t>
    <phoneticPr fontId="1"/>
  </si>
  <si>
    <t>Lung</t>
    <phoneticPr fontId="1"/>
  </si>
  <si>
    <t>Dry</t>
    <phoneticPr fontId="1"/>
  </si>
  <si>
    <t>Masseter</t>
    <phoneticPr fontId="1"/>
  </si>
  <si>
    <t>160721-1</t>
    <phoneticPr fontId="1"/>
  </si>
  <si>
    <t>160917-3</t>
    <phoneticPr fontId="1"/>
  </si>
  <si>
    <t>391.56</t>
    <phoneticPr fontId="1"/>
  </si>
  <si>
    <t>15.242</t>
    <phoneticPr fontId="1"/>
  </si>
  <si>
    <t>1938.3</t>
    <phoneticPr fontId="1"/>
  </si>
  <si>
    <t>45.259</t>
    <phoneticPr fontId="1"/>
  </si>
  <si>
    <t>161012 O-150</t>
    <phoneticPr fontId="1"/>
  </si>
  <si>
    <t>Okuma</t>
    <phoneticPr fontId="1"/>
  </si>
  <si>
    <t>3683..6</t>
    <phoneticPr fontId="1"/>
  </si>
  <si>
    <t>161025 O-174</t>
    <phoneticPr fontId="1"/>
  </si>
  <si>
    <t>161117 O-198</t>
    <phoneticPr fontId="1"/>
  </si>
  <si>
    <t>1457..0</t>
    <phoneticPr fontId="1"/>
  </si>
  <si>
    <t>161206 O-228</t>
  </si>
  <si>
    <t>160720-8</t>
    <phoneticPr fontId="1"/>
  </si>
  <si>
    <t>161026 O-175</t>
    <phoneticPr fontId="1"/>
  </si>
  <si>
    <t>161026 O-178</t>
    <phoneticPr fontId="1"/>
  </si>
  <si>
    <t>161026 O-176</t>
    <phoneticPr fontId="1"/>
  </si>
  <si>
    <t>161130-2</t>
    <phoneticPr fontId="1"/>
  </si>
  <si>
    <t>161130-3</t>
    <phoneticPr fontId="1"/>
  </si>
  <si>
    <t>161130-4</t>
    <phoneticPr fontId="1"/>
  </si>
  <si>
    <t>161206 O-229</t>
  </si>
  <si>
    <t>161206 O-229</t>
    <phoneticPr fontId="1"/>
  </si>
  <si>
    <t>161208 O-240</t>
    <phoneticPr fontId="1"/>
  </si>
  <si>
    <t>Okuma</t>
    <phoneticPr fontId="1"/>
  </si>
  <si>
    <t>161206 O-239</t>
    <phoneticPr fontId="1"/>
  </si>
  <si>
    <t>161206 O-238</t>
    <phoneticPr fontId="1"/>
  </si>
  <si>
    <t>161206 O-237</t>
    <phoneticPr fontId="1"/>
  </si>
  <si>
    <t>Male</t>
    <phoneticPr fontId="1"/>
  </si>
  <si>
    <t>Female</t>
    <phoneticPr fontId="7"/>
  </si>
  <si>
    <t>Female</t>
    <phoneticPr fontId="7"/>
  </si>
  <si>
    <t>Male</t>
    <phoneticPr fontId="7"/>
  </si>
  <si>
    <t>Futaba</t>
    <phoneticPr fontId="7"/>
  </si>
  <si>
    <t>Okuma</t>
    <phoneticPr fontId="7"/>
  </si>
  <si>
    <t>Ottozawa-Chuodai</t>
    <phoneticPr fontId="6"/>
  </si>
  <si>
    <t>161126-2 F-110 GPS</t>
    <phoneticPr fontId="7"/>
  </si>
  <si>
    <t>Kamihatori-Sawairi</t>
    <phoneticPr fontId="7"/>
  </si>
  <si>
    <t>?</t>
  </si>
  <si>
    <t>161128-1 O-206</t>
  </si>
  <si>
    <t>Okuma</t>
    <phoneticPr fontId="7"/>
  </si>
  <si>
    <t>Shimonogamihara</t>
    <phoneticPr fontId="7"/>
  </si>
  <si>
    <t>161128-2 O-207</t>
  </si>
  <si>
    <t>Okuma</t>
    <phoneticPr fontId="7"/>
  </si>
  <si>
    <t>Ottozawa-Chuodai</t>
    <phoneticPr fontId="6"/>
  </si>
  <si>
    <t>Male</t>
    <phoneticPr fontId="7"/>
  </si>
  <si>
    <t>161130-1 O-210 GPS</t>
  </si>
  <si>
    <t>161130-2 O-211</t>
  </si>
  <si>
    <t>Shimonogamihara</t>
    <phoneticPr fontId="7"/>
  </si>
  <si>
    <t>161130-3 O-212</t>
  </si>
  <si>
    <t>Kuma-Kuma</t>
    <phoneticPr fontId="7"/>
  </si>
  <si>
    <t>Male</t>
    <phoneticPr fontId="7"/>
  </si>
  <si>
    <t>161130-4 O-213</t>
  </si>
  <si>
    <t>Kuma-Kuma</t>
    <phoneticPr fontId="7"/>
  </si>
  <si>
    <t>161130-5 O-214 GPS</t>
  </si>
  <si>
    <t>Kumashin-machi</t>
    <phoneticPr fontId="6"/>
  </si>
  <si>
    <t>Kumanabetsu</t>
    <phoneticPr fontId="6"/>
  </si>
  <si>
    <t>161206 O-230</t>
  </si>
  <si>
    <t>161206 O-231 GPS</t>
    <phoneticPr fontId="7"/>
  </si>
  <si>
    <t>Ottozawa-Chojyahara</t>
    <phoneticPr fontId="7"/>
  </si>
  <si>
    <t>161208 O-236</t>
  </si>
  <si>
    <t>Female</t>
    <phoneticPr fontId="7"/>
  </si>
  <si>
    <t>161208 O-237</t>
  </si>
  <si>
    <t>22-25</t>
    <phoneticPr fontId="7"/>
  </si>
  <si>
    <t>Shimono-Kanayadaira</t>
    <phoneticPr fontId="7"/>
  </si>
  <si>
    <t>Shimono-Kanayadaira</t>
    <phoneticPr fontId="7"/>
  </si>
  <si>
    <t>22-25</t>
    <phoneticPr fontId="7"/>
  </si>
  <si>
    <t>161213 PF-26</t>
  </si>
  <si>
    <t>Nakanoshibue</t>
    <phoneticPr fontId="7"/>
  </si>
  <si>
    <t>161213 O-246</t>
  </si>
  <si>
    <t>27-31</t>
    <phoneticPr fontId="7"/>
  </si>
  <si>
    <t>161215 T-1</t>
  </si>
  <si>
    <t>Tochigi</t>
    <phoneticPr fontId="7"/>
  </si>
  <si>
    <t>Tochigi-Umesawa</t>
    <phoneticPr fontId="7"/>
  </si>
  <si>
    <t>161215 T-2</t>
  </si>
  <si>
    <t>Tochigi-Umesawa</t>
    <phoneticPr fontId="7"/>
  </si>
  <si>
    <t>161216 O-247</t>
  </si>
  <si>
    <t>Nogami</t>
    <phoneticPr fontId="7"/>
  </si>
  <si>
    <t>161216 F-117</t>
  </si>
  <si>
    <t>Futaba</t>
    <phoneticPr fontId="7"/>
  </si>
  <si>
    <t>161126-1 O-205</t>
    <phoneticPr fontId="1"/>
  </si>
  <si>
    <t>161126 F-109</t>
    <phoneticPr fontId="1"/>
  </si>
  <si>
    <t>Futaba</t>
    <phoneticPr fontId="1"/>
  </si>
  <si>
    <t>Shibukawakitasaku</t>
    <phoneticPr fontId="7"/>
  </si>
  <si>
    <t>160805-2</t>
    <phoneticPr fontId="1"/>
  </si>
  <si>
    <t>Nagasaki</t>
    <phoneticPr fontId="1"/>
  </si>
  <si>
    <t>-</t>
    <phoneticPr fontId="1"/>
  </si>
  <si>
    <t>-</t>
    <phoneticPr fontId="1"/>
  </si>
  <si>
    <t>160805-1</t>
    <phoneticPr fontId="1"/>
  </si>
  <si>
    <t>Nagasaki</t>
    <phoneticPr fontId="1"/>
  </si>
  <si>
    <t>Biceps femoris</t>
    <phoneticPr fontId="1"/>
  </si>
  <si>
    <t>Dry</t>
    <phoneticPr fontId="1"/>
  </si>
  <si>
    <t>-</t>
    <phoneticPr fontId="1"/>
  </si>
  <si>
    <t>160804-2</t>
    <phoneticPr fontId="1"/>
  </si>
  <si>
    <t>Nagasaki</t>
    <phoneticPr fontId="1"/>
  </si>
  <si>
    <t>-</t>
    <phoneticPr fontId="1"/>
  </si>
  <si>
    <t>160729-1</t>
    <phoneticPr fontId="1"/>
  </si>
  <si>
    <t>Dry</t>
    <phoneticPr fontId="1"/>
  </si>
  <si>
    <t>160720-9</t>
    <phoneticPr fontId="1"/>
  </si>
  <si>
    <t>160720-9</t>
    <phoneticPr fontId="1"/>
  </si>
  <si>
    <t>Dry</t>
    <phoneticPr fontId="1"/>
  </si>
  <si>
    <t>-</t>
    <phoneticPr fontId="1"/>
  </si>
  <si>
    <t>-</t>
    <phoneticPr fontId="1"/>
  </si>
  <si>
    <t>160720-9</t>
    <phoneticPr fontId="1"/>
  </si>
  <si>
    <t>Okuma</t>
    <phoneticPr fontId="1"/>
  </si>
  <si>
    <t>Biceps femoris</t>
    <phoneticPr fontId="1"/>
  </si>
  <si>
    <t>161216 F-117</t>
    <phoneticPr fontId="1"/>
  </si>
  <si>
    <t>Futaba</t>
    <phoneticPr fontId="1"/>
  </si>
  <si>
    <t>Biceps femoris</t>
    <phoneticPr fontId="1"/>
  </si>
  <si>
    <t>160804-2</t>
    <phoneticPr fontId="1"/>
  </si>
  <si>
    <t>Nagasaki</t>
    <phoneticPr fontId="1"/>
  </si>
  <si>
    <t>-</t>
    <phoneticPr fontId="1"/>
  </si>
  <si>
    <t>-</t>
    <phoneticPr fontId="1"/>
  </si>
  <si>
    <t>160720-7</t>
    <phoneticPr fontId="1"/>
  </si>
  <si>
    <t>Fukushima</t>
    <phoneticPr fontId="1"/>
  </si>
  <si>
    <t>Thyroid</t>
    <phoneticPr fontId="1"/>
  </si>
  <si>
    <t>Dry</t>
    <phoneticPr fontId="1"/>
  </si>
  <si>
    <t>160720-9</t>
    <phoneticPr fontId="1"/>
  </si>
  <si>
    <t>Fukushima</t>
    <phoneticPr fontId="1"/>
  </si>
  <si>
    <t>Heart</t>
    <phoneticPr fontId="1"/>
  </si>
  <si>
    <t>160720-9</t>
    <phoneticPr fontId="1"/>
  </si>
  <si>
    <t>Fukushima</t>
    <phoneticPr fontId="1"/>
  </si>
  <si>
    <t>Spleen</t>
    <phoneticPr fontId="1"/>
  </si>
  <si>
    <t>Dry</t>
    <phoneticPr fontId="1"/>
  </si>
  <si>
    <t>-</t>
    <phoneticPr fontId="1"/>
  </si>
  <si>
    <t>160720-9</t>
    <phoneticPr fontId="1"/>
  </si>
  <si>
    <t>Fukushima</t>
    <phoneticPr fontId="1"/>
  </si>
  <si>
    <t>Masseter</t>
    <phoneticPr fontId="1"/>
  </si>
  <si>
    <t>Fukushima</t>
    <phoneticPr fontId="1"/>
  </si>
  <si>
    <t>Thyroid</t>
    <phoneticPr fontId="1"/>
  </si>
  <si>
    <t>Dry</t>
    <phoneticPr fontId="1"/>
  </si>
  <si>
    <t>Nagasaki</t>
    <phoneticPr fontId="1"/>
  </si>
  <si>
    <t>160805-2</t>
    <phoneticPr fontId="1"/>
  </si>
  <si>
    <t>Nagasaki</t>
    <phoneticPr fontId="1"/>
  </si>
  <si>
    <t>160805-1</t>
    <phoneticPr fontId="1"/>
  </si>
  <si>
    <t>160621-2</t>
    <phoneticPr fontId="1"/>
  </si>
  <si>
    <t>-</t>
    <phoneticPr fontId="1"/>
  </si>
  <si>
    <t>-</t>
    <phoneticPr fontId="1"/>
  </si>
  <si>
    <t>Biceps femoris</t>
    <phoneticPr fontId="1"/>
  </si>
  <si>
    <t>Dose Calculations for Boar used by Kelly</t>
  </si>
  <si>
    <t>Tissue</t>
  </si>
  <si>
    <t>Biceps</t>
  </si>
  <si>
    <t>161208 O-239</t>
  </si>
  <si>
    <t>161208 O-240</t>
  </si>
  <si>
    <t>161208 O-242</t>
  </si>
  <si>
    <t>Age (hours)</t>
  </si>
  <si>
    <t xml:space="preserve"> </t>
  </si>
  <si>
    <t>QA/AC</t>
  </si>
  <si>
    <t>√</t>
  </si>
  <si>
    <t xml:space="preserve">Soil Rep 1 </t>
  </si>
  <si>
    <t xml:space="preserve">Soil Rep 2 </t>
  </si>
  <si>
    <t>avg</t>
  </si>
  <si>
    <t>sd</t>
  </si>
  <si>
    <t>Bq / m2</t>
  </si>
  <si>
    <t>Bq / kg</t>
  </si>
  <si>
    <t>137Cs</t>
  </si>
  <si>
    <t>134Cs</t>
  </si>
  <si>
    <t>no "A" core?  Ask Dononvan</t>
  </si>
  <si>
    <t>Nogamisuwa</t>
  </si>
  <si>
    <t>nd</t>
  </si>
  <si>
    <t>Ottozawa-Chuodai</t>
  </si>
  <si>
    <t>MEXT uSv/h @1m, from aircraft overfly</t>
  </si>
  <si>
    <t>MEXT uSv/h @1m, max in 1000 m of capture site</t>
  </si>
  <si>
    <t xml:space="preserve">Based on MEXT data from: </t>
  </si>
  <si>
    <t>1.9-3.8</t>
  </si>
  <si>
    <t>3.8-9.5</t>
  </si>
  <si>
    <t>0.5-1.0</t>
  </si>
  <si>
    <t>9.5-19</t>
  </si>
  <si>
    <t>1-1.9</t>
  </si>
  <si>
    <t> https://ramap.jmc.or.jp/map/eng/#lat=37.28458799999977&amp;lon=140.5831109999977&amp;z=9&amp;b=std&amp;t=air&amp;s=0,0,0,0&amp;c=20171116_dr</t>
  </si>
  <si>
    <t>Nov-13</t>
  </si>
  <si>
    <t>9.5-19.0</t>
  </si>
  <si>
    <t>Jun-12</t>
  </si>
  <si>
    <t>Janelle</t>
  </si>
  <si>
    <t>Cindy</t>
  </si>
  <si>
    <t>Grace</t>
  </si>
  <si>
    <t>jasmine</t>
  </si>
  <si>
    <t>MEXT uSv/h at capture (Nov-16), midpoint of range at trap site</t>
  </si>
  <si>
    <t>xx</t>
  </si>
  <si>
    <t>Wet or Dry wt</t>
  </si>
  <si>
    <t xml:space="preserve"> Cs-134 Bq/kg wet</t>
  </si>
  <si>
    <t>Cs-137 Bq/kg wet</t>
  </si>
  <si>
    <t>Cs-134 Bq/kg (dry)</t>
  </si>
  <si>
    <t xml:space="preserve"> Cs-137 Bq/kg (dry)</t>
  </si>
  <si>
    <t>Dry</t>
  </si>
  <si>
    <t>mean</t>
  </si>
  <si>
    <t>Whole-body</t>
  </si>
  <si>
    <t>ERICA INTERNAL Dose-Conversion-Factor, DCF, 134Cs uGy/h per Bq/kg</t>
  </si>
  <si>
    <t>ERICA INTERNAL Dose-Conversion-Factor, DCF, 137Cs uGy/h per Bq/kg</t>
  </si>
  <si>
    <t>58-65</t>
  </si>
  <si>
    <t>for 37 kg mean</t>
  </si>
  <si>
    <t>MEXT uSv/h, @ 1m, max,  at capture site</t>
  </si>
  <si>
    <t>MEXT uSv/h, reasonable, midpoint of column I</t>
  </si>
  <si>
    <t>Reasonable Total Life Time Dose mGy (Int+Ext,134+137)</t>
  </si>
  <si>
    <t>Maximum Total Life Time Dose mGy (Int+Ext,134+137)</t>
  </si>
  <si>
    <t>missing</t>
  </si>
  <si>
    <t>134/137 ratio in muscle</t>
  </si>
  <si>
    <t>none</t>
  </si>
  <si>
    <t>CV %</t>
  </si>
  <si>
    <t>161206 O229</t>
  </si>
  <si>
    <t>161208 O237</t>
  </si>
  <si>
    <t>Cs134</t>
  </si>
  <si>
    <t>Cs137</t>
  </si>
  <si>
    <t>not det.</t>
  </si>
  <si>
    <t>data used to estimate 134 and 137 for 161126-1 O-205</t>
  </si>
  <si>
    <t xml:space="preserve">data used to estimate 134 and 137 for 160803-1 </t>
  </si>
  <si>
    <t>161130 O214 and 161208 O236</t>
  </si>
  <si>
    <t>Age days</t>
  </si>
  <si>
    <t>integrate 1.57 e^(0.0009*t) from 0 to 343</t>
  </si>
  <si>
    <t>INTERNAL Dose, lifetime, Cs-134 uncorrected for 134 buildup (uGy)</t>
  </si>
  <si>
    <t xml:space="preserve">INTERNAL DCF, 134Cs uGy/h per Bq/kg (Beta&amp;Gama) </t>
  </si>
  <si>
    <t>(from wolfram) Build-up, corrected, Integrated INTERNAL LIFE-TIME dose uGy  Cs134</t>
  </si>
  <si>
    <t>uGy/d</t>
  </si>
  <si>
    <t>https://www.wolframalpha.com</t>
  </si>
  <si>
    <t>ID</t>
  </si>
  <si>
    <t>(from wolfram) Build-up, corrected, Integrated INTERNAL LIFE-TIME dose mGy  Cs134</t>
  </si>
  <si>
    <t>INTERNAL Life time dose, mGy 134+137</t>
  </si>
  <si>
    <t>INTERNAL Life time dose, mGy 137</t>
  </si>
  <si>
    <t>INTERNAL Life time dose,   mGy 134</t>
  </si>
  <si>
    <t>INTERNAL uGy/h Cs-137</t>
  </si>
  <si>
    <t>INTERNAL uGy/h Cs-134</t>
  </si>
  <si>
    <t>EXTERNAL Dose Reasonable Life Time, mGy (134+137)</t>
  </si>
  <si>
    <t>% of INTERNAL to EXTERNAL dose</t>
  </si>
  <si>
    <t xml:space="preserve">  </t>
  </si>
  <si>
    <t>160803-1</t>
  </si>
  <si>
    <t>161126-1 O-205</t>
  </si>
  <si>
    <t>161126-2 F-110 GPS</t>
  </si>
  <si>
    <t>161126 F-109</t>
  </si>
  <si>
    <t>161206 O-231 GPS</t>
  </si>
  <si>
    <t>EXTERNAL Dose Maximum Life Time, mGy (134+137)</t>
  </si>
  <si>
    <t>Dose rate (uGy/h) at time of capture (Int+Ext; 134+137)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</si>
</sst>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0.000"/>
    <numFmt numFmtId="165" formatCode="0.000_ "/>
    <numFmt numFmtId="166" formatCode="0.000000"/>
    <numFmt numFmtId="167" formatCode="_(* #,##0_);_(* \(#,##0\);_(* &quot;-&quot;??_);_(@_)"/>
    <numFmt numFmtId="168" formatCode="_(* #,##0.0_);_(* \(#,##0.0\);_(* &quot;-&quot;??_);_(@_)"/>
    <numFmt numFmtId="169" formatCode="0.0"/>
    <numFmt numFmtId="170" formatCode="_(* #,##0.000000_);_(* \(#,##0.000000\);_(* &quot;-&quot;??_);_(@_)"/>
    <numFmt numFmtId="171" formatCode="_(* #,##0.0000_);_(* \(#,##0.0000\);_(* &quot;-&quot;??_);_(@_)"/>
    <numFmt numFmtId="172" formatCode="#,##0.000000"/>
  </numFmts>
  <fonts count="34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charset val="128"/>
      <scheme val="minor"/>
    </font>
    <font>
      <u/>
      <sz val="11"/>
      <color theme="11"/>
      <name val="Calibri"/>
      <family val="2"/>
      <charset val="128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rgb="FFFF0000"/>
      <name val="Times New Roman"/>
      <family val="1"/>
    </font>
    <font>
      <sz val="11"/>
      <color theme="1"/>
      <name val="Calibri"/>
      <family val="2"/>
      <charset val="128"/>
      <scheme val="minor"/>
    </font>
    <font>
      <sz val="9"/>
      <color theme="1"/>
      <name val="Times New Roman"/>
      <family val="1"/>
    </font>
    <font>
      <sz val="9"/>
      <color theme="1"/>
      <name val="Calibri"/>
      <family val="2"/>
      <charset val="128"/>
      <scheme val="minor"/>
    </font>
    <font>
      <sz val="9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000000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0"/>
      <name val="Times New Roman"/>
      <family val="1"/>
    </font>
    <font>
      <sz val="10"/>
      <color rgb="FFFF0000"/>
      <name val="Calibri Light"/>
      <family val="2"/>
      <scheme val="major"/>
    </font>
    <font>
      <sz val="10"/>
      <color rgb="FFFF0000"/>
      <name val="Times New Roman"/>
      <family val="1"/>
    </font>
    <font>
      <sz val="10"/>
      <name val="Calibri Light"/>
      <family val="2"/>
      <scheme val="major"/>
    </font>
    <font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7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5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>
      <alignment vertical="center"/>
    </xf>
    <xf numFmtId="0" fontId="2" fillId="0" borderId="0" xfId="0" applyFont="1" applyBorder="1" applyAlignment="1"/>
    <xf numFmtId="0" fontId="2" fillId="2" borderId="0" xfId="0" applyFont="1" applyFill="1" applyBorder="1">
      <alignment vertical="center"/>
    </xf>
    <xf numFmtId="0" fontId="2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>
      <alignment vertical="center"/>
    </xf>
    <xf numFmtId="0" fontId="5" fillId="4" borderId="0" xfId="0" applyFont="1" applyFill="1" applyBorder="1">
      <alignment vertical="center"/>
    </xf>
    <xf numFmtId="0" fontId="5" fillId="4" borderId="0" xfId="0" applyFont="1" applyFill="1" applyBorder="1" applyAlignment="1">
      <alignment horizontal="left" vertical="center"/>
    </xf>
    <xf numFmtId="0" fontId="2" fillId="4" borderId="0" xfId="0" applyFont="1" applyFill="1" applyBorder="1">
      <alignment vertical="center"/>
    </xf>
    <xf numFmtId="0" fontId="2" fillId="4" borderId="0" xfId="0" applyFont="1" applyFill="1" applyBorder="1" applyAlignment="1">
      <alignment horizontal="left" vertical="center" wrapText="1"/>
    </xf>
    <xf numFmtId="0" fontId="8" fillId="4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10" fillId="0" borderId="0" xfId="0" applyFont="1" applyFill="1">
      <alignment vertical="center"/>
    </xf>
    <xf numFmtId="0" fontId="8" fillId="4" borderId="0" xfId="0" applyFont="1" applyFill="1" applyBorder="1" applyAlignment="1">
      <alignment horizontal="left" vertical="center"/>
    </xf>
    <xf numFmtId="11" fontId="0" fillId="0" borderId="0" xfId="0" applyNumberFormat="1">
      <alignment vertical="center"/>
    </xf>
    <xf numFmtId="0" fontId="13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2" fillId="2" borderId="5" xfId="0" applyFont="1" applyFill="1" applyBorder="1">
      <alignment vertical="center"/>
    </xf>
    <xf numFmtId="0" fontId="2" fillId="0" borderId="5" xfId="0" applyFont="1" applyFill="1" applyBorder="1" applyAlignment="1">
      <alignment horizontal="left" vertical="center"/>
    </xf>
    <xf numFmtId="11" fontId="0" fillId="0" borderId="5" xfId="0" applyNumberFormat="1" applyBorder="1">
      <alignment vertical="center"/>
    </xf>
    <xf numFmtId="11" fontId="0" fillId="3" borderId="5" xfId="0" applyNumberFormat="1" applyFill="1" applyBorder="1">
      <alignment vertical="center"/>
    </xf>
    <xf numFmtId="11" fontId="0" fillId="0" borderId="6" xfId="0" applyNumberFormat="1" applyBorder="1">
      <alignment vertical="center"/>
    </xf>
    <xf numFmtId="11" fontId="0" fillId="3" borderId="6" xfId="0" applyNumberFormat="1" applyFill="1" applyBorder="1">
      <alignment vertical="center"/>
    </xf>
    <xf numFmtId="11" fontId="0" fillId="0" borderId="0" xfId="0" applyNumberFormat="1" applyFill="1" applyBorder="1">
      <alignment vertical="center"/>
    </xf>
    <xf numFmtId="0" fontId="0" fillId="0" borderId="0" xfId="0" applyAlignment="1"/>
    <xf numFmtId="0" fontId="17" fillId="0" borderId="0" xfId="0" applyFont="1" applyFill="1" applyAlignment="1">
      <alignment horizontal="center" vertical="center"/>
    </xf>
    <xf numFmtId="0" fontId="17" fillId="0" borderId="0" xfId="0" applyFont="1" applyFill="1">
      <alignment vertical="center"/>
    </xf>
    <xf numFmtId="0" fontId="17" fillId="0" borderId="1" xfId="0" applyFont="1" applyFill="1" applyBorder="1">
      <alignment vertical="center"/>
    </xf>
    <xf numFmtId="0" fontId="17" fillId="0" borderId="3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>
      <alignment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5" xfId="0" applyFont="1" applyFill="1" applyBorder="1">
      <alignment vertical="center"/>
    </xf>
    <xf numFmtId="0" fontId="17" fillId="0" borderId="5" xfId="0" applyFont="1" applyFill="1" applyBorder="1" applyAlignment="1">
      <alignment vertical="center" wrapText="1"/>
    </xf>
    <xf numFmtId="0" fontId="17" fillId="0" borderId="8" xfId="0" applyFont="1" applyFill="1" applyBorder="1" applyAlignment="1">
      <alignment vertical="center" wrapText="1"/>
    </xf>
    <xf numFmtId="0" fontId="3" fillId="0" borderId="0" xfId="26" applyFill="1">
      <alignment vertical="center"/>
    </xf>
    <xf numFmtId="0" fontId="10" fillId="0" borderId="0" xfId="0" applyFont="1" applyFill="1" applyBorder="1">
      <alignment vertical="center"/>
    </xf>
    <xf numFmtId="0" fontId="10" fillId="5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Alignment="1"/>
    <xf numFmtId="169" fontId="10" fillId="0" borderId="0" xfId="0" applyNumberFormat="1" applyFont="1" applyFill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1" fontId="2" fillId="0" borderId="0" xfId="0" applyNumberFormat="1" applyFont="1" applyFill="1">
      <alignment vertical="center"/>
    </xf>
    <xf numFmtId="0" fontId="2" fillId="0" borderId="4" xfId="0" applyFont="1" applyFill="1" applyBorder="1">
      <alignment vertical="center"/>
    </xf>
    <xf numFmtId="2" fontId="10" fillId="0" borderId="0" xfId="0" applyNumberFormat="1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10" fillId="3" borderId="0" xfId="0" applyFont="1" applyFill="1" applyBorder="1" applyAlignment="1">
      <alignment horizontal="left"/>
    </xf>
    <xf numFmtId="0" fontId="10" fillId="3" borderId="5" xfId="0" applyFont="1" applyFill="1" applyBorder="1">
      <alignment vertical="center"/>
    </xf>
    <xf numFmtId="0" fontId="10" fillId="7" borderId="5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2" fillId="7" borderId="0" xfId="0" applyFont="1" applyFill="1">
      <alignment vertical="center"/>
    </xf>
    <xf numFmtId="0" fontId="10" fillId="9" borderId="5" xfId="0" applyFont="1" applyFill="1" applyBorder="1" applyAlignment="1">
      <alignment horizontal="left" vertical="center" wrapText="1"/>
    </xf>
    <xf numFmtId="15" fontId="0" fillId="0" borderId="0" xfId="0" applyNumberFormat="1">
      <alignment vertical="center"/>
    </xf>
    <xf numFmtId="0" fontId="20" fillId="0" borderId="0" xfId="0" applyFont="1">
      <alignment vertical="center"/>
    </xf>
    <xf numFmtId="0" fontId="3" fillId="0" borderId="0" xfId="26">
      <alignment vertical="center"/>
    </xf>
    <xf numFmtId="0" fontId="21" fillId="0" borderId="0" xfId="0" applyFont="1">
      <alignment vertical="center"/>
    </xf>
    <xf numFmtId="0" fontId="10" fillId="2" borderId="5" xfId="0" applyFont="1" applyFill="1" applyBorder="1">
      <alignment vertical="center"/>
    </xf>
    <xf numFmtId="0" fontId="0" fillId="0" borderId="5" xfId="0" applyBorder="1">
      <alignment vertical="center"/>
    </xf>
    <xf numFmtId="1" fontId="0" fillId="0" borderId="5" xfId="0" applyNumberFormat="1" applyBorder="1">
      <alignment vertical="center"/>
    </xf>
    <xf numFmtId="172" fontId="19" fillId="0" borderId="5" xfId="0" applyNumberFormat="1" applyFont="1" applyFill="1" applyBorder="1" applyAlignment="1">
      <alignment horizontal="center" wrapText="1"/>
    </xf>
    <xf numFmtId="2" fontId="0" fillId="0" borderId="5" xfId="0" applyNumberFormat="1" applyBorder="1">
      <alignment vertical="center"/>
    </xf>
    <xf numFmtId="0" fontId="18" fillId="2" borderId="5" xfId="0" applyFont="1" applyFill="1" applyBorder="1">
      <alignment vertical="center"/>
    </xf>
    <xf numFmtId="0" fontId="18" fillId="4" borderId="5" xfId="0" applyFont="1" applyFill="1" applyBorder="1">
      <alignment vertical="center"/>
    </xf>
    <xf numFmtId="167" fontId="0" fillId="0" borderId="5" xfId="25" applyNumberFormat="1" applyFont="1" applyBorder="1" applyAlignment="1">
      <alignment vertical="center"/>
    </xf>
    <xf numFmtId="0" fontId="10" fillId="7" borderId="5" xfId="0" applyFont="1" applyFill="1" applyBorder="1">
      <alignment vertical="center"/>
    </xf>
    <xf numFmtId="0" fontId="10" fillId="4" borderId="5" xfId="0" applyFont="1" applyFill="1" applyBorder="1">
      <alignment vertical="center"/>
    </xf>
    <xf numFmtId="0" fontId="12" fillId="3" borderId="5" xfId="0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left" vertical="center"/>
    </xf>
    <xf numFmtId="0" fontId="18" fillId="4" borderId="5" xfId="0" applyFont="1" applyFill="1" applyBorder="1" applyAlignment="1">
      <alignment horizontal="left" vertical="center"/>
    </xf>
    <xf numFmtId="0" fontId="18" fillId="3" borderId="5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vertical="center"/>
    </xf>
    <xf numFmtId="0" fontId="10" fillId="2" borderId="6" xfId="0" applyFont="1" applyFill="1" applyBorder="1">
      <alignment vertical="center"/>
    </xf>
    <xf numFmtId="0" fontId="0" fillId="0" borderId="6" xfId="0" applyBorder="1">
      <alignment vertical="center"/>
    </xf>
    <xf numFmtId="1" fontId="0" fillId="0" borderId="6" xfId="0" applyNumberFormat="1" applyBorder="1">
      <alignment vertical="center"/>
    </xf>
    <xf numFmtId="2" fontId="0" fillId="0" borderId="6" xfId="0" applyNumberFormat="1" applyBorder="1">
      <alignment vertical="center"/>
    </xf>
    <xf numFmtId="0" fontId="17" fillId="0" borderId="11" xfId="0" applyFont="1" applyFill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0" fontId="22" fillId="5" borderId="11" xfId="0" applyFont="1" applyFill="1" applyBorder="1" applyAlignment="1">
      <alignment horizontal="center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2" fontId="0" fillId="0" borderId="0" xfId="0" applyNumberFormat="1">
      <alignment vertical="center"/>
    </xf>
    <xf numFmtId="0" fontId="23" fillId="0" borderId="0" xfId="0" applyFont="1" applyFill="1" applyAlignment="1">
      <alignment horizontal="center"/>
    </xf>
    <xf numFmtId="0" fontId="24" fillId="11" borderId="5" xfId="0" applyFont="1" applyFill="1" applyBorder="1">
      <alignment vertical="center"/>
    </xf>
    <xf numFmtId="0" fontId="24" fillId="0" borderId="5" xfId="0" applyFont="1" applyFill="1" applyBorder="1" applyAlignment="1">
      <alignment horizontal="left" vertical="center"/>
    </xf>
    <xf numFmtId="0" fontId="24" fillId="0" borderId="5" xfId="0" applyFont="1" applyFill="1" applyBorder="1">
      <alignment vertical="center"/>
    </xf>
    <xf numFmtId="166" fontId="24" fillId="0" borderId="9" xfId="0" applyNumberFormat="1" applyFont="1" applyFill="1" applyBorder="1" applyAlignment="1">
      <alignment horizontal="left"/>
    </xf>
    <xf numFmtId="166" fontId="24" fillId="0" borderId="6" xfId="0" applyNumberFormat="1" applyFont="1" applyFill="1" applyBorder="1" applyAlignment="1">
      <alignment horizontal="left"/>
    </xf>
    <xf numFmtId="1" fontId="25" fillId="6" borderId="6" xfId="0" applyNumberFormat="1" applyFont="1" applyFill="1" applyBorder="1" applyAlignment="1">
      <alignment horizontal="center" wrapText="1"/>
    </xf>
    <xf numFmtId="169" fontId="25" fillId="8" borderId="6" xfId="0" applyNumberFormat="1" applyFont="1" applyFill="1" applyBorder="1" applyAlignment="1">
      <alignment horizontal="center" wrapText="1"/>
    </xf>
    <xf numFmtId="17" fontId="25" fillId="8" borderId="6" xfId="0" applyNumberFormat="1" applyFont="1" applyFill="1" applyBorder="1" applyAlignment="1">
      <alignment horizontal="center" wrapText="1"/>
    </xf>
    <xf numFmtId="0" fontId="24" fillId="0" borderId="5" xfId="0" applyFont="1" applyFill="1" applyBorder="1" applyAlignment="1">
      <alignment horizontal="center"/>
    </xf>
    <xf numFmtId="49" fontId="24" fillId="0" borderId="5" xfId="0" applyNumberFormat="1" applyFont="1" applyFill="1" applyBorder="1" applyAlignment="1">
      <alignment horizontal="center"/>
    </xf>
    <xf numFmtId="0" fontId="24" fillId="0" borderId="5" xfId="0" applyNumberFormat="1" applyFont="1" applyFill="1" applyBorder="1" applyAlignment="1">
      <alignment horizontal="center"/>
    </xf>
    <xf numFmtId="0" fontId="26" fillId="0" borderId="5" xfId="0" applyFont="1" applyFill="1" applyBorder="1" applyAlignment="1">
      <alignment horizontal="center"/>
    </xf>
    <xf numFmtId="167" fontId="26" fillId="0" borderId="5" xfId="25" applyNumberFormat="1" applyFont="1" applyBorder="1" applyAlignment="1">
      <alignment horizontal="center"/>
    </xf>
    <xf numFmtId="43" fontId="26" fillId="0" borderId="5" xfId="25" applyNumberFormat="1" applyFont="1" applyBorder="1" applyAlignment="1">
      <alignment horizontal="center"/>
    </xf>
    <xf numFmtId="170" fontId="26" fillId="0" borderId="5" xfId="0" applyNumberFormat="1" applyFont="1" applyFill="1" applyBorder="1">
      <alignment vertical="center"/>
    </xf>
    <xf numFmtId="0" fontId="26" fillId="0" borderId="5" xfId="0" applyFont="1" applyFill="1" applyBorder="1">
      <alignment vertical="center"/>
    </xf>
    <xf numFmtId="2" fontId="26" fillId="0" borderId="5" xfId="0" applyNumberFormat="1" applyFont="1" applyFill="1" applyBorder="1" applyAlignment="1">
      <alignment horizontal="center" vertical="center"/>
    </xf>
    <xf numFmtId="43" fontId="26" fillId="0" borderId="5" xfId="0" applyNumberFormat="1" applyFont="1" applyFill="1" applyBorder="1" applyAlignment="1">
      <alignment horizontal="center" vertical="center"/>
    </xf>
    <xf numFmtId="43" fontId="26" fillId="0" borderId="5" xfId="0" applyNumberFormat="1" applyFont="1" applyFill="1" applyBorder="1">
      <alignment vertical="center"/>
    </xf>
    <xf numFmtId="169" fontId="26" fillId="0" borderId="5" xfId="0" applyNumberFormat="1" applyFont="1" applyFill="1" applyBorder="1">
      <alignment vertical="center"/>
    </xf>
    <xf numFmtId="168" fontId="26" fillId="0" borderId="5" xfId="0" applyNumberFormat="1" applyFont="1" applyFill="1" applyBorder="1">
      <alignment vertical="center"/>
    </xf>
    <xf numFmtId="166" fontId="24" fillId="0" borderId="10" xfId="0" applyNumberFormat="1" applyFont="1" applyFill="1" applyBorder="1" applyAlignment="1">
      <alignment horizontal="left"/>
    </xf>
    <xf numFmtId="166" fontId="24" fillId="0" borderId="5" xfId="0" applyNumberFormat="1" applyFont="1" applyFill="1" applyBorder="1" applyAlignment="1">
      <alignment horizontal="left"/>
    </xf>
    <xf numFmtId="1" fontId="25" fillId="6" borderId="5" xfId="0" applyNumberFormat="1" applyFont="1" applyFill="1" applyBorder="1" applyAlignment="1">
      <alignment horizontal="center" wrapText="1"/>
    </xf>
    <xf numFmtId="0" fontId="27" fillId="11" borderId="5" xfId="0" applyFont="1" applyFill="1" applyBorder="1">
      <alignment vertical="center"/>
    </xf>
    <xf numFmtId="0" fontId="27" fillId="0" borderId="5" xfId="0" applyFont="1" applyFill="1" applyBorder="1">
      <alignment vertical="center"/>
    </xf>
    <xf numFmtId="169" fontId="25" fillId="6" borderId="5" xfId="0" applyNumberFormat="1" applyFont="1" applyFill="1" applyBorder="1" applyAlignment="1">
      <alignment horizontal="center" wrapText="1"/>
    </xf>
    <xf numFmtId="169" fontId="25" fillId="8" borderId="5" xfId="0" applyNumberFormat="1" applyFont="1" applyFill="1" applyBorder="1" applyAlignment="1">
      <alignment horizontal="center" wrapText="1"/>
    </xf>
    <xf numFmtId="0" fontId="27" fillId="0" borderId="5" xfId="0" applyFont="1" applyFill="1" applyBorder="1" applyAlignment="1">
      <alignment horizontal="center"/>
    </xf>
    <xf numFmtId="169" fontId="28" fillId="8" borderId="5" xfId="0" applyNumberFormat="1" applyFont="1" applyFill="1" applyBorder="1" applyAlignment="1">
      <alignment horizontal="center" wrapText="1"/>
    </xf>
    <xf numFmtId="169" fontId="28" fillId="8" borderId="6" xfId="0" applyNumberFormat="1" applyFont="1" applyFill="1" applyBorder="1" applyAlignment="1">
      <alignment horizontal="center" wrapText="1"/>
    </xf>
    <xf numFmtId="0" fontId="26" fillId="4" borderId="5" xfId="0" applyFont="1" applyFill="1" applyBorder="1" applyAlignment="1"/>
    <xf numFmtId="0" fontId="26" fillId="0" borderId="5" xfId="0" applyFont="1" applyFill="1" applyBorder="1" applyAlignment="1"/>
    <xf numFmtId="0" fontId="28" fillId="8" borderId="5" xfId="0" applyFont="1" applyFill="1" applyBorder="1" applyAlignment="1">
      <alignment horizontal="center" wrapText="1"/>
    </xf>
    <xf numFmtId="167" fontId="26" fillId="0" borderId="5" xfId="25" applyNumberFormat="1" applyFont="1" applyFill="1" applyBorder="1" applyAlignment="1">
      <alignment horizontal="center"/>
    </xf>
    <xf numFmtId="49" fontId="27" fillId="0" borderId="5" xfId="0" applyNumberFormat="1" applyFont="1" applyFill="1" applyBorder="1" applyAlignment="1">
      <alignment horizontal="center"/>
    </xf>
    <xf numFmtId="0" fontId="29" fillId="0" borderId="5" xfId="0" applyFont="1" applyFill="1" applyBorder="1" applyAlignment="1">
      <alignment horizontal="center"/>
    </xf>
    <xf numFmtId="0" fontId="29" fillId="0" borderId="5" xfId="0" applyNumberFormat="1" applyFont="1" applyFill="1" applyBorder="1" applyAlignment="1">
      <alignment horizontal="center"/>
    </xf>
    <xf numFmtId="0" fontId="24" fillId="9" borderId="5" xfId="0" applyFont="1" applyFill="1" applyBorder="1">
      <alignment vertical="center"/>
    </xf>
    <xf numFmtId="49" fontId="25" fillId="8" borderId="5" xfId="0" applyNumberFormat="1" applyFont="1" applyFill="1" applyBorder="1" applyAlignment="1">
      <alignment horizontal="center" wrapText="1"/>
    </xf>
    <xf numFmtId="0" fontId="26" fillId="9" borderId="5" xfId="0" applyFont="1" applyFill="1" applyBorder="1" applyAlignment="1"/>
    <xf numFmtId="0" fontId="30" fillId="0" borderId="5" xfId="0" applyFont="1" applyFill="1" applyBorder="1" applyAlignment="1">
      <alignment horizontal="center"/>
    </xf>
    <xf numFmtId="167" fontId="30" fillId="0" borderId="5" xfId="25" applyNumberFormat="1" applyFont="1" applyFill="1" applyBorder="1" applyAlignment="1">
      <alignment horizontal="center"/>
    </xf>
    <xf numFmtId="167" fontId="26" fillId="9" borderId="5" xfId="25" applyNumberFormat="1" applyFont="1" applyFill="1" applyBorder="1" applyAlignment="1">
      <alignment horizontal="center"/>
    </xf>
    <xf numFmtId="0" fontId="24" fillId="3" borderId="5" xfId="0" applyFont="1" applyFill="1" applyBorder="1">
      <alignment vertical="center"/>
    </xf>
    <xf numFmtId="0" fontId="25" fillId="6" borderId="5" xfId="0" applyNumberFormat="1" applyFont="1" applyFill="1" applyBorder="1" applyAlignment="1">
      <alignment horizontal="center" wrapText="1"/>
    </xf>
    <xf numFmtId="169" fontId="28" fillId="9" borderId="5" xfId="0" applyNumberFormat="1" applyFont="1" applyFill="1" applyBorder="1" applyAlignment="1">
      <alignment horizontal="center" wrapText="1"/>
    </xf>
    <xf numFmtId="169" fontId="28" fillId="9" borderId="6" xfId="0" applyNumberFormat="1" applyFont="1" applyFill="1" applyBorder="1" applyAlignment="1">
      <alignment horizontal="center" wrapText="1"/>
    </xf>
    <xf numFmtId="167" fontId="30" fillId="9" borderId="5" xfId="25" applyNumberFormat="1" applyFont="1" applyFill="1" applyBorder="1" applyAlignment="1">
      <alignment horizontal="center"/>
    </xf>
    <xf numFmtId="168" fontId="30" fillId="9" borderId="5" xfId="25" applyNumberFormat="1" applyFont="1" applyFill="1" applyBorder="1" applyAlignment="1">
      <alignment horizontal="center"/>
    </xf>
    <xf numFmtId="168" fontId="26" fillId="0" borderId="5" xfId="0" applyNumberFormat="1" applyFont="1" applyFill="1" applyBorder="1" applyAlignment="1"/>
    <xf numFmtId="0" fontId="24" fillId="9" borderId="5" xfId="0" applyFont="1" applyFill="1" applyBorder="1" applyAlignment="1">
      <alignment horizontal="left" vertical="center" wrapText="1"/>
    </xf>
    <xf numFmtId="0" fontId="24" fillId="0" borderId="5" xfId="0" applyFont="1" applyFill="1" applyBorder="1" applyAlignment="1">
      <alignment horizontal="left"/>
    </xf>
    <xf numFmtId="0" fontId="28" fillId="8" borderId="7" xfId="0" applyFont="1" applyFill="1" applyBorder="1" applyAlignment="1">
      <alignment horizontal="center" wrapText="1"/>
    </xf>
    <xf numFmtId="0" fontId="24" fillId="0" borderId="5" xfId="0" applyFont="1" applyBorder="1" applyAlignment="1">
      <alignment horizontal="center"/>
    </xf>
    <xf numFmtId="0" fontId="24" fillId="0" borderId="0" xfId="0" applyFont="1" applyFill="1">
      <alignment vertical="center"/>
    </xf>
    <xf numFmtId="0" fontId="29" fillId="11" borderId="5" xfId="0" applyFont="1" applyFill="1" applyBorder="1" applyAlignment="1">
      <alignment horizontal="left" vertical="center" wrapText="1"/>
    </xf>
    <xf numFmtId="166" fontId="24" fillId="0" borderId="0" xfId="0" applyNumberFormat="1" applyFont="1" applyFill="1" applyBorder="1" applyAlignment="1">
      <alignment horizontal="left"/>
    </xf>
    <xf numFmtId="166" fontId="24" fillId="0" borderId="0" xfId="0" applyNumberFormat="1" applyFont="1" applyFill="1" applyAlignment="1">
      <alignment horizontal="left"/>
    </xf>
    <xf numFmtId="0" fontId="31" fillId="9" borderId="5" xfId="0" applyFont="1" applyFill="1" applyBorder="1" applyAlignment="1">
      <alignment horizontal="center"/>
    </xf>
    <xf numFmtId="0" fontId="31" fillId="9" borderId="5" xfId="0" applyNumberFormat="1" applyFont="1" applyFill="1" applyBorder="1" applyAlignment="1">
      <alignment horizontal="center"/>
    </xf>
    <xf numFmtId="0" fontId="24" fillId="11" borderId="5" xfId="0" applyFont="1" applyFill="1" applyBorder="1" applyAlignment="1">
      <alignment horizontal="left" vertical="center" wrapText="1"/>
    </xf>
    <xf numFmtId="0" fontId="24" fillId="0" borderId="5" xfId="0" applyFont="1" applyFill="1" applyBorder="1" applyAlignment="1"/>
    <xf numFmtId="0" fontId="32" fillId="0" borderId="5" xfId="0" applyFont="1" applyFill="1" applyBorder="1" applyAlignment="1"/>
    <xf numFmtId="0" fontId="24" fillId="0" borderId="5" xfId="0" applyFont="1" applyFill="1" applyBorder="1" applyAlignment="1">
      <alignment horizontal="left" vertical="center" wrapText="1"/>
    </xf>
    <xf numFmtId="0" fontId="29" fillId="7" borderId="5" xfId="0" applyFont="1" applyFill="1" applyBorder="1" applyAlignment="1">
      <alignment horizontal="left" vertical="center" wrapText="1"/>
    </xf>
    <xf numFmtId="3" fontId="32" fillId="0" borderId="5" xfId="0" applyNumberFormat="1" applyFont="1" applyFill="1" applyBorder="1" applyAlignment="1"/>
    <xf numFmtId="167" fontId="26" fillId="0" borderId="5" xfId="0" applyNumberFormat="1" applyFont="1" applyFill="1" applyBorder="1" applyAlignment="1"/>
    <xf numFmtId="167" fontId="26" fillId="0" borderId="5" xfId="25" applyNumberFormat="1" applyFont="1" applyFill="1" applyBorder="1" applyAlignment="1"/>
    <xf numFmtId="0" fontId="24" fillId="0" borderId="5" xfId="0" applyFont="1" applyBorder="1" applyAlignment="1">
      <alignment horizontal="left"/>
    </xf>
    <xf numFmtId="0" fontId="29" fillId="9" borderId="5" xfId="0" applyFont="1" applyFill="1" applyBorder="1" applyAlignment="1">
      <alignment horizontal="left" vertical="center" wrapText="1"/>
    </xf>
    <xf numFmtId="0" fontId="32" fillId="9" borderId="5" xfId="0" applyFont="1" applyFill="1" applyBorder="1" applyAlignment="1"/>
    <xf numFmtId="3" fontId="26" fillId="0" borderId="5" xfId="0" applyNumberFormat="1" applyFont="1" applyFill="1" applyBorder="1" applyAlignment="1"/>
    <xf numFmtId="0" fontId="27" fillId="11" borderId="5" xfId="0" applyFont="1" applyFill="1" applyBorder="1" applyAlignment="1">
      <alignment horizontal="left" vertical="center"/>
    </xf>
    <xf numFmtId="0" fontId="29" fillId="4" borderId="5" xfId="0" applyFont="1" applyFill="1" applyBorder="1" applyAlignment="1">
      <alignment horizontal="left" vertical="center"/>
    </xf>
    <xf numFmtId="0" fontId="27" fillId="9" borderId="5" xfId="0" applyFont="1" applyFill="1" applyBorder="1" applyAlignment="1">
      <alignment horizontal="left" vertical="center"/>
    </xf>
    <xf numFmtId="0" fontId="27" fillId="7" borderId="5" xfId="0" applyFont="1" applyFill="1" applyBorder="1" applyAlignment="1">
      <alignment horizontal="left" vertical="center"/>
    </xf>
    <xf numFmtId="0" fontId="24" fillId="0" borderId="5" xfId="0" applyNumberFormat="1" applyFont="1" applyBorder="1" applyAlignment="1">
      <alignment horizontal="center"/>
    </xf>
    <xf numFmtId="169" fontId="25" fillId="10" borderId="5" xfId="0" applyNumberFormat="1" applyFont="1" applyFill="1" applyBorder="1" applyAlignment="1">
      <alignment horizontal="center" wrapText="1"/>
    </xf>
    <xf numFmtId="43" fontId="26" fillId="0" borderId="5" xfId="25" applyNumberFormat="1" applyFont="1" applyFill="1" applyBorder="1" applyAlignment="1">
      <alignment horizontal="center"/>
    </xf>
    <xf numFmtId="171" fontId="26" fillId="0" borderId="5" xfId="0" applyNumberFormat="1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left" vertical="center" wrapText="1"/>
    </xf>
    <xf numFmtId="1" fontId="0" fillId="4" borderId="5" xfId="0" applyNumberFormat="1" applyFill="1" applyBorder="1" applyAlignment="1">
      <alignment horizontal="center" vertical="center"/>
    </xf>
    <xf numFmtId="1" fontId="0" fillId="4" borderId="5" xfId="0" applyNumberFormat="1" applyFill="1" applyBorder="1">
      <alignment vertical="center"/>
    </xf>
    <xf numFmtId="169" fontId="26" fillId="4" borderId="5" xfId="0" applyNumberFormat="1" applyFont="1" applyFill="1" applyBorder="1">
      <alignment vertical="center"/>
    </xf>
    <xf numFmtId="1" fontId="10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3" fillId="8" borderId="5" xfId="0" applyFont="1" applyFill="1" applyBorder="1" applyAlignment="1">
      <alignment horizontal="center" wrapText="1"/>
    </xf>
    <xf numFmtId="169" fontId="33" fillId="8" borderId="6" xfId="0" applyNumberFormat="1" applyFont="1" applyFill="1" applyBorder="1" applyAlignment="1">
      <alignment horizontal="center" wrapText="1"/>
    </xf>
  </cellXfs>
  <cellStyles count="27">
    <cellStyle name="Comma" xfId="2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6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ww.wolframalpha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P120"/>
  <sheetViews>
    <sheetView tabSelected="1" topLeftCell="D1" zoomScale="76" zoomScaleNormal="76" zoomScalePageLayoutView="90" workbookViewId="0">
      <pane ySplit="2770" topLeftCell="A10" activePane="bottomLeft"/>
      <selection activeCell="F4" sqref="F4"/>
      <selection pane="bottomLeft" activeCell="B15" sqref="B15"/>
    </sheetView>
  </sheetViews>
  <sheetFormatPr defaultColWidth="8.81640625" defaultRowHeight="14.5"/>
  <cols>
    <col min="1" max="1" width="8.81640625" style="8"/>
    <col min="2" max="2" width="16.81640625" style="8" customWidth="1"/>
    <col min="3" max="3" width="11.1796875" style="8" customWidth="1"/>
    <col min="4" max="4" width="17.54296875" style="8" customWidth="1"/>
    <col min="5" max="5" width="8.6328125" style="7" customWidth="1"/>
    <col min="6" max="6" width="12.1796875" style="7" customWidth="1"/>
    <col min="7" max="10" width="10.453125" style="45" customWidth="1"/>
    <col min="11" max="11" width="12.1796875" style="45" customWidth="1"/>
    <col min="12" max="12" width="10.453125" style="45" customWidth="1"/>
    <col min="13" max="13" width="9.6328125" style="7" customWidth="1"/>
    <col min="14" max="15" width="7.7265625" style="7" customWidth="1"/>
    <col min="16" max="16" width="10" style="7" customWidth="1"/>
    <col min="17" max="17" width="7.54296875" style="8" customWidth="1"/>
    <col min="18" max="18" width="6.90625" style="8" customWidth="1"/>
    <col min="19" max="19" width="8.08984375" style="8" customWidth="1"/>
    <col min="20" max="20" width="7.90625" style="8" customWidth="1"/>
    <col min="21" max="21" width="8.08984375" style="8" customWidth="1"/>
    <col min="22" max="23" width="8.1796875" style="8" customWidth="1"/>
    <col min="24" max="24" width="11.453125" style="8" customWidth="1"/>
    <col min="25" max="26" width="12.54296875" style="8" customWidth="1"/>
    <col min="27" max="27" width="12.26953125" style="7" customWidth="1"/>
    <col min="28" max="28" width="12.54296875" style="8" customWidth="1"/>
    <col min="29" max="29" width="14.453125" style="8" customWidth="1"/>
    <col min="30" max="30" width="12" style="8" customWidth="1"/>
    <col min="31" max="31" width="12.1796875" style="8" customWidth="1"/>
    <col min="32" max="33" width="12" style="8" customWidth="1"/>
    <col min="34" max="34" width="13.90625" style="8" customWidth="1"/>
    <col min="35" max="35" width="12.08984375" style="8" customWidth="1"/>
    <col min="36" max="36" width="11.08984375" style="8" customWidth="1"/>
    <col min="37" max="37" width="10.36328125" style="8" customWidth="1"/>
    <col min="38" max="16384" width="8.81640625" style="8"/>
  </cols>
  <sheetData>
    <row r="2" spans="1:37">
      <c r="H2" s="45" t="s">
        <v>497</v>
      </c>
    </row>
    <row r="4" spans="1:37">
      <c r="X4" s="195" t="s">
        <v>518</v>
      </c>
      <c r="Y4" s="195" t="s">
        <v>518</v>
      </c>
    </row>
    <row r="5" spans="1:37">
      <c r="C5" s="47" t="s">
        <v>467</v>
      </c>
      <c r="Q5" s="57"/>
      <c r="X5" s="196"/>
      <c r="Y5" s="196"/>
    </row>
    <row r="6" spans="1:37" ht="14.4" customHeight="1">
      <c r="C6" s="52"/>
      <c r="D6" s="52"/>
      <c r="E6" s="51"/>
      <c r="F6" s="51"/>
      <c r="G6" s="206" t="s">
        <v>505</v>
      </c>
      <c r="H6" s="206" t="s">
        <v>489</v>
      </c>
      <c r="I6" s="206" t="s">
        <v>490</v>
      </c>
      <c r="J6" s="64"/>
      <c r="K6" s="64"/>
      <c r="L6" s="206" t="s">
        <v>491</v>
      </c>
      <c r="P6" s="46"/>
      <c r="Q6" s="47"/>
      <c r="R6" s="47"/>
      <c r="S6" s="47"/>
      <c r="T6" s="47"/>
      <c r="U6" s="47"/>
      <c r="V6" s="47"/>
      <c r="W6" s="47"/>
      <c r="X6" s="197" t="s">
        <v>515</v>
      </c>
      <c r="Y6" s="197" t="s">
        <v>516</v>
      </c>
      <c r="Z6" s="197" t="s">
        <v>548</v>
      </c>
      <c r="AA6" s="197" t="s">
        <v>547</v>
      </c>
      <c r="AB6" s="197" t="s">
        <v>546</v>
      </c>
      <c r="AC6" s="198" t="s">
        <v>543</v>
      </c>
      <c r="AD6" s="197" t="s">
        <v>545</v>
      </c>
      <c r="AE6" s="197" t="s">
        <v>544</v>
      </c>
      <c r="AF6" s="197" t="s">
        <v>549</v>
      </c>
      <c r="AG6" s="198" t="s">
        <v>550</v>
      </c>
      <c r="AH6" s="197" t="s">
        <v>557</v>
      </c>
      <c r="AI6" s="197" t="s">
        <v>521</v>
      </c>
      <c r="AJ6" s="197" t="s">
        <v>522</v>
      </c>
      <c r="AK6" s="197" t="s">
        <v>558</v>
      </c>
    </row>
    <row r="7" spans="1:37" ht="14.15" customHeight="1">
      <c r="A7" s="47"/>
      <c r="B7" s="201" t="s">
        <v>0</v>
      </c>
      <c r="C7" s="205" t="s">
        <v>1</v>
      </c>
      <c r="D7" s="205"/>
      <c r="E7" s="205"/>
      <c r="F7" s="205"/>
      <c r="G7" s="206"/>
      <c r="H7" s="206"/>
      <c r="I7" s="206"/>
      <c r="J7" s="64"/>
      <c r="K7" s="64"/>
      <c r="L7" s="206"/>
      <c r="M7" s="201" t="s">
        <v>5</v>
      </c>
      <c r="N7" s="203" t="s">
        <v>6</v>
      </c>
      <c r="O7" s="49"/>
      <c r="P7" s="197" t="s">
        <v>19</v>
      </c>
      <c r="Q7" s="47"/>
      <c r="R7" s="47" t="s">
        <v>474</v>
      </c>
      <c r="S7" s="47"/>
      <c r="T7" s="47" t="s">
        <v>474</v>
      </c>
      <c r="U7" s="47"/>
      <c r="V7" s="47"/>
      <c r="W7" s="47"/>
      <c r="X7" s="197"/>
      <c r="Y7" s="197"/>
      <c r="Z7" s="197"/>
      <c r="AA7" s="197"/>
      <c r="AB7" s="197"/>
      <c r="AC7" s="199"/>
      <c r="AD7" s="197"/>
      <c r="AE7" s="197"/>
      <c r="AF7" s="197"/>
      <c r="AG7" s="199"/>
      <c r="AH7" s="197"/>
      <c r="AI7" s="197"/>
      <c r="AJ7" s="197"/>
      <c r="AK7" s="197"/>
    </row>
    <row r="8" spans="1:37" ht="110.5" customHeight="1">
      <c r="A8" s="48" t="s">
        <v>475</v>
      </c>
      <c r="B8" s="202"/>
      <c r="C8" s="205" t="s">
        <v>2</v>
      </c>
      <c r="D8" s="205"/>
      <c r="E8" s="53" t="s">
        <v>3</v>
      </c>
      <c r="F8" s="53" t="s">
        <v>4</v>
      </c>
      <c r="G8" s="206"/>
      <c r="H8" s="206"/>
      <c r="I8" s="206"/>
      <c r="J8" s="64" t="s">
        <v>519</v>
      </c>
      <c r="K8" s="64" t="s">
        <v>520</v>
      </c>
      <c r="L8" s="206"/>
      <c r="M8" s="202"/>
      <c r="N8" s="204"/>
      <c r="O8" s="50" t="s">
        <v>473</v>
      </c>
      <c r="P8" s="197"/>
      <c r="Q8" s="54" t="s">
        <v>468</v>
      </c>
      <c r="R8" s="55" t="s">
        <v>507</v>
      </c>
      <c r="S8" s="55" t="s">
        <v>510</v>
      </c>
      <c r="T8" s="55" t="s">
        <v>511</v>
      </c>
      <c r="U8" s="55" t="s">
        <v>508</v>
      </c>
      <c r="V8" s="56" t="s">
        <v>509</v>
      </c>
      <c r="W8" s="56" t="s">
        <v>524</v>
      </c>
      <c r="X8" s="197"/>
      <c r="Y8" s="197"/>
      <c r="Z8" s="197"/>
      <c r="AA8" s="197"/>
      <c r="AB8" s="197"/>
      <c r="AC8" s="200"/>
      <c r="AD8" s="197"/>
      <c r="AE8" s="197"/>
      <c r="AF8" s="197"/>
      <c r="AG8" s="200"/>
      <c r="AH8" s="197"/>
      <c r="AI8" s="197"/>
      <c r="AJ8" s="197"/>
      <c r="AK8" s="197"/>
    </row>
    <row r="9" spans="1:37" ht="14">
      <c r="A9" s="108" t="s">
        <v>476</v>
      </c>
      <c r="B9" s="109" t="s">
        <v>20</v>
      </c>
      <c r="C9" s="110" t="s">
        <v>27</v>
      </c>
      <c r="D9" s="111" t="s">
        <v>31</v>
      </c>
      <c r="E9" s="112">
        <v>37.568931999999997</v>
      </c>
      <c r="F9" s="113">
        <v>140.77801400000001</v>
      </c>
      <c r="G9" s="114">
        <v>7</v>
      </c>
      <c r="H9" s="115" t="s">
        <v>493</v>
      </c>
      <c r="I9" s="115">
        <v>9.5</v>
      </c>
      <c r="J9" s="115">
        <v>9.5</v>
      </c>
      <c r="K9" s="115">
        <v>9.5</v>
      </c>
      <c r="L9" s="116">
        <v>42309</v>
      </c>
      <c r="M9" s="117" t="s">
        <v>25</v>
      </c>
      <c r="N9" s="118" t="s">
        <v>32</v>
      </c>
      <c r="O9" s="119">
        <f>36*7*24</f>
        <v>6048</v>
      </c>
      <c r="P9" s="117">
        <v>30</v>
      </c>
      <c r="Q9" s="120" t="s">
        <v>469</v>
      </c>
      <c r="R9" s="120" t="s">
        <v>48</v>
      </c>
      <c r="S9" s="121">
        <v>883.62</v>
      </c>
      <c r="T9" s="121">
        <v>4465.8999999999996</v>
      </c>
      <c r="U9" s="121">
        <f>S9*0.25</f>
        <v>220.905</v>
      </c>
      <c r="V9" s="121">
        <f>T9*0.25</f>
        <v>1116.4749999999999</v>
      </c>
      <c r="W9" s="122">
        <f>U9/V9</f>
        <v>0.19785933406480219</v>
      </c>
      <c r="X9" s="123">
        <v>4.4900000000000002E-4</v>
      </c>
      <c r="Y9" s="124">
        <v>2.7500000000000002E-4</v>
      </c>
      <c r="Z9" s="125">
        <f>X9*U9</f>
        <v>9.9186345000000009E-2</v>
      </c>
      <c r="AA9" s="126">
        <f>Y9*V9</f>
        <v>0.307030625</v>
      </c>
      <c r="AB9" s="125">
        <f>Z9*O9/1000</f>
        <v>0.59987901456000003</v>
      </c>
      <c r="AC9" s="125">
        <v>0.67273865999999993</v>
      </c>
      <c r="AD9" s="125">
        <f>AA9*O9/1000</f>
        <v>1.85692122</v>
      </c>
      <c r="AE9" s="127">
        <f>AC9+AD9</f>
        <v>2.5296598800000001</v>
      </c>
      <c r="AF9" s="128">
        <f>K9*O9/1000</f>
        <v>57.456000000000003</v>
      </c>
      <c r="AG9" s="128">
        <f>(AE9/AF9)*100</f>
        <v>4.4027775689223061</v>
      </c>
      <c r="AH9" s="128">
        <f>J9*O9/1000</f>
        <v>57.456000000000003</v>
      </c>
      <c r="AI9" s="129">
        <f>AF9+AE9</f>
        <v>59.98565988</v>
      </c>
      <c r="AJ9" s="129">
        <f>AH9+AE9</f>
        <v>59.98565988</v>
      </c>
      <c r="AK9" s="129">
        <f>G9+Z9+AA9</f>
        <v>7.40621697</v>
      </c>
    </row>
    <row r="10" spans="1:37" ht="14">
      <c r="A10" s="108" t="s">
        <v>476</v>
      </c>
      <c r="B10" s="109" t="s">
        <v>21</v>
      </c>
      <c r="C10" s="110" t="s">
        <v>27</v>
      </c>
      <c r="D10" s="111" t="s">
        <v>30</v>
      </c>
      <c r="E10" s="130">
        <v>37.479072000000002</v>
      </c>
      <c r="F10" s="131">
        <v>140.97939199999999</v>
      </c>
      <c r="G10" s="132">
        <v>3</v>
      </c>
      <c r="H10" s="115" t="s">
        <v>493</v>
      </c>
      <c r="I10" s="115" t="s">
        <v>495</v>
      </c>
      <c r="J10" s="115">
        <v>19</v>
      </c>
      <c r="K10" s="115">
        <v>14</v>
      </c>
      <c r="L10" s="116">
        <v>42309</v>
      </c>
      <c r="M10" s="117" t="s">
        <v>23</v>
      </c>
      <c r="N10" s="119">
        <v>26</v>
      </c>
      <c r="O10" s="119">
        <f>N10*7*24</f>
        <v>4368</v>
      </c>
      <c r="P10" s="117" t="s">
        <v>523</v>
      </c>
      <c r="Q10" s="120" t="s">
        <v>469</v>
      </c>
      <c r="R10" s="120" t="s">
        <v>48</v>
      </c>
      <c r="S10" s="121">
        <v>1524.2</v>
      </c>
      <c r="T10" s="121">
        <v>8267.7000000000007</v>
      </c>
      <c r="U10" s="121">
        <f t="shared" ref="U10:U22" si="0">S10*0.25</f>
        <v>381.05</v>
      </c>
      <c r="V10" s="121">
        <f t="shared" ref="V10:V22" si="1">T10*0.25</f>
        <v>2066.9250000000002</v>
      </c>
      <c r="W10" s="122">
        <f t="shared" ref="W10:W14" si="2">U10/V10</f>
        <v>0.18435598775959455</v>
      </c>
      <c r="X10" s="123">
        <v>4.4900000000000002E-4</v>
      </c>
      <c r="Y10" s="124">
        <v>2.7500000000000002E-4</v>
      </c>
      <c r="Z10" s="125">
        <f t="shared" ref="Z10:Z49" si="3">X10*U10</f>
        <v>0.17109145000000001</v>
      </c>
      <c r="AA10" s="126">
        <f t="shared" ref="AA10:AA49" si="4">Y10*V10</f>
        <v>0.56840437500000007</v>
      </c>
      <c r="AB10" s="125">
        <f t="shared" ref="AB10:AB49" si="5">Z10*O10/1000</f>
        <v>0.74732745359999997</v>
      </c>
      <c r="AC10" s="125">
        <v>0.8126118</v>
      </c>
      <c r="AD10" s="125">
        <f t="shared" ref="AD10:AD49" si="6">AA10*O10/1000</f>
        <v>2.4827903100000004</v>
      </c>
      <c r="AE10" s="127">
        <f>AC10+AD10</f>
        <v>3.2954021100000004</v>
      </c>
      <c r="AF10" s="128">
        <f t="shared" ref="AF10:AF49" si="7">K10*O10/1000</f>
        <v>61.152000000000001</v>
      </c>
      <c r="AG10" s="128">
        <f t="shared" ref="AG10:AG49" si="8">(AE10/AF10)*100</f>
        <v>5.388870535714287</v>
      </c>
      <c r="AH10" s="128">
        <f t="shared" ref="AH10:AH49" si="9">J10*O10/1000</f>
        <v>82.992000000000004</v>
      </c>
      <c r="AI10" s="129">
        <f t="shared" ref="AI10:AI49" si="10">AF10+AE10</f>
        <v>64.447402109999999</v>
      </c>
      <c r="AJ10" s="129">
        <f t="shared" ref="AJ10:AJ49" si="11">AH10+AE10</f>
        <v>86.287402110000002</v>
      </c>
      <c r="AK10" s="129">
        <f t="shared" ref="AK10:AK49" si="12">G10+Z10+AA10</f>
        <v>3.7394958250000001</v>
      </c>
    </row>
    <row r="11" spans="1:37" ht="14">
      <c r="A11" s="108" t="s">
        <v>476</v>
      </c>
      <c r="B11" s="109" t="s">
        <v>29</v>
      </c>
      <c r="C11" s="110" t="s">
        <v>27</v>
      </c>
      <c r="D11" s="111" t="s">
        <v>30</v>
      </c>
      <c r="E11" s="130">
        <v>37.479072000000002</v>
      </c>
      <c r="F11" s="131">
        <v>140.97939199999999</v>
      </c>
      <c r="G11" s="132">
        <v>3</v>
      </c>
      <c r="H11" s="115" t="s">
        <v>493</v>
      </c>
      <c r="I11" s="115" t="s">
        <v>495</v>
      </c>
      <c r="J11" s="115">
        <v>19</v>
      </c>
      <c r="K11" s="115">
        <v>14</v>
      </c>
      <c r="L11" s="116">
        <v>42309</v>
      </c>
      <c r="M11" s="117" t="s">
        <v>25</v>
      </c>
      <c r="N11" s="118" t="s">
        <v>33</v>
      </c>
      <c r="O11" s="119">
        <f>29*7*24</f>
        <v>4872</v>
      </c>
      <c r="P11" s="117" t="s">
        <v>523</v>
      </c>
      <c r="Q11" s="120" t="s">
        <v>469</v>
      </c>
      <c r="R11" s="120" t="s">
        <v>48</v>
      </c>
      <c r="S11" s="121">
        <v>1346</v>
      </c>
      <c r="T11" s="121">
        <v>7195.9</v>
      </c>
      <c r="U11" s="121">
        <f t="shared" si="0"/>
        <v>336.5</v>
      </c>
      <c r="V11" s="121">
        <f t="shared" si="1"/>
        <v>1798.9749999999999</v>
      </c>
      <c r="W11" s="122">
        <f t="shared" si="2"/>
        <v>0.18705095957420198</v>
      </c>
      <c r="X11" s="123">
        <v>4.4900000000000002E-4</v>
      </c>
      <c r="Y11" s="124">
        <v>2.7500000000000002E-4</v>
      </c>
      <c r="Z11" s="125">
        <f t="shared" si="3"/>
        <v>0.15108850000000001</v>
      </c>
      <c r="AA11" s="126">
        <f t="shared" si="4"/>
        <v>0.49471812500000001</v>
      </c>
      <c r="AB11" s="125">
        <f t="shared" si="5"/>
        <v>0.73610317200000008</v>
      </c>
      <c r="AC11" s="125">
        <v>0.80855279999999996</v>
      </c>
      <c r="AD11" s="125">
        <f t="shared" si="6"/>
        <v>2.4102667050000002</v>
      </c>
      <c r="AE11" s="127">
        <f>AC11+AD11</f>
        <v>3.2188195049999999</v>
      </c>
      <c r="AF11" s="128">
        <f t="shared" si="7"/>
        <v>68.207999999999998</v>
      </c>
      <c r="AG11" s="128">
        <f t="shared" si="8"/>
        <v>4.7191231307178043</v>
      </c>
      <c r="AH11" s="128">
        <f t="shared" si="9"/>
        <v>92.567999999999998</v>
      </c>
      <c r="AI11" s="129">
        <f t="shared" si="10"/>
        <v>71.426819504999997</v>
      </c>
      <c r="AJ11" s="129">
        <f t="shared" si="11"/>
        <v>95.786819504999997</v>
      </c>
      <c r="AK11" s="129">
        <f t="shared" si="12"/>
        <v>3.6458066250000001</v>
      </c>
    </row>
    <row r="12" spans="1:37" ht="14">
      <c r="A12" s="108" t="s">
        <v>476</v>
      </c>
      <c r="B12" s="133" t="s">
        <v>79</v>
      </c>
      <c r="C12" s="134" t="s">
        <v>78</v>
      </c>
      <c r="D12" s="111" t="s">
        <v>135</v>
      </c>
      <c r="E12" s="130">
        <v>37.761529000000003</v>
      </c>
      <c r="F12" s="131">
        <v>140.50100900000001</v>
      </c>
      <c r="G12" s="135">
        <v>0.7</v>
      </c>
      <c r="H12" s="136" t="s">
        <v>494</v>
      </c>
      <c r="I12" s="136" t="s">
        <v>494</v>
      </c>
      <c r="J12" s="115">
        <v>1</v>
      </c>
      <c r="K12" s="115">
        <v>0.7</v>
      </c>
      <c r="L12" s="116">
        <v>42309</v>
      </c>
      <c r="M12" s="137" t="s">
        <v>76</v>
      </c>
      <c r="N12" s="118" t="s">
        <v>80</v>
      </c>
      <c r="O12" s="119">
        <f>7.5*7*24</f>
        <v>1260</v>
      </c>
      <c r="P12" s="137">
        <v>6.3</v>
      </c>
      <c r="Q12" s="120" t="s">
        <v>469</v>
      </c>
      <c r="R12" s="120" t="s">
        <v>48</v>
      </c>
      <c r="S12" s="121">
        <v>84.744</v>
      </c>
      <c r="T12" s="121">
        <v>416.47</v>
      </c>
      <c r="U12" s="121">
        <f t="shared" si="0"/>
        <v>21.186</v>
      </c>
      <c r="V12" s="121">
        <f t="shared" si="1"/>
        <v>104.11750000000001</v>
      </c>
      <c r="W12" s="122">
        <f t="shared" si="2"/>
        <v>0.20348164333565441</v>
      </c>
      <c r="X12" s="123">
        <v>4.4900000000000002E-4</v>
      </c>
      <c r="Y12" s="124">
        <v>2.7500000000000002E-4</v>
      </c>
      <c r="Z12" s="125">
        <f t="shared" si="3"/>
        <v>9.5125139999999997E-3</v>
      </c>
      <c r="AA12" s="126">
        <f t="shared" si="4"/>
        <v>2.8632312500000003E-2</v>
      </c>
      <c r="AB12" s="125">
        <f t="shared" si="5"/>
        <v>1.1985767639999999E-2</v>
      </c>
      <c r="AC12" s="125">
        <v>1.2258179999999999E-2</v>
      </c>
      <c r="AD12" s="125">
        <f t="shared" si="6"/>
        <v>3.6076713750000003E-2</v>
      </c>
      <c r="AE12" s="127">
        <f t="shared" ref="AE12:AE49" si="13">AC12+AD12</f>
        <v>4.8334893750000003E-2</v>
      </c>
      <c r="AF12" s="128">
        <f t="shared" si="7"/>
        <v>0.88200000000000001</v>
      </c>
      <c r="AG12" s="128">
        <f t="shared" si="8"/>
        <v>5.4801466836734694</v>
      </c>
      <c r="AH12" s="128">
        <f t="shared" si="9"/>
        <v>1.26</v>
      </c>
      <c r="AI12" s="129">
        <f t="shared" si="10"/>
        <v>0.93033489375</v>
      </c>
      <c r="AJ12" s="129">
        <f t="shared" si="11"/>
        <v>1.3083348937500001</v>
      </c>
      <c r="AK12" s="129">
        <f t="shared" si="12"/>
        <v>0.73814482649999991</v>
      </c>
    </row>
    <row r="13" spans="1:37" ht="14">
      <c r="A13" s="108" t="s">
        <v>476</v>
      </c>
      <c r="B13" s="109" t="s">
        <v>81</v>
      </c>
      <c r="C13" s="111" t="s">
        <v>75</v>
      </c>
      <c r="D13" s="111" t="s">
        <v>132</v>
      </c>
      <c r="E13" s="130">
        <v>37.505422000000003</v>
      </c>
      <c r="F13" s="131">
        <v>140.92502200000001</v>
      </c>
      <c r="G13" s="132">
        <v>3</v>
      </c>
      <c r="H13" s="115" t="s">
        <v>493</v>
      </c>
      <c r="I13" s="115" t="s">
        <v>495</v>
      </c>
      <c r="J13" s="115">
        <v>19</v>
      </c>
      <c r="K13" s="115">
        <v>14</v>
      </c>
      <c r="L13" s="116">
        <v>42309</v>
      </c>
      <c r="M13" s="117" t="s">
        <v>76</v>
      </c>
      <c r="N13" s="118" t="s">
        <v>80</v>
      </c>
      <c r="O13" s="119">
        <f>7.5*7*24</f>
        <v>1260</v>
      </c>
      <c r="P13" s="117">
        <v>5.3</v>
      </c>
      <c r="Q13" s="120" t="s">
        <v>469</v>
      </c>
      <c r="R13" s="120" t="s">
        <v>48</v>
      </c>
      <c r="S13" s="121">
        <v>5596.8</v>
      </c>
      <c r="T13" s="121">
        <v>29576</v>
      </c>
      <c r="U13" s="121">
        <f t="shared" si="0"/>
        <v>1399.2</v>
      </c>
      <c r="V13" s="121">
        <f t="shared" si="1"/>
        <v>7394</v>
      </c>
      <c r="W13" s="122">
        <f t="shared" si="2"/>
        <v>0.18923451447119286</v>
      </c>
      <c r="X13" s="123">
        <v>4.4900000000000002E-4</v>
      </c>
      <c r="Y13" s="124">
        <v>2.7500000000000002E-4</v>
      </c>
      <c r="Z13" s="125">
        <f t="shared" si="3"/>
        <v>0.62824080000000004</v>
      </c>
      <c r="AA13" s="126">
        <f t="shared" si="4"/>
        <v>2.03335</v>
      </c>
      <c r="AB13" s="125">
        <f t="shared" si="5"/>
        <v>0.79158340800000004</v>
      </c>
      <c r="AC13" s="125">
        <v>0.81017639999999991</v>
      </c>
      <c r="AD13" s="125">
        <f t="shared" si="6"/>
        <v>2.5620210000000001</v>
      </c>
      <c r="AE13" s="127">
        <f t="shared" si="13"/>
        <v>3.3721974000000001</v>
      </c>
      <c r="AF13" s="128">
        <f t="shared" si="7"/>
        <v>17.64</v>
      </c>
      <c r="AG13" s="128">
        <f t="shared" si="8"/>
        <v>19.116765306122449</v>
      </c>
      <c r="AH13" s="128">
        <f t="shared" si="9"/>
        <v>23.94</v>
      </c>
      <c r="AI13" s="129">
        <f t="shared" si="10"/>
        <v>21.012197400000002</v>
      </c>
      <c r="AJ13" s="129">
        <f t="shared" si="11"/>
        <v>27.312197400000002</v>
      </c>
      <c r="AK13" s="129">
        <f t="shared" si="12"/>
        <v>5.6615907999999999</v>
      </c>
    </row>
    <row r="14" spans="1:37" ht="14">
      <c r="A14" s="108" t="s">
        <v>476</v>
      </c>
      <c r="B14" s="133" t="s">
        <v>87</v>
      </c>
      <c r="C14" s="111" t="s">
        <v>95</v>
      </c>
      <c r="D14" s="111" t="s">
        <v>129</v>
      </c>
      <c r="E14" s="130">
        <v>37.519649999999999</v>
      </c>
      <c r="F14" s="131">
        <v>140.81676999999999</v>
      </c>
      <c r="G14" s="135">
        <v>0.8</v>
      </c>
      <c r="H14" s="138" t="s">
        <v>496</v>
      </c>
      <c r="I14" s="138" t="s">
        <v>492</v>
      </c>
      <c r="J14" s="139">
        <v>3.8</v>
      </c>
      <c r="K14" s="139">
        <v>2.8</v>
      </c>
      <c r="L14" s="116">
        <v>42309</v>
      </c>
      <c r="M14" s="117" t="s">
        <v>23</v>
      </c>
      <c r="N14" s="118" t="s">
        <v>145</v>
      </c>
      <c r="O14" s="119">
        <f>N14*7*24</f>
        <v>3528</v>
      </c>
      <c r="P14" s="117">
        <v>8</v>
      </c>
      <c r="Q14" s="140" t="s">
        <v>523</v>
      </c>
      <c r="R14" s="141"/>
      <c r="S14" s="121">
        <v>3829.4</v>
      </c>
      <c r="T14" s="121">
        <v>20142</v>
      </c>
      <c r="U14" s="121">
        <f t="shared" ref="U14" si="14">S14*0.25</f>
        <v>957.35</v>
      </c>
      <c r="V14" s="121">
        <f t="shared" ref="V14" si="15">T14*0.25</f>
        <v>5035.5</v>
      </c>
      <c r="W14" s="122">
        <f t="shared" si="2"/>
        <v>0.19012014695660809</v>
      </c>
      <c r="X14" s="123">
        <v>4.4900000000000002E-4</v>
      </c>
      <c r="Y14" s="124">
        <v>2.7500000000000002E-4</v>
      </c>
      <c r="Z14" s="125">
        <f t="shared" si="3"/>
        <v>0.42985015000000004</v>
      </c>
      <c r="AA14" s="126">
        <f t="shared" si="4"/>
        <v>1.3847625000000001</v>
      </c>
      <c r="AB14" s="125">
        <f t="shared" si="5"/>
        <v>1.5165113292000001</v>
      </c>
      <c r="AC14" s="125">
        <v>1.6203527999999998</v>
      </c>
      <c r="AD14" s="125">
        <f t="shared" si="6"/>
        <v>4.8854421000000006</v>
      </c>
      <c r="AE14" s="127">
        <f t="shared" si="13"/>
        <v>6.5057949000000006</v>
      </c>
      <c r="AF14" s="128">
        <f t="shared" si="7"/>
        <v>9.8783999999999992</v>
      </c>
      <c r="AG14" s="193">
        <f t="shared" si="8"/>
        <v>65.858791909621004</v>
      </c>
      <c r="AH14" s="128">
        <f t="shared" si="9"/>
        <v>13.4064</v>
      </c>
      <c r="AI14" s="129">
        <f t="shared" si="10"/>
        <v>16.384194900000001</v>
      </c>
      <c r="AJ14" s="129">
        <f t="shared" si="11"/>
        <v>19.912194899999999</v>
      </c>
      <c r="AK14" s="129">
        <f t="shared" si="12"/>
        <v>2.6146126500000002</v>
      </c>
    </row>
    <row r="15" spans="1:37" ht="14">
      <c r="A15" s="108" t="s">
        <v>476</v>
      </c>
      <c r="B15" s="109" t="s">
        <v>82</v>
      </c>
      <c r="C15" s="111" t="s">
        <v>86</v>
      </c>
      <c r="D15" s="111" t="s">
        <v>488</v>
      </c>
      <c r="E15" s="130">
        <v>37.415958000000003</v>
      </c>
      <c r="F15" s="131">
        <v>141.012303</v>
      </c>
      <c r="G15" s="132">
        <v>14</v>
      </c>
      <c r="H15" s="138">
        <v>19</v>
      </c>
      <c r="I15" s="138">
        <v>19</v>
      </c>
      <c r="J15" s="211">
        <v>40</v>
      </c>
      <c r="K15" s="210">
        <v>40</v>
      </c>
      <c r="L15" s="116">
        <v>41944</v>
      </c>
      <c r="M15" s="117" t="s">
        <v>77</v>
      </c>
      <c r="N15" s="117">
        <v>87</v>
      </c>
      <c r="O15" s="119">
        <f>N15*7*24</f>
        <v>14616</v>
      </c>
      <c r="P15" s="117">
        <v>38.700000000000003</v>
      </c>
      <c r="Q15" s="120" t="s">
        <v>469</v>
      </c>
      <c r="R15" s="120" t="s">
        <v>48</v>
      </c>
      <c r="S15" s="121">
        <v>3811.1</v>
      </c>
      <c r="T15" s="121">
        <v>19863</v>
      </c>
      <c r="U15" s="121">
        <f t="shared" si="0"/>
        <v>952.77499999999998</v>
      </c>
      <c r="V15" s="121">
        <f t="shared" si="1"/>
        <v>4965.75</v>
      </c>
      <c r="W15" s="122">
        <f t="shared" ref="W15:W23" si="16">U15/V15</f>
        <v>0.19186930473745153</v>
      </c>
      <c r="X15" s="123">
        <v>4.4900000000000002E-4</v>
      </c>
      <c r="Y15" s="124">
        <v>2.7500000000000002E-4</v>
      </c>
      <c r="Z15" s="125">
        <f t="shared" si="3"/>
        <v>0.42779597499999999</v>
      </c>
      <c r="AA15" s="126">
        <f t="shared" si="4"/>
        <v>1.3655812500000002</v>
      </c>
      <c r="AB15" s="125">
        <f t="shared" si="5"/>
        <v>6.2526659705999998</v>
      </c>
      <c r="AC15" s="125">
        <v>8.3290679999999995</v>
      </c>
      <c r="AD15" s="125">
        <f t="shared" si="6"/>
        <v>19.959335550000002</v>
      </c>
      <c r="AE15" s="127">
        <f t="shared" si="13"/>
        <v>28.288403550000002</v>
      </c>
      <c r="AF15" s="128">
        <f t="shared" si="7"/>
        <v>584.64</v>
      </c>
      <c r="AG15" s="128">
        <f t="shared" si="8"/>
        <v>4.8386021397783257</v>
      </c>
      <c r="AH15" s="128">
        <f t="shared" si="9"/>
        <v>584.64</v>
      </c>
      <c r="AI15" s="129">
        <f t="shared" si="10"/>
        <v>612.92840354999998</v>
      </c>
      <c r="AJ15" s="129">
        <f t="shared" si="11"/>
        <v>612.92840354999998</v>
      </c>
      <c r="AK15" s="129">
        <f t="shared" si="12"/>
        <v>15.793377225</v>
      </c>
    </row>
    <row r="16" spans="1:37" ht="14">
      <c r="A16" s="108" t="s">
        <v>476</v>
      </c>
      <c r="B16" s="109" t="s">
        <v>83</v>
      </c>
      <c r="C16" s="111" t="s">
        <v>86</v>
      </c>
      <c r="D16" s="111" t="s">
        <v>134</v>
      </c>
      <c r="E16" s="130">
        <v>37.393036000000002</v>
      </c>
      <c r="F16" s="131">
        <v>140.995272</v>
      </c>
      <c r="G16" s="132">
        <v>3</v>
      </c>
      <c r="H16" s="115" t="s">
        <v>493</v>
      </c>
      <c r="I16" s="115" t="s">
        <v>495</v>
      </c>
      <c r="J16" s="115">
        <v>19</v>
      </c>
      <c r="K16" s="115">
        <v>14</v>
      </c>
      <c r="L16" s="116">
        <v>41944</v>
      </c>
      <c r="M16" s="117" t="s">
        <v>76</v>
      </c>
      <c r="N16" s="117">
        <v>87</v>
      </c>
      <c r="O16" s="119">
        <f>N16*7*24</f>
        <v>14616</v>
      </c>
      <c r="P16" s="117">
        <v>69</v>
      </c>
      <c r="Q16" s="120" t="s">
        <v>469</v>
      </c>
      <c r="R16" s="120" t="s">
        <v>48</v>
      </c>
      <c r="S16" s="143">
        <v>647</v>
      </c>
      <c r="T16" s="143">
        <v>3410</v>
      </c>
      <c r="U16" s="121">
        <f t="shared" si="0"/>
        <v>161.75</v>
      </c>
      <c r="V16" s="121">
        <f t="shared" si="1"/>
        <v>852.5</v>
      </c>
      <c r="W16" s="122">
        <f t="shared" si="16"/>
        <v>0.18973607038123166</v>
      </c>
      <c r="X16" s="123">
        <v>4.4900000000000002E-4</v>
      </c>
      <c r="Y16" s="124">
        <v>2.7500000000000002E-4</v>
      </c>
      <c r="Z16" s="125">
        <f t="shared" si="3"/>
        <v>7.2625750000000003E-2</v>
      </c>
      <c r="AA16" s="126">
        <f t="shared" si="4"/>
        <v>0.23443750000000002</v>
      </c>
      <c r="AB16" s="125">
        <f t="shared" si="5"/>
        <v>1.0614979620000002</v>
      </c>
      <c r="AC16" s="125">
        <v>1.4157792</v>
      </c>
      <c r="AD16" s="125">
        <f t="shared" si="6"/>
        <v>3.4265384999999999</v>
      </c>
      <c r="AE16" s="127">
        <f t="shared" si="13"/>
        <v>4.8423176999999997</v>
      </c>
      <c r="AF16" s="128">
        <f t="shared" si="7"/>
        <v>204.624</v>
      </c>
      <c r="AG16" s="128">
        <f t="shared" si="8"/>
        <v>2.3664466045038703</v>
      </c>
      <c r="AH16" s="128">
        <f t="shared" si="9"/>
        <v>277.70400000000001</v>
      </c>
      <c r="AI16" s="129">
        <f t="shared" si="10"/>
        <v>209.46631769999999</v>
      </c>
      <c r="AJ16" s="129">
        <f t="shared" si="11"/>
        <v>282.54631770000003</v>
      </c>
      <c r="AK16" s="129">
        <f t="shared" si="12"/>
        <v>3.3070632499999997</v>
      </c>
    </row>
    <row r="17" spans="1:37" ht="14">
      <c r="A17" s="108" t="s">
        <v>476</v>
      </c>
      <c r="B17" s="109" t="s">
        <v>84</v>
      </c>
      <c r="C17" s="111" t="s">
        <v>86</v>
      </c>
      <c r="D17" s="111" t="s">
        <v>130</v>
      </c>
      <c r="E17" s="130">
        <v>37.400027999999999</v>
      </c>
      <c r="F17" s="131">
        <v>140.98924400000001</v>
      </c>
      <c r="G17" s="132">
        <v>3</v>
      </c>
      <c r="H17" s="138" t="s">
        <v>493</v>
      </c>
      <c r="I17" s="138" t="s">
        <v>493</v>
      </c>
      <c r="J17" s="139">
        <v>9.5</v>
      </c>
      <c r="K17" s="139">
        <v>6.6</v>
      </c>
      <c r="L17" s="116">
        <v>42309</v>
      </c>
      <c r="M17" s="117" t="s">
        <v>76</v>
      </c>
      <c r="N17" s="144" t="s">
        <v>80</v>
      </c>
      <c r="O17" s="119">
        <f>7.5*7*24</f>
        <v>1260</v>
      </c>
      <c r="P17" s="117">
        <v>9</v>
      </c>
      <c r="Q17" s="120" t="s">
        <v>469</v>
      </c>
      <c r="R17" s="120" t="s">
        <v>48</v>
      </c>
      <c r="S17" s="121">
        <v>4068.9</v>
      </c>
      <c r="T17" s="121">
        <v>21366</v>
      </c>
      <c r="U17" s="121">
        <f t="shared" si="0"/>
        <v>1017.225</v>
      </c>
      <c r="V17" s="121">
        <f t="shared" si="1"/>
        <v>5341.5</v>
      </c>
      <c r="W17" s="122">
        <f t="shared" si="16"/>
        <v>0.19043807919123842</v>
      </c>
      <c r="X17" s="123">
        <v>4.4900000000000002E-4</v>
      </c>
      <c r="Y17" s="124">
        <v>2.7500000000000002E-4</v>
      </c>
      <c r="Z17" s="125">
        <f t="shared" si="3"/>
        <v>0.45673402500000004</v>
      </c>
      <c r="AA17" s="126">
        <f t="shared" si="4"/>
        <v>1.4689125000000001</v>
      </c>
      <c r="AB17" s="125">
        <f t="shared" si="5"/>
        <v>0.57548487150000005</v>
      </c>
      <c r="AC17" s="125">
        <v>0.58936679999999997</v>
      </c>
      <c r="AD17" s="125">
        <f t="shared" si="6"/>
        <v>1.8508297500000002</v>
      </c>
      <c r="AE17" s="127">
        <f t="shared" si="13"/>
        <v>2.44019655</v>
      </c>
      <c r="AF17" s="128">
        <f t="shared" si="7"/>
        <v>8.3160000000000007</v>
      </c>
      <c r="AG17" s="128">
        <f t="shared" si="8"/>
        <v>29.343392857142852</v>
      </c>
      <c r="AH17" s="128">
        <f t="shared" si="9"/>
        <v>11.97</v>
      </c>
      <c r="AI17" s="129">
        <f t="shared" si="10"/>
        <v>10.75619655</v>
      </c>
      <c r="AJ17" s="129">
        <f t="shared" si="11"/>
        <v>14.41019655</v>
      </c>
      <c r="AK17" s="129">
        <f t="shared" si="12"/>
        <v>4.9256465250000003</v>
      </c>
    </row>
    <row r="18" spans="1:37" ht="14">
      <c r="A18" s="108" t="s">
        <v>476</v>
      </c>
      <c r="B18" s="109" t="s">
        <v>85</v>
      </c>
      <c r="C18" s="111" t="s">
        <v>86</v>
      </c>
      <c r="D18" s="111" t="s">
        <v>130</v>
      </c>
      <c r="E18" s="130">
        <v>37.400027999999999</v>
      </c>
      <c r="F18" s="131">
        <v>140.98924400000001</v>
      </c>
      <c r="G18" s="132">
        <v>3</v>
      </c>
      <c r="H18" s="138" t="s">
        <v>493</v>
      </c>
      <c r="I18" s="138" t="s">
        <v>493</v>
      </c>
      <c r="J18" s="139">
        <v>9.5</v>
      </c>
      <c r="K18" s="139">
        <v>6.6</v>
      </c>
      <c r="L18" s="116">
        <v>41944</v>
      </c>
      <c r="M18" s="117" t="s">
        <v>77</v>
      </c>
      <c r="N18" s="117">
        <v>80</v>
      </c>
      <c r="O18" s="119">
        <f>N18*7*24</f>
        <v>13440</v>
      </c>
      <c r="P18" s="117">
        <v>43.6</v>
      </c>
      <c r="Q18" s="120" t="s">
        <v>469</v>
      </c>
      <c r="R18" s="120" t="s">
        <v>48</v>
      </c>
      <c r="S18" s="121">
        <v>4395.8999999999996</v>
      </c>
      <c r="T18" s="121">
        <v>23336</v>
      </c>
      <c r="U18" s="121">
        <f t="shared" si="0"/>
        <v>1098.9749999999999</v>
      </c>
      <c r="V18" s="121">
        <f t="shared" si="1"/>
        <v>5834</v>
      </c>
      <c r="W18" s="122">
        <f t="shared" si="16"/>
        <v>0.18837418580733628</v>
      </c>
      <c r="X18" s="123">
        <v>4.4900000000000002E-4</v>
      </c>
      <c r="Y18" s="124">
        <v>2.7500000000000002E-4</v>
      </c>
      <c r="Z18" s="125">
        <f t="shared" si="3"/>
        <v>0.49343977499999997</v>
      </c>
      <c r="AA18" s="126">
        <f t="shared" si="4"/>
        <v>1.6043500000000002</v>
      </c>
      <c r="AB18" s="125">
        <f t="shared" si="5"/>
        <v>6.6318305759999996</v>
      </c>
      <c r="AC18" s="125">
        <v>8.6245632000000008</v>
      </c>
      <c r="AD18" s="125">
        <f t="shared" si="6"/>
        <v>21.562464000000002</v>
      </c>
      <c r="AE18" s="127">
        <f t="shared" si="13"/>
        <v>30.187027200000003</v>
      </c>
      <c r="AF18" s="128">
        <f t="shared" si="7"/>
        <v>88.703999999999994</v>
      </c>
      <c r="AG18" s="128">
        <f t="shared" si="8"/>
        <v>34.031190476190481</v>
      </c>
      <c r="AH18" s="128">
        <f t="shared" si="9"/>
        <v>127.68</v>
      </c>
      <c r="AI18" s="129">
        <f t="shared" si="10"/>
        <v>118.8910272</v>
      </c>
      <c r="AJ18" s="129">
        <f t="shared" si="11"/>
        <v>157.8670272</v>
      </c>
      <c r="AK18" s="129">
        <f t="shared" si="12"/>
        <v>5.0977897750000007</v>
      </c>
    </row>
    <row r="19" spans="1:37" ht="14">
      <c r="A19" s="108" t="s">
        <v>476</v>
      </c>
      <c r="B19" s="109" t="s">
        <v>94</v>
      </c>
      <c r="C19" s="111" t="s">
        <v>138</v>
      </c>
      <c r="D19" s="111" t="s">
        <v>139</v>
      </c>
      <c r="E19" s="130">
        <v>37.528640000000003</v>
      </c>
      <c r="F19" s="131">
        <v>140.79847000000001</v>
      </c>
      <c r="G19" s="135">
        <v>0.7</v>
      </c>
      <c r="H19" s="138" t="s">
        <v>492</v>
      </c>
      <c r="I19" s="138" t="s">
        <v>493</v>
      </c>
      <c r="J19" s="139">
        <v>9.5</v>
      </c>
      <c r="K19" s="139">
        <v>6.6</v>
      </c>
      <c r="L19" s="116">
        <v>41944</v>
      </c>
      <c r="M19" s="117" t="s">
        <v>77</v>
      </c>
      <c r="N19" s="117" t="s">
        <v>99</v>
      </c>
      <c r="O19" s="119">
        <f>65.5*7*24</f>
        <v>11004</v>
      </c>
      <c r="P19" s="117">
        <v>34.6</v>
      </c>
      <c r="Q19" s="120" t="s">
        <v>469</v>
      </c>
      <c r="R19" s="120" t="s">
        <v>48</v>
      </c>
      <c r="S19" s="121">
        <v>3829.4</v>
      </c>
      <c r="T19" s="121">
        <v>20142</v>
      </c>
      <c r="U19" s="121">
        <f t="shared" si="0"/>
        <v>957.35</v>
      </c>
      <c r="V19" s="121">
        <f t="shared" si="1"/>
        <v>5035.5</v>
      </c>
      <c r="W19" s="122">
        <f t="shared" si="16"/>
        <v>0.19012014695660809</v>
      </c>
      <c r="X19" s="123">
        <v>4.4900000000000002E-4</v>
      </c>
      <c r="Y19" s="124">
        <v>2.7500000000000002E-4</v>
      </c>
      <c r="Z19" s="125">
        <f t="shared" si="3"/>
        <v>0.42985015000000004</v>
      </c>
      <c r="AA19" s="126">
        <f t="shared" si="4"/>
        <v>1.3847625000000001</v>
      </c>
      <c r="AB19" s="125">
        <f t="shared" si="5"/>
        <v>4.7300710506000003</v>
      </c>
      <c r="AC19" s="125">
        <v>5.8563251999999997</v>
      </c>
      <c r="AD19" s="125">
        <f t="shared" si="6"/>
        <v>15.237926550000003</v>
      </c>
      <c r="AE19" s="127">
        <f t="shared" si="13"/>
        <v>21.094251750000002</v>
      </c>
      <c r="AF19" s="128">
        <f t="shared" si="7"/>
        <v>72.62639999999999</v>
      </c>
      <c r="AG19" s="128">
        <f t="shared" si="8"/>
        <v>29.044881406761185</v>
      </c>
      <c r="AH19" s="128">
        <f t="shared" si="9"/>
        <v>104.538</v>
      </c>
      <c r="AI19" s="129">
        <f t="shared" si="10"/>
        <v>93.720651749999988</v>
      </c>
      <c r="AJ19" s="129">
        <f t="shared" si="11"/>
        <v>125.63225174999999</v>
      </c>
      <c r="AK19" s="129">
        <f t="shared" si="12"/>
        <v>2.5146126500000001</v>
      </c>
    </row>
    <row r="20" spans="1:37" ht="14">
      <c r="A20" s="108" t="s">
        <v>476</v>
      </c>
      <c r="B20" s="109" t="s">
        <v>88</v>
      </c>
      <c r="C20" s="111" t="s">
        <v>86</v>
      </c>
      <c r="D20" s="111" t="s">
        <v>140</v>
      </c>
      <c r="E20" s="130">
        <v>37.395130000000002</v>
      </c>
      <c r="F20" s="131">
        <v>140.97357</v>
      </c>
      <c r="G20" s="135">
        <v>1.5</v>
      </c>
      <c r="H20" s="138" t="s">
        <v>496</v>
      </c>
      <c r="I20" s="138" t="s">
        <v>492</v>
      </c>
      <c r="J20" s="139">
        <v>3.8</v>
      </c>
      <c r="K20" s="139">
        <v>2.8</v>
      </c>
      <c r="L20" s="116">
        <v>41944</v>
      </c>
      <c r="M20" s="117" t="s">
        <v>24</v>
      </c>
      <c r="N20" s="117">
        <v>62</v>
      </c>
      <c r="O20" s="119">
        <f>62*7*24</f>
        <v>10416</v>
      </c>
      <c r="P20" s="117">
        <v>54.9</v>
      </c>
      <c r="Q20" s="120" t="s">
        <v>469</v>
      </c>
      <c r="R20" s="120" t="s">
        <v>48</v>
      </c>
      <c r="S20" s="121">
        <v>2299.4</v>
      </c>
      <c r="T20" s="121">
        <v>12200</v>
      </c>
      <c r="U20" s="121">
        <f t="shared" si="0"/>
        <v>574.85</v>
      </c>
      <c r="V20" s="121">
        <f t="shared" si="1"/>
        <v>3050</v>
      </c>
      <c r="W20" s="122">
        <f t="shared" si="16"/>
        <v>0.18847540983606559</v>
      </c>
      <c r="X20" s="123">
        <v>4.4900000000000002E-4</v>
      </c>
      <c r="Y20" s="124">
        <v>2.7500000000000002E-4</v>
      </c>
      <c r="Z20" s="125">
        <f t="shared" si="3"/>
        <v>0.25810765000000002</v>
      </c>
      <c r="AA20" s="126">
        <f t="shared" si="4"/>
        <v>0.83875</v>
      </c>
      <c r="AB20" s="125">
        <f t="shared" si="5"/>
        <v>2.6884492824000001</v>
      </c>
      <c r="AC20" s="125">
        <v>3.2886017999999999</v>
      </c>
      <c r="AD20" s="125">
        <f t="shared" si="6"/>
        <v>8.7364200000000007</v>
      </c>
      <c r="AE20" s="127">
        <f t="shared" si="13"/>
        <v>12.025021800000001</v>
      </c>
      <c r="AF20" s="128">
        <f t="shared" si="7"/>
        <v>29.1648</v>
      </c>
      <c r="AG20" s="128">
        <f t="shared" si="8"/>
        <v>41.231284973666895</v>
      </c>
      <c r="AH20" s="128">
        <f t="shared" si="9"/>
        <v>39.580799999999996</v>
      </c>
      <c r="AI20" s="129">
        <f t="shared" si="10"/>
        <v>41.189821800000004</v>
      </c>
      <c r="AJ20" s="129">
        <f t="shared" si="11"/>
        <v>51.605821800000001</v>
      </c>
      <c r="AK20" s="129">
        <f t="shared" si="12"/>
        <v>2.59685765</v>
      </c>
    </row>
    <row r="21" spans="1:37" ht="14">
      <c r="A21" s="108" t="s">
        <v>476</v>
      </c>
      <c r="B21" s="109" t="s">
        <v>89</v>
      </c>
      <c r="C21" s="111" t="s">
        <v>91</v>
      </c>
      <c r="D21" s="111" t="s">
        <v>141</v>
      </c>
      <c r="E21" s="130">
        <v>37.362789999999997</v>
      </c>
      <c r="F21" s="131">
        <v>140.99638999999999</v>
      </c>
      <c r="G21" s="135">
        <v>1.5</v>
      </c>
      <c r="H21" s="138" t="s">
        <v>492</v>
      </c>
      <c r="I21" s="138" t="s">
        <v>493</v>
      </c>
      <c r="J21" s="139">
        <v>9.5</v>
      </c>
      <c r="K21" s="139">
        <v>6.6</v>
      </c>
      <c r="L21" s="116">
        <v>41944</v>
      </c>
      <c r="M21" s="117" t="s">
        <v>24</v>
      </c>
      <c r="N21" s="145" t="s">
        <v>517</v>
      </c>
      <c r="O21" s="146">
        <f>61*7*24</f>
        <v>10248</v>
      </c>
      <c r="P21" s="117">
        <v>56.4</v>
      </c>
      <c r="Q21" s="120" t="s">
        <v>469</v>
      </c>
      <c r="R21" s="120" t="s">
        <v>48</v>
      </c>
      <c r="S21" s="121">
        <v>1596.2</v>
      </c>
      <c r="T21" s="121">
        <v>7856.4</v>
      </c>
      <c r="U21" s="121">
        <f t="shared" si="0"/>
        <v>399.05</v>
      </c>
      <c r="V21" s="121">
        <f t="shared" si="1"/>
        <v>1964.1</v>
      </c>
      <c r="W21" s="122">
        <f t="shared" si="16"/>
        <v>0.20317193625579147</v>
      </c>
      <c r="X21" s="123">
        <v>4.4900000000000002E-4</v>
      </c>
      <c r="Y21" s="124">
        <v>2.7500000000000002E-4</v>
      </c>
      <c r="Z21" s="125">
        <f t="shared" si="3"/>
        <v>0.17917345000000001</v>
      </c>
      <c r="AA21" s="126">
        <f t="shared" si="4"/>
        <v>0.54012749999999998</v>
      </c>
      <c r="AB21" s="125">
        <f t="shared" si="5"/>
        <v>1.8361695156</v>
      </c>
      <c r="AC21" s="125">
        <v>2.2397562</v>
      </c>
      <c r="AD21" s="125">
        <f t="shared" si="6"/>
        <v>5.5352266199999995</v>
      </c>
      <c r="AE21" s="127">
        <f t="shared" si="13"/>
        <v>7.77498282</v>
      </c>
      <c r="AF21" s="128">
        <f t="shared" si="7"/>
        <v>67.636800000000008</v>
      </c>
      <c r="AG21" s="128">
        <f t="shared" si="8"/>
        <v>11.49519613583138</v>
      </c>
      <c r="AH21" s="128">
        <f t="shared" si="9"/>
        <v>97.355999999999995</v>
      </c>
      <c r="AI21" s="129">
        <f t="shared" si="10"/>
        <v>75.411782820000013</v>
      </c>
      <c r="AJ21" s="129">
        <f t="shared" si="11"/>
        <v>105.13098282</v>
      </c>
      <c r="AK21" s="129">
        <f t="shared" si="12"/>
        <v>2.2193009500000001</v>
      </c>
    </row>
    <row r="22" spans="1:37" ht="14">
      <c r="A22" s="108" t="s">
        <v>476</v>
      </c>
      <c r="B22" s="109" t="s">
        <v>90</v>
      </c>
      <c r="C22" s="111" t="s">
        <v>78</v>
      </c>
      <c r="D22" s="111" t="s">
        <v>131</v>
      </c>
      <c r="E22" s="130">
        <v>37.748730000000002</v>
      </c>
      <c r="F22" s="131">
        <v>140.49009799999999</v>
      </c>
      <c r="G22" s="135">
        <v>0.7</v>
      </c>
      <c r="H22" s="142" t="s">
        <v>494</v>
      </c>
      <c r="I22" s="138" t="s">
        <v>492</v>
      </c>
      <c r="J22" s="139">
        <v>3.8</v>
      </c>
      <c r="K22" s="139">
        <v>2.8</v>
      </c>
      <c r="L22" s="116">
        <v>41944</v>
      </c>
      <c r="M22" s="117" t="s">
        <v>24</v>
      </c>
      <c r="N22" s="117" t="s">
        <v>100</v>
      </c>
      <c r="O22" s="119">
        <f>84*7*24</f>
        <v>14112</v>
      </c>
      <c r="P22" s="117">
        <v>48</v>
      </c>
      <c r="Q22" s="120" t="s">
        <v>469</v>
      </c>
      <c r="R22" s="120" t="s">
        <v>48</v>
      </c>
      <c r="S22" s="121">
        <v>329.65</v>
      </c>
      <c r="T22" s="121">
        <v>1721.3</v>
      </c>
      <c r="U22" s="121">
        <f t="shared" si="0"/>
        <v>82.412499999999994</v>
      </c>
      <c r="V22" s="121">
        <f t="shared" si="1"/>
        <v>430.32499999999999</v>
      </c>
      <c r="W22" s="122">
        <f t="shared" si="16"/>
        <v>0.19151222912914656</v>
      </c>
      <c r="X22" s="123">
        <v>4.4900000000000002E-4</v>
      </c>
      <c r="Y22" s="124">
        <v>2.7500000000000002E-4</v>
      </c>
      <c r="Z22" s="125">
        <f t="shared" si="3"/>
        <v>3.70032125E-2</v>
      </c>
      <c r="AA22" s="126">
        <f t="shared" si="4"/>
        <v>0.11833937500000001</v>
      </c>
      <c r="AB22" s="125">
        <f t="shared" si="5"/>
        <v>0.52218933479999996</v>
      </c>
      <c r="AC22" s="125">
        <v>0.685971</v>
      </c>
      <c r="AD22" s="125">
        <f t="shared" si="6"/>
        <v>1.6700052600000002</v>
      </c>
      <c r="AE22" s="127">
        <f t="shared" si="13"/>
        <v>2.3559762600000003</v>
      </c>
      <c r="AF22" s="128">
        <f t="shared" si="7"/>
        <v>39.513599999999997</v>
      </c>
      <c r="AG22" s="128">
        <f t="shared" si="8"/>
        <v>5.962443968658893</v>
      </c>
      <c r="AH22" s="128">
        <f t="shared" si="9"/>
        <v>53.625599999999999</v>
      </c>
      <c r="AI22" s="129">
        <f t="shared" si="10"/>
        <v>41.869576259999995</v>
      </c>
      <c r="AJ22" s="129">
        <f t="shared" si="11"/>
        <v>55.981576259999997</v>
      </c>
      <c r="AK22" s="129">
        <f t="shared" si="12"/>
        <v>0.85534258750000003</v>
      </c>
    </row>
    <row r="23" spans="1:37" ht="14">
      <c r="A23" s="108" t="s">
        <v>476</v>
      </c>
      <c r="B23" s="147" t="s">
        <v>552</v>
      </c>
      <c r="C23" s="111" t="s">
        <v>98</v>
      </c>
      <c r="D23" s="111" t="s">
        <v>133</v>
      </c>
      <c r="E23" s="130">
        <v>37.393036000000002</v>
      </c>
      <c r="F23" s="131">
        <v>140.995272</v>
      </c>
      <c r="G23" s="132">
        <v>3</v>
      </c>
      <c r="H23" s="142" t="s">
        <v>493</v>
      </c>
      <c r="I23" s="142" t="s">
        <v>499</v>
      </c>
      <c r="J23" s="142">
        <v>19</v>
      </c>
      <c r="K23" s="115">
        <v>14</v>
      </c>
      <c r="L23" s="148" t="s">
        <v>498</v>
      </c>
      <c r="M23" s="117" t="s">
        <v>23</v>
      </c>
      <c r="N23" s="117">
        <v>125</v>
      </c>
      <c r="O23" s="119">
        <f>N23*7*24</f>
        <v>21000</v>
      </c>
      <c r="P23" s="117">
        <v>77.2</v>
      </c>
      <c r="Q23" s="149" t="s">
        <v>523</v>
      </c>
      <c r="R23" s="150"/>
      <c r="S23" s="151"/>
      <c r="T23" s="151"/>
      <c r="U23" s="152">
        <v>437</v>
      </c>
      <c r="V23" s="152">
        <v>2545</v>
      </c>
      <c r="W23" s="122">
        <f t="shared" si="16"/>
        <v>0.17170923379174852</v>
      </c>
      <c r="X23" s="123">
        <v>4.4900000000000002E-4</v>
      </c>
      <c r="Y23" s="124">
        <v>2.7500000000000002E-4</v>
      </c>
      <c r="Z23" s="125">
        <f t="shared" si="3"/>
        <v>0.196213</v>
      </c>
      <c r="AA23" s="126">
        <f t="shared" si="4"/>
        <v>0.69987500000000002</v>
      </c>
      <c r="AB23" s="125">
        <f t="shared" si="5"/>
        <v>4.1204729999999996</v>
      </c>
      <c r="AC23" s="125">
        <v>6.2670959999999996</v>
      </c>
      <c r="AD23" s="125">
        <f t="shared" si="6"/>
        <v>14.697374999999999</v>
      </c>
      <c r="AE23" s="127">
        <f t="shared" si="13"/>
        <v>20.964471</v>
      </c>
      <c r="AF23" s="128">
        <f t="shared" si="7"/>
        <v>294</v>
      </c>
      <c r="AG23" s="128">
        <f t="shared" si="8"/>
        <v>7.1307724489795916</v>
      </c>
      <c r="AH23" s="128">
        <f t="shared" si="9"/>
        <v>399</v>
      </c>
      <c r="AI23" s="129">
        <f t="shared" si="10"/>
        <v>314.964471</v>
      </c>
      <c r="AJ23" s="129">
        <f t="shared" si="11"/>
        <v>419.964471</v>
      </c>
      <c r="AK23" s="129">
        <f t="shared" si="12"/>
        <v>3.8960880000000002</v>
      </c>
    </row>
    <row r="24" spans="1:37" ht="14">
      <c r="A24" s="108" t="s">
        <v>476</v>
      </c>
      <c r="B24" s="153" t="s">
        <v>92</v>
      </c>
      <c r="C24" s="147" t="s">
        <v>93</v>
      </c>
      <c r="D24" s="111" t="s">
        <v>136</v>
      </c>
      <c r="E24" s="130">
        <v>33.045318000000002</v>
      </c>
      <c r="F24" s="131">
        <v>129.97683900000001</v>
      </c>
      <c r="G24" s="154">
        <v>0.1</v>
      </c>
      <c r="H24" s="155" t="s">
        <v>506</v>
      </c>
      <c r="I24" s="155" t="s">
        <v>506</v>
      </c>
      <c r="J24" s="155">
        <v>0.1</v>
      </c>
      <c r="K24" s="156">
        <v>0.1</v>
      </c>
      <c r="L24" s="116">
        <v>41944</v>
      </c>
      <c r="M24" s="117" t="s">
        <v>24</v>
      </c>
      <c r="N24" s="117">
        <v>56</v>
      </c>
      <c r="O24" s="119">
        <f>N24*7*24</f>
        <v>9408</v>
      </c>
      <c r="P24" s="117">
        <v>20</v>
      </c>
      <c r="Q24" s="120" t="s">
        <v>469</v>
      </c>
      <c r="R24" s="120" t="s">
        <v>48</v>
      </c>
      <c r="S24" s="157" t="s">
        <v>531</v>
      </c>
      <c r="T24" s="158">
        <v>6.4</v>
      </c>
      <c r="U24" s="141">
        <v>0</v>
      </c>
      <c r="V24" s="159">
        <f>T24*0.25</f>
        <v>1.6</v>
      </c>
      <c r="W24" s="141"/>
      <c r="X24" s="123">
        <v>4.4900000000000002E-4</v>
      </c>
      <c r="Y24" s="124">
        <v>2.7500000000000002E-4</v>
      </c>
      <c r="Z24" s="125">
        <f t="shared" si="3"/>
        <v>0</v>
      </c>
      <c r="AA24" s="126">
        <f t="shared" si="4"/>
        <v>4.4000000000000007E-4</v>
      </c>
      <c r="AB24" s="125">
        <f t="shared" si="5"/>
        <v>0</v>
      </c>
      <c r="AC24" s="125">
        <v>0</v>
      </c>
      <c r="AD24" s="125">
        <f t="shared" si="6"/>
        <v>4.1395200000000007E-3</v>
      </c>
      <c r="AE24" s="127">
        <f t="shared" si="13"/>
        <v>4.1395200000000007E-3</v>
      </c>
      <c r="AF24" s="128">
        <f t="shared" si="7"/>
        <v>0.94080000000000008</v>
      </c>
      <c r="AG24" s="128">
        <f t="shared" si="8"/>
        <v>0.44</v>
      </c>
      <c r="AH24" s="128">
        <f t="shared" si="9"/>
        <v>0.94080000000000008</v>
      </c>
      <c r="AI24" s="129">
        <f t="shared" si="10"/>
        <v>0.94493952000000003</v>
      </c>
      <c r="AJ24" s="129">
        <f t="shared" si="11"/>
        <v>0.94493952000000003</v>
      </c>
      <c r="AK24" s="129">
        <f t="shared" si="12"/>
        <v>0.10044</v>
      </c>
    </row>
    <row r="25" spans="1:37" ht="18" customHeight="1">
      <c r="A25" s="108" t="s">
        <v>476</v>
      </c>
      <c r="B25" s="160" t="s">
        <v>553</v>
      </c>
      <c r="C25" s="161" t="s">
        <v>362</v>
      </c>
      <c r="D25" s="161" t="s">
        <v>363</v>
      </c>
      <c r="E25" s="130">
        <v>37.416058</v>
      </c>
      <c r="F25" s="131">
        <v>140.995227</v>
      </c>
      <c r="G25" s="132">
        <v>7</v>
      </c>
      <c r="H25" s="162" t="s">
        <v>499</v>
      </c>
      <c r="I25" s="162">
        <v>19</v>
      </c>
      <c r="J25" s="211">
        <v>40</v>
      </c>
      <c r="K25" s="210">
        <v>40</v>
      </c>
      <c r="L25" s="116">
        <v>42309</v>
      </c>
      <c r="M25" s="163" t="s">
        <v>358</v>
      </c>
      <c r="N25" s="163">
        <v>26</v>
      </c>
      <c r="O25" s="119">
        <f>N25*7*24</f>
        <v>4368</v>
      </c>
      <c r="P25" s="163">
        <v>18.5</v>
      </c>
      <c r="Q25" s="149" t="s">
        <v>523</v>
      </c>
      <c r="R25" s="120" t="s">
        <v>48</v>
      </c>
      <c r="S25" s="151" t="s">
        <v>474</v>
      </c>
      <c r="T25" s="151" t="s">
        <v>474</v>
      </c>
      <c r="U25" s="152">
        <v>590</v>
      </c>
      <c r="V25" s="152">
        <v>3153</v>
      </c>
      <c r="W25" s="122">
        <f t="shared" ref="W25:W26" si="17">U25/V25</f>
        <v>0.1871233745639074</v>
      </c>
      <c r="X25" s="123">
        <v>4.4900000000000002E-4</v>
      </c>
      <c r="Y25" s="124">
        <v>2.7500000000000002E-4</v>
      </c>
      <c r="Z25" s="125">
        <f t="shared" si="3"/>
        <v>0.26491000000000003</v>
      </c>
      <c r="AA25" s="126">
        <f t="shared" si="4"/>
        <v>0.86707500000000004</v>
      </c>
      <c r="AB25" s="125">
        <f t="shared" si="5"/>
        <v>1.1571268800000003</v>
      </c>
      <c r="AC25" s="125">
        <v>1.2566663999999999</v>
      </c>
      <c r="AD25" s="125">
        <f t="shared" si="6"/>
        <v>3.7873836000000001</v>
      </c>
      <c r="AE25" s="127">
        <f t="shared" si="13"/>
        <v>5.0440500000000004</v>
      </c>
      <c r="AF25" s="128">
        <f t="shared" si="7"/>
        <v>174.72</v>
      </c>
      <c r="AG25" s="128">
        <f t="shared" si="8"/>
        <v>2.8869333791208796</v>
      </c>
      <c r="AH25" s="128">
        <f t="shared" si="9"/>
        <v>174.72</v>
      </c>
      <c r="AI25" s="129">
        <f t="shared" si="10"/>
        <v>179.76405</v>
      </c>
      <c r="AJ25" s="129">
        <f t="shared" si="11"/>
        <v>179.76405</v>
      </c>
      <c r="AK25" s="129">
        <f t="shared" si="12"/>
        <v>8.1319850000000002</v>
      </c>
    </row>
    <row r="26" spans="1:37" ht="14" customHeight="1">
      <c r="A26" s="164" t="s">
        <v>501</v>
      </c>
      <c r="B26" s="165" t="s">
        <v>554</v>
      </c>
      <c r="C26" s="161" t="s">
        <v>361</v>
      </c>
      <c r="D26" s="161" t="s">
        <v>365</v>
      </c>
      <c r="E26" s="166">
        <v>37.452979999999997</v>
      </c>
      <c r="F26" s="167">
        <v>140.97501700000001</v>
      </c>
      <c r="G26" s="132">
        <v>14</v>
      </c>
      <c r="H26" s="162" t="s">
        <v>499</v>
      </c>
      <c r="I26" s="162">
        <v>19</v>
      </c>
      <c r="J26" s="211">
        <v>40</v>
      </c>
      <c r="K26" s="210">
        <v>40</v>
      </c>
      <c r="L26" s="116">
        <v>42309</v>
      </c>
      <c r="M26" s="163" t="s">
        <v>359</v>
      </c>
      <c r="N26" s="168" t="s">
        <v>366</v>
      </c>
      <c r="O26" s="169"/>
      <c r="P26" s="163">
        <v>31.3</v>
      </c>
      <c r="Q26" s="120" t="s">
        <v>469</v>
      </c>
      <c r="R26" s="120" t="s">
        <v>48</v>
      </c>
      <c r="S26" s="121">
        <v>3174.7</v>
      </c>
      <c r="T26" s="121">
        <v>18378</v>
      </c>
      <c r="U26" s="121">
        <f t="shared" ref="U26:U27" si="18">S26*0.25</f>
        <v>793.67499999999995</v>
      </c>
      <c r="V26" s="121">
        <f t="shared" ref="V26:V27" si="19">T26*0.25</f>
        <v>4594.5</v>
      </c>
      <c r="W26" s="122">
        <f t="shared" si="17"/>
        <v>0.17274458591794536</v>
      </c>
      <c r="X26" s="123">
        <v>4.4900000000000002E-4</v>
      </c>
      <c r="Y26" s="124">
        <v>2.7500000000000002E-4</v>
      </c>
      <c r="Z26" s="125">
        <f t="shared" si="3"/>
        <v>0.356360075</v>
      </c>
      <c r="AA26" s="126">
        <f t="shared" si="4"/>
        <v>1.2634875000000001</v>
      </c>
      <c r="AB26" s="125">
        <f t="shared" si="5"/>
        <v>0</v>
      </c>
      <c r="AC26" s="125">
        <v>0</v>
      </c>
      <c r="AD26" s="125">
        <f t="shared" si="6"/>
        <v>0</v>
      </c>
      <c r="AE26" s="127">
        <f t="shared" si="13"/>
        <v>0</v>
      </c>
      <c r="AF26" s="128">
        <f t="shared" si="7"/>
        <v>0</v>
      </c>
      <c r="AG26" s="128" t="s">
        <v>474</v>
      </c>
      <c r="AH26" s="128">
        <f t="shared" si="9"/>
        <v>0</v>
      </c>
      <c r="AI26" s="129">
        <f t="shared" si="10"/>
        <v>0</v>
      </c>
      <c r="AJ26" s="129">
        <f t="shared" si="11"/>
        <v>0</v>
      </c>
      <c r="AK26" s="129">
        <f t="shared" si="12"/>
        <v>15.619847575</v>
      </c>
    </row>
    <row r="27" spans="1:37" ht="13.5" customHeight="1">
      <c r="A27" s="108" t="s">
        <v>476</v>
      </c>
      <c r="B27" s="160" t="s">
        <v>555</v>
      </c>
      <c r="C27" s="161" t="s">
        <v>410</v>
      </c>
      <c r="D27" s="161" t="s">
        <v>411</v>
      </c>
      <c r="E27" s="130">
        <v>37.470056</v>
      </c>
      <c r="F27" s="131">
        <v>140.994922</v>
      </c>
      <c r="G27" s="135">
        <v>1.5</v>
      </c>
      <c r="H27" s="138" t="s">
        <v>492</v>
      </c>
      <c r="I27" s="138" t="s">
        <v>493</v>
      </c>
      <c r="J27" s="138">
        <v>9.5</v>
      </c>
      <c r="K27" s="139">
        <v>6.6</v>
      </c>
      <c r="L27" s="116">
        <v>42309</v>
      </c>
      <c r="M27" s="163" t="s">
        <v>357</v>
      </c>
      <c r="N27" s="163">
        <v>26</v>
      </c>
      <c r="O27" s="119">
        <f t="shared" ref="O27:O32" si="20">N27*7*24</f>
        <v>4368</v>
      </c>
      <c r="P27" s="163">
        <v>20.2</v>
      </c>
      <c r="Q27" s="149" t="s">
        <v>523</v>
      </c>
      <c r="R27" s="141"/>
      <c r="S27" s="121">
        <v>334.71</v>
      </c>
      <c r="T27" s="121">
        <v>2140.3000000000002</v>
      </c>
      <c r="U27" s="152">
        <f t="shared" si="18"/>
        <v>83.677499999999995</v>
      </c>
      <c r="V27" s="152">
        <f t="shared" si="19"/>
        <v>535.07500000000005</v>
      </c>
      <c r="W27" s="141"/>
      <c r="X27" s="123">
        <v>4.4900000000000002E-4</v>
      </c>
      <c r="Y27" s="124">
        <v>2.7500000000000002E-4</v>
      </c>
      <c r="Z27" s="125">
        <f t="shared" si="3"/>
        <v>3.75711975E-2</v>
      </c>
      <c r="AA27" s="126">
        <f t="shared" si="4"/>
        <v>0.14714562500000003</v>
      </c>
      <c r="AB27" s="125">
        <f t="shared" si="5"/>
        <v>0.16411099068000001</v>
      </c>
      <c r="AC27" s="125">
        <v>0.71438400000000002</v>
      </c>
      <c r="AD27" s="125">
        <f t="shared" si="6"/>
        <v>0.64273209000000009</v>
      </c>
      <c r="AE27" s="127">
        <f t="shared" si="13"/>
        <v>1.3571160900000001</v>
      </c>
      <c r="AF27" s="128">
        <f t="shared" si="7"/>
        <v>28.828799999999998</v>
      </c>
      <c r="AG27" s="128">
        <f t="shared" si="8"/>
        <v>4.7075011446886448</v>
      </c>
      <c r="AH27" s="128">
        <f t="shared" si="9"/>
        <v>41.496000000000002</v>
      </c>
      <c r="AI27" s="129">
        <f t="shared" si="10"/>
        <v>30.185916089999999</v>
      </c>
      <c r="AJ27" s="129">
        <f t="shared" si="11"/>
        <v>42.85311609</v>
      </c>
      <c r="AK27" s="129">
        <f t="shared" si="12"/>
        <v>1.6847168225</v>
      </c>
    </row>
    <row r="28" spans="1:37" ht="13.5" customHeight="1">
      <c r="A28" s="108" t="s">
        <v>476</v>
      </c>
      <c r="B28" s="170" t="s">
        <v>367</v>
      </c>
      <c r="C28" s="171" t="s">
        <v>368</v>
      </c>
      <c r="D28" s="161" t="s">
        <v>369</v>
      </c>
      <c r="E28" s="130">
        <v>37.399016000000003</v>
      </c>
      <c r="F28" s="131">
        <v>140.97198299999999</v>
      </c>
      <c r="G28" s="135">
        <v>1.5</v>
      </c>
      <c r="H28" s="115" t="s">
        <v>493</v>
      </c>
      <c r="I28" s="115" t="s">
        <v>495</v>
      </c>
      <c r="J28" s="136">
        <v>19</v>
      </c>
      <c r="K28" s="115">
        <v>14</v>
      </c>
      <c r="L28" s="116">
        <v>42309</v>
      </c>
      <c r="M28" s="163" t="s">
        <v>358</v>
      </c>
      <c r="N28" s="163">
        <v>26</v>
      </c>
      <c r="O28" s="119">
        <f t="shared" si="20"/>
        <v>4368</v>
      </c>
      <c r="P28" s="163">
        <v>20.100000000000001</v>
      </c>
      <c r="Q28" s="141">
        <v>34</v>
      </c>
      <c r="R28" s="141"/>
      <c r="S28" s="172">
        <v>156</v>
      </c>
      <c r="T28" s="172">
        <v>934</v>
      </c>
      <c r="U28" s="121">
        <f t="shared" ref="U28:U29" si="21">S28*0.25</f>
        <v>39</v>
      </c>
      <c r="V28" s="121">
        <f t="shared" ref="V28:V29" si="22">T28*0.25</f>
        <v>233.5</v>
      </c>
      <c r="W28" s="122">
        <f t="shared" ref="W28:W37" si="23">U28/V28</f>
        <v>0.1670235546038544</v>
      </c>
      <c r="X28" s="123">
        <v>4.4900000000000002E-4</v>
      </c>
      <c r="Y28" s="124">
        <v>2.7500000000000002E-4</v>
      </c>
      <c r="Z28" s="125">
        <f t="shared" si="3"/>
        <v>1.7511000000000002E-2</v>
      </c>
      <c r="AA28" s="126">
        <f t="shared" si="4"/>
        <v>6.4212500000000006E-2</v>
      </c>
      <c r="AB28" s="125">
        <f t="shared" si="5"/>
        <v>7.6488048000000003E-2</v>
      </c>
      <c r="AC28" s="125">
        <v>8.3615399999999993E-2</v>
      </c>
      <c r="AD28" s="125">
        <f t="shared" si="6"/>
        <v>0.28048020000000001</v>
      </c>
      <c r="AE28" s="127">
        <f t="shared" si="13"/>
        <v>0.36409560000000002</v>
      </c>
      <c r="AF28" s="128">
        <f t="shared" si="7"/>
        <v>61.152000000000001</v>
      </c>
      <c r="AG28" s="128">
        <f t="shared" si="8"/>
        <v>0.59539442700156986</v>
      </c>
      <c r="AH28" s="128">
        <f t="shared" si="9"/>
        <v>82.992000000000004</v>
      </c>
      <c r="AI28" s="129">
        <f t="shared" si="10"/>
        <v>61.5160956</v>
      </c>
      <c r="AJ28" s="129">
        <f t="shared" si="11"/>
        <v>83.356095600000003</v>
      </c>
      <c r="AK28" s="129">
        <f t="shared" si="12"/>
        <v>1.5817235000000001</v>
      </c>
    </row>
    <row r="29" spans="1:37" ht="15.5" customHeight="1">
      <c r="A29" s="108" t="s">
        <v>476</v>
      </c>
      <c r="B29" s="173" t="s">
        <v>370</v>
      </c>
      <c r="C29" s="161" t="s">
        <v>371</v>
      </c>
      <c r="D29" s="161" t="s">
        <v>372</v>
      </c>
      <c r="E29" s="130">
        <v>37.416058</v>
      </c>
      <c r="F29" s="131">
        <v>140.995227</v>
      </c>
      <c r="G29" s="132">
        <v>7</v>
      </c>
      <c r="H29" s="162" t="s">
        <v>499</v>
      </c>
      <c r="I29" s="162">
        <v>19</v>
      </c>
      <c r="J29" s="211">
        <v>40</v>
      </c>
      <c r="K29" s="210">
        <v>40</v>
      </c>
      <c r="L29" s="116">
        <v>42309</v>
      </c>
      <c r="M29" s="117" t="s">
        <v>373</v>
      </c>
      <c r="N29" s="117">
        <v>26</v>
      </c>
      <c r="O29" s="119">
        <f t="shared" si="20"/>
        <v>4368</v>
      </c>
      <c r="P29" s="117">
        <v>21.2</v>
      </c>
      <c r="Q29" s="141">
        <v>34</v>
      </c>
      <c r="R29" s="141"/>
      <c r="S29" s="172">
        <v>906</v>
      </c>
      <c r="T29" s="172">
        <v>5360</v>
      </c>
      <c r="U29" s="121">
        <f t="shared" si="21"/>
        <v>226.5</v>
      </c>
      <c r="V29" s="121">
        <f t="shared" si="22"/>
        <v>1340</v>
      </c>
      <c r="W29" s="122">
        <f t="shared" si="23"/>
        <v>0.16902985074626867</v>
      </c>
      <c r="X29" s="123">
        <v>4.4900000000000002E-4</v>
      </c>
      <c r="Y29" s="124">
        <v>2.7500000000000002E-4</v>
      </c>
      <c r="Z29" s="125">
        <f t="shared" si="3"/>
        <v>0.1016985</v>
      </c>
      <c r="AA29" s="126">
        <f t="shared" si="4"/>
        <v>0.36850000000000005</v>
      </c>
      <c r="AB29" s="125">
        <f t="shared" si="5"/>
        <v>0.44421904800000001</v>
      </c>
      <c r="AC29" s="125">
        <v>0.48302099999999998</v>
      </c>
      <c r="AD29" s="125">
        <f t="shared" si="6"/>
        <v>1.6096080000000001</v>
      </c>
      <c r="AE29" s="127">
        <f t="shared" si="13"/>
        <v>2.0926290000000001</v>
      </c>
      <c r="AF29" s="128">
        <f t="shared" si="7"/>
        <v>174.72</v>
      </c>
      <c r="AG29" s="128">
        <f t="shared" si="8"/>
        <v>1.1977043269230769</v>
      </c>
      <c r="AH29" s="128">
        <f t="shared" si="9"/>
        <v>174.72</v>
      </c>
      <c r="AI29" s="129">
        <f t="shared" si="10"/>
        <v>176.81262899999999</v>
      </c>
      <c r="AJ29" s="129">
        <f t="shared" si="11"/>
        <v>176.81262899999999</v>
      </c>
      <c r="AK29" s="129">
        <f t="shared" si="12"/>
        <v>7.4701985000000004</v>
      </c>
    </row>
    <row r="30" spans="1:37" ht="14" customHeight="1">
      <c r="A30" s="164" t="s">
        <v>502</v>
      </c>
      <c r="B30" s="174" t="s">
        <v>374</v>
      </c>
      <c r="C30" s="161" t="s">
        <v>362</v>
      </c>
      <c r="D30" s="161" t="s">
        <v>486</v>
      </c>
      <c r="E30" s="130">
        <v>37.408318000000001</v>
      </c>
      <c r="F30" s="131">
        <v>140.95201499999999</v>
      </c>
      <c r="G30" s="135">
        <v>1.5</v>
      </c>
      <c r="H30" s="142" t="s">
        <v>493</v>
      </c>
      <c r="I30" s="142" t="s">
        <v>499</v>
      </c>
      <c r="J30" s="142">
        <v>19</v>
      </c>
      <c r="K30" s="115">
        <v>14</v>
      </c>
      <c r="L30" s="148" t="s">
        <v>500</v>
      </c>
      <c r="M30" s="163" t="s">
        <v>359</v>
      </c>
      <c r="N30" s="117">
        <v>220</v>
      </c>
      <c r="O30" s="119">
        <f t="shared" si="20"/>
        <v>36960</v>
      </c>
      <c r="P30" s="163">
        <v>88.5</v>
      </c>
      <c r="Q30" s="141" t="s">
        <v>514</v>
      </c>
      <c r="R30" s="141"/>
      <c r="S30" s="172" t="s">
        <v>474</v>
      </c>
      <c r="T30" s="175" t="s">
        <v>474</v>
      </c>
      <c r="U30" s="176">
        <f>V30*W30</f>
        <v>424.08</v>
      </c>
      <c r="V30" s="177">
        <v>2356</v>
      </c>
      <c r="W30" s="122">
        <v>0.18</v>
      </c>
      <c r="X30" s="123">
        <v>4.4900000000000002E-4</v>
      </c>
      <c r="Y30" s="124">
        <v>2.7500000000000002E-4</v>
      </c>
      <c r="Z30" s="125">
        <f t="shared" si="3"/>
        <v>0.19041192000000001</v>
      </c>
      <c r="AA30" s="126">
        <f t="shared" si="4"/>
        <v>0.64790000000000003</v>
      </c>
      <c r="AB30" s="125">
        <f t="shared" si="5"/>
        <v>7.0376245631999996</v>
      </c>
      <c r="AC30" s="125">
        <v>12.767178599999999</v>
      </c>
      <c r="AD30" s="125">
        <f t="shared" si="6"/>
        <v>23.946384000000002</v>
      </c>
      <c r="AE30" s="127">
        <f t="shared" si="13"/>
        <v>36.713562600000003</v>
      </c>
      <c r="AF30" s="128">
        <f t="shared" si="7"/>
        <v>517.44000000000005</v>
      </c>
      <c r="AG30" s="128">
        <f t="shared" si="8"/>
        <v>7.0952308673469382</v>
      </c>
      <c r="AH30" s="128">
        <f t="shared" si="9"/>
        <v>702.24</v>
      </c>
      <c r="AI30" s="129">
        <f t="shared" si="10"/>
        <v>554.1535626000001</v>
      </c>
      <c r="AJ30" s="129">
        <f t="shared" si="11"/>
        <v>738.95356260000005</v>
      </c>
      <c r="AK30" s="129">
        <f t="shared" si="12"/>
        <v>2.3383119200000002</v>
      </c>
    </row>
    <row r="31" spans="1:37" ht="15.5" customHeight="1">
      <c r="A31" s="108" t="s">
        <v>476</v>
      </c>
      <c r="B31" s="170" t="s">
        <v>375</v>
      </c>
      <c r="C31" s="171" t="s">
        <v>371</v>
      </c>
      <c r="D31" s="161" t="s">
        <v>376</v>
      </c>
      <c r="E31" s="130">
        <v>37.399016000000003</v>
      </c>
      <c r="F31" s="131">
        <v>140.97198299999999</v>
      </c>
      <c r="G31" s="135">
        <v>1.5</v>
      </c>
      <c r="H31" s="138" t="s">
        <v>492</v>
      </c>
      <c r="I31" s="138" t="s">
        <v>493</v>
      </c>
      <c r="J31" s="138">
        <v>9.5</v>
      </c>
      <c r="K31" s="139">
        <v>6.6</v>
      </c>
      <c r="L31" s="116">
        <v>41944</v>
      </c>
      <c r="M31" s="163" t="s">
        <v>358</v>
      </c>
      <c r="N31" s="163">
        <v>87</v>
      </c>
      <c r="O31" s="119">
        <f t="shared" si="20"/>
        <v>14616</v>
      </c>
      <c r="P31" s="163">
        <v>40.200000000000003</v>
      </c>
      <c r="Q31" s="120" t="s">
        <v>469</v>
      </c>
      <c r="R31" s="120" t="s">
        <v>48</v>
      </c>
      <c r="S31" s="121">
        <v>751.7</v>
      </c>
      <c r="T31" s="121">
        <v>4543.8999999999996</v>
      </c>
      <c r="U31" s="121">
        <f t="shared" ref="U31:U33" si="24">S31*0.25</f>
        <v>187.92500000000001</v>
      </c>
      <c r="V31" s="121">
        <f t="shared" ref="V31:V33" si="25">T31*0.25</f>
        <v>1135.9749999999999</v>
      </c>
      <c r="W31" s="122">
        <f t="shared" si="23"/>
        <v>0.16543057725742205</v>
      </c>
      <c r="X31" s="123">
        <v>4.4900000000000002E-4</v>
      </c>
      <c r="Y31" s="124">
        <v>2.7500000000000002E-4</v>
      </c>
      <c r="Z31" s="125">
        <f t="shared" si="3"/>
        <v>8.4378325000000004E-2</v>
      </c>
      <c r="AA31" s="126">
        <f t="shared" si="4"/>
        <v>0.31239312499999999</v>
      </c>
      <c r="AB31" s="125">
        <f t="shared" si="5"/>
        <v>1.2332735982</v>
      </c>
      <c r="AC31" s="125">
        <v>1.6398360000000001</v>
      </c>
      <c r="AD31" s="125">
        <f t="shared" si="6"/>
        <v>4.5659379149999992</v>
      </c>
      <c r="AE31" s="127">
        <f t="shared" si="13"/>
        <v>6.2057739149999991</v>
      </c>
      <c r="AF31" s="128">
        <f t="shared" si="7"/>
        <v>96.465599999999995</v>
      </c>
      <c r="AG31" s="128">
        <f t="shared" si="8"/>
        <v>6.4331470648604272</v>
      </c>
      <c r="AH31" s="128">
        <f t="shared" si="9"/>
        <v>138.852</v>
      </c>
      <c r="AI31" s="129">
        <f t="shared" si="10"/>
        <v>102.67137391499999</v>
      </c>
      <c r="AJ31" s="129">
        <f t="shared" si="11"/>
        <v>145.05777391500001</v>
      </c>
      <c r="AK31" s="129">
        <f t="shared" si="12"/>
        <v>1.8967714500000001</v>
      </c>
    </row>
    <row r="32" spans="1:37" ht="14" customHeight="1">
      <c r="A32" s="108" t="s">
        <v>476</v>
      </c>
      <c r="B32" s="170" t="s">
        <v>377</v>
      </c>
      <c r="C32" s="161" t="s">
        <v>371</v>
      </c>
      <c r="D32" s="161" t="s">
        <v>378</v>
      </c>
      <c r="E32" s="130">
        <v>37.384897000000002</v>
      </c>
      <c r="F32" s="131">
        <v>141.00996499999999</v>
      </c>
      <c r="G32" s="132">
        <v>3</v>
      </c>
      <c r="H32" s="115" t="s">
        <v>493</v>
      </c>
      <c r="I32" s="115" t="s">
        <v>493</v>
      </c>
      <c r="J32" s="136">
        <v>9.5</v>
      </c>
      <c r="K32" s="139">
        <v>6.6</v>
      </c>
      <c r="L32" s="116">
        <v>42309</v>
      </c>
      <c r="M32" s="163" t="s">
        <v>379</v>
      </c>
      <c r="N32" s="163">
        <v>26</v>
      </c>
      <c r="O32" s="119">
        <f t="shared" si="20"/>
        <v>4368</v>
      </c>
      <c r="P32" s="163">
        <v>20.2</v>
      </c>
      <c r="Q32" s="120" t="s">
        <v>469</v>
      </c>
      <c r="R32" s="120" t="s">
        <v>48</v>
      </c>
      <c r="S32" s="121">
        <v>1680</v>
      </c>
      <c r="T32" s="121">
        <v>10034</v>
      </c>
      <c r="U32" s="121">
        <f t="shared" si="24"/>
        <v>420</v>
      </c>
      <c r="V32" s="121">
        <f t="shared" si="25"/>
        <v>2508.5</v>
      </c>
      <c r="W32" s="122">
        <f t="shared" si="23"/>
        <v>0.16743073549930237</v>
      </c>
      <c r="X32" s="123">
        <v>4.4900000000000002E-4</v>
      </c>
      <c r="Y32" s="124">
        <v>2.7500000000000002E-4</v>
      </c>
      <c r="Z32" s="125">
        <f t="shared" si="3"/>
        <v>0.18858</v>
      </c>
      <c r="AA32" s="126">
        <f t="shared" si="4"/>
        <v>0.68983749999999999</v>
      </c>
      <c r="AB32" s="125">
        <f t="shared" si="5"/>
        <v>0.82371744000000002</v>
      </c>
      <c r="AC32" s="125">
        <v>0.89379179999999991</v>
      </c>
      <c r="AD32" s="125">
        <f t="shared" si="6"/>
        <v>3.0132102000000001</v>
      </c>
      <c r="AE32" s="127">
        <f t="shared" si="13"/>
        <v>3.9070019999999999</v>
      </c>
      <c r="AF32" s="128">
        <f t="shared" si="7"/>
        <v>28.828799999999998</v>
      </c>
      <c r="AG32" s="128">
        <f t="shared" si="8"/>
        <v>13.552426739926741</v>
      </c>
      <c r="AH32" s="128">
        <f t="shared" si="9"/>
        <v>41.496000000000002</v>
      </c>
      <c r="AI32" s="129">
        <f t="shared" si="10"/>
        <v>32.735802</v>
      </c>
      <c r="AJ32" s="129">
        <f t="shared" si="11"/>
        <v>45.403002000000001</v>
      </c>
      <c r="AK32" s="129">
        <f t="shared" si="12"/>
        <v>3.8784174999999999</v>
      </c>
    </row>
    <row r="33" spans="1:42" ht="11" customHeight="1">
      <c r="A33" s="108" t="s">
        <v>476</v>
      </c>
      <c r="B33" s="170" t="s">
        <v>380</v>
      </c>
      <c r="C33" s="178" t="s">
        <v>368</v>
      </c>
      <c r="D33" s="161" t="s">
        <v>381</v>
      </c>
      <c r="E33" s="130">
        <v>37.384897000000002</v>
      </c>
      <c r="F33" s="131">
        <v>141.00996499999999</v>
      </c>
      <c r="G33" s="132">
        <v>3</v>
      </c>
      <c r="H33" s="115" t="s">
        <v>493</v>
      </c>
      <c r="I33" s="115" t="s">
        <v>493</v>
      </c>
      <c r="J33" s="136">
        <v>9.5</v>
      </c>
      <c r="K33" s="139">
        <v>6.6</v>
      </c>
      <c r="L33" s="116">
        <v>42309</v>
      </c>
      <c r="M33" s="163" t="s">
        <v>359</v>
      </c>
      <c r="N33" s="163">
        <v>26</v>
      </c>
      <c r="O33" s="119">
        <f t="shared" ref="O33:O38" si="26">N33*7*24</f>
        <v>4368</v>
      </c>
      <c r="P33" s="163">
        <v>16.7</v>
      </c>
      <c r="Q33" s="120" t="s">
        <v>469</v>
      </c>
      <c r="R33" s="120" t="s">
        <v>48</v>
      </c>
      <c r="S33" s="121">
        <v>2045.3</v>
      </c>
      <c r="T33" s="121">
        <v>12178</v>
      </c>
      <c r="U33" s="121">
        <f t="shared" si="24"/>
        <v>511.32499999999999</v>
      </c>
      <c r="V33" s="121">
        <f t="shared" si="25"/>
        <v>3044.5</v>
      </c>
      <c r="W33" s="122">
        <f t="shared" si="23"/>
        <v>0.16795040236492034</v>
      </c>
      <c r="X33" s="123">
        <v>4.4900000000000002E-4</v>
      </c>
      <c r="Y33" s="124">
        <v>2.7500000000000002E-4</v>
      </c>
      <c r="Z33" s="125">
        <f t="shared" si="3"/>
        <v>0.229584925</v>
      </c>
      <c r="AA33" s="126">
        <f t="shared" si="4"/>
        <v>0.83723750000000008</v>
      </c>
      <c r="AB33" s="125">
        <f t="shared" si="5"/>
        <v>1.0028269524</v>
      </c>
      <c r="AC33" s="125">
        <v>1.0902474</v>
      </c>
      <c r="AD33" s="125">
        <f t="shared" si="6"/>
        <v>3.6570534000000001</v>
      </c>
      <c r="AE33" s="127">
        <f t="shared" si="13"/>
        <v>4.7473007999999997</v>
      </c>
      <c r="AF33" s="128">
        <f t="shared" si="7"/>
        <v>28.828799999999998</v>
      </c>
      <c r="AG33" s="128">
        <f t="shared" si="8"/>
        <v>16.467216117216118</v>
      </c>
      <c r="AH33" s="128">
        <f t="shared" si="9"/>
        <v>41.496000000000002</v>
      </c>
      <c r="AI33" s="129">
        <f t="shared" si="10"/>
        <v>33.576100799999999</v>
      </c>
      <c r="AJ33" s="129">
        <f t="shared" si="11"/>
        <v>46.2433008</v>
      </c>
      <c r="AK33" s="129">
        <f t="shared" si="12"/>
        <v>4.0668224249999998</v>
      </c>
    </row>
    <row r="34" spans="1:42" ht="14" customHeight="1">
      <c r="A34" s="164" t="s">
        <v>503</v>
      </c>
      <c r="B34" s="179" t="s">
        <v>382</v>
      </c>
      <c r="C34" s="178" t="s">
        <v>371</v>
      </c>
      <c r="D34" s="161" t="s">
        <v>372</v>
      </c>
      <c r="E34" s="130">
        <v>37.414073999999999</v>
      </c>
      <c r="F34" s="131">
        <v>140.98737299999999</v>
      </c>
      <c r="G34" s="132">
        <v>3</v>
      </c>
      <c r="H34" s="162" t="s">
        <v>499</v>
      </c>
      <c r="I34" s="162">
        <v>19</v>
      </c>
      <c r="J34" s="211">
        <v>40</v>
      </c>
      <c r="K34" s="210">
        <v>40</v>
      </c>
      <c r="L34" s="116">
        <v>41944</v>
      </c>
      <c r="M34" s="163" t="s">
        <v>358</v>
      </c>
      <c r="N34" s="163">
        <v>87</v>
      </c>
      <c r="O34" s="119">
        <f t="shared" si="26"/>
        <v>14616</v>
      </c>
      <c r="P34" s="163">
        <v>55.1</v>
      </c>
      <c r="Q34" s="180" t="s">
        <v>523</v>
      </c>
      <c r="R34" s="141"/>
      <c r="S34" s="141" t="s">
        <v>474</v>
      </c>
      <c r="T34" s="181" t="s">
        <v>474</v>
      </c>
      <c r="U34" s="152">
        <v>590</v>
      </c>
      <c r="V34" s="152">
        <v>3153</v>
      </c>
      <c r="W34" s="122">
        <v>0.18</v>
      </c>
      <c r="X34" s="123">
        <v>4.4900000000000002E-4</v>
      </c>
      <c r="Y34" s="124">
        <v>2.7500000000000002E-4</v>
      </c>
      <c r="Z34" s="125">
        <f t="shared" si="3"/>
        <v>0.26491000000000003</v>
      </c>
      <c r="AA34" s="126">
        <f t="shared" si="4"/>
        <v>0.86707500000000004</v>
      </c>
      <c r="AB34" s="125">
        <f t="shared" si="5"/>
        <v>3.8719245600000005</v>
      </c>
      <c r="AC34" s="125">
        <v>1.343529</v>
      </c>
      <c r="AD34" s="125">
        <f t="shared" si="6"/>
        <v>12.673168199999999</v>
      </c>
      <c r="AE34" s="127">
        <f t="shared" si="13"/>
        <v>14.016697199999999</v>
      </c>
      <c r="AF34" s="128">
        <f t="shared" si="7"/>
        <v>584.64</v>
      </c>
      <c r="AG34" s="128">
        <f t="shared" si="8"/>
        <v>2.3974919950738913</v>
      </c>
      <c r="AH34" s="128">
        <f t="shared" si="9"/>
        <v>584.64</v>
      </c>
      <c r="AI34" s="129">
        <f t="shared" si="10"/>
        <v>598.65669719999994</v>
      </c>
      <c r="AJ34" s="129">
        <f t="shared" si="11"/>
        <v>598.65669719999994</v>
      </c>
      <c r="AK34" s="129">
        <f t="shared" si="12"/>
        <v>4.1319850000000002</v>
      </c>
    </row>
    <row r="35" spans="1:42" ht="14">
      <c r="A35" s="108" t="s">
        <v>476</v>
      </c>
      <c r="B35" s="182" t="s">
        <v>342</v>
      </c>
      <c r="C35" s="178" t="s">
        <v>362</v>
      </c>
      <c r="D35" s="161" t="s">
        <v>383</v>
      </c>
      <c r="E35" s="130">
        <v>37.400027999999999</v>
      </c>
      <c r="F35" s="131">
        <v>140.98924400000001</v>
      </c>
      <c r="G35" s="132">
        <v>3</v>
      </c>
      <c r="H35" s="138" t="s">
        <v>492</v>
      </c>
      <c r="I35" s="138" t="s">
        <v>493</v>
      </c>
      <c r="J35" s="136">
        <v>9.5</v>
      </c>
      <c r="K35" s="139">
        <v>6.6</v>
      </c>
      <c r="L35" s="116">
        <v>42309</v>
      </c>
      <c r="M35" s="163" t="s">
        <v>360</v>
      </c>
      <c r="N35" s="163">
        <v>26</v>
      </c>
      <c r="O35" s="119">
        <f t="shared" si="26"/>
        <v>4368</v>
      </c>
      <c r="P35" s="163">
        <v>29</v>
      </c>
      <c r="Q35" s="120" t="s">
        <v>469</v>
      </c>
      <c r="R35" s="141" t="s">
        <v>366</v>
      </c>
      <c r="S35" s="141">
        <v>525</v>
      </c>
      <c r="T35" s="177">
        <v>3159</v>
      </c>
      <c r="U35" s="121">
        <f t="shared" ref="U35:U37" si="27">S35*0.25</f>
        <v>131.25</v>
      </c>
      <c r="V35" s="121">
        <f t="shared" ref="V35:V37" si="28">T35*0.25</f>
        <v>789.75</v>
      </c>
      <c r="W35" s="122">
        <f t="shared" si="23"/>
        <v>0.16619183285849953</v>
      </c>
      <c r="X35" s="123">
        <v>4.4900000000000002E-4</v>
      </c>
      <c r="Y35" s="124">
        <v>2.7500000000000002E-4</v>
      </c>
      <c r="Z35" s="125">
        <f t="shared" si="3"/>
        <v>5.8931250000000004E-2</v>
      </c>
      <c r="AA35" s="126">
        <f t="shared" si="4"/>
        <v>0.21718125000000002</v>
      </c>
      <c r="AB35" s="125">
        <f t="shared" si="5"/>
        <v>0.25741170000000002</v>
      </c>
      <c r="AC35" s="125">
        <v>0.27925919999999999</v>
      </c>
      <c r="AD35" s="125">
        <f t="shared" si="6"/>
        <v>0.94864770000000009</v>
      </c>
      <c r="AE35" s="127">
        <f t="shared" si="13"/>
        <v>1.2279069</v>
      </c>
      <c r="AF35" s="128">
        <f t="shared" si="7"/>
        <v>28.828799999999998</v>
      </c>
      <c r="AG35" s="128">
        <f t="shared" si="8"/>
        <v>4.2593063186813191</v>
      </c>
      <c r="AH35" s="128">
        <f t="shared" si="9"/>
        <v>41.496000000000002</v>
      </c>
      <c r="AI35" s="129">
        <f t="shared" si="10"/>
        <v>30.056706899999998</v>
      </c>
      <c r="AJ35" s="129">
        <f t="shared" si="11"/>
        <v>42.723906900000003</v>
      </c>
      <c r="AK35" s="129">
        <f t="shared" si="12"/>
        <v>3.2761125</v>
      </c>
    </row>
    <row r="36" spans="1:42" ht="14">
      <c r="A36" s="108" t="s">
        <v>476</v>
      </c>
      <c r="B36" s="182" t="s">
        <v>350</v>
      </c>
      <c r="C36" s="178" t="s">
        <v>371</v>
      </c>
      <c r="D36" s="161" t="s">
        <v>384</v>
      </c>
      <c r="E36" s="130">
        <v>37.390051</v>
      </c>
      <c r="F36" s="131">
        <v>140.99883399999999</v>
      </c>
      <c r="G36" s="132">
        <v>3</v>
      </c>
      <c r="H36" s="115" t="s">
        <v>493</v>
      </c>
      <c r="I36" s="115" t="s">
        <v>493</v>
      </c>
      <c r="J36" s="136">
        <v>9.5</v>
      </c>
      <c r="K36" s="139">
        <v>6.6</v>
      </c>
      <c r="L36" s="116">
        <v>42309</v>
      </c>
      <c r="M36" s="163" t="s">
        <v>358</v>
      </c>
      <c r="N36" s="163">
        <v>46</v>
      </c>
      <c r="O36" s="119">
        <f t="shared" si="26"/>
        <v>7728</v>
      </c>
      <c r="P36" s="163">
        <v>43.9</v>
      </c>
      <c r="Q36" s="120" t="s">
        <v>469</v>
      </c>
      <c r="R36" s="120" t="s">
        <v>48</v>
      </c>
      <c r="S36" s="121">
        <v>1863.3</v>
      </c>
      <c r="T36" s="121">
        <v>11099</v>
      </c>
      <c r="U36" s="121">
        <f t="shared" si="27"/>
        <v>465.82499999999999</v>
      </c>
      <c r="V36" s="121">
        <f t="shared" si="28"/>
        <v>2774.75</v>
      </c>
      <c r="W36" s="122">
        <f t="shared" si="23"/>
        <v>0.16787998918821515</v>
      </c>
      <c r="X36" s="123">
        <v>4.4900000000000002E-4</v>
      </c>
      <c r="Y36" s="124">
        <v>2.7500000000000002E-4</v>
      </c>
      <c r="Z36" s="125">
        <f t="shared" si="3"/>
        <v>0.20915542500000001</v>
      </c>
      <c r="AA36" s="126">
        <f t="shared" si="4"/>
        <v>0.76305624999999999</v>
      </c>
      <c r="AB36" s="125">
        <f t="shared" si="5"/>
        <v>1.6163531244</v>
      </c>
      <c r="AC36" s="125">
        <v>1.8736343999999998</v>
      </c>
      <c r="AD36" s="125">
        <f t="shared" si="6"/>
        <v>5.8968986999999995</v>
      </c>
      <c r="AE36" s="127">
        <f t="shared" si="13"/>
        <v>7.7705330999999997</v>
      </c>
      <c r="AF36" s="128">
        <f t="shared" si="7"/>
        <v>51.004799999999996</v>
      </c>
      <c r="AG36" s="128">
        <f t="shared" si="8"/>
        <v>15.234905538302279</v>
      </c>
      <c r="AH36" s="128">
        <f t="shared" si="9"/>
        <v>73.415999999999997</v>
      </c>
      <c r="AI36" s="129">
        <f t="shared" si="10"/>
        <v>58.775333099999997</v>
      </c>
      <c r="AJ36" s="129">
        <f t="shared" si="11"/>
        <v>81.186533099999991</v>
      </c>
      <c r="AK36" s="129">
        <f t="shared" si="12"/>
        <v>3.9722116750000001</v>
      </c>
    </row>
    <row r="37" spans="1:42" ht="14">
      <c r="A37" s="108" t="s">
        <v>476</v>
      </c>
      <c r="B37" s="182" t="s">
        <v>385</v>
      </c>
      <c r="C37" s="178" t="s">
        <v>371</v>
      </c>
      <c r="D37" s="161" t="s">
        <v>376</v>
      </c>
      <c r="E37" s="130">
        <v>37.399016000000003</v>
      </c>
      <c r="F37" s="131">
        <v>140.97198299999999</v>
      </c>
      <c r="G37" s="132">
        <v>1</v>
      </c>
      <c r="H37" s="138" t="s">
        <v>492</v>
      </c>
      <c r="I37" s="138" t="s">
        <v>493</v>
      </c>
      <c r="J37" s="136">
        <v>9.5</v>
      </c>
      <c r="K37" s="139">
        <v>6.6</v>
      </c>
      <c r="L37" s="116">
        <v>42309</v>
      </c>
      <c r="M37" s="163" t="s">
        <v>360</v>
      </c>
      <c r="N37" s="163">
        <v>26</v>
      </c>
      <c r="O37" s="119">
        <f t="shared" si="26"/>
        <v>4368</v>
      </c>
      <c r="P37" s="163">
        <v>31.6</v>
      </c>
      <c r="Q37" s="120" t="s">
        <v>469</v>
      </c>
      <c r="R37" s="120" t="s">
        <v>48</v>
      </c>
      <c r="S37" s="141">
        <v>193</v>
      </c>
      <c r="T37" s="141">
        <v>1157</v>
      </c>
      <c r="U37" s="121">
        <f t="shared" si="27"/>
        <v>48.25</v>
      </c>
      <c r="V37" s="121">
        <f t="shared" si="28"/>
        <v>289.25</v>
      </c>
      <c r="W37" s="122">
        <f t="shared" si="23"/>
        <v>0.16681071737251513</v>
      </c>
      <c r="X37" s="123">
        <v>4.4900000000000002E-4</v>
      </c>
      <c r="Y37" s="124">
        <v>2.7500000000000002E-4</v>
      </c>
      <c r="Z37" s="125">
        <f t="shared" si="3"/>
        <v>2.1664249999999999E-2</v>
      </c>
      <c r="AA37" s="126">
        <f t="shared" si="4"/>
        <v>7.954375000000001E-2</v>
      </c>
      <c r="AB37" s="125">
        <f t="shared" si="5"/>
        <v>9.4629443999999993E-2</v>
      </c>
      <c r="AC37" s="125">
        <v>0.10309859999999998</v>
      </c>
      <c r="AD37" s="125">
        <f t="shared" si="6"/>
        <v>0.34744710000000001</v>
      </c>
      <c r="AE37" s="127">
        <f t="shared" si="13"/>
        <v>0.45054569999999999</v>
      </c>
      <c r="AF37" s="128">
        <f t="shared" si="7"/>
        <v>28.828799999999998</v>
      </c>
      <c r="AG37" s="128">
        <f t="shared" si="8"/>
        <v>1.5628319597069598</v>
      </c>
      <c r="AH37" s="128">
        <f t="shared" si="9"/>
        <v>41.496000000000002</v>
      </c>
      <c r="AI37" s="129">
        <f t="shared" si="10"/>
        <v>29.279345699999997</v>
      </c>
      <c r="AJ37" s="129">
        <f t="shared" si="11"/>
        <v>41.946545700000001</v>
      </c>
      <c r="AK37" s="129">
        <f t="shared" si="12"/>
        <v>1.101208</v>
      </c>
    </row>
    <row r="38" spans="1:42" ht="14">
      <c r="A38" s="164" t="s">
        <v>504</v>
      </c>
      <c r="B38" s="183" t="s">
        <v>556</v>
      </c>
      <c r="C38" s="178" t="s">
        <v>368</v>
      </c>
      <c r="D38" s="161" t="s">
        <v>387</v>
      </c>
      <c r="E38" s="130">
        <v>37.429225000000002</v>
      </c>
      <c r="F38" s="131">
        <v>141.00947600000001</v>
      </c>
      <c r="G38" s="132">
        <v>14</v>
      </c>
      <c r="H38" s="162">
        <v>19</v>
      </c>
      <c r="I38" s="162">
        <v>19</v>
      </c>
      <c r="J38" s="211">
        <v>40</v>
      </c>
      <c r="K38" s="210">
        <v>40</v>
      </c>
      <c r="L38" s="116">
        <v>41944</v>
      </c>
      <c r="M38" s="163" t="s">
        <v>358</v>
      </c>
      <c r="N38" s="163">
        <v>62</v>
      </c>
      <c r="O38" s="119">
        <f t="shared" si="26"/>
        <v>10416</v>
      </c>
      <c r="P38" s="163">
        <v>39.200000000000003</v>
      </c>
      <c r="Q38" s="140" t="s">
        <v>523</v>
      </c>
      <c r="R38" s="141"/>
      <c r="S38" s="141"/>
      <c r="T38" s="141"/>
      <c r="U38" s="141"/>
      <c r="V38" s="141"/>
      <c r="W38" s="141"/>
      <c r="X38" s="123">
        <v>4.4900000000000002E-4</v>
      </c>
      <c r="Y38" s="124">
        <v>2.7500000000000002E-4</v>
      </c>
      <c r="Z38" s="125">
        <f t="shared" si="3"/>
        <v>0</v>
      </c>
      <c r="AA38" s="126">
        <f t="shared" si="4"/>
        <v>0</v>
      </c>
      <c r="AB38" s="125">
        <f t="shared" si="5"/>
        <v>0</v>
      </c>
      <c r="AC38" s="125">
        <v>0</v>
      </c>
      <c r="AD38" s="125">
        <f t="shared" si="6"/>
        <v>0</v>
      </c>
      <c r="AE38" s="127">
        <f t="shared" si="13"/>
        <v>0</v>
      </c>
      <c r="AF38" s="128">
        <f t="shared" si="7"/>
        <v>416.64</v>
      </c>
      <c r="AG38" s="128">
        <f t="shared" si="8"/>
        <v>0</v>
      </c>
      <c r="AH38" s="128">
        <f t="shared" si="9"/>
        <v>416.64</v>
      </c>
      <c r="AI38" s="129">
        <f t="shared" si="10"/>
        <v>416.64</v>
      </c>
      <c r="AJ38" s="129">
        <f t="shared" si="11"/>
        <v>416.64</v>
      </c>
      <c r="AK38" s="129">
        <f t="shared" si="12"/>
        <v>14</v>
      </c>
    </row>
    <row r="39" spans="1:42" ht="14">
      <c r="A39" s="108" t="s">
        <v>476</v>
      </c>
      <c r="B39" s="184" t="s">
        <v>388</v>
      </c>
      <c r="C39" s="178" t="s">
        <v>371</v>
      </c>
      <c r="D39" s="161" t="s">
        <v>372</v>
      </c>
      <c r="E39" s="130">
        <v>37.414073999999999</v>
      </c>
      <c r="F39" s="131">
        <v>140.98737299999999</v>
      </c>
      <c r="G39" s="132">
        <v>7</v>
      </c>
      <c r="H39" s="142" t="s">
        <v>499</v>
      </c>
      <c r="I39" s="142" t="s">
        <v>499</v>
      </c>
      <c r="J39" s="142">
        <v>19</v>
      </c>
      <c r="K39" s="115">
        <v>14</v>
      </c>
      <c r="L39" s="116">
        <v>42309</v>
      </c>
      <c r="M39" s="163" t="s">
        <v>389</v>
      </c>
      <c r="N39" s="163">
        <v>48</v>
      </c>
      <c r="O39" s="119">
        <f>N39*7*24</f>
        <v>8064</v>
      </c>
      <c r="P39" s="163">
        <v>48.6</v>
      </c>
      <c r="Q39" s="180" t="s">
        <v>523</v>
      </c>
      <c r="R39" s="141"/>
      <c r="S39" s="181" t="s">
        <v>474</v>
      </c>
      <c r="T39" s="181" t="s">
        <v>474</v>
      </c>
      <c r="U39" s="152">
        <v>590</v>
      </c>
      <c r="V39" s="152">
        <v>3153</v>
      </c>
      <c r="W39" s="122">
        <f t="shared" ref="W39:W45" si="29">U39/V39</f>
        <v>0.1871233745639074</v>
      </c>
      <c r="X39" s="123">
        <v>4.4900000000000002E-4</v>
      </c>
      <c r="Y39" s="124">
        <v>2.7500000000000002E-4</v>
      </c>
      <c r="Z39" s="125">
        <f t="shared" si="3"/>
        <v>0.26491000000000003</v>
      </c>
      <c r="AA39" s="126">
        <f t="shared" si="4"/>
        <v>0.86707500000000004</v>
      </c>
      <c r="AB39" s="125">
        <f t="shared" si="5"/>
        <v>2.1362342400000003</v>
      </c>
      <c r="AC39" s="125">
        <v>2.4938495999999999</v>
      </c>
      <c r="AD39" s="125">
        <f t="shared" si="6"/>
        <v>6.9920928</v>
      </c>
      <c r="AE39" s="127">
        <f t="shared" si="13"/>
        <v>9.485942399999999</v>
      </c>
      <c r="AF39" s="128">
        <f t="shared" si="7"/>
        <v>112.896</v>
      </c>
      <c r="AG39" s="128">
        <f t="shared" si="8"/>
        <v>8.402372448979591</v>
      </c>
      <c r="AH39" s="128">
        <f t="shared" si="9"/>
        <v>153.21600000000001</v>
      </c>
      <c r="AI39" s="129">
        <f t="shared" si="10"/>
        <v>122.3819424</v>
      </c>
      <c r="AJ39" s="129">
        <f t="shared" si="11"/>
        <v>162.70194240000001</v>
      </c>
      <c r="AK39" s="129">
        <f t="shared" si="12"/>
        <v>8.1319850000000002</v>
      </c>
    </row>
    <row r="40" spans="1:42" ht="14">
      <c r="A40" s="108" t="s">
        <v>476</v>
      </c>
      <c r="B40" s="185" t="s">
        <v>390</v>
      </c>
      <c r="C40" s="178" t="s">
        <v>362</v>
      </c>
      <c r="D40" s="161" t="s">
        <v>384</v>
      </c>
      <c r="E40" s="130">
        <v>37.390051</v>
      </c>
      <c r="F40" s="131">
        <v>140.99883399999999</v>
      </c>
      <c r="G40" s="132">
        <v>3</v>
      </c>
      <c r="H40" s="136" t="s">
        <v>493</v>
      </c>
      <c r="I40" s="136" t="s">
        <v>493</v>
      </c>
      <c r="J40" s="136">
        <v>9.5</v>
      </c>
      <c r="K40" s="139">
        <v>6.6</v>
      </c>
      <c r="L40" s="116">
        <v>42309</v>
      </c>
      <c r="M40" s="163" t="s">
        <v>379</v>
      </c>
      <c r="N40" s="163" t="s">
        <v>391</v>
      </c>
      <c r="O40" s="186">
        <f>23.5*7*24</f>
        <v>3948</v>
      </c>
      <c r="P40" s="163">
        <v>22.1</v>
      </c>
      <c r="Q40" s="120" t="s">
        <v>469</v>
      </c>
      <c r="R40" s="120" t="s">
        <v>48</v>
      </c>
      <c r="S40" s="121">
        <v>2730.1</v>
      </c>
      <c r="T40" s="121">
        <v>16030</v>
      </c>
      <c r="U40" s="121">
        <f t="shared" ref="U40:U49" si="30">S40*0.25</f>
        <v>682.52499999999998</v>
      </c>
      <c r="V40" s="121">
        <f t="shared" ref="V40:V49" si="31">T40*0.25</f>
        <v>4007.5</v>
      </c>
      <c r="W40" s="122">
        <f t="shared" si="29"/>
        <v>0.17031191515907673</v>
      </c>
      <c r="X40" s="123">
        <v>4.4900000000000002E-4</v>
      </c>
      <c r="Y40" s="124">
        <v>2.7500000000000002E-4</v>
      </c>
      <c r="Z40" s="125">
        <f t="shared" si="3"/>
        <v>0.30645372500000001</v>
      </c>
      <c r="AA40" s="126">
        <f t="shared" si="4"/>
        <v>1.1020625000000002</v>
      </c>
      <c r="AB40" s="125">
        <f t="shared" si="5"/>
        <v>1.2098793063</v>
      </c>
      <c r="AC40" s="125">
        <v>1.3037508</v>
      </c>
      <c r="AD40" s="125">
        <f t="shared" si="6"/>
        <v>4.3509427500000006</v>
      </c>
      <c r="AE40" s="127">
        <f t="shared" si="13"/>
        <v>5.6546935500000011</v>
      </c>
      <c r="AF40" s="128">
        <f t="shared" si="7"/>
        <v>26.056799999999999</v>
      </c>
      <c r="AG40" s="128">
        <f t="shared" si="8"/>
        <v>21.701412107396152</v>
      </c>
      <c r="AH40" s="128">
        <f t="shared" si="9"/>
        <v>37.506</v>
      </c>
      <c r="AI40" s="129">
        <f t="shared" si="10"/>
        <v>31.71149355</v>
      </c>
      <c r="AJ40" s="129">
        <f t="shared" si="11"/>
        <v>43.160693550000005</v>
      </c>
      <c r="AK40" s="129">
        <f t="shared" si="12"/>
        <v>4.4085162249999996</v>
      </c>
    </row>
    <row r="41" spans="1:42" ht="14">
      <c r="A41" s="108" t="s">
        <v>476</v>
      </c>
      <c r="B41" s="185" t="s">
        <v>470</v>
      </c>
      <c r="C41" s="178" t="s">
        <v>368</v>
      </c>
      <c r="D41" s="161" t="s">
        <v>392</v>
      </c>
      <c r="E41" s="130">
        <v>37.408543999999999</v>
      </c>
      <c r="F41" s="131">
        <v>140.975109</v>
      </c>
      <c r="G41" s="135">
        <v>1.5</v>
      </c>
      <c r="H41" s="138" t="s">
        <v>496</v>
      </c>
      <c r="I41" s="138" t="s">
        <v>492</v>
      </c>
      <c r="J41" s="138">
        <v>3.8</v>
      </c>
      <c r="K41" s="139">
        <v>2.8</v>
      </c>
      <c r="L41" s="116">
        <v>42309</v>
      </c>
      <c r="M41" s="163" t="s">
        <v>359</v>
      </c>
      <c r="N41" s="163">
        <v>26</v>
      </c>
      <c r="O41" s="119">
        <f t="shared" ref="O41:O42" si="32">N41*7*24</f>
        <v>4368</v>
      </c>
      <c r="P41" s="163">
        <v>25.5</v>
      </c>
      <c r="Q41" s="120" t="s">
        <v>469</v>
      </c>
      <c r="R41" s="120" t="s">
        <v>48</v>
      </c>
      <c r="S41" s="121">
        <v>2510.1</v>
      </c>
      <c r="T41" s="121">
        <v>14275</v>
      </c>
      <c r="U41" s="121">
        <f t="shared" si="30"/>
        <v>627.52499999999998</v>
      </c>
      <c r="V41" s="121">
        <f t="shared" si="31"/>
        <v>3568.75</v>
      </c>
      <c r="W41" s="122">
        <f t="shared" si="29"/>
        <v>0.17583887915936952</v>
      </c>
      <c r="X41" s="123">
        <v>4.4900000000000002E-4</v>
      </c>
      <c r="Y41" s="124">
        <v>2.7500000000000002E-4</v>
      </c>
      <c r="Z41" s="125">
        <f t="shared" si="3"/>
        <v>0.28175872499999999</v>
      </c>
      <c r="AA41" s="126">
        <f t="shared" si="4"/>
        <v>0.98140625000000004</v>
      </c>
      <c r="AB41" s="125">
        <f t="shared" si="5"/>
        <v>1.2307221107999999</v>
      </c>
      <c r="AC41" s="125">
        <v>1.3370346</v>
      </c>
      <c r="AD41" s="125">
        <f t="shared" si="6"/>
        <v>4.2867825000000002</v>
      </c>
      <c r="AE41" s="127">
        <f t="shared" si="13"/>
        <v>5.6238171000000001</v>
      </c>
      <c r="AF41" s="128">
        <f t="shared" si="7"/>
        <v>12.230399999999999</v>
      </c>
      <c r="AG41" s="128">
        <f t="shared" si="8"/>
        <v>45.982282672684462</v>
      </c>
      <c r="AH41" s="128">
        <f t="shared" si="9"/>
        <v>16.598399999999998</v>
      </c>
      <c r="AI41" s="129">
        <f t="shared" si="10"/>
        <v>17.8542171</v>
      </c>
      <c r="AJ41" s="129">
        <f t="shared" si="11"/>
        <v>22.222217099999998</v>
      </c>
      <c r="AK41" s="129">
        <f t="shared" si="12"/>
        <v>2.763164975</v>
      </c>
    </row>
    <row r="42" spans="1:42" ht="14">
      <c r="A42" s="108" t="s">
        <v>476</v>
      </c>
      <c r="B42" s="185" t="s">
        <v>471</v>
      </c>
      <c r="C42" s="178" t="s">
        <v>362</v>
      </c>
      <c r="D42" s="161" t="s">
        <v>393</v>
      </c>
      <c r="E42" s="130">
        <v>37.408543999999999</v>
      </c>
      <c r="F42" s="131">
        <v>140.975109</v>
      </c>
      <c r="G42" s="135">
        <v>1.5</v>
      </c>
      <c r="H42" s="138" t="s">
        <v>496</v>
      </c>
      <c r="I42" s="138" t="s">
        <v>492</v>
      </c>
      <c r="J42" s="138">
        <v>3.8</v>
      </c>
      <c r="K42" s="139">
        <v>2.8</v>
      </c>
      <c r="L42" s="116">
        <v>42309</v>
      </c>
      <c r="M42" s="163" t="s">
        <v>373</v>
      </c>
      <c r="N42" s="163">
        <v>26</v>
      </c>
      <c r="O42" s="119">
        <f t="shared" si="32"/>
        <v>4368</v>
      </c>
      <c r="P42" s="163">
        <v>22.2</v>
      </c>
      <c r="Q42" s="120" t="s">
        <v>469</v>
      </c>
      <c r="R42" s="120" t="s">
        <v>48</v>
      </c>
      <c r="S42" s="121">
        <v>2089.8000000000002</v>
      </c>
      <c r="T42" s="121">
        <v>12500</v>
      </c>
      <c r="U42" s="121">
        <f t="shared" si="30"/>
        <v>522.45000000000005</v>
      </c>
      <c r="V42" s="121">
        <f t="shared" si="31"/>
        <v>3125</v>
      </c>
      <c r="W42" s="122">
        <f t="shared" si="29"/>
        <v>0.16718400000000003</v>
      </c>
      <c r="X42" s="123">
        <v>4.4900000000000002E-4</v>
      </c>
      <c r="Y42" s="124">
        <v>2.7500000000000002E-4</v>
      </c>
      <c r="Z42" s="125">
        <f t="shared" si="3"/>
        <v>0.23458005000000004</v>
      </c>
      <c r="AA42" s="126">
        <f t="shared" si="4"/>
        <v>0.859375</v>
      </c>
      <c r="AB42" s="125">
        <f t="shared" si="5"/>
        <v>1.0246456584000003</v>
      </c>
      <c r="AC42" s="125">
        <v>1.112166</v>
      </c>
      <c r="AD42" s="125">
        <f t="shared" si="6"/>
        <v>3.7537500000000001</v>
      </c>
      <c r="AE42" s="127">
        <f t="shared" si="13"/>
        <v>4.8659160000000004</v>
      </c>
      <c r="AF42" s="128">
        <f t="shared" si="7"/>
        <v>12.230399999999999</v>
      </c>
      <c r="AG42" s="128">
        <f t="shared" si="8"/>
        <v>39.78541993720566</v>
      </c>
      <c r="AH42" s="128">
        <f t="shared" si="9"/>
        <v>16.598399999999998</v>
      </c>
      <c r="AI42" s="129">
        <f t="shared" si="10"/>
        <v>17.096316000000002</v>
      </c>
      <c r="AJ42" s="129">
        <f t="shared" si="11"/>
        <v>21.464315999999997</v>
      </c>
      <c r="AK42" s="129">
        <f t="shared" si="12"/>
        <v>2.5939550499999999</v>
      </c>
    </row>
    <row r="43" spans="1:42" ht="14">
      <c r="A43" s="108" t="s">
        <v>476</v>
      </c>
      <c r="B43" s="185" t="s">
        <v>472</v>
      </c>
      <c r="C43" s="178" t="s">
        <v>362</v>
      </c>
      <c r="D43" s="161" t="s">
        <v>381</v>
      </c>
      <c r="E43" s="130">
        <v>37.384897000000002</v>
      </c>
      <c r="F43" s="131">
        <v>141.00996499999999</v>
      </c>
      <c r="G43" s="132">
        <v>3</v>
      </c>
      <c r="H43" s="115" t="s">
        <v>493</v>
      </c>
      <c r="I43" s="115" t="s">
        <v>493</v>
      </c>
      <c r="J43" s="136">
        <v>9.5</v>
      </c>
      <c r="K43" s="139">
        <v>6.6</v>
      </c>
      <c r="L43" s="116">
        <v>42309</v>
      </c>
      <c r="M43" s="163" t="s">
        <v>360</v>
      </c>
      <c r="N43" s="163" t="s">
        <v>394</v>
      </c>
      <c r="O43" s="186">
        <f>23.5*7*24</f>
        <v>3948</v>
      </c>
      <c r="P43" s="163">
        <v>19.7</v>
      </c>
      <c r="Q43" s="120" t="s">
        <v>469</v>
      </c>
      <c r="R43" s="120" t="s">
        <v>48</v>
      </c>
      <c r="S43" s="121">
        <v>1272.3</v>
      </c>
      <c r="T43" s="121">
        <v>7528.6</v>
      </c>
      <c r="U43" s="121">
        <f t="shared" si="30"/>
        <v>318.07499999999999</v>
      </c>
      <c r="V43" s="121">
        <f t="shared" si="31"/>
        <v>1882.15</v>
      </c>
      <c r="W43" s="122">
        <f t="shared" si="29"/>
        <v>0.1689955635841989</v>
      </c>
      <c r="X43" s="123">
        <v>4.4900000000000002E-4</v>
      </c>
      <c r="Y43" s="124">
        <v>2.7500000000000002E-4</v>
      </c>
      <c r="Z43" s="125">
        <f t="shared" si="3"/>
        <v>0.142815675</v>
      </c>
      <c r="AA43" s="126">
        <f t="shared" si="4"/>
        <v>0.51759125000000006</v>
      </c>
      <c r="AB43" s="125">
        <f t="shared" si="5"/>
        <v>0.56383628490000004</v>
      </c>
      <c r="AC43" s="125">
        <v>0.60722640000000006</v>
      </c>
      <c r="AD43" s="125">
        <f t="shared" si="6"/>
        <v>2.0434502550000002</v>
      </c>
      <c r="AE43" s="127">
        <f t="shared" si="13"/>
        <v>2.6506766550000003</v>
      </c>
      <c r="AF43" s="128">
        <f t="shared" si="7"/>
        <v>26.056799999999999</v>
      </c>
      <c r="AG43" s="128">
        <f t="shared" si="8"/>
        <v>10.172686803444783</v>
      </c>
      <c r="AH43" s="128">
        <f t="shared" si="9"/>
        <v>37.506</v>
      </c>
      <c r="AI43" s="129">
        <f t="shared" si="10"/>
        <v>28.707476655000001</v>
      </c>
      <c r="AJ43" s="129">
        <f t="shared" si="11"/>
        <v>40.156676654999998</v>
      </c>
      <c r="AK43" s="129">
        <f t="shared" si="12"/>
        <v>3.6604069250000002</v>
      </c>
    </row>
    <row r="44" spans="1:42" s="73" customFormat="1" ht="14">
      <c r="A44" s="108" t="s">
        <v>476</v>
      </c>
      <c r="B44" s="185" t="s">
        <v>395</v>
      </c>
      <c r="C44" s="161" t="s">
        <v>361</v>
      </c>
      <c r="D44" s="161" t="s">
        <v>396</v>
      </c>
      <c r="E44" s="130">
        <v>37.459736999999997</v>
      </c>
      <c r="F44" s="131">
        <v>141.02934500000001</v>
      </c>
      <c r="G44" s="187">
        <v>1.5</v>
      </c>
      <c r="H44" s="138" t="s">
        <v>496</v>
      </c>
      <c r="I44" s="138" t="s">
        <v>492</v>
      </c>
      <c r="J44" s="138">
        <v>3.8</v>
      </c>
      <c r="K44" s="139">
        <v>2.8</v>
      </c>
      <c r="L44" s="116">
        <v>42309</v>
      </c>
      <c r="M44" s="117" t="s">
        <v>379</v>
      </c>
      <c r="N44" s="117" t="s">
        <v>391</v>
      </c>
      <c r="O44" s="119">
        <f>23.5*7*24</f>
        <v>3948</v>
      </c>
      <c r="P44" s="117">
        <v>25.5</v>
      </c>
      <c r="Q44" s="141">
        <v>34</v>
      </c>
      <c r="R44" s="141" t="s">
        <v>512</v>
      </c>
      <c r="S44" s="172">
        <v>30</v>
      </c>
      <c r="T44" s="172">
        <v>167</v>
      </c>
      <c r="U44" s="143">
        <f t="shared" si="30"/>
        <v>7.5</v>
      </c>
      <c r="V44" s="143">
        <f t="shared" si="31"/>
        <v>41.75</v>
      </c>
      <c r="W44" s="188">
        <f t="shared" si="29"/>
        <v>0.17964071856287425</v>
      </c>
      <c r="X44" s="123">
        <v>4.4900000000000002E-4</v>
      </c>
      <c r="Y44" s="124">
        <v>2.7500000000000002E-4</v>
      </c>
      <c r="Z44" s="125">
        <f t="shared" si="3"/>
        <v>3.3675000000000003E-3</v>
      </c>
      <c r="AA44" s="126">
        <f t="shared" si="4"/>
        <v>1.148125E-2</v>
      </c>
      <c r="AB44" s="125">
        <f t="shared" si="5"/>
        <v>1.329489E-2</v>
      </c>
      <c r="AC44" s="125">
        <v>1.4368859999999997E-2</v>
      </c>
      <c r="AD44" s="125">
        <f t="shared" si="6"/>
        <v>4.5327975E-2</v>
      </c>
      <c r="AE44" s="127">
        <f t="shared" si="13"/>
        <v>5.9696834999999997E-2</v>
      </c>
      <c r="AF44" s="128">
        <f t="shared" si="7"/>
        <v>11.054399999999999</v>
      </c>
      <c r="AG44" s="128">
        <f t="shared" si="8"/>
        <v>0.54002781697785496</v>
      </c>
      <c r="AH44" s="128">
        <f t="shared" si="9"/>
        <v>15.0024</v>
      </c>
      <c r="AI44" s="129">
        <f t="shared" si="10"/>
        <v>11.114096835</v>
      </c>
      <c r="AJ44" s="129">
        <f t="shared" si="11"/>
        <v>15.062096835</v>
      </c>
      <c r="AK44" s="129">
        <f t="shared" si="12"/>
        <v>1.5148487500000001</v>
      </c>
      <c r="AL44" s="8"/>
      <c r="AM44" s="8"/>
      <c r="AN44" s="8"/>
      <c r="AO44" s="8"/>
      <c r="AP44" s="8"/>
    </row>
    <row r="45" spans="1:42" ht="14">
      <c r="A45" s="108" t="s">
        <v>476</v>
      </c>
      <c r="B45" s="185" t="s">
        <v>397</v>
      </c>
      <c r="C45" s="178" t="s">
        <v>362</v>
      </c>
      <c r="D45" s="161" t="s">
        <v>378</v>
      </c>
      <c r="E45" s="130">
        <v>37.384897000000002</v>
      </c>
      <c r="F45" s="131">
        <v>141.00996499999999</v>
      </c>
      <c r="G45" s="132">
        <v>3</v>
      </c>
      <c r="H45" s="115" t="s">
        <v>493</v>
      </c>
      <c r="I45" s="115" t="s">
        <v>493</v>
      </c>
      <c r="J45" s="136">
        <v>9.5</v>
      </c>
      <c r="K45" s="139">
        <v>6.6</v>
      </c>
      <c r="L45" s="116">
        <v>42309</v>
      </c>
      <c r="M45" s="163" t="s">
        <v>360</v>
      </c>
      <c r="N45" s="163" t="s">
        <v>398</v>
      </c>
      <c r="O45" s="186">
        <f>29*7*24</f>
        <v>4872</v>
      </c>
      <c r="P45" s="163">
        <v>47.1</v>
      </c>
      <c r="Q45" s="120" t="s">
        <v>469</v>
      </c>
      <c r="R45" s="120" t="s">
        <v>48</v>
      </c>
      <c r="S45" s="141">
        <v>372</v>
      </c>
      <c r="T45" s="141">
        <v>2177</v>
      </c>
      <c r="U45" s="121">
        <f t="shared" si="30"/>
        <v>93</v>
      </c>
      <c r="V45" s="121">
        <f t="shared" si="31"/>
        <v>544.25</v>
      </c>
      <c r="W45" s="122">
        <f t="shared" si="29"/>
        <v>0.17087735415709693</v>
      </c>
      <c r="X45" s="123">
        <v>4.4900000000000002E-4</v>
      </c>
      <c r="Y45" s="124">
        <v>2.7500000000000002E-4</v>
      </c>
      <c r="Z45" s="125">
        <f t="shared" si="3"/>
        <v>4.1757000000000002E-2</v>
      </c>
      <c r="AA45" s="126">
        <f t="shared" si="4"/>
        <v>0.14966875000000002</v>
      </c>
      <c r="AB45" s="125">
        <f t="shared" si="5"/>
        <v>0.20344010400000001</v>
      </c>
      <c r="AC45" s="125">
        <v>0.2224332</v>
      </c>
      <c r="AD45" s="125">
        <f t="shared" si="6"/>
        <v>0.72918615000000009</v>
      </c>
      <c r="AE45" s="127">
        <f t="shared" si="13"/>
        <v>0.95161935000000009</v>
      </c>
      <c r="AF45" s="128">
        <f t="shared" si="7"/>
        <v>32.155199999999994</v>
      </c>
      <c r="AG45" s="128">
        <f t="shared" si="8"/>
        <v>2.9594571018062408</v>
      </c>
      <c r="AH45" s="128">
        <f t="shared" si="9"/>
        <v>46.283999999999999</v>
      </c>
      <c r="AI45" s="129">
        <f t="shared" si="10"/>
        <v>33.106819349999995</v>
      </c>
      <c r="AJ45" s="129">
        <f t="shared" si="11"/>
        <v>47.23561935</v>
      </c>
      <c r="AK45" s="129">
        <f t="shared" si="12"/>
        <v>3.1914257500000001</v>
      </c>
    </row>
    <row r="46" spans="1:42" ht="14">
      <c r="A46" s="108" t="s">
        <v>476</v>
      </c>
      <c r="B46" s="185" t="s">
        <v>399</v>
      </c>
      <c r="C46" s="178" t="s">
        <v>400</v>
      </c>
      <c r="D46" s="161" t="s">
        <v>401</v>
      </c>
      <c r="E46" s="130">
        <v>36.439514000000003</v>
      </c>
      <c r="F46" s="131">
        <v>139.64284699999999</v>
      </c>
      <c r="G46" s="135">
        <v>0.1</v>
      </c>
      <c r="H46" s="138">
        <v>0.1</v>
      </c>
      <c r="I46" s="138">
        <v>0.1</v>
      </c>
      <c r="J46" s="138">
        <v>0.1</v>
      </c>
      <c r="K46" s="138">
        <v>0.1</v>
      </c>
      <c r="L46" s="116">
        <v>41944</v>
      </c>
      <c r="M46" s="163" t="s">
        <v>77</v>
      </c>
      <c r="N46" s="163">
        <v>87</v>
      </c>
      <c r="O46" s="119">
        <f t="shared" ref="O46:O49" si="33">N46*7*24</f>
        <v>14616</v>
      </c>
      <c r="P46" s="163">
        <v>43.4</v>
      </c>
      <c r="Q46" s="120" t="s">
        <v>469</v>
      </c>
      <c r="R46" s="120" t="s">
        <v>48</v>
      </c>
      <c r="S46" s="141" t="s">
        <v>525</v>
      </c>
      <c r="T46" s="141">
        <v>5</v>
      </c>
      <c r="U46" s="141" t="s">
        <v>525</v>
      </c>
      <c r="V46" s="121">
        <f t="shared" si="31"/>
        <v>1.25</v>
      </c>
      <c r="W46" s="121"/>
      <c r="X46" s="123">
        <v>4.4900000000000002E-4</v>
      </c>
      <c r="Y46" s="124">
        <v>2.7500000000000002E-4</v>
      </c>
      <c r="Z46" s="125" t="s">
        <v>525</v>
      </c>
      <c r="AA46" s="189">
        <f t="shared" si="4"/>
        <v>3.4375000000000003E-4</v>
      </c>
      <c r="AB46" s="125" t="s">
        <v>525</v>
      </c>
      <c r="AC46" s="125">
        <v>0</v>
      </c>
      <c r="AD46" s="125">
        <f t="shared" si="6"/>
        <v>5.0242500000000001E-3</v>
      </c>
      <c r="AE46" s="127">
        <f t="shared" si="13"/>
        <v>5.0242500000000001E-3</v>
      </c>
      <c r="AF46" s="128">
        <f t="shared" si="7"/>
        <v>1.4616000000000002</v>
      </c>
      <c r="AG46" s="128">
        <f t="shared" si="8"/>
        <v>0.34374999999999994</v>
      </c>
      <c r="AH46" s="128">
        <f t="shared" si="9"/>
        <v>1.4616000000000002</v>
      </c>
      <c r="AI46" s="129">
        <f t="shared" si="10"/>
        <v>1.4666242500000002</v>
      </c>
      <c r="AJ46" s="129">
        <f t="shared" si="11"/>
        <v>1.4666242500000002</v>
      </c>
      <c r="AK46" s="129">
        <f>G46+AA46</f>
        <v>0.10034375000000001</v>
      </c>
    </row>
    <row r="47" spans="1:42" ht="14">
      <c r="A47" s="108" t="s">
        <v>476</v>
      </c>
      <c r="B47" s="185" t="s">
        <v>402</v>
      </c>
      <c r="C47" s="178" t="s">
        <v>400</v>
      </c>
      <c r="D47" s="161" t="s">
        <v>403</v>
      </c>
      <c r="E47" s="130">
        <v>36.439514000000003</v>
      </c>
      <c r="F47" s="131">
        <v>139.64284699999999</v>
      </c>
      <c r="G47" s="135">
        <v>0.1</v>
      </c>
      <c r="H47" s="138">
        <v>0.1</v>
      </c>
      <c r="I47" s="138">
        <v>0.1</v>
      </c>
      <c r="J47" s="138">
        <v>0.1</v>
      </c>
      <c r="K47" s="138">
        <v>0.1</v>
      </c>
      <c r="L47" s="116">
        <v>41944</v>
      </c>
      <c r="M47" s="163" t="s">
        <v>76</v>
      </c>
      <c r="N47" s="163">
        <v>62</v>
      </c>
      <c r="O47" s="119">
        <f t="shared" si="33"/>
        <v>10416</v>
      </c>
      <c r="P47" s="163">
        <v>30.3</v>
      </c>
      <c r="Q47" s="120" t="s">
        <v>469</v>
      </c>
      <c r="R47" s="120" t="s">
        <v>48</v>
      </c>
      <c r="S47" s="141" t="s">
        <v>525</v>
      </c>
      <c r="T47" s="141">
        <v>4</v>
      </c>
      <c r="U47" s="141" t="s">
        <v>525</v>
      </c>
      <c r="V47" s="121">
        <f t="shared" si="31"/>
        <v>1</v>
      </c>
      <c r="W47" s="121"/>
      <c r="X47" s="123">
        <v>4.4900000000000002E-4</v>
      </c>
      <c r="Y47" s="124">
        <v>2.7500000000000002E-4</v>
      </c>
      <c r="Z47" s="125" t="s">
        <v>525</v>
      </c>
      <c r="AA47" s="189">
        <f t="shared" si="4"/>
        <v>2.7500000000000002E-4</v>
      </c>
      <c r="AB47" s="125" t="s">
        <v>525</v>
      </c>
      <c r="AC47" s="125">
        <v>0</v>
      </c>
      <c r="AD47" s="125">
        <f t="shared" si="6"/>
        <v>2.8644000000000005E-3</v>
      </c>
      <c r="AE47" s="127">
        <f t="shared" si="13"/>
        <v>2.8644000000000005E-3</v>
      </c>
      <c r="AF47" s="128">
        <f t="shared" si="7"/>
        <v>1.0416000000000001</v>
      </c>
      <c r="AG47" s="128">
        <f t="shared" si="8"/>
        <v>0.27500000000000002</v>
      </c>
      <c r="AH47" s="128">
        <f t="shared" si="9"/>
        <v>1.0416000000000001</v>
      </c>
      <c r="AI47" s="129">
        <f t="shared" si="10"/>
        <v>1.0444644000000001</v>
      </c>
      <c r="AJ47" s="129">
        <f t="shared" si="11"/>
        <v>1.0444644000000001</v>
      </c>
      <c r="AK47" s="129">
        <f>G47+AA47</f>
        <v>0.100275</v>
      </c>
    </row>
    <row r="48" spans="1:42" ht="14">
      <c r="A48" s="108" t="s">
        <v>476</v>
      </c>
      <c r="B48" s="185" t="s">
        <v>404</v>
      </c>
      <c r="C48" s="178" t="s">
        <v>368</v>
      </c>
      <c r="D48" s="161" t="s">
        <v>405</v>
      </c>
      <c r="E48" s="130">
        <v>37.414776000000003</v>
      </c>
      <c r="F48" s="131">
        <v>140.94436099999999</v>
      </c>
      <c r="G48" s="132">
        <v>3</v>
      </c>
      <c r="H48" s="115" t="s">
        <v>493</v>
      </c>
      <c r="I48" s="115" t="s">
        <v>493</v>
      </c>
      <c r="J48" s="136">
        <v>9.5</v>
      </c>
      <c r="K48" s="139">
        <v>6.6</v>
      </c>
      <c r="L48" s="116">
        <v>41579</v>
      </c>
      <c r="M48" s="163" t="s">
        <v>360</v>
      </c>
      <c r="N48" s="163">
        <v>145</v>
      </c>
      <c r="O48" s="119">
        <f t="shared" si="33"/>
        <v>24360</v>
      </c>
      <c r="P48" s="163">
        <v>99.8</v>
      </c>
      <c r="Q48" s="120" t="s">
        <v>469</v>
      </c>
      <c r="R48" s="120" t="s">
        <v>48</v>
      </c>
      <c r="S48" s="121">
        <v>1401.3</v>
      </c>
      <c r="T48" s="121">
        <v>8302.2999999999993</v>
      </c>
      <c r="U48" s="121">
        <f t="shared" si="30"/>
        <v>350.32499999999999</v>
      </c>
      <c r="V48" s="121">
        <f t="shared" si="31"/>
        <v>2075.5749999999998</v>
      </c>
      <c r="W48" s="122">
        <f t="shared" ref="W48:W49" si="34">U48/V48</f>
        <v>0.16878455367789649</v>
      </c>
      <c r="X48" s="123">
        <v>4.4900000000000002E-4</v>
      </c>
      <c r="Y48" s="124">
        <v>2.7500000000000002E-4</v>
      </c>
      <c r="Z48" s="125">
        <f t="shared" si="3"/>
        <v>0.157295925</v>
      </c>
      <c r="AA48" s="126">
        <f t="shared" si="4"/>
        <v>0.57078312499999995</v>
      </c>
      <c r="AB48" s="125">
        <f t="shared" si="5"/>
        <v>3.8317287329999998</v>
      </c>
      <c r="AC48" s="125">
        <v>6.2622251999999996</v>
      </c>
      <c r="AD48" s="125">
        <f t="shared" si="6"/>
        <v>13.904276924999998</v>
      </c>
      <c r="AE48" s="127">
        <f t="shared" si="13"/>
        <v>20.166502124999997</v>
      </c>
      <c r="AF48" s="128">
        <f t="shared" si="7"/>
        <v>160.77600000000001</v>
      </c>
      <c r="AG48" s="128">
        <f t="shared" si="8"/>
        <v>12.543229166666665</v>
      </c>
      <c r="AH48" s="128">
        <f t="shared" si="9"/>
        <v>231.42</v>
      </c>
      <c r="AI48" s="129">
        <f t="shared" si="10"/>
        <v>180.942502125</v>
      </c>
      <c r="AJ48" s="129">
        <f t="shared" si="11"/>
        <v>251.58650212499998</v>
      </c>
      <c r="AK48" s="129">
        <f t="shared" si="12"/>
        <v>3.7280790499999998</v>
      </c>
    </row>
    <row r="49" spans="1:37" ht="13" customHeight="1">
      <c r="A49" s="108" t="s">
        <v>476</v>
      </c>
      <c r="B49" s="190" t="s">
        <v>406</v>
      </c>
      <c r="C49" s="178" t="s">
        <v>407</v>
      </c>
      <c r="D49" s="161" t="s">
        <v>411</v>
      </c>
      <c r="E49" s="130">
        <v>37.470056</v>
      </c>
      <c r="F49" s="131">
        <v>140.994922</v>
      </c>
      <c r="G49" s="132">
        <v>3</v>
      </c>
      <c r="H49" s="115" t="s">
        <v>493</v>
      </c>
      <c r="I49" s="115" t="s">
        <v>493</v>
      </c>
      <c r="J49" s="136">
        <v>9.5</v>
      </c>
      <c r="K49" s="139">
        <v>6.6</v>
      </c>
      <c r="L49" s="116">
        <v>41944</v>
      </c>
      <c r="M49" s="163" t="s">
        <v>379</v>
      </c>
      <c r="N49" s="163">
        <v>87</v>
      </c>
      <c r="O49" s="119">
        <f t="shared" si="33"/>
        <v>14616</v>
      </c>
      <c r="P49" s="163">
        <v>88.9</v>
      </c>
      <c r="Q49" s="120" t="s">
        <v>469</v>
      </c>
      <c r="R49" s="120" t="s">
        <v>48</v>
      </c>
      <c r="S49" s="121">
        <v>334.71</v>
      </c>
      <c r="T49" s="121">
        <v>2140.3000000000002</v>
      </c>
      <c r="U49" s="121">
        <f t="shared" si="30"/>
        <v>83.677499999999995</v>
      </c>
      <c r="V49" s="121">
        <f t="shared" si="31"/>
        <v>535.07500000000005</v>
      </c>
      <c r="W49" s="122">
        <f t="shared" si="34"/>
        <v>0.15638461897864783</v>
      </c>
      <c r="X49" s="123">
        <v>4.4900000000000002E-4</v>
      </c>
      <c r="Y49" s="124">
        <v>2.7500000000000002E-4</v>
      </c>
      <c r="Z49" s="125">
        <f t="shared" si="3"/>
        <v>3.75711975E-2</v>
      </c>
      <c r="AA49" s="126">
        <f t="shared" si="4"/>
        <v>0.14714562500000003</v>
      </c>
      <c r="AB49" s="125">
        <f t="shared" si="5"/>
        <v>0.54914062265999997</v>
      </c>
      <c r="AC49" s="125">
        <v>0.73062000000000005</v>
      </c>
      <c r="AD49" s="125">
        <f t="shared" si="6"/>
        <v>2.1506804550000007</v>
      </c>
      <c r="AE49" s="127">
        <f t="shared" si="13"/>
        <v>2.8813004550000008</v>
      </c>
      <c r="AF49" s="128">
        <f t="shared" si="7"/>
        <v>96.465599999999995</v>
      </c>
      <c r="AG49" s="128">
        <f t="shared" si="8"/>
        <v>2.9868683292282441</v>
      </c>
      <c r="AH49" s="128">
        <f t="shared" si="9"/>
        <v>138.852</v>
      </c>
      <c r="AI49" s="129">
        <f t="shared" si="10"/>
        <v>99.346900454999997</v>
      </c>
      <c r="AJ49" s="129">
        <f t="shared" si="11"/>
        <v>141.73330045500001</v>
      </c>
      <c r="AK49" s="129">
        <f t="shared" si="12"/>
        <v>3.1847168225</v>
      </c>
    </row>
    <row r="50" spans="1:37" ht="14">
      <c r="A50" s="33"/>
      <c r="B50" s="58"/>
      <c r="C50" s="58"/>
      <c r="D50" s="58"/>
      <c r="E50" s="60"/>
      <c r="F50" s="61"/>
      <c r="G50" s="62"/>
      <c r="H50" s="62"/>
      <c r="I50" s="62"/>
      <c r="J50" s="62"/>
      <c r="K50" s="62"/>
      <c r="L50" s="62"/>
      <c r="M50" s="61"/>
      <c r="N50" s="61"/>
      <c r="O50" s="61"/>
      <c r="P50" s="61"/>
    </row>
    <row r="51" spans="1:37" ht="14">
      <c r="A51" s="33"/>
      <c r="B51" s="58"/>
      <c r="C51" s="58"/>
      <c r="D51" s="58"/>
      <c r="E51" s="60"/>
      <c r="F51" s="61"/>
      <c r="G51" s="62"/>
      <c r="H51" s="62"/>
      <c r="I51" s="62"/>
      <c r="J51" s="62"/>
      <c r="K51" s="62"/>
      <c r="L51" s="62"/>
      <c r="M51" s="61"/>
      <c r="N51" s="61" t="s">
        <v>513</v>
      </c>
      <c r="O51" s="61"/>
      <c r="P51" s="63">
        <f>AVERAGE(P9:P49)</f>
        <v>37.174358974358981</v>
      </c>
      <c r="W51" s="67">
        <f>AVERAGE(W9:W49)</f>
        <v>0.17945182723512754</v>
      </c>
      <c r="AG51" s="194">
        <f>AVERAGE(AG9:AG49)</f>
        <v>12.323332060238078</v>
      </c>
    </row>
    <row r="52" spans="1:37" ht="14">
      <c r="A52" s="33"/>
      <c r="B52" s="58"/>
      <c r="C52" s="58"/>
      <c r="D52" s="58"/>
      <c r="E52" s="60"/>
      <c r="F52" s="61"/>
      <c r="G52" s="62"/>
      <c r="H52" s="62"/>
      <c r="I52" s="62"/>
      <c r="J52" s="62"/>
      <c r="K52" s="62"/>
      <c r="L52" s="62"/>
      <c r="M52" s="61"/>
      <c r="N52" s="61" t="s">
        <v>480</v>
      </c>
      <c r="O52" s="61"/>
      <c r="P52" s="63">
        <f>_xlfn.STDEV.S(P9:P49)</f>
        <v>23.173370810260884</v>
      </c>
      <c r="W52" s="67">
        <f>_xlfn.STDEV.S(W9:W49)</f>
        <v>1.204312150660007E-2</v>
      </c>
      <c r="AG52" s="194">
        <f>_xlfn.STDEV.S(AG9:AG49)</f>
        <v>15.101848866077317</v>
      </c>
    </row>
    <row r="53" spans="1:37">
      <c r="B53" s="11"/>
      <c r="C53" s="11"/>
      <c r="D53" s="11"/>
      <c r="E53" s="12"/>
    </row>
    <row r="54" spans="1:37">
      <c r="B54" s="11"/>
      <c r="C54" s="11"/>
      <c r="D54" s="11"/>
      <c r="E54" s="12"/>
      <c r="I54" s="69" t="s">
        <v>384</v>
      </c>
      <c r="Q54" s="59" t="s">
        <v>372</v>
      </c>
    </row>
    <row r="55" spans="1:37" ht="14">
      <c r="B55" s="11"/>
      <c r="C55" s="11"/>
      <c r="D55" s="11"/>
      <c r="E55" s="12"/>
      <c r="F55" s="8"/>
      <c r="G55" s="8"/>
      <c r="H55" s="8" t="s">
        <v>533</v>
      </c>
      <c r="I55" s="8"/>
      <c r="J55" s="8"/>
      <c r="K55" s="8"/>
      <c r="L55" s="8"/>
      <c r="N55" s="8"/>
      <c r="O55" s="8"/>
      <c r="P55" s="8" t="s">
        <v>532</v>
      </c>
    </row>
    <row r="56" spans="1:37" thickBot="1">
      <c r="B56" s="11"/>
      <c r="C56" s="11"/>
      <c r="D56" s="11"/>
      <c r="E56" s="12"/>
      <c r="F56" s="8"/>
      <c r="G56" s="8"/>
      <c r="H56" s="8"/>
      <c r="I56" s="66" t="s">
        <v>529</v>
      </c>
      <c r="J56" s="66" t="s">
        <v>530</v>
      </c>
      <c r="K56" s="8"/>
      <c r="L56" s="8"/>
      <c r="P56" s="7" t="s">
        <v>534</v>
      </c>
    </row>
    <row r="57" spans="1:37" ht="14">
      <c r="B57" s="11"/>
      <c r="C57" s="11"/>
      <c r="D57" s="11"/>
      <c r="E57" s="12"/>
      <c r="F57" s="68" t="s">
        <v>83</v>
      </c>
      <c r="G57" s="8"/>
      <c r="H57" s="8"/>
      <c r="I57" s="68">
        <v>162</v>
      </c>
      <c r="J57" s="68">
        <v>853</v>
      </c>
      <c r="K57" s="8"/>
      <c r="L57" s="8"/>
    </row>
    <row r="58" spans="1:37" thickBot="1">
      <c r="B58" s="11"/>
      <c r="C58" s="11"/>
      <c r="D58" s="11"/>
      <c r="E58" s="12"/>
      <c r="F58" s="68" t="s">
        <v>527</v>
      </c>
      <c r="G58" s="8"/>
      <c r="H58" s="8"/>
      <c r="I58" s="68">
        <v>466</v>
      </c>
      <c r="J58" s="68">
        <v>2775</v>
      </c>
      <c r="K58" s="8"/>
      <c r="L58" s="8"/>
      <c r="N58" s="8"/>
      <c r="O58" s="8"/>
      <c r="P58" s="8"/>
      <c r="Q58" s="66" t="s">
        <v>529</v>
      </c>
      <c r="R58" s="66" t="s">
        <v>530</v>
      </c>
    </row>
    <row r="59" spans="1:37" thickBot="1">
      <c r="B59" s="11"/>
      <c r="C59" s="11"/>
      <c r="D59" s="11"/>
      <c r="E59" s="12"/>
      <c r="F59" s="8" t="s">
        <v>528</v>
      </c>
      <c r="G59" s="8"/>
      <c r="H59" s="8"/>
      <c r="I59" s="66">
        <v>683</v>
      </c>
      <c r="J59" s="66">
        <v>4008</v>
      </c>
      <c r="K59" s="8"/>
      <c r="L59" s="8"/>
      <c r="N59" s="8" t="s">
        <v>82</v>
      </c>
      <c r="O59" s="8"/>
      <c r="P59" s="8"/>
      <c r="Q59" s="8">
        <v>953</v>
      </c>
      <c r="R59" s="8">
        <v>4966</v>
      </c>
    </row>
    <row r="60" spans="1:37" ht="14">
      <c r="B60" s="11"/>
      <c r="C60" s="11"/>
      <c r="D60" s="11"/>
      <c r="E60" s="12"/>
      <c r="F60" s="8"/>
      <c r="G60" s="8"/>
      <c r="H60" s="8" t="s">
        <v>513</v>
      </c>
      <c r="I60" s="8">
        <f>AVERAGE(I57:I59)</f>
        <v>437</v>
      </c>
      <c r="J60" s="65">
        <f>AVERAGE(J57:J59)</f>
        <v>2545.3333333333335</v>
      </c>
      <c r="K60" s="8"/>
      <c r="L60" s="8"/>
      <c r="N60" s="8" t="s">
        <v>370</v>
      </c>
      <c r="O60" s="8"/>
      <c r="P60" s="8"/>
      <c r="Q60" s="8">
        <v>227</v>
      </c>
      <c r="R60" s="8">
        <v>1340</v>
      </c>
    </row>
    <row r="61" spans="1:37" ht="14">
      <c r="B61" s="11"/>
      <c r="C61" s="11"/>
      <c r="D61" s="11"/>
      <c r="E61" s="12"/>
      <c r="F61" s="8"/>
      <c r="G61" s="8"/>
      <c r="H61" s="8" t="s">
        <v>480</v>
      </c>
      <c r="I61" s="65">
        <f>_xlfn.STDEV.S(I57:I59)</f>
        <v>261.70785238505931</v>
      </c>
      <c r="J61" s="65">
        <f>_xlfn.STDEV.S(J57:J59)</f>
        <v>1589.9894129626568</v>
      </c>
      <c r="K61" s="8"/>
      <c r="L61" s="8"/>
    </row>
    <row r="62" spans="1:37" thickBot="1">
      <c r="B62" s="11"/>
      <c r="C62" s="11"/>
      <c r="D62" s="11"/>
      <c r="E62" s="12"/>
      <c r="F62" s="8"/>
      <c r="G62" s="8"/>
      <c r="H62" s="8" t="s">
        <v>526</v>
      </c>
      <c r="I62" s="65">
        <f>I61/I60*100</f>
        <v>59.887380408480396</v>
      </c>
      <c r="J62" s="65">
        <f>J61/J60*100</f>
        <v>62.466844406599918</v>
      </c>
      <c r="K62" s="8"/>
      <c r="L62" s="8"/>
      <c r="N62" s="8"/>
      <c r="O62" s="8"/>
      <c r="P62" s="8"/>
      <c r="Q62" s="66"/>
      <c r="R62" s="66"/>
    </row>
    <row r="63" spans="1:37">
      <c r="B63" s="11"/>
      <c r="C63" s="11"/>
      <c r="D63" s="11"/>
      <c r="E63" s="12"/>
      <c r="N63" s="8"/>
      <c r="O63" s="8"/>
      <c r="P63" s="8" t="s">
        <v>513</v>
      </c>
      <c r="Q63" s="8">
        <f>AVERAGE(Q59:Q60)</f>
        <v>590</v>
      </c>
      <c r="R63" s="8">
        <f>AVERAGE(R59:R60)</f>
        <v>3153</v>
      </c>
    </row>
    <row r="64" spans="1:37">
      <c r="B64" s="11"/>
      <c r="C64" s="11"/>
      <c r="D64" s="11"/>
      <c r="E64" s="12"/>
      <c r="N64" s="8"/>
      <c r="O64" s="8"/>
      <c r="P64" s="8" t="s">
        <v>480</v>
      </c>
      <c r="Q64" s="65">
        <f>_xlfn.STDEV.S(Q59:Q60)</f>
        <v>513.35952314143356</v>
      </c>
      <c r="R64" s="65">
        <f>_xlfn.STDEV.S(R59:R60)</f>
        <v>2563.9691885824213</v>
      </c>
    </row>
    <row r="65" spans="2:18">
      <c r="B65" s="11"/>
      <c r="C65" s="11"/>
      <c r="D65" s="11"/>
      <c r="E65" s="12"/>
      <c r="N65" s="8"/>
      <c r="O65" s="8"/>
      <c r="P65" s="8" t="s">
        <v>526</v>
      </c>
      <c r="Q65" s="65">
        <f>Q64/Q63*100</f>
        <v>87.010088668039586</v>
      </c>
      <c r="R65" s="65">
        <f>R64/R63*100</f>
        <v>81.31840116024172</v>
      </c>
    </row>
    <row r="66" spans="2:18">
      <c r="B66" s="11"/>
      <c r="C66" s="11"/>
      <c r="D66" s="11"/>
      <c r="E66" s="12"/>
    </row>
    <row r="67" spans="2:18">
      <c r="B67" s="11"/>
      <c r="C67" s="11"/>
      <c r="D67" s="11"/>
      <c r="E67" s="12"/>
    </row>
    <row r="68" spans="2:18">
      <c r="B68" s="11"/>
      <c r="C68" s="11"/>
      <c r="D68" s="11"/>
      <c r="E68" s="12"/>
    </row>
    <row r="69" spans="2:18">
      <c r="B69" s="11"/>
      <c r="C69" s="11"/>
      <c r="D69" s="11"/>
      <c r="E69" s="12"/>
    </row>
    <row r="70" spans="2:18">
      <c r="B70" s="11"/>
      <c r="C70" s="11"/>
      <c r="D70" s="11"/>
      <c r="E70" s="12"/>
    </row>
    <row r="71" spans="2:18">
      <c r="B71" s="11"/>
      <c r="C71" s="11"/>
      <c r="D71" s="11"/>
      <c r="E71" s="12"/>
    </row>
    <row r="72" spans="2:18">
      <c r="B72" s="11"/>
      <c r="C72" s="11"/>
      <c r="D72" s="11"/>
      <c r="E72" s="12"/>
    </row>
    <row r="73" spans="2:18">
      <c r="B73" s="11"/>
      <c r="C73" s="11"/>
      <c r="D73" s="11"/>
      <c r="E73" s="12"/>
    </row>
    <row r="74" spans="2:18">
      <c r="B74" s="11"/>
      <c r="C74" s="11"/>
      <c r="D74" s="11"/>
      <c r="E74" s="12"/>
    </row>
    <row r="75" spans="2:18">
      <c r="B75" s="11"/>
      <c r="C75" s="11"/>
      <c r="D75" s="11"/>
      <c r="E75" s="12"/>
    </row>
    <row r="76" spans="2:18">
      <c r="B76" s="11"/>
      <c r="C76" s="11"/>
      <c r="D76" s="11"/>
      <c r="E76" s="12"/>
    </row>
    <row r="77" spans="2:18">
      <c r="B77" s="11"/>
      <c r="C77" s="11"/>
      <c r="D77" s="11"/>
      <c r="E77" s="12"/>
    </row>
    <row r="78" spans="2:18">
      <c r="B78" s="11"/>
      <c r="C78" s="11"/>
      <c r="D78" s="11"/>
      <c r="E78" s="12"/>
    </row>
    <row r="79" spans="2:18">
      <c r="B79" s="11"/>
      <c r="C79" s="11"/>
      <c r="D79" s="11"/>
      <c r="E79" s="12"/>
    </row>
    <row r="80" spans="2:18">
      <c r="B80" s="11"/>
      <c r="C80" s="11"/>
      <c r="D80" s="11"/>
      <c r="E80" s="12"/>
    </row>
    <row r="81" spans="2:5">
      <c r="B81" s="11"/>
      <c r="C81" s="11"/>
      <c r="D81" s="11"/>
      <c r="E81" s="12"/>
    </row>
    <row r="82" spans="2:5">
      <c r="B82" s="11"/>
      <c r="C82" s="11"/>
      <c r="D82" s="11"/>
      <c r="E82" s="12"/>
    </row>
    <row r="83" spans="2:5">
      <c r="B83" s="11"/>
      <c r="C83" s="11"/>
      <c r="D83" s="11"/>
      <c r="E83" s="12"/>
    </row>
    <row r="84" spans="2:5">
      <c r="B84" s="11"/>
      <c r="C84" s="11"/>
      <c r="D84" s="11"/>
      <c r="E84" s="12"/>
    </row>
    <row r="85" spans="2:5">
      <c r="B85" s="11"/>
      <c r="C85" s="11"/>
      <c r="D85" s="11"/>
      <c r="E85" s="12"/>
    </row>
    <row r="86" spans="2:5">
      <c r="B86" s="11"/>
      <c r="C86" s="11"/>
      <c r="D86" s="11"/>
      <c r="E86" s="12"/>
    </row>
    <row r="87" spans="2:5">
      <c r="B87" s="11"/>
      <c r="C87" s="11"/>
      <c r="D87" s="11"/>
      <c r="E87" s="12"/>
    </row>
    <row r="88" spans="2:5">
      <c r="B88" s="11"/>
      <c r="C88" s="11"/>
      <c r="D88" s="11"/>
      <c r="E88" s="12"/>
    </row>
    <row r="89" spans="2:5">
      <c r="B89" s="11"/>
      <c r="C89" s="11"/>
      <c r="D89" s="11"/>
      <c r="E89" s="12"/>
    </row>
    <row r="90" spans="2:5">
      <c r="B90" s="11"/>
      <c r="C90" s="11"/>
      <c r="D90" s="11"/>
      <c r="E90" s="12"/>
    </row>
    <row r="91" spans="2:5">
      <c r="B91" s="11"/>
      <c r="C91" s="11"/>
      <c r="D91" s="11"/>
      <c r="E91" s="12"/>
    </row>
    <row r="92" spans="2:5">
      <c r="B92" s="11"/>
      <c r="C92" s="11"/>
      <c r="D92" s="11"/>
      <c r="E92" s="12"/>
    </row>
    <row r="93" spans="2:5">
      <c r="B93" s="11"/>
      <c r="C93" s="11"/>
      <c r="D93" s="11"/>
      <c r="E93" s="12"/>
    </row>
    <row r="94" spans="2:5">
      <c r="B94" s="11"/>
      <c r="C94" s="11"/>
      <c r="D94" s="11"/>
      <c r="E94" s="12"/>
    </row>
    <row r="95" spans="2:5">
      <c r="B95" s="11"/>
      <c r="C95" s="11"/>
      <c r="D95" s="11"/>
      <c r="E95" s="12"/>
    </row>
    <row r="96" spans="2:5">
      <c r="B96" s="11"/>
      <c r="C96" s="11"/>
      <c r="D96" s="11"/>
      <c r="E96" s="12"/>
    </row>
    <row r="97" spans="2:5">
      <c r="B97" s="11"/>
      <c r="C97" s="11"/>
      <c r="D97" s="11"/>
      <c r="E97" s="12"/>
    </row>
    <row r="98" spans="2:5">
      <c r="B98" s="11"/>
      <c r="C98" s="11"/>
      <c r="D98" s="11"/>
      <c r="E98" s="12"/>
    </row>
    <row r="99" spans="2:5">
      <c r="B99" s="11"/>
      <c r="C99" s="11"/>
      <c r="D99" s="11"/>
      <c r="E99" s="12"/>
    </row>
    <row r="100" spans="2:5">
      <c r="B100" s="11"/>
      <c r="C100" s="11"/>
      <c r="D100" s="11"/>
      <c r="E100" s="12"/>
    </row>
    <row r="101" spans="2:5">
      <c r="B101" s="11"/>
      <c r="C101" s="11"/>
      <c r="D101" s="11"/>
      <c r="E101" s="12"/>
    </row>
    <row r="102" spans="2:5">
      <c r="B102" s="11"/>
      <c r="C102" s="11"/>
      <c r="D102" s="11"/>
      <c r="E102" s="12"/>
    </row>
    <row r="103" spans="2:5">
      <c r="B103" s="11"/>
      <c r="C103" s="11"/>
      <c r="D103" s="11"/>
      <c r="E103" s="12"/>
    </row>
    <row r="104" spans="2:5">
      <c r="B104" s="11"/>
      <c r="C104" s="11"/>
      <c r="D104" s="11"/>
      <c r="E104" s="12"/>
    </row>
    <row r="105" spans="2:5">
      <c r="B105" s="11"/>
      <c r="C105" s="11"/>
      <c r="D105" s="11"/>
      <c r="E105" s="12"/>
    </row>
    <row r="106" spans="2:5">
      <c r="B106" s="11"/>
      <c r="C106" s="11"/>
      <c r="D106" s="11"/>
      <c r="E106" s="12"/>
    </row>
    <row r="107" spans="2:5">
      <c r="B107" s="11"/>
      <c r="C107" s="11"/>
      <c r="D107" s="11"/>
      <c r="E107" s="12"/>
    </row>
    <row r="108" spans="2:5">
      <c r="B108" s="11"/>
      <c r="C108" s="11"/>
      <c r="D108" s="11"/>
      <c r="E108" s="12"/>
    </row>
    <row r="109" spans="2:5">
      <c r="B109" s="11"/>
      <c r="C109" s="11"/>
      <c r="D109" s="11"/>
      <c r="E109" s="12"/>
    </row>
    <row r="110" spans="2:5">
      <c r="B110" s="11"/>
      <c r="C110" s="11"/>
      <c r="D110" s="11"/>
      <c r="E110" s="12"/>
    </row>
    <row r="111" spans="2:5">
      <c r="B111" s="11"/>
      <c r="C111" s="11"/>
      <c r="D111" s="11"/>
      <c r="E111" s="12"/>
    </row>
    <row r="112" spans="2:5">
      <c r="B112" s="11"/>
      <c r="C112" s="11"/>
      <c r="D112" s="11"/>
      <c r="E112" s="12"/>
    </row>
    <row r="113" spans="2:16">
      <c r="B113" s="11"/>
      <c r="C113" s="11"/>
      <c r="D113" s="11"/>
      <c r="E113" s="12"/>
    </row>
    <row r="114" spans="2:16">
      <c r="B114" s="11"/>
      <c r="C114" s="11"/>
      <c r="D114" s="11"/>
      <c r="E114" s="12"/>
    </row>
    <row r="115" spans="2:16">
      <c r="B115" s="11"/>
      <c r="C115" s="11"/>
      <c r="D115" s="11"/>
      <c r="E115" s="12"/>
    </row>
    <row r="116" spans="2:16">
      <c r="B116" s="11"/>
      <c r="C116" s="11"/>
      <c r="D116" s="11"/>
      <c r="E116" s="12"/>
      <c r="P116" s="7">
        <f>'Individual Data (Boar)'!S2217</f>
        <v>0</v>
      </c>
    </row>
    <row r="117" spans="2:16">
      <c r="B117" s="11"/>
      <c r="C117" s="11"/>
      <c r="D117" s="11"/>
      <c r="E117" s="12"/>
    </row>
    <row r="118" spans="2:16">
      <c r="B118" s="11"/>
      <c r="C118" s="11"/>
      <c r="D118" s="11"/>
      <c r="E118" s="12"/>
    </row>
    <row r="119" spans="2:16">
      <c r="B119" s="11"/>
      <c r="C119" s="11"/>
      <c r="D119" s="11"/>
      <c r="E119" s="12"/>
    </row>
    <row r="120" spans="2:16">
      <c r="B120" s="11"/>
      <c r="C120" s="11"/>
      <c r="D120" s="11"/>
      <c r="E120" s="12"/>
    </row>
  </sheetData>
  <mergeCells count="26">
    <mergeCell ref="P7:P8"/>
    <mergeCell ref="X6:X8"/>
    <mergeCell ref="Y6:Y8"/>
    <mergeCell ref="Z6:Z8"/>
    <mergeCell ref="B7:B8"/>
    <mergeCell ref="M7:M8"/>
    <mergeCell ref="N7:N8"/>
    <mergeCell ref="C8:D8"/>
    <mergeCell ref="C7:F7"/>
    <mergeCell ref="H6:H8"/>
    <mergeCell ref="I6:I8"/>
    <mergeCell ref="L6:L8"/>
    <mergeCell ref="G6:G8"/>
    <mergeCell ref="X4:X5"/>
    <mergeCell ref="Y4:Y5"/>
    <mergeCell ref="AH6:AH8"/>
    <mergeCell ref="AJ6:AJ8"/>
    <mergeCell ref="AK6:AK8"/>
    <mergeCell ref="AE6:AE8"/>
    <mergeCell ref="AF6:AF8"/>
    <mergeCell ref="AI6:AI8"/>
    <mergeCell ref="AA6:AA8"/>
    <mergeCell ref="AB6:AB8"/>
    <mergeCell ref="AD6:AD8"/>
    <mergeCell ref="AC6:AC8"/>
    <mergeCell ref="AG6:AG8"/>
  </mergeCells>
  <phoneticPr fontId="1"/>
  <pageMargins left="0.7" right="0.7" top="0.75" bottom="0.75" header="0.3" footer="0.3"/>
  <pageSetup paperSize="9" scale="73" fitToWidth="0" orientation="landscape" r:id="rId1"/>
  <ignoredErrors>
    <ignoredError sqref="O40 O17 O19 U30" formula="1"/>
    <ignoredError sqref="N14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116"/>
  <sheetViews>
    <sheetView topLeftCell="A24" zoomScaleNormal="100" workbookViewId="0">
      <selection activeCell="K5" sqref="K5:K45"/>
    </sheetView>
  </sheetViews>
  <sheetFormatPr defaultRowHeight="14.5"/>
  <cols>
    <col min="3" max="3" width="16.54296875" style="8" customWidth="1"/>
    <col min="4" max="4" width="10.81640625" customWidth="1"/>
    <col min="6" max="6" width="9" customWidth="1"/>
    <col min="7" max="7" width="13.90625" customWidth="1"/>
    <col min="9" max="9" width="14.08984375" customWidth="1"/>
    <col min="10" max="10" width="15.26953125" customWidth="1"/>
    <col min="11" max="11" width="14.08984375" customWidth="1"/>
  </cols>
  <sheetData>
    <row r="1" spans="2:11">
      <c r="B1" s="77" t="s">
        <v>541</v>
      </c>
    </row>
    <row r="2" spans="2:11">
      <c r="B2" t="s">
        <v>536</v>
      </c>
      <c r="F2" s="75" t="s">
        <v>474</v>
      </c>
    </row>
    <row r="3" spans="2:11" ht="16" customHeight="1">
      <c r="B3" s="76"/>
      <c r="C3" s="96" t="s">
        <v>474</v>
      </c>
      <c r="D3" s="78"/>
      <c r="E3" s="78"/>
      <c r="F3" s="78"/>
      <c r="G3" s="78"/>
      <c r="H3" s="78"/>
      <c r="I3" s="78"/>
      <c r="J3" s="78"/>
    </row>
    <row r="4" spans="2:11" ht="102" thickBot="1">
      <c r="B4" s="76"/>
      <c r="C4" s="101" t="s">
        <v>542</v>
      </c>
      <c r="D4" s="102" t="s">
        <v>473</v>
      </c>
      <c r="E4" s="103" t="s">
        <v>535</v>
      </c>
      <c r="F4" s="102" t="s">
        <v>508</v>
      </c>
      <c r="G4" s="104" t="s">
        <v>538</v>
      </c>
      <c r="H4" s="103" t="s">
        <v>540</v>
      </c>
      <c r="I4" s="104" t="s">
        <v>537</v>
      </c>
      <c r="J4" s="105" t="s">
        <v>539</v>
      </c>
      <c r="K4" s="105" t="s">
        <v>543</v>
      </c>
    </row>
    <row r="5" spans="2:11" ht="15.5">
      <c r="C5" s="97" t="s">
        <v>20</v>
      </c>
      <c r="D5" s="98">
        <v>6048</v>
      </c>
      <c r="E5" s="98">
        <f>D5/24</f>
        <v>252</v>
      </c>
      <c r="F5" s="99">
        <v>220.905</v>
      </c>
      <c r="G5" s="82">
        <v>4.4900000000000002E-4</v>
      </c>
      <c r="H5" s="100">
        <f t="shared" ref="H5:H10" si="0">F5*G5*24</f>
        <v>2.3804722800000002</v>
      </c>
      <c r="I5" s="99">
        <f t="shared" ref="I5:I10" si="1">H5*E5</f>
        <v>599.87901456000009</v>
      </c>
      <c r="J5" s="99">
        <v>672.73865999999998</v>
      </c>
      <c r="K5" s="107">
        <f>J5/1000</f>
        <v>0.67273865999999993</v>
      </c>
    </row>
    <row r="6" spans="2:11" ht="15.5">
      <c r="C6" s="79" t="s">
        <v>21</v>
      </c>
      <c r="D6" s="80">
        <v>4368</v>
      </c>
      <c r="E6" s="80">
        <f t="shared" ref="E6:E15" si="2">D6/24</f>
        <v>182</v>
      </c>
      <c r="F6" s="81">
        <v>381.05</v>
      </c>
      <c r="G6" s="82">
        <v>4.4900000000000002E-4</v>
      </c>
      <c r="H6" s="83">
        <f t="shared" si="0"/>
        <v>4.1061947999999999</v>
      </c>
      <c r="I6" s="81">
        <f t="shared" si="1"/>
        <v>747.32745360000001</v>
      </c>
      <c r="J6" s="81">
        <v>812.61180000000002</v>
      </c>
      <c r="K6" s="107">
        <f t="shared" ref="K6:K45" si="3">J6/1000</f>
        <v>0.8126118</v>
      </c>
    </row>
    <row r="7" spans="2:11" ht="15.5">
      <c r="C7" s="79" t="s">
        <v>29</v>
      </c>
      <c r="D7" s="80">
        <v>4872</v>
      </c>
      <c r="E7" s="80">
        <f t="shared" si="2"/>
        <v>203</v>
      </c>
      <c r="F7" s="81">
        <v>336.5</v>
      </c>
      <c r="G7" s="82">
        <v>4.4900000000000002E-4</v>
      </c>
      <c r="H7" s="83">
        <f t="shared" si="0"/>
        <v>3.6261240000000003</v>
      </c>
      <c r="I7" s="81">
        <f t="shared" si="1"/>
        <v>736.10317200000009</v>
      </c>
      <c r="J7" s="81">
        <v>808.55279999999993</v>
      </c>
      <c r="K7" s="107">
        <f t="shared" si="3"/>
        <v>0.80855279999999996</v>
      </c>
    </row>
    <row r="8" spans="2:11" ht="15.5">
      <c r="C8" s="84" t="s">
        <v>79</v>
      </c>
      <c r="D8" s="80">
        <v>1260</v>
      </c>
      <c r="E8" s="80">
        <f t="shared" si="2"/>
        <v>52.5</v>
      </c>
      <c r="F8" s="81">
        <v>21.186</v>
      </c>
      <c r="G8" s="82">
        <v>4.4900000000000002E-4</v>
      </c>
      <c r="H8" s="83">
        <f t="shared" si="0"/>
        <v>0.22830033599999999</v>
      </c>
      <c r="I8" s="81">
        <f t="shared" si="1"/>
        <v>11.985767639999999</v>
      </c>
      <c r="J8" s="81">
        <v>12.258179999999999</v>
      </c>
      <c r="K8" s="107">
        <f t="shared" si="3"/>
        <v>1.2258179999999999E-2</v>
      </c>
    </row>
    <row r="9" spans="2:11" ht="15.5">
      <c r="C9" s="79" t="s">
        <v>81</v>
      </c>
      <c r="D9" s="80">
        <v>1260</v>
      </c>
      <c r="E9" s="80">
        <f t="shared" si="2"/>
        <v>52.5</v>
      </c>
      <c r="F9" s="81">
        <v>1399.2</v>
      </c>
      <c r="G9" s="82">
        <v>4.4900000000000002E-4</v>
      </c>
      <c r="H9" s="83">
        <f t="shared" si="0"/>
        <v>15.077779200000002</v>
      </c>
      <c r="I9" s="81">
        <f t="shared" si="1"/>
        <v>791.58340800000008</v>
      </c>
      <c r="J9" s="81">
        <v>810.17639999999994</v>
      </c>
      <c r="K9" s="107">
        <f t="shared" si="3"/>
        <v>0.81017639999999991</v>
      </c>
    </row>
    <row r="10" spans="2:11" ht="15.5">
      <c r="C10" s="85" t="s">
        <v>87</v>
      </c>
      <c r="D10" s="80">
        <v>3528</v>
      </c>
      <c r="E10" s="80">
        <f t="shared" si="2"/>
        <v>147</v>
      </c>
      <c r="F10" s="81">
        <v>957</v>
      </c>
      <c r="G10" s="82">
        <v>4.4900000000000002E-4</v>
      </c>
      <c r="H10" s="83">
        <f t="shared" si="0"/>
        <v>10.312632000000001</v>
      </c>
      <c r="I10" s="81">
        <f t="shared" si="1"/>
        <v>1515.9569040000001</v>
      </c>
      <c r="J10" s="81">
        <v>1620.3527999999999</v>
      </c>
      <c r="K10" s="107">
        <f t="shared" si="3"/>
        <v>1.6203527999999998</v>
      </c>
    </row>
    <row r="11" spans="2:11" ht="15.5">
      <c r="C11" s="79" t="s">
        <v>82</v>
      </c>
      <c r="D11" s="80">
        <v>14616</v>
      </c>
      <c r="E11" s="80">
        <f t="shared" si="2"/>
        <v>609</v>
      </c>
      <c r="F11" s="81">
        <v>952.77499999999998</v>
      </c>
      <c r="G11" s="82">
        <v>4.4900000000000002E-4</v>
      </c>
      <c r="H11" s="83">
        <f t="shared" ref="H11:H18" si="4">F11*G11*24</f>
        <v>10.2671034</v>
      </c>
      <c r="I11" s="86">
        <f t="shared" ref="I11:I18" si="5">H11*E11</f>
        <v>6252.6659706</v>
      </c>
      <c r="J11" s="81">
        <v>8329.0679999999993</v>
      </c>
      <c r="K11" s="107">
        <f t="shared" si="3"/>
        <v>8.3290679999999995</v>
      </c>
    </row>
    <row r="12" spans="2:11" ht="15.5">
      <c r="C12" s="87" t="s">
        <v>83</v>
      </c>
      <c r="D12" s="80">
        <v>14616</v>
      </c>
      <c r="E12" s="80">
        <f t="shared" si="2"/>
        <v>609</v>
      </c>
      <c r="F12" s="81">
        <v>161.75</v>
      </c>
      <c r="G12" s="82">
        <v>4.4900000000000002E-4</v>
      </c>
      <c r="H12" s="83">
        <f t="shared" si="4"/>
        <v>1.7430180000000002</v>
      </c>
      <c r="I12" s="86">
        <f t="shared" si="5"/>
        <v>1061.4979620000001</v>
      </c>
      <c r="J12" s="81">
        <v>1415.7791999999999</v>
      </c>
      <c r="K12" s="107">
        <f t="shared" si="3"/>
        <v>1.4157792</v>
      </c>
    </row>
    <row r="13" spans="2:11" ht="15.5">
      <c r="C13" s="79" t="s">
        <v>84</v>
      </c>
      <c r="D13" s="80">
        <v>1260</v>
      </c>
      <c r="E13" s="80">
        <f t="shared" si="2"/>
        <v>52.5</v>
      </c>
      <c r="F13" s="81">
        <v>1017.225</v>
      </c>
      <c r="G13" s="82">
        <v>4.4900000000000002E-4</v>
      </c>
      <c r="H13" s="83">
        <f t="shared" si="4"/>
        <v>10.961616600000001</v>
      </c>
      <c r="I13" s="86">
        <f t="shared" si="5"/>
        <v>575.48487150000005</v>
      </c>
      <c r="J13" s="81">
        <v>589.36680000000001</v>
      </c>
      <c r="K13" s="107">
        <f t="shared" si="3"/>
        <v>0.58936679999999997</v>
      </c>
    </row>
    <row r="14" spans="2:11" ht="15.5">
      <c r="C14" s="79" t="s">
        <v>85</v>
      </c>
      <c r="D14" s="80">
        <v>13440</v>
      </c>
      <c r="E14" s="80">
        <f t="shared" si="2"/>
        <v>560</v>
      </c>
      <c r="F14" s="81">
        <v>1098.9749999999999</v>
      </c>
      <c r="G14" s="82">
        <v>4.4900000000000002E-4</v>
      </c>
      <c r="H14" s="83">
        <f t="shared" si="4"/>
        <v>11.8425546</v>
      </c>
      <c r="I14" s="86">
        <f t="shared" si="5"/>
        <v>6631.8305760000003</v>
      </c>
      <c r="J14" s="81">
        <v>8624.5632000000005</v>
      </c>
      <c r="K14" s="107">
        <f t="shared" si="3"/>
        <v>8.6245632000000008</v>
      </c>
    </row>
    <row r="15" spans="2:11" ht="15.5">
      <c r="C15" s="79" t="s">
        <v>94</v>
      </c>
      <c r="D15" s="80">
        <v>11004</v>
      </c>
      <c r="E15" s="80">
        <f t="shared" si="2"/>
        <v>458.5</v>
      </c>
      <c r="F15" s="81">
        <v>957.35</v>
      </c>
      <c r="G15" s="82">
        <v>4.4900000000000002E-4</v>
      </c>
      <c r="H15" s="83">
        <f t="shared" si="4"/>
        <v>10.316403600000001</v>
      </c>
      <c r="I15" s="86">
        <f t="shared" si="5"/>
        <v>4730.0710506000005</v>
      </c>
      <c r="J15" s="81">
        <v>5856.3251999999993</v>
      </c>
      <c r="K15" s="107">
        <f t="shared" si="3"/>
        <v>5.8563251999999997</v>
      </c>
    </row>
    <row r="16" spans="2:11" ht="15.5">
      <c r="C16" s="79" t="s">
        <v>88</v>
      </c>
      <c r="D16" s="80">
        <v>10416</v>
      </c>
      <c r="E16" s="80">
        <f t="shared" ref="E16:E21" si="6">D16/24</f>
        <v>434</v>
      </c>
      <c r="F16" s="81">
        <v>574.85</v>
      </c>
      <c r="G16" s="82">
        <v>4.4900000000000002E-4</v>
      </c>
      <c r="H16" s="83">
        <f t="shared" si="4"/>
        <v>6.1945836000000005</v>
      </c>
      <c r="I16" s="86">
        <f t="shared" si="5"/>
        <v>2688.4492824000004</v>
      </c>
      <c r="J16" s="81">
        <v>3288.6017999999999</v>
      </c>
      <c r="K16" s="107">
        <f t="shared" si="3"/>
        <v>3.2886017999999999</v>
      </c>
    </row>
    <row r="17" spans="3:11" ht="15.5">
      <c r="C17" s="79" t="s">
        <v>89</v>
      </c>
      <c r="D17" s="80">
        <v>10248</v>
      </c>
      <c r="E17" s="80">
        <f t="shared" si="6"/>
        <v>427</v>
      </c>
      <c r="F17" s="81">
        <v>399.05</v>
      </c>
      <c r="G17" s="82">
        <v>4.4900000000000002E-4</v>
      </c>
      <c r="H17" s="83">
        <f t="shared" si="4"/>
        <v>4.3001628000000007</v>
      </c>
      <c r="I17" s="86">
        <v>957</v>
      </c>
      <c r="J17" s="81">
        <v>2239.7561999999998</v>
      </c>
      <c r="K17" s="107">
        <f t="shared" si="3"/>
        <v>2.2397562</v>
      </c>
    </row>
    <row r="18" spans="3:11" ht="15.5">
      <c r="C18" s="79" t="s">
        <v>90</v>
      </c>
      <c r="D18" s="80">
        <v>14112</v>
      </c>
      <c r="E18" s="80">
        <f t="shared" si="6"/>
        <v>588</v>
      </c>
      <c r="F18" s="81">
        <v>82.412499999999994</v>
      </c>
      <c r="G18" s="82">
        <v>4.4900000000000002E-4</v>
      </c>
      <c r="H18" s="83">
        <f t="shared" si="4"/>
        <v>0.88807710000000006</v>
      </c>
      <c r="I18" s="86">
        <f t="shared" si="5"/>
        <v>522.18933479999998</v>
      </c>
      <c r="J18" s="81">
        <v>685.971</v>
      </c>
      <c r="K18" s="107">
        <f t="shared" si="3"/>
        <v>0.685971</v>
      </c>
    </row>
    <row r="19" spans="3:11" ht="15.5">
      <c r="C19" s="88" t="s">
        <v>97</v>
      </c>
      <c r="D19" s="80">
        <v>21000</v>
      </c>
      <c r="E19" s="80">
        <f t="shared" si="6"/>
        <v>875</v>
      </c>
      <c r="F19" s="81">
        <v>437</v>
      </c>
      <c r="G19" s="82">
        <v>4.4900000000000002E-4</v>
      </c>
      <c r="H19" s="83">
        <f t="shared" ref="H19" si="7">F19*G19*24</f>
        <v>4.7091120000000002</v>
      </c>
      <c r="I19" s="86">
        <f t="shared" ref="I19" si="8">H19*E19</f>
        <v>4120.473</v>
      </c>
      <c r="J19" s="81">
        <v>6267.0959999999995</v>
      </c>
      <c r="K19" s="107">
        <f t="shared" si="3"/>
        <v>6.2670959999999996</v>
      </c>
    </row>
    <row r="20" spans="3:11" ht="15.5">
      <c r="C20" s="70" t="s">
        <v>92</v>
      </c>
      <c r="D20" s="80">
        <v>9408</v>
      </c>
      <c r="E20" s="80">
        <f t="shared" si="6"/>
        <v>392</v>
      </c>
      <c r="F20" s="191">
        <v>0</v>
      </c>
      <c r="G20" s="82">
        <v>4.4900000000000002E-4</v>
      </c>
      <c r="H20" s="80"/>
      <c r="I20" s="80"/>
      <c r="J20" s="81" t="s">
        <v>474</v>
      </c>
      <c r="K20" s="107">
        <v>0</v>
      </c>
    </row>
    <row r="21" spans="3:11" ht="15.5">
      <c r="C21" s="74" t="s">
        <v>408</v>
      </c>
      <c r="D21" s="80">
        <v>4368</v>
      </c>
      <c r="E21" s="80">
        <f t="shared" si="6"/>
        <v>182</v>
      </c>
      <c r="F21" s="81">
        <v>589.63750000000005</v>
      </c>
      <c r="G21" s="82">
        <v>4.4900000000000002E-4</v>
      </c>
      <c r="H21" s="83">
        <f>F21*G21*24</f>
        <v>6.3539337000000007</v>
      </c>
      <c r="I21" s="86">
        <f>H21*E21</f>
        <v>1156.4159334000001</v>
      </c>
      <c r="J21" s="81">
        <v>1256.6663999999998</v>
      </c>
      <c r="K21" s="107">
        <f t="shared" si="3"/>
        <v>1.2566663999999999</v>
      </c>
    </row>
    <row r="22" spans="3:11" ht="15.5">
      <c r="C22" s="89" t="s">
        <v>364</v>
      </c>
      <c r="D22" s="106" t="s">
        <v>366</v>
      </c>
      <c r="E22" s="80" t="s">
        <v>474</v>
      </c>
      <c r="F22" s="81">
        <v>793.67499999999995</v>
      </c>
      <c r="G22" s="82">
        <v>4.4900000000000002E-4</v>
      </c>
      <c r="H22" s="80"/>
      <c r="I22" s="80"/>
      <c r="J22" s="81" t="s">
        <v>474</v>
      </c>
      <c r="K22" s="107">
        <v>0</v>
      </c>
    </row>
    <row r="23" spans="3:11" ht="15.5">
      <c r="C23" s="90" t="s">
        <v>409</v>
      </c>
      <c r="D23" s="80">
        <v>4368</v>
      </c>
      <c r="E23" s="80">
        <f>D23/24</f>
        <v>182</v>
      </c>
      <c r="F23" s="81">
        <v>335</v>
      </c>
      <c r="G23" s="82">
        <v>4.4900000000000002E-4</v>
      </c>
      <c r="H23" s="83">
        <f>F23*G23*24</f>
        <v>3.6099600000000001</v>
      </c>
      <c r="I23" s="86">
        <f>H23*E23</f>
        <v>657.01272000000006</v>
      </c>
      <c r="J23" s="81">
        <v>714.38400000000001</v>
      </c>
      <c r="K23" s="107">
        <f t="shared" si="3"/>
        <v>0.71438400000000002</v>
      </c>
    </row>
    <row r="24" spans="3:11" ht="15.5">
      <c r="C24" s="71" t="s">
        <v>367</v>
      </c>
      <c r="D24" s="80">
        <v>4368</v>
      </c>
      <c r="E24" s="80">
        <f>D24/24</f>
        <v>182</v>
      </c>
      <c r="F24" s="81">
        <v>39</v>
      </c>
      <c r="G24" s="82">
        <v>4.4900000000000002E-4</v>
      </c>
      <c r="H24" s="83">
        <f t="shared" ref="H24:H33" si="9">F24*G24*24</f>
        <v>0.42026400000000008</v>
      </c>
      <c r="I24" s="86">
        <f t="shared" ref="I24:I33" si="10">H24*E24</f>
        <v>76.48804800000002</v>
      </c>
      <c r="J24" s="81">
        <v>83.615399999999994</v>
      </c>
      <c r="K24" s="107">
        <f t="shared" si="3"/>
        <v>8.3615399999999993E-2</v>
      </c>
    </row>
    <row r="25" spans="3:11" ht="15.5">
      <c r="C25" s="72" t="s">
        <v>370</v>
      </c>
      <c r="D25" s="80">
        <v>4368</v>
      </c>
      <c r="E25" s="80">
        <f t="shared" ref="E25:E45" si="11">D25/24</f>
        <v>182</v>
      </c>
      <c r="F25" s="81">
        <v>226.5</v>
      </c>
      <c r="G25" s="82">
        <v>4.4900000000000002E-4</v>
      </c>
      <c r="H25" s="83">
        <f t="shared" si="9"/>
        <v>2.4407639999999997</v>
      </c>
      <c r="I25" s="86">
        <f t="shared" si="10"/>
        <v>444.21904799999993</v>
      </c>
      <c r="J25" s="81">
        <v>483.02099999999996</v>
      </c>
      <c r="K25" s="107">
        <f t="shared" si="3"/>
        <v>0.48302099999999998</v>
      </c>
    </row>
    <row r="26" spans="3:11" ht="15.5">
      <c r="C26" s="89" t="s">
        <v>374</v>
      </c>
      <c r="D26" s="80">
        <v>36960</v>
      </c>
      <c r="E26" s="80">
        <f t="shared" si="11"/>
        <v>1540</v>
      </c>
      <c r="F26" s="81">
        <v>356</v>
      </c>
      <c r="G26" s="82">
        <v>4.4900000000000002E-4</v>
      </c>
      <c r="H26" s="83">
        <f t="shared" si="9"/>
        <v>3.8362560000000006</v>
      </c>
      <c r="I26" s="86">
        <f t="shared" si="10"/>
        <v>5907.834240000001</v>
      </c>
      <c r="J26" s="81">
        <v>12767.178599999999</v>
      </c>
      <c r="K26" s="107">
        <f t="shared" si="3"/>
        <v>12.767178599999999</v>
      </c>
    </row>
    <row r="27" spans="3:11" ht="15.5">
      <c r="C27" s="91" t="s">
        <v>375</v>
      </c>
      <c r="D27" s="80">
        <v>14616</v>
      </c>
      <c r="E27" s="80">
        <f t="shared" si="11"/>
        <v>609</v>
      </c>
      <c r="F27" s="81">
        <v>187.92500000000001</v>
      </c>
      <c r="G27" s="82">
        <v>4.4900000000000002E-4</v>
      </c>
      <c r="H27" s="83">
        <f t="shared" si="9"/>
        <v>2.0250798000000003</v>
      </c>
      <c r="I27" s="86">
        <f t="shared" si="10"/>
        <v>1233.2735982000002</v>
      </c>
      <c r="J27" s="81">
        <v>1639.836</v>
      </c>
      <c r="K27" s="107">
        <f t="shared" si="3"/>
        <v>1.6398360000000001</v>
      </c>
    </row>
    <row r="28" spans="3:11" ht="15.5">
      <c r="C28" s="91" t="s">
        <v>377</v>
      </c>
      <c r="D28" s="80">
        <v>4368</v>
      </c>
      <c r="E28" s="80">
        <f t="shared" si="11"/>
        <v>182</v>
      </c>
      <c r="F28" s="81">
        <v>420</v>
      </c>
      <c r="G28" s="82">
        <v>4.4900000000000002E-4</v>
      </c>
      <c r="H28" s="83">
        <f t="shared" si="9"/>
        <v>4.5259200000000002</v>
      </c>
      <c r="I28" s="86">
        <f t="shared" si="10"/>
        <v>823.71744000000001</v>
      </c>
      <c r="J28" s="81">
        <v>893.79179999999997</v>
      </c>
      <c r="K28" s="107">
        <f t="shared" si="3"/>
        <v>0.89379179999999991</v>
      </c>
    </row>
    <row r="29" spans="3:11" ht="15.5">
      <c r="C29" s="91" t="s">
        <v>380</v>
      </c>
      <c r="D29" s="80">
        <v>4368</v>
      </c>
      <c r="E29" s="80">
        <f t="shared" si="11"/>
        <v>182</v>
      </c>
      <c r="F29" s="81">
        <v>511.32499999999999</v>
      </c>
      <c r="G29" s="82">
        <v>4.4900000000000002E-4</v>
      </c>
      <c r="H29" s="83">
        <f t="shared" si="9"/>
        <v>5.5100382000000003</v>
      </c>
      <c r="I29" s="86">
        <f t="shared" si="10"/>
        <v>1002.8269524000001</v>
      </c>
      <c r="J29" s="81">
        <v>1090.2474</v>
      </c>
      <c r="K29" s="107">
        <f t="shared" si="3"/>
        <v>1.0902474</v>
      </c>
    </row>
    <row r="30" spans="3:11" ht="15.5">
      <c r="C30" s="89" t="s">
        <v>382</v>
      </c>
      <c r="D30" s="80">
        <v>14616</v>
      </c>
      <c r="E30" s="80">
        <f t="shared" si="11"/>
        <v>609</v>
      </c>
      <c r="F30" s="81">
        <v>154</v>
      </c>
      <c r="G30" s="82">
        <v>4.4900000000000002E-4</v>
      </c>
      <c r="H30" s="83">
        <f t="shared" si="9"/>
        <v>1.6595040000000001</v>
      </c>
      <c r="I30" s="86">
        <f t="shared" si="10"/>
        <v>1010.6379360000001</v>
      </c>
      <c r="J30" s="81">
        <v>1343.529</v>
      </c>
      <c r="K30" s="107">
        <f t="shared" si="3"/>
        <v>1.343529</v>
      </c>
    </row>
    <row r="31" spans="3:11" ht="15.5">
      <c r="C31" s="92" t="s">
        <v>342</v>
      </c>
      <c r="D31" s="80">
        <v>4368</v>
      </c>
      <c r="E31" s="80">
        <f t="shared" si="11"/>
        <v>182</v>
      </c>
      <c r="F31" s="81">
        <v>131.25</v>
      </c>
      <c r="G31" s="82">
        <v>4.4900000000000002E-4</v>
      </c>
      <c r="H31" s="83">
        <f t="shared" si="9"/>
        <v>1.4143500000000002</v>
      </c>
      <c r="I31" s="86">
        <f t="shared" si="10"/>
        <v>257.41170000000005</v>
      </c>
      <c r="J31" s="81">
        <v>279.25919999999996</v>
      </c>
      <c r="K31" s="107">
        <f t="shared" si="3"/>
        <v>0.27925919999999999</v>
      </c>
    </row>
    <row r="32" spans="3:11" ht="15.5">
      <c r="C32" s="92" t="s">
        <v>350</v>
      </c>
      <c r="D32" s="80">
        <v>7728</v>
      </c>
      <c r="E32" s="80">
        <f t="shared" si="11"/>
        <v>322</v>
      </c>
      <c r="F32" s="81">
        <v>465.82499999999999</v>
      </c>
      <c r="G32" s="82">
        <v>4.4900000000000002E-4</v>
      </c>
      <c r="H32" s="83">
        <f t="shared" si="9"/>
        <v>5.0197301999999997</v>
      </c>
      <c r="I32" s="86">
        <f t="shared" si="10"/>
        <v>1616.3531243999998</v>
      </c>
      <c r="J32" s="81">
        <v>1873.6343999999999</v>
      </c>
      <c r="K32" s="107">
        <f t="shared" si="3"/>
        <v>1.8736343999999998</v>
      </c>
    </row>
    <row r="33" spans="3:11" ht="15.5">
      <c r="C33" s="92" t="s">
        <v>385</v>
      </c>
      <c r="D33" s="80">
        <v>4368</v>
      </c>
      <c r="E33" s="80">
        <f t="shared" si="11"/>
        <v>182</v>
      </c>
      <c r="F33" s="81">
        <v>48.25</v>
      </c>
      <c r="G33" s="82">
        <v>4.4900000000000002E-4</v>
      </c>
      <c r="H33" s="83">
        <f t="shared" si="9"/>
        <v>0.51994200000000002</v>
      </c>
      <c r="I33" s="86">
        <f t="shared" si="10"/>
        <v>94.629444000000007</v>
      </c>
      <c r="J33" s="81">
        <v>103.09859999999999</v>
      </c>
      <c r="K33" s="107">
        <f t="shared" si="3"/>
        <v>0.10309859999999998</v>
      </c>
    </row>
    <row r="34" spans="3:11" ht="15.5">
      <c r="C34" s="93" t="s">
        <v>386</v>
      </c>
      <c r="D34" s="80">
        <v>10416</v>
      </c>
      <c r="E34" s="80">
        <f t="shared" si="11"/>
        <v>434</v>
      </c>
      <c r="F34" s="192"/>
      <c r="G34" s="82">
        <v>4.4900000000000002E-4</v>
      </c>
      <c r="H34" s="80"/>
      <c r="I34" s="80"/>
      <c r="J34" s="81" t="s">
        <v>474</v>
      </c>
      <c r="K34" s="107">
        <v>0</v>
      </c>
    </row>
    <row r="35" spans="3:11" ht="15.5">
      <c r="C35" s="94" t="s">
        <v>388</v>
      </c>
      <c r="D35" s="80">
        <v>8064</v>
      </c>
      <c r="E35" s="80">
        <f t="shared" si="11"/>
        <v>336</v>
      </c>
      <c r="F35" s="81">
        <v>589.75</v>
      </c>
      <c r="G35" s="82">
        <v>4.4900000000000002E-4</v>
      </c>
      <c r="H35" s="83">
        <f t="shared" ref="H35:H41" si="12">F35*G35*24</f>
        <v>6.3551459999999995</v>
      </c>
      <c r="I35" s="86">
        <f t="shared" ref="I35:I41" si="13">H35*E35</f>
        <v>2135.329056</v>
      </c>
      <c r="J35" s="81">
        <v>2493.8496</v>
      </c>
      <c r="K35" s="107">
        <f t="shared" si="3"/>
        <v>2.4938495999999999</v>
      </c>
    </row>
    <row r="36" spans="3:11" ht="15.5">
      <c r="C36" s="92" t="s">
        <v>390</v>
      </c>
      <c r="D36" s="80">
        <v>3948</v>
      </c>
      <c r="E36" s="80">
        <f t="shared" si="11"/>
        <v>164.5</v>
      </c>
      <c r="F36" s="81">
        <v>682.52499999999998</v>
      </c>
      <c r="G36" s="82">
        <v>4.4900000000000002E-4</v>
      </c>
      <c r="H36" s="83">
        <f t="shared" si="12"/>
        <v>7.3548894000000002</v>
      </c>
      <c r="I36" s="86">
        <f t="shared" si="13"/>
        <v>1209.8793063000001</v>
      </c>
      <c r="J36" s="81">
        <v>1303.7508</v>
      </c>
      <c r="K36" s="107">
        <f t="shared" si="3"/>
        <v>1.3037508</v>
      </c>
    </row>
    <row r="37" spans="3:11" ht="15.5">
      <c r="C37" s="92" t="s">
        <v>470</v>
      </c>
      <c r="D37" s="80">
        <v>4368</v>
      </c>
      <c r="E37" s="80">
        <f t="shared" si="11"/>
        <v>182</v>
      </c>
      <c r="F37" s="81">
        <v>627.52499999999998</v>
      </c>
      <c r="G37" s="82">
        <v>4.4900000000000002E-4</v>
      </c>
      <c r="H37" s="83">
        <f t="shared" si="12"/>
        <v>6.7622093999999997</v>
      </c>
      <c r="I37" s="86">
        <f t="shared" si="13"/>
        <v>1230.7221107999999</v>
      </c>
      <c r="J37" s="81">
        <v>1337.0346</v>
      </c>
      <c r="K37" s="107">
        <f t="shared" si="3"/>
        <v>1.3370346</v>
      </c>
    </row>
    <row r="38" spans="3:11" ht="15.5">
      <c r="C38" s="92" t="s">
        <v>471</v>
      </c>
      <c r="D38" s="80">
        <v>4368</v>
      </c>
      <c r="E38" s="80">
        <f t="shared" si="11"/>
        <v>182</v>
      </c>
      <c r="F38" s="81">
        <v>522.45000000000005</v>
      </c>
      <c r="G38" s="82">
        <v>4.4900000000000002E-4</v>
      </c>
      <c r="H38" s="83">
        <f t="shared" si="12"/>
        <v>5.629921200000001</v>
      </c>
      <c r="I38" s="86">
        <f t="shared" si="13"/>
        <v>1024.6456584000002</v>
      </c>
      <c r="J38" s="81">
        <v>1112.1659999999999</v>
      </c>
      <c r="K38" s="107">
        <f t="shared" si="3"/>
        <v>1.112166</v>
      </c>
    </row>
    <row r="39" spans="3:11" ht="15.5">
      <c r="C39" s="92" t="s">
        <v>472</v>
      </c>
      <c r="D39" s="80">
        <v>3948</v>
      </c>
      <c r="E39" s="80">
        <f t="shared" si="11"/>
        <v>164.5</v>
      </c>
      <c r="F39" s="81">
        <v>318.07499999999999</v>
      </c>
      <c r="G39" s="82">
        <v>4.4900000000000002E-4</v>
      </c>
      <c r="H39" s="83">
        <f t="shared" si="12"/>
        <v>3.4275761999999999</v>
      </c>
      <c r="I39" s="86">
        <f t="shared" si="13"/>
        <v>563.83628490000001</v>
      </c>
      <c r="J39" s="81">
        <v>607.22640000000001</v>
      </c>
      <c r="K39" s="107">
        <f t="shared" si="3"/>
        <v>0.60722640000000006</v>
      </c>
    </row>
    <row r="40" spans="3:11" ht="15.5">
      <c r="C40" s="95" t="s">
        <v>395</v>
      </c>
      <c r="D40" s="80">
        <v>3948</v>
      </c>
      <c r="E40" s="80">
        <f t="shared" si="11"/>
        <v>164.5</v>
      </c>
      <c r="F40" s="81">
        <v>7.5</v>
      </c>
      <c r="G40" s="82">
        <v>4.4900000000000002E-4</v>
      </c>
      <c r="H40" s="83">
        <f t="shared" si="12"/>
        <v>8.0820000000000003E-2</v>
      </c>
      <c r="I40" s="86">
        <f t="shared" si="13"/>
        <v>13.294890000000001</v>
      </c>
      <c r="J40" s="81">
        <v>14.368859999999998</v>
      </c>
      <c r="K40" s="107">
        <f t="shared" si="3"/>
        <v>1.4368859999999997E-2</v>
      </c>
    </row>
    <row r="41" spans="3:11" ht="15.5">
      <c r="C41" s="92" t="s">
        <v>397</v>
      </c>
      <c r="D41" s="80">
        <v>4872</v>
      </c>
      <c r="E41" s="80">
        <f t="shared" si="11"/>
        <v>203</v>
      </c>
      <c r="F41" s="81">
        <v>93</v>
      </c>
      <c r="G41" s="82">
        <v>4.4900000000000002E-4</v>
      </c>
      <c r="H41" s="83">
        <f t="shared" si="12"/>
        <v>1.0021680000000002</v>
      </c>
      <c r="I41" s="86">
        <f t="shared" si="13"/>
        <v>203.44010400000005</v>
      </c>
      <c r="J41" s="81">
        <v>222.4332</v>
      </c>
      <c r="K41" s="107">
        <f t="shared" si="3"/>
        <v>0.2224332</v>
      </c>
    </row>
    <row r="42" spans="3:11" ht="15.5">
      <c r="C42" s="92" t="s">
        <v>399</v>
      </c>
      <c r="D42" s="80">
        <v>14616</v>
      </c>
      <c r="E42" s="80">
        <f t="shared" si="11"/>
        <v>609</v>
      </c>
      <c r="F42" s="191" t="s">
        <v>487</v>
      </c>
      <c r="G42" s="82">
        <v>4.4900000000000002E-4</v>
      </c>
      <c r="H42" s="80"/>
      <c r="I42" s="80"/>
      <c r="J42" s="81" t="s">
        <v>474</v>
      </c>
      <c r="K42" s="107">
        <v>0</v>
      </c>
    </row>
    <row r="43" spans="3:11" ht="15.5">
      <c r="C43" s="92" t="s">
        <v>402</v>
      </c>
      <c r="D43" s="80">
        <v>10416</v>
      </c>
      <c r="E43" s="80">
        <f t="shared" si="11"/>
        <v>434</v>
      </c>
      <c r="F43" s="191" t="s">
        <v>487</v>
      </c>
      <c r="G43" s="82">
        <v>4.4900000000000002E-4</v>
      </c>
      <c r="H43" s="80"/>
      <c r="I43" s="80"/>
      <c r="J43" s="81" t="s">
        <v>474</v>
      </c>
      <c r="K43" s="107">
        <v>0</v>
      </c>
    </row>
    <row r="44" spans="3:11" ht="15.5">
      <c r="C44" s="92" t="s">
        <v>404</v>
      </c>
      <c r="D44" s="80">
        <v>24360</v>
      </c>
      <c r="E44" s="80">
        <f t="shared" si="11"/>
        <v>1015</v>
      </c>
      <c r="F44" s="81">
        <v>350.32499999999999</v>
      </c>
      <c r="G44" s="82">
        <v>4.4900000000000002E-4</v>
      </c>
      <c r="H44" s="83">
        <f>F44*G44*24</f>
        <v>3.7751022000000001</v>
      </c>
      <c r="I44" s="86">
        <f>H44*E44</f>
        <v>3831.7287329999999</v>
      </c>
      <c r="J44" s="81">
        <v>6262.2251999999999</v>
      </c>
      <c r="K44" s="107">
        <f t="shared" si="3"/>
        <v>6.2622251999999996</v>
      </c>
    </row>
    <row r="45" spans="3:11" ht="15.5">
      <c r="C45" s="91" t="s">
        <v>406</v>
      </c>
      <c r="D45" s="80">
        <v>14616</v>
      </c>
      <c r="E45" s="80">
        <f t="shared" si="11"/>
        <v>609</v>
      </c>
      <c r="F45" s="81">
        <v>83.677499999999995</v>
      </c>
      <c r="G45" s="82">
        <v>4.4900000000000002E-4</v>
      </c>
      <c r="H45" s="83">
        <f>F45*G45*24</f>
        <v>0.90170874000000001</v>
      </c>
      <c r="I45" s="86">
        <f>H45*E45</f>
        <v>549.14062265999996</v>
      </c>
      <c r="J45" s="81">
        <v>730.62</v>
      </c>
      <c r="K45" s="107">
        <f t="shared" si="3"/>
        <v>0.73062000000000005</v>
      </c>
    </row>
    <row r="46" spans="3:11">
      <c r="C46" s="58"/>
    </row>
    <row r="47" spans="3:11">
      <c r="C47" s="58"/>
    </row>
    <row r="48" spans="3:11">
      <c r="C48" s="58"/>
    </row>
    <row r="49" spans="3:10">
      <c r="C49" s="11"/>
    </row>
    <row r="50" spans="3:10">
      <c r="C50" s="11"/>
    </row>
    <row r="51" spans="3:10">
      <c r="C51" s="11"/>
      <c r="H51" t="s">
        <v>474</v>
      </c>
      <c r="I51" t="s">
        <v>474</v>
      </c>
      <c r="J51" t="s">
        <v>551</v>
      </c>
    </row>
    <row r="52" spans="3:10">
      <c r="C52" s="11"/>
      <c r="H52" t="s">
        <v>474</v>
      </c>
      <c r="I52" t="s">
        <v>474</v>
      </c>
      <c r="J52" t="s">
        <v>474</v>
      </c>
    </row>
    <row r="53" spans="3:10">
      <c r="C53" s="11"/>
      <c r="H53" t="s">
        <v>474</v>
      </c>
      <c r="I53" t="s">
        <v>474</v>
      </c>
      <c r="J53" t="s">
        <v>474</v>
      </c>
    </row>
    <row r="54" spans="3:10">
      <c r="C54" s="11"/>
    </row>
    <row r="55" spans="3:10">
      <c r="C55" s="11"/>
    </row>
    <row r="56" spans="3:10">
      <c r="C56" s="11"/>
    </row>
    <row r="57" spans="3:10">
      <c r="C57" s="11"/>
    </row>
    <row r="58" spans="3:10">
      <c r="C58" s="11"/>
    </row>
    <row r="59" spans="3:10">
      <c r="C59" s="11"/>
    </row>
    <row r="60" spans="3:10">
      <c r="C60" s="11"/>
    </row>
    <row r="61" spans="3:10">
      <c r="C61" s="11"/>
    </row>
    <row r="62" spans="3:10">
      <c r="C62" s="11"/>
    </row>
    <row r="63" spans="3:10">
      <c r="C63" s="11"/>
    </row>
    <row r="64" spans="3:10">
      <c r="C64" s="11"/>
    </row>
    <row r="65" spans="3:3">
      <c r="C65" s="11"/>
    </row>
    <row r="66" spans="3:3">
      <c r="C66" s="11"/>
    </row>
    <row r="67" spans="3:3">
      <c r="C67" s="11"/>
    </row>
    <row r="68" spans="3:3">
      <c r="C68" s="11"/>
    </row>
    <row r="69" spans="3:3">
      <c r="C69" s="11"/>
    </row>
    <row r="70" spans="3:3">
      <c r="C70" s="11"/>
    </row>
    <row r="71" spans="3:3">
      <c r="C71" s="11"/>
    </row>
    <row r="72" spans="3:3">
      <c r="C72" s="11"/>
    </row>
    <row r="73" spans="3:3">
      <c r="C73" s="11"/>
    </row>
    <row r="74" spans="3:3">
      <c r="C74" s="11"/>
    </row>
    <row r="75" spans="3:3">
      <c r="C75" s="11"/>
    </row>
    <row r="76" spans="3:3">
      <c r="C76" s="11"/>
    </row>
    <row r="77" spans="3:3">
      <c r="C77" s="11"/>
    </row>
    <row r="78" spans="3:3">
      <c r="C78" s="11"/>
    </row>
    <row r="79" spans="3:3">
      <c r="C79" s="11"/>
    </row>
    <row r="80" spans="3:3">
      <c r="C80" s="11"/>
    </row>
    <row r="81" spans="3:3">
      <c r="C81" s="11"/>
    </row>
    <row r="82" spans="3:3">
      <c r="C82" s="11"/>
    </row>
    <row r="83" spans="3:3">
      <c r="C83" s="11"/>
    </row>
    <row r="84" spans="3:3">
      <c r="C84" s="11"/>
    </row>
    <row r="85" spans="3:3">
      <c r="C85" s="11"/>
    </row>
    <row r="86" spans="3:3">
      <c r="C86" s="11"/>
    </row>
    <row r="87" spans="3:3">
      <c r="C87" s="11"/>
    </row>
    <row r="88" spans="3:3">
      <c r="C88" s="11"/>
    </row>
    <row r="89" spans="3:3">
      <c r="C89" s="11"/>
    </row>
    <row r="90" spans="3:3">
      <c r="C90" s="11"/>
    </row>
    <row r="91" spans="3:3">
      <c r="C91" s="11"/>
    </row>
    <row r="92" spans="3:3">
      <c r="C92" s="11"/>
    </row>
    <row r="93" spans="3:3">
      <c r="C93" s="11"/>
    </row>
    <row r="94" spans="3:3">
      <c r="C94" s="11"/>
    </row>
    <row r="95" spans="3:3">
      <c r="C95" s="11"/>
    </row>
    <row r="96" spans="3:3">
      <c r="C96" s="11"/>
    </row>
    <row r="97" spans="3:3">
      <c r="C97" s="11"/>
    </row>
    <row r="98" spans="3:3">
      <c r="C98" s="11"/>
    </row>
    <row r="99" spans="3:3">
      <c r="C99" s="11"/>
    </row>
    <row r="100" spans="3:3">
      <c r="C100" s="11"/>
    </row>
    <row r="101" spans="3:3">
      <c r="C101" s="11"/>
    </row>
    <row r="102" spans="3:3">
      <c r="C102" s="11"/>
    </row>
    <row r="103" spans="3:3">
      <c r="C103" s="11"/>
    </row>
    <row r="104" spans="3:3">
      <c r="C104" s="11"/>
    </row>
    <row r="105" spans="3:3">
      <c r="C105" s="11"/>
    </row>
    <row r="106" spans="3:3">
      <c r="C106" s="11"/>
    </row>
    <row r="107" spans="3:3">
      <c r="C107" s="11"/>
    </row>
    <row r="108" spans="3:3">
      <c r="C108" s="11"/>
    </row>
    <row r="109" spans="3:3">
      <c r="C109" s="11"/>
    </row>
    <row r="110" spans="3:3">
      <c r="C110" s="11"/>
    </row>
    <row r="111" spans="3:3">
      <c r="C111" s="11"/>
    </row>
    <row r="112" spans="3:3">
      <c r="C112" s="11"/>
    </row>
    <row r="113" spans="3:3">
      <c r="C113" s="11"/>
    </row>
    <row r="114" spans="3:3">
      <c r="C114" s="11"/>
    </row>
    <row r="115" spans="3:3">
      <c r="C115" s="11"/>
    </row>
    <row r="116" spans="3:3">
      <c r="C116" s="11"/>
    </row>
  </sheetData>
  <hyperlinks>
    <hyperlink ref="B1" r:id="rId1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5"/>
  <sheetViews>
    <sheetView topLeftCell="A16" workbookViewId="0">
      <selection activeCell="U14" sqref="U14"/>
    </sheetView>
  </sheetViews>
  <sheetFormatPr defaultRowHeight="14.5"/>
  <cols>
    <col min="2" max="2" width="18.1796875" customWidth="1"/>
    <col min="3" max="3" width="11.08984375" customWidth="1"/>
    <col min="4" max="4" width="9.7265625" customWidth="1"/>
    <col min="5" max="5" width="9.54296875" customWidth="1"/>
    <col min="6" max="6" width="9.90625" customWidth="1"/>
  </cols>
  <sheetData>
    <row r="2" spans="2:23">
      <c r="D2" s="36" t="s">
        <v>483</v>
      </c>
      <c r="E2" s="36" t="s">
        <v>483</v>
      </c>
      <c r="F2" s="36" t="s">
        <v>483</v>
      </c>
      <c r="G2" s="36" t="s">
        <v>483</v>
      </c>
      <c r="H2" s="36" t="s">
        <v>483</v>
      </c>
      <c r="I2" s="36" t="s">
        <v>483</v>
      </c>
      <c r="J2" s="36" t="s">
        <v>483</v>
      </c>
      <c r="K2" s="36" t="s">
        <v>483</v>
      </c>
      <c r="L2" s="36" t="s">
        <v>483</v>
      </c>
      <c r="M2" s="36" t="s">
        <v>483</v>
      </c>
      <c r="N2" s="36" t="s">
        <v>484</v>
      </c>
      <c r="O2" s="36" t="s">
        <v>484</v>
      </c>
      <c r="P2" s="36" t="s">
        <v>484</v>
      </c>
      <c r="Q2" s="36" t="s">
        <v>484</v>
      </c>
      <c r="R2" s="36" t="s">
        <v>484</v>
      </c>
      <c r="S2" s="36" t="s">
        <v>484</v>
      </c>
      <c r="T2" s="36" t="s">
        <v>484</v>
      </c>
      <c r="U2" s="36" t="s">
        <v>484</v>
      </c>
      <c r="V2" s="36" t="s">
        <v>484</v>
      </c>
      <c r="W2" s="36" t="s">
        <v>484</v>
      </c>
    </row>
    <row r="3" spans="2:23">
      <c r="D3" s="36" t="s">
        <v>477</v>
      </c>
      <c r="E3" s="36" t="s">
        <v>478</v>
      </c>
      <c r="F3" s="36" t="s">
        <v>478</v>
      </c>
      <c r="G3" s="36" t="s">
        <v>479</v>
      </c>
      <c r="H3" s="36" t="s">
        <v>480</v>
      </c>
      <c r="I3" s="36" t="s">
        <v>477</v>
      </c>
      <c r="J3" s="36" t="s">
        <v>478</v>
      </c>
      <c r="K3" s="36" t="s">
        <v>478</v>
      </c>
      <c r="L3" s="36" t="s">
        <v>479</v>
      </c>
      <c r="M3" s="36" t="s">
        <v>480</v>
      </c>
      <c r="N3" s="36" t="s">
        <v>477</v>
      </c>
      <c r="O3" s="36" t="s">
        <v>478</v>
      </c>
      <c r="P3" s="36" t="s">
        <v>478</v>
      </c>
      <c r="Q3" s="36" t="s">
        <v>479</v>
      </c>
      <c r="R3" s="36" t="s">
        <v>480</v>
      </c>
      <c r="S3" s="36" t="s">
        <v>477</v>
      </c>
      <c r="T3" s="36" t="s">
        <v>478</v>
      </c>
      <c r="U3" s="36" t="s">
        <v>478</v>
      </c>
      <c r="V3" s="36" t="s">
        <v>479</v>
      </c>
      <c r="W3" s="36" t="s">
        <v>480</v>
      </c>
    </row>
    <row r="4" spans="2:23" ht="15" thickBot="1">
      <c r="D4" s="37" t="s">
        <v>481</v>
      </c>
      <c r="E4" s="37" t="s">
        <v>481</v>
      </c>
      <c r="F4" s="37" t="s">
        <v>481</v>
      </c>
      <c r="G4" s="37" t="s">
        <v>481</v>
      </c>
      <c r="H4" s="37" t="s">
        <v>481</v>
      </c>
      <c r="I4" s="37" t="s">
        <v>482</v>
      </c>
      <c r="J4" s="37" t="s">
        <v>482</v>
      </c>
      <c r="K4" s="37" t="s">
        <v>482</v>
      </c>
      <c r="L4" s="37" t="s">
        <v>482</v>
      </c>
      <c r="M4" s="37" t="s">
        <v>482</v>
      </c>
      <c r="N4" s="37" t="s">
        <v>481</v>
      </c>
      <c r="O4" s="37" t="s">
        <v>481</v>
      </c>
      <c r="P4" s="37" t="s">
        <v>481</v>
      </c>
      <c r="Q4" s="37" t="s">
        <v>481</v>
      </c>
      <c r="R4" s="37" t="s">
        <v>481</v>
      </c>
      <c r="S4" s="37" t="s">
        <v>482</v>
      </c>
      <c r="T4" s="37" t="s">
        <v>482</v>
      </c>
      <c r="U4" s="37" t="s">
        <v>482</v>
      </c>
      <c r="V4" s="37" t="s">
        <v>482</v>
      </c>
      <c r="W4" s="37" t="s">
        <v>482</v>
      </c>
    </row>
    <row r="5" spans="2:23">
      <c r="B5" s="38" t="s">
        <v>20</v>
      </c>
      <c r="C5" s="39" t="s">
        <v>27</v>
      </c>
      <c r="D5" s="42">
        <v>2300000</v>
      </c>
      <c r="E5" s="42">
        <v>2200000</v>
      </c>
      <c r="F5" s="42">
        <v>225000</v>
      </c>
      <c r="G5" s="43">
        <f>AVERAGE(D5:F5)</f>
        <v>1575000</v>
      </c>
      <c r="H5" s="43">
        <f>_xlfn.STDEV.S(D5:F5)</f>
        <v>1170202.9738468451</v>
      </c>
      <c r="I5" s="42">
        <v>22484</v>
      </c>
      <c r="J5" s="42">
        <v>11998</v>
      </c>
      <c r="K5" s="42">
        <v>1211</v>
      </c>
      <c r="L5" s="43">
        <f>AVERAGE(I5:K5)</f>
        <v>11897.666666666666</v>
      </c>
      <c r="M5" s="43">
        <f>_xlfn.STDEV.S(I5:K5)</f>
        <v>10636.854907976011</v>
      </c>
      <c r="N5" s="42">
        <v>480000</v>
      </c>
      <c r="O5" s="42">
        <v>390000</v>
      </c>
      <c r="P5" s="42">
        <v>38000</v>
      </c>
      <c r="Q5" s="43">
        <f>AVERAGE(N5:P5)</f>
        <v>302666.66666666669</v>
      </c>
      <c r="R5" s="43">
        <f>_xlfn.STDEV.S(N5:P5)</f>
        <v>233583.67522867117</v>
      </c>
      <c r="S5" s="42">
        <v>3867</v>
      </c>
      <c r="T5" s="42">
        <v>2083</v>
      </c>
      <c r="U5" s="42">
        <v>205</v>
      </c>
      <c r="V5" s="43">
        <f>AVERAGE(S5:U5)</f>
        <v>2051.6666666666665</v>
      </c>
      <c r="W5" s="43">
        <f>_xlfn.STDEV.S(S5:U5)</f>
        <v>1831.2010630548828</v>
      </c>
    </row>
    <row r="6" spans="2:23">
      <c r="B6" s="38" t="s">
        <v>21</v>
      </c>
      <c r="C6" s="39" t="s">
        <v>27</v>
      </c>
      <c r="D6" s="40">
        <v>684000</v>
      </c>
      <c r="E6" s="40">
        <v>982000</v>
      </c>
      <c r="F6" s="40">
        <v>522000</v>
      </c>
      <c r="G6" s="41">
        <f>AVERAGE(D6:F6)</f>
        <v>729333.33333333337</v>
      </c>
      <c r="H6" s="41">
        <f>_xlfn.STDEV.S(D6:F6)</f>
        <v>233326.66657142594</v>
      </c>
      <c r="I6" s="40">
        <v>5266</v>
      </c>
      <c r="J6" s="40">
        <v>10292</v>
      </c>
      <c r="K6" s="40">
        <v>6168</v>
      </c>
      <c r="L6" s="41">
        <f>AVERAGE(I6:K6)</f>
        <v>7242</v>
      </c>
      <c r="M6" s="41">
        <f>_xlfn.STDEV.S(I6:K6)</f>
        <v>2679.6037020425242</v>
      </c>
      <c r="N6" s="40">
        <v>111000</v>
      </c>
      <c r="O6" s="40">
        <v>160000</v>
      </c>
      <c r="P6" s="40">
        <v>81000</v>
      </c>
      <c r="Q6" s="41">
        <f>AVERAGE(N6:P6)</f>
        <v>117333.33333333333</v>
      </c>
      <c r="R6" s="41">
        <f>_xlfn.STDEV.S(N6:P6)</f>
        <v>39878.983604567104</v>
      </c>
      <c r="S6" s="40">
        <v>858</v>
      </c>
      <c r="T6" s="40">
        <v>1680</v>
      </c>
      <c r="U6" s="40">
        <v>956</v>
      </c>
      <c r="V6" s="41">
        <f>AVERAGE(S6:U6)</f>
        <v>1164.6666666666667</v>
      </c>
      <c r="W6" s="41">
        <f>_xlfn.STDEV.S(S6:U6)</f>
        <v>448.97364436382372</v>
      </c>
    </row>
    <row r="7" spans="2:23">
      <c r="B7" s="23" t="s">
        <v>29</v>
      </c>
      <c r="C7" s="10" t="s">
        <v>27</v>
      </c>
    </row>
    <row r="8" spans="2:23">
      <c r="B8" s="26" t="s">
        <v>79</v>
      </c>
      <c r="C8" s="9" t="s">
        <v>78</v>
      </c>
    </row>
    <row r="9" spans="2:23">
      <c r="B9" s="23" t="s">
        <v>81</v>
      </c>
      <c r="C9" s="11" t="s">
        <v>75</v>
      </c>
      <c r="D9" s="35">
        <v>1860000</v>
      </c>
      <c r="E9" s="35">
        <v>1500000</v>
      </c>
      <c r="F9" s="35">
        <v>1100000</v>
      </c>
      <c r="G9" s="41">
        <f>AVERAGE(D9:F9)</f>
        <v>1486666.6666666667</v>
      </c>
      <c r="H9" s="41">
        <f>_xlfn.STDEV.S(D9:F9)</f>
        <v>380175.39811688696</v>
      </c>
      <c r="I9" s="44">
        <v>29126</v>
      </c>
      <c r="J9" s="44">
        <v>11142</v>
      </c>
      <c r="K9" s="44">
        <v>24763</v>
      </c>
      <c r="L9" s="41">
        <f>AVERAGE(I9:K9)</f>
        <v>21677</v>
      </c>
      <c r="M9" s="41">
        <f>_xlfn.STDEV.S(I9:K9)</f>
        <v>9380.7574854059621</v>
      </c>
      <c r="N9" s="35">
        <v>304000</v>
      </c>
      <c r="O9" s="35">
        <v>250000</v>
      </c>
      <c r="P9" s="35">
        <v>179000</v>
      </c>
      <c r="Q9" s="41">
        <f>AVERAGE(N9:P9)</f>
        <v>244333.33333333334</v>
      </c>
      <c r="R9" s="41">
        <f>_xlfn.STDEV.S(N9:P9)</f>
        <v>62692.37061503838</v>
      </c>
      <c r="S9" s="44">
        <v>4749</v>
      </c>
      <c r="T9" s="44">
        <v>1851</v>
      </c>
      <c r="U9" s="44">
        <v>3997</v>
      </c>
      <c r="V9" s="41">
        <f>AVERAGE(S9:U9)</f>
        <v>3532.3333333333335</v>
      </c>
      <c r="W9" s="41">
        <f>_xlfn.STDEV.S(S9:U9)</f>
        <v>1503.8408603749706</v>
      </c>
    </row>
    <row r="10" spans="2:23">
      <c r="B10" s="27" t="s">
        <v>87</v>
      </c>
      <c r="C10" s="11" t="s">
        <v>95</v>
      </c>
    </row>
    <row r="11" spans="2:23">
      <c r="B11" s="23" t="s">
        <v>82</v>
      </c>
      <c r="C11" s="11" t="s">
        <v>86</v>
      </c>
    </row>
    <row r="12" spans="2:23">
      <c r="B12" s="29" t="s">
        <v>83</v>
      </c>
      <c r="C12" s="11" t="s">
        <v>86</v>
      </c>
    </row>
    <row r="13" spans="2:23">
      <c r="B13" s="23" t="s">
        <v>84</v>
      </c>
      <c r="C13" s="11" t="s">
        <v>86</v>
      </c>
    </row>
    <row r="14" spans="2:23">
      <c r="B14" s="23" t="s">
        <v>85</v>
      </c>
      <c r="C14" s="11" t="s">
        <v>86</v>
      </c>
    </row>
    <row r="15" spans="2:23">
      <c r="B15" s="23" t="s">
        <v>94</v>
      </c>
      <c r="C15" s="11" t="s">
        <v>138</v>
      </c>
    </row>
    <row r="16" spans="2:23">
      <c r="B16" s="23" t="s">
        <v>88</v>
      </c>
      <c r="C16" s="11" t="s">
        <v>86</v>
      </c>
      <c r="D16" s="35">
        <v>914000</v>
      </c>
      <c r="E16" s="35">
        <v>471000</v>
      </c>
      <c r="F16" s="35">
        <v>407000</v>
      </c>
      <c r="G16" s="43">
        <f>AVERAGE(D16:F16)</f>
        <v>597333.33333333337</v>
      </c>
      <c r="H16" s="43">
        <f>_xlfn.STDEV.S(D16:F16)</f>
        <v>276102.03427959984</v>
      </c>
      <c r="I16" s="44">
        <v>24216</v>
      </c>
      <c r="J16" s="44">
        <v>10241</v>
      </c>
      <c r="K16" s="44">
        <v>6818</v>
      </c>
      <c r="L16" s="43">
        <f>AVERAGE(I16:K16)</f>
        <v>13758.333333333334</v>
      </c>
      <c r="M16" s="43">
        <f>_xlfn.STDEV.S(I16:K16)</f>
        <v>9216.9043790924352</v>
      </c>
      <c r="N16" s="35">
        <v>155000</v>
      </c>
      <c r="O16" s="35">
        <v>783000</v>
      </c>
      <c r="P16" s="35">
        <v>68600</v>
      </c>
      <c r="Q16" s="43">
        <f>AVERAGE(N16:P16)</f>
        <v>335533.33333333331</v>
      </c>
      <c r="R16" s="43">
        <f>_xlfn.STDEV.S(N16:P16)</f>
        <v>389918.00847528619</v>
      </c>
      <c r="S16" s="44">
        <v>4118</v>
      </c>
      <c r="T16" s="44">
        <v>1704</v>
      </c>
      <c r="U16" s="44">
        <v>1148</v>
      </c>
      <c r="V16" s="43">
        <f>AVERAGE(S16:U16)</f>
        <v>2323.3333333333335</v>
      </c>
      <c r="W16" s="43">
        <f>_xlfn.STDEV.S(S16:U16)</f>
        <v>1578.8937055208412</v>
      </c>
    </row>
    <row r="17" spans="2:19">
      <c r="B17" s="23" t="s">
        <v>89</v>
      </c>
      <c r="C17" s="11" t="s">
        <v>91</v>
      </c>
    </row>
    <row r="18" spans="2:19">
      <c r="B18" s="23" t="s">
        <v>90</v>
      </c>
      <c r="C18" s="11" t="s">
        <v>78</v>
      </c>
      <c r="S18" t="s">
        <v>485</v>
      </c>
    </row>
    <row r="19" spans="2:19">
      <c r="B19" s="29" t="s">
        <v>97</v>
      </c>
      <c r="C19" s="11" t="s">
        <v>98</v>
      </c>
    </row>
    <row r="20" spans="2:19">
      <c r="B20" s="29" t="s">
        <v>92</v>
      </c>
      <c r="C20" s="11" t="s">
        <v>93</v>
      </c>
    </row>
    <row r="21" spans="2:19">
      <c r="B21" s="30" t="s">
        <v>408</v>
      </c>
      <c r="C21" s="20" t="s">
        <v>362</v>
      </c>
    </row>
    <row r="22" spans="2:19">
      <c r="B22" s="32" t="s">
        <v>364</v>
      </c>
      <c r="C22" s="20" t="s">
        <v>361</v>
      </c>
    </row>
    <row r="23" spans="2:19">
      <c r="B23" s="30" t="s">
        <v>409</v>
      </c>
      <c r="C23" s="20" t="s">
        <v>410</v>
      </c>
    </row>
    <row r="24" spans="2:19">
      <c r="B24" s="30" t="s">
        <v>367</v>
      </c>
      <c r="C24" s="22" t="s">
        <v>362</v>
      </c>
    </row>
    <row r="25" spans="2:19">
      <c r="B25" s="30" t="s">
        <v>370</v>
      </c>
      <c r="C25" s="20" t="s">
        <v>362</v>
      </c>
    </row>
    <row r="26" spans="2:19" ht="28">
      <c r="B26" s="31" t="s">
        <v>374</v>
      </c>
      <c r="C26" s="20" t="s">
        <v>362</v>
      </c>
    </row>
    <row r="27" spans="2:19">
      <c r="B27" s="24" t="s">
        <v>375</v>
      </c>
      <c r="C27" s="22" t="s">
        <v>362</v>
      </c>
    </row>
    <row r="28" spans="2:19">
      <c r="B28" s="24" t="s">
        <v>377</v>
      </c>
      <c r="C28" s="20" t="s">
        <v>362</v>
      </c>
    </row>
    <row r="29" spans="2:19">
      <c r="B29" s="24" t="s">
        <v>380</v>
      </c>
      <c r="C29" s="20" t="s">
        <v>362</v>
      </c>
    </row>
    <row r="30" spans="2:19" ht="28">
      <c r="B30" s="31" t="s">
        <v>382</v>
      </c>
      <c r="C30" s="20" t="s">
        <v>362</v>
      </c>
    </row>
    <row r="31" spans="2:19">
      <c r="B31" s="25" t="s">
        <v>342</v>
      </c>
      <c r="C31" s="20" t="s">
        <v>362</v>
      </c>
    </row>
    <row r="32" spans="2:19">
      <c r="B32" s="25" t="s">
        <v>350</v>
      </c>
      <c r="C32" s="20" t="s">
        <v>362</v>
      </c>
    </row>
    <row r="33" spans="2:3">
      <c r="B33" s="25" t="s">
        <v>385</v>
      </c>
      <c r="C33" s="20" t="s">
        <v>362</v>
      </c>
    </row>
    <row r="34" spans="2:3">
      <c r="B34" s="34" t="s">
        <v>386</v>
      </c>
      <c r="C34" s="20" t="s">
        <v>362</v>
      </c>
    </row>
    <row r="35" spans="2:3">
      <c r="B35" s="28" t="s">
        <v>388</v>
      </c>
      <c r="C35" s="20" t="s">
        <v>362</v>
      </c>
    </row>
    <row r="36" spans="2:3">
      <c r="B36" s="25" t="s">
        <v>390</v>
      </c>
      <c r="C36" s="20" t="s">
        <v>362</v>
      </c>
    </row>
    <row r="37" spans="2:3">
      <c r="B37" s="25" t="s">
        <v>470</v>
      </c>
      <c r="C37" s="20" t="s">
        <v>362</v>
      </c>
    </row>
    <row r="38" spans="2:3">
      <c r="B38" s="25" t="s">
        <v>471</v>
      </c>
      <c r="C38" s="20" t="s">
        <v>362</v>
      </c>
    </row>
    <row r="39" spans="2:3">
      <c r="B39" s="25" t="s">
        <v>472</v>
      </c>
      <c r="C39" s="20" t="s">
        <v>362</v>
      </c>
    </row>
    <row r="40" spans="2:3">
      <c r="B40" s="28" t="s">
        <v>395</v>
      </c>
      <c r="C40" s="20" t="s">
        <v>361</v>
      </c>
    </row>
    <row r="41" spans="2:3">
      <c r="B41" s="25" t="s">
        <v>397</v>
      </c>
      <c r="C41" s="20" t="s">
        <v>362</v>
      </c>
    </row>
    <row r="42" spans="2:3">
      <c r="B42" s="25" t="s">
        <v>399</v>
      </c>
      <c r="C42" s="20" t="s">
        <v>400</v>
      </c>
    </row>
    <row r="43" spans="2:3">
      <c r="B43" s="25" t="s">
        <v>402</v>
      </c>
      <c r="C43" s="20" t="s">
        <v>400</v>
      </c>
    </row>
    <row r="44" spans="2:3">
      <c r="B44" s="25" t="s">
        <v>404</v>
      </c>
      <c r="C44" s="20" t="s">
        <v>362</v>
      </c>
    </row>
    <row r="45" spans="2:3">
      <c r="B45" s="24" t="s">
        <v>406</v>
      </c>
      <c r="C45" s="20" t="s">
        <v>361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1"/>
  <sheetViews>
    <sheetView topLeftCell="E7" workbookViewId="0">
      <selection activeCell="J11" sqref="J11"/>
    </sheetView>
  </sheetViews>
  <sheetFormatPr defaultColWidth="8.81640625" defaultRowHeight="14"/>
  <cols>
    <col min="1" max="1" width="17" style="1" customWidth="1"/>
    <col min="2" max="2" width="15.453125" style="1" customWidth="1"/>
    <col min="3" max="3" width="16.453125" style="1" customWidth="1"/>
    <col min="4" max="4" width="13" style="1" customWidth="1"/>
    <col min="5" max="14" width="15.81640625" style="2" customWidth="1"/>
    <col min="15" max="16384" width="8.81640625" style="1"/>
  </cols>
  <sheetData>
    <row r="1" spans="1:14">
      <c r="A1" s="208" t="s">
        <v>0</v>
      </c>
      <c r="B1" s="208" t="s">
        <v>137</v>
      </c>
      <c r="C1" s="208" t="s">
        <v>46</v>
      </c>
      <c r="D1" s="208" t="s">
        <v>47</v>
      </c>
      <c r="E1" s="207" t="s">
        <v>37</v>
      </c>
      <c r="F1" s="207"/>
      <c r="G1" s="207" t="s">
        <v>36</v>
      </c>
      <c r="H1" s="207"/>
      <c r="I1" s="207" t="s">
        <v>40</v>
      </c>
      <c r="J1" s="207"/>
      <c r="K1" s="208" t="s">
        <v>43</v>
      </c>
      <c r="L1" s="208" t="s">
        <v>44</v>
      </c>
      <c r="M1" s="208" t="s">
        <v>144</v>
      </c>
      <c r="N1" s="208" t="s">
        <v>45</v>
      </c>
    </row>
    <row r="2" spans="1:14">
      <c r="A2" s="209"/>
      <c r="B2" s="209"/>
      <c r="C2" s="209"/>
      <c r="D2" s="209"/>
      <c r="E2" s="16" t="s">
        <v>38</v>
      </c>
      <c r="F2" s="16" t="s">
        <v>39</v>
      </c>
      <c r="G2" s="16" t="s">
        <v>38</v>
      </c>
      <c r="H2" s="16" t="s">
        <v>39</v>
      </c>
      <c r="I2" s="16" t="s">
        <v>41</v>
      </c>
      <c r="J2" s="16" t="s">
        <v>42</v>
      </c>
      <c r="K2" s="209"/>
      <c r="L2" s="209"/>
      <c r="M2" s="209"/>
      <c r="N2" s="209"/>
    </row>
    <row r="3" spans="1:14">
      <c r="A3" s="13">
        <v>161025</v>
      </c>
      <c r="C3" s="1" t="s">
        <v>123</v>
      </c>
      <c r="D3" s="1" t="s">
        <v>48</v>
      </c>
      <c r="E3" s="2">
        <v>787.92</v>
      </c>
      <c r="F3" s="2">
        <v>22.805</v>
      </c>
      <c r="G3" s="2">
        <v>4664.8</v>
      </c>
      <c r="H3" s="2">
        <v>74.352000000000004</v>
      </c>
      <c r="I3" s="4"/>
      <c r="J3" s="4">
        <f>H3/G3</f>
        <v>1.5938947007374377E-2</v>
      </c>
    </row>
    <row r="4" spans="1:14">
      <c r="A4" s="6" t="s">
        <v>310</v>
      </c>
      <c r="B4" s="6" t="s">
        <v>311</v>
      </c>
      <c r="C4" s="6" t="s">
        <v>314</v>
      </c>
      <c r="D4" s="6" t="s">
        <v>313</v>
      </c>
      <c r="E4" s="17">
        <v>447.98</v>
      </c>
      <c r="F4" s="17">
        <v>5.8898999999999999</v>
      </c>
      <c r="G4" s="17">
        <v>2210.6</v>
      </c>
      <c r="H4" s="17">
        <v>18.283999999999999</v>
      </c>
      <c r="I4" s="17"/>
      <c r="J4" s="17"/>
      <c r="K4" s="17"/>
      <c r="L4" s="17"/>
      <c r="M4" s="17"/>
      <c r="N4" s="17"/>
    </row>
    <row r="5" spans="1:14">
      <c r="A5" s="6" t="s">
        <v>310</v>
      </c>
      <c r="B5" s="6" t="s">
        <v>311</v>
      </c>
      <c r="C5" s="6" t="s">
        <v>312</v>
      </c>
      <c r="D5" s="6" t="s">
        <v>313</v>
      </c>
      <c r="E5" s="17">
        <v>412.05</v>
      </c>
      <c r="F5" s="17">
        <v>5.4737999999999998</v>
      </c>
      <c r="G5" s="17">
        <v>2131.3000000000002</v>
      </c>
      <c r="H5" s="17">
        <v>17.427</v>
      </c>
      <c r="I5" s="17"/>
      <c r="J5" s="17"/>
      <c r="K5" s="17"/>
      <c r="L5" s="17"/>
      <c r="M5" s="17"/>
      <c r="N5" s="17"/>
    </row>
    <row r="6" spans="1:14">
      <c r="A6" s="6" t="s">
        <v>315</v>
      </c>
      <c r="B6" s="6" t="s">
        <v>311</v>
      </c>
      <c r="C6" s="6" t="s">
        <v>314</v>
      </c>
      <c r="D6" s="6" t="s">
        <v>313</v>
      </c>
      <c r="E6" s="17">
        <v>237.68</v>
      </c>
      <c r="F6" s="17">
        <v>3.8214999999999999</v>
      </c>
      <c r="G6" s="17">
        <v>1248.5999999999999</v>
      </c>
      <c r="H6" s="17">
        <v>12.082000000000001</v>
      </c>
      <c r="I6" s="17"/>
      <c r="J6" s="17"/>
      <c r="K6" s="17"/>
      <c r="L6" s="17"/>
      <c r="M6" s="17"/>
      <c r="N6" s="17"/>
    </row>
    <row r="7" spans="1:14">
      <c r="A7" s="6" t="s">
        <v>315</v>
      </c>
      <c r="B7" s="6" t="s">
        <v>311</v>
      </c>
      <c r="C7" s="6" t="s">
        <v>312</v>
      </c>
      <c r="D7" s="6" t="s">
        <v>313</v>
      </c>
      <c r="E7" s="17">
        <v>239.75</v>
      </c>
      <c r="F7" s="17">
        <v>4.0514999999999999</v>
      </c>
      <c r="G7" s="17">
        <v>1272.8</v>
      </c>
      <c r="H7" s="17">
        <v>12.948</v>
      </c>
      <c r="I7" s="17"/>
      <c r="J7" s="17"/>
      <c r="K7" s="17"/>
      <c r="L7" s="17"/>
      <c r="M7" s="17"/>
      <c r="N7" s="17"/>
    </row>
    <row r="8" spans="1:14">
      <c r="A8" s="6" t="s">
        <v>316</v>
      </c>
      <c r="B8" s="6" t="s">
        <v>311</v>
      </c>
      <c r="C8" s="6" t="s">
        <v>314</v>
      </c>
      <c r="D8" s="6" t="s">
        <v>313</v>
      </c>
      <c r="E8" s="17">
        <v>1498</v>
      </c>
      <c r="F8" s="17">
        <v>10.02</v>
      </c>
      <c r="G8" s="17">
        <v>7538.6</v>
      </c>
      <c r="H8" s="17">
        <v>32.143999999999998</v>
      </c>
      <c r="I8" s="17"/>
      <c r="J8" s="17"/>
      <c r="K8" s="17"/>
      <c r="L8" s="17"/>
      <c r="M8" s="17"/>
      <c r="N8" s="17"/>
    </row>
    <row r="9" spans="1:14">
      <c r="A9" s="6" t="s">
        <v>316</v>
      </c>
      <c r="B9" s="6" t="s">
        <v>311</v>
      </c>
      <c r="C9" s="6" t="s">
        <v>312</v>
      </c>
      <c r="D9" s="6" t="s">
        <v>313</v>
      </c>
      <c r="E9" s="17">
        <v>844.79</v>
      </c>
      <c r="F9" s="17">
        <v>6.2329999999999997</v>
      </c>
      <c r="G9" s="17">
        <v>4332.3</v>
      </c>
      <c r="H9" s="17">
        <v>20.190999999999999</v>
      </c>
      <c r="I9" s="17"/>
      <c r="J9" s="17"/>
      <c r="K9" s="17"/>
      <c r="L9" s="17"/>
      <c r="M9" s="17"/>
      <c r="N9" s="17"/>
    </row>
    <row r="10" spans="1:14">
      <c r="A10" s="6" t="s">
        <v>317</v>
      </c>
      <c r="B10" s="6" t="s">
        <v>311</v>
      </c>
      <c r="C10" s="6" t="s">
        <v>314</v>
      </c>
      <c r="D10" s="6" t="s">
        <v>313</v>
      </c>
      <c r="E10" s="17">
        <v>311.77999999999997</v>
      </c>
      <c r="F10" s="17">
        <v>5.0365000000000002</v>
      </c>
      <c r="G10" s="17">
        <v>1712.8</v>
      </c>
      <c r="H10" s="17">
        <v>16.379000000000001</v>
      </c>
      <c r="I10" s="17"/>
      <c r="J10" s="17"/>
      <c r="K10" s="17"/>
      <c r="L10" s="17"/>
      <c r="M10" s="17"/>
      <c r="N10" s="17"/>
    </row>
    <row r="11" spans="1:14">
      <c r="A11" s="6" t="s">
        <v>317</v>
      </c>
      <c r="B11" s="6" t="s">
        <v>311</v>
      </c>
      <c r="C11" s="6" t="s">
        <v>312</v>
      </c>
      <c r="D11" s="6" t="s">
        <v>313</v>
      </c>
      <c r="E11" s="17">
        <v>242.62</v>
      </c>
      <c r="F11" s="17">
        <v>4.6984000000000004</v>
      </c>
      <c r="G11" s="17">
        <v>1362.9</v>
      </c>
      <c r="H11" s="17">
        <v>15.188000000000001</v>
      </c>
      <c r="I11" s="17"/>
      <c r="J11" s="17"/>
      <c r="K11" s="17"/>
      <c r="L11" s="17"/>
      <c r="M11" s="17"/>
      <c r="N11" s="17"/>
    </row>
    <row r="12" spans="1:14">
      <c r="A12" s="6" t="s">
        <v>321</v>
      </c>
      <c r="B12" s="6" t="s">
        <v>311</v>
      </c>
      <c r="C12" s="6" t="s">
        <v>314</v>
      </c>
      <c r="D12" s="6" t="s">
        <v>313</v>
      </c>
      <c r="E12" s="17">
        <v>207.5</v>
      </c>
      <c r="F12" s="17">
        <v>4.0092999999999996</v>
      </c>
      <c r="G12" s="17">
        <v>1085.9000000000001</v>
      </c>
      <c r="H12" s="17">
        <v>12.619</v>
      </c>
      <c r="I12" s="17"/>
      <c r="J12" s="17"/>
      <c r="K12" s="17"/>
      <c r="L12" s="17"/>
      <c r="M12" s="17"/>
      <c r="N12" s="17"/>
    </row>
    <row r="13" spans="1:14">
      <c r="A13" s="6" t="s">
        <v>320</v>
      </c>
      <c r="B13" s="6" t="s">
        <v>311</v>
      </c>
      <c r="C13" s="6" t="s">
        <v>312</v>
      </c>
      <c r="D13" s="6" t="s">
        <v>313</v>
      </c>
      <c r="E13" s="17">
        <v>124.46</v>
      </c>
      <c r="F13" s="17">
        <v>2.6027999999999998</v>
      </c>
      <c r="G13" s="17">
        <v>685.19</v>
      </c>
      <c r="H13" s="17">
        <v>8.3611000000000004</v>
      </c>
      <c r="I13" s="17"/>
      <c r="J13" s="17"/>
      <c r="K13" s="17"/>
      <c r="L13" s="17"/>
      <c r="M13" s="17"/>
      <c r="N13" s="17"/>
    </row>
    <row r="14" spans="1:14">
      <c r="A14" s="6" t="s">
        <v>318</v>
      </c>
      <c r="B14" s="6" t="s">
        <v>311</v>
      </c>
      <c r="C14" s="6" t="s">
        <v>319</v>
      </c>
      <c r="D14" s="6" t="s">
        <v>313</v>
      </c>
      <c r="E14" s="17">
        <v>82.222999999999999</v>
      </c>
      <c r="F14" s="17">
        <v>2.9554</v>
      </c>
      <c r="G14" s="17">
        <v>459.47</v>
      </c>
      <c r="H14" s="17">
        <v>8.8253000000000004</v>
      </c>
      <c r="I14" s="17"/>
      <c r="J14" s="17"/>
      <c r="K14" s="17"/>
      <c r="L14" s="17"/>
      <c r="M14" s="17"/>
      <c r="N14" s="17"/>
    </row>
    <row r="15" spans="1:14">
      <c r="A15" s="1" t="s">
        <v>15</v>
      </c>
      <c r="B15" s="13" t="s">
        <v>27</v>
      </c>
      <c r="C15" s="6" t="s">
        <v>11</v>
      </c>
      <c r="D15" s="3" t="s">
        <v>48</v>
      </c>
      <c r="E15" s="5">
        <v>809.22</v>
      </c>
      <c r="F15" s="5">
        <v>11.132999999999999</v>
      </c>
      <c r="G15" s="5">
        <v>4350.7</v>
      </c>
      <c r="H15" s="5">
        <v>36.270000000000003</v>
      </c>
      <c r="I15" s="4">
        <f t="shared" ref="I15:I46" si="0">F15/E15</f>
        <v>1.3757692592867203E-2</v>
      </c>
      <c r="J15" s="4">
        <f t="shared" ref="J15:J46" si="1">H15/G15</f>
        <v>8.3365895143310276E-3</v>
      </c>
      <c r="K15" s="2">
        <v>74.83</v>
      </c>
      <c r="L15" s="2">
        <f>21.52-2.06</f>
        <v>19.46</v>
      </c>
      <c r="M15" s="4">
        <f t="shared" ref="M15:M25" si="2">L15/K15</f>
        <v>0.26005612722170252</v>
      </c>
      <c r="N15" s="2">
        <v>10000</v>
      </c>
    </row>
    <row r="16" spans="1:14">
      <c r="A16" s="1" t="s">
        <v>15</v>
      </c>
      <c r="B16" s="13" t="s">
        <v>27</v>
      </c>
      <c r="C16" s="3" t="s">
        <v>28</v>
      </c>
      <c r="D16" s="3" t="s">
        <v>48</v>
      </c>
      <c r="E16" s="5">
        <v>539.89</v>
      </c>
      <c r="F16" s="5">
        <v>11.098000000000001</v>
      </c>
      <c r="G16" s="5">
        <v>2850.9</v>
      </c>
      <c r="H16" s="5">
        <v>34.868000000000002</v>
      </c>
      <c r="I16" s="4">
        <f t="shared" si="0"/>
        <v>2.0556039193168982E-2</v>
      </c>
      <c r="J16" s="4">
        <f t="shared" si="1"/>
        <v>1.2230523694271985E-2</v>
      </c>
      <c r="K16" s="2">
        <v>72.930000000000007</v>
      </c>
      <c r="L16" s="2">
        <f>16.33-2.12</f>
        <v>14.209999999999997</v>
      </c>
      <c r="M16" s="4">
        <f t="shared" si="2"/>
        <v>0.19484437131495949</v>
      </c>
      <c r="N16" s="2">
        <v>10000</v>
      </c>
    </row>
    <row r="17" spans="1:14">
      <c r="A17" s="1" t="s">
        <v>15</v>
      </c>
      <c r="B17" s="13" t="s">
        <v>27</v>
      </c>
      <c r="C17" s="3" t="s">
        <v>10</v>
      </c>
      <c r="D17" s="3" t="s">
        <v>48</v>
      </c>
      <c r="E17" s="5">
        <v>431.02</v>
      </c>
      <c r="F17" s="5">
        <v>8.9042999999999992</v>
      </c>
      <c r="G17" s="5">
        <v>2558.6999999999998</v>
      </c>
      <c r="H17" s="5">
        <v>29.521999999999998</v>
      </c>
      <c r="I17" s="4">
        <f t="shared" si="0"/>
        <v>2.065867013131641E-2</v>
      </c>
      <c r="J17" s="4">
        <f t="shared" si="1"/>
        <v>1.153789033493571E-2</v>
      </c>
      <c r="K17" s="2">
        <v>63.79</v>
      </c>
      <c r="L17" s="2">
        <f>20.01-2.09</f>
        <v>17.920000000000002</v>
      </c>
      <c r="M17" s="4">
        <f t="shared" si="2"/>
        <v>0.28092177457281708</v>
      </c>
      <c r="N17" s="2">
        <v>10000</v>
      </c>
    </row>
    <row r="18" spans="1:14">
      <c r="A18" s="1" t="s">
        <v>15</v>
      </c>
      <c r="B18" s="13" t="s">
        <v>27</v>
      </c>
      <c r="C18" s="3" t="s">
        <v>49</v>
      </c>
      <c r="D18" s="3" t="s">
        <v>50</v>
      </c>
      <c r="E18" s="5">
        <v>223.52</v>
      </c>
      <c r="F18" s="5">
        <v>6.6017999999999999</v>
      </c>
      <c r="G18" s="5">
        <v>1241.0999999999999</v>
      </c>
      <c r="H18" s="5">
        <v>20.486000000000001</v>
      </c>
      <c r="I18" s="4">
        <f t="shared" si="0"/>
        <v>2.9535612025769504E-2</v>
      </c>
      <c r="J18" s="4">
        <f t="shared" si="1"/>
        <v>1.6506325034243818E-2</v>
      </c>
      <c r="K18" s="2">
        <v>57.96</v>
      </c>
      <c r="L18" s="2">
        <f>20.17-2.08</f>
        <v>18.090000000000003</v>
      </c>
      <c r="M18" s="4">
        <f t="shared" si="2"/>
        <v>0.31211180124223609</v>
      </c>
      <c r="N18" s="2">
        <v>10000</v>
      </c>
    </row>
    <row r="19" spans="1:14">
      <c r="A19" s="1" t="s">
        <v>15</v>
      </c>
      <c r="B19" s="13" t="s">
        <v>27</v>
      </c>
      <c r="C19" s="6" t="s">
        <v>12</v>
      </c>
      <c r="D19" s="3" t="s">
        <v>48</v>
      </c>
      <c r="E19" s="5">
        <v>737.73</v>
      </c>
      <c r="F19" s="5">
        <v>11.087999999999999</v>
      </c>
      <c r="G19" s="5">
        <v>4073.5</v>
      </c>
      <c r="H19" s="5">
        <v>36.344999999999999</v>
      </c>
      <c r="I19" s="4">
        <f t="shared" si="0"/>
        <v>1.502988898377455E-2</v>
      </c>
      <c r="J19" s="4">
        <f t="shared" si="1"/>
        <v>8.9223026881060513E-3</v>
      </c>
      <c r="K19" s="2">
        <v>66.39</v>
      </c>
      <c r="L19" s="2">
        <f>19.94-2.08</f>
        <v>17.86</v>
      </c>
      <c r="M19" s="4">
        <f t="shared" si="2"/>
        <v>0.26901641813526134</v>
      </c>
      <c r="N19" s="2">
        <v>10000</v>
      </c>
    </row>
    <row r="20" spans="1:14">
      <c r="A20" s="1" t="s">
        <v>126</v>
      </c>
      <c r="B20" s="13" t="s">
        <v>27</v>
      </c>
      <c r="C20" s="3" t="s">
        <v>127</v>
      </c>
      <c r="D20" s="3" t="s">
        <v>48</v>
      </c>
      <c r="E20" s="5">
        <v>285.69</v>
      </c>
      <c r="F20" s="5">
        <v>8.1056000000000008</v>
      </c>
      <c r="G20" s="5">
        <v>1646.4</v>
      </c>
      <c r="H20" s="5">
        <v>25.532</v>
      </c>
      <c r="I20" s="4">
        <f t="shared" si="0"/>
        <v>2.8372011620987788E-2</v>
      </c>
      <c r="J20" s="4">
        <f t="shared" si="1"/>
        <v>1.5507774538386783E-2</v>
      </c>
      <c r="K20" s="2">
        <v>74.28</v>
      </c>
      <c r="L20" s="2">
        <f>17.55-2.1</f>
        <v>15.450000000000001</v>
      </c>
      <c r="M20" s="4">
        <f t="shared" si="2"/>
        <v>0.20799676898222941</v>
      </c>
      <c r="N20" s="2">
        <v>10000</v>
      </c>
    </row>
    <row r="21" spans="1:14">
      <c r="A21" s="1" t="s">
        <v>15</v>
      </c>
      <c r="B21" s="13" t="s">
        <v>27</v>
      </c>
      <c r="C21" s="6" t="s">
        <v>13</v>
      </c>
      <c r="D21" s="3" t="s">
        <v>53</v>
      </c>
      <c r="E21" s="5">
        <v>756.95</v>
      </c>
      <c r="F21" s="5">
        <v>11.829000000000001</v>
      </c>
      <c r="G21" s="5">
        <v>4181.5</v>
      </c>
      <c r="H21" s="5">
        <v>38.792000000000002</v>
      </c>
      <c r="I21" s="4">
        <f t="shared" si="0"/>
        <v>1.5627188057335359E-2</v>
      </c>
      <c r="J21" s="4">
        <f t="shared" si="1"/>
        <v>9.2770536888676317E-3</v>
      </c>
      <c r="K21" s="2">
        <v>60.97</v>
      </c>
      <c r="L21" s="2">
        <f>17.86-2.09</f>
        <v>15.77</v>
      </c>
      <c r="M21" s="4">
        <f t="shared" si="2"/>
        <v>0.2586517959652288</v>
      </c>
      <c r="N21" s="2">
        <v>10000</v>
      </c>
    </row>
    <row r="22" spans="1:14">
      <c r="A22" s="1" t="s">
        <v>15</v>
      </c>
      <c r="B22" s="13" t="s">
        <v>27</v>
      </c>
      <c r="C22" s="3" t="s">
        <v>51</v>
      </c>
      <c r="D22" s="3" t="s">
        <v>48</v>
      </c>
      <c r="E22" s="5">
        <v>318.93</v>
      </c>
      <c r="F22" s="5">
        <v>9.4093999999999998</v>
      </c>
      <c r="G22" s="5">
        <v>1622</v>
      </c>
      <c r="H22" s="5">
        <v>27.933</v>
      </c>
      <c r="I22" s="4">
        <f t="shared" si="0"/>
        <v>2.9503025742325901E-2</v>
      </c>
      <c r="J22" s="4">
        <f t="shared" si="1"/>
        <v>1.7221331689272503E-2</v>
      </c>
      <c r="K22" s="2">
        <v>54.05</v>
      </c>
      <c r="L22" s="2">
        <f>13.87-2.08</f>
        <v>11.79</v>
      </c>
      <c r="M22" s="4">
        <f t="shared" si="2"/>
        <v>0.21813135985198889</v>
      </c>
      <c r="N22" s="2">
        <v>10000</v>
      </c>
    </row>
    <row r="23" spans="1:14">
      <c r="A23" s="1" t="s">
        <v>15</v>
      </c>
      <c r="B23" s="13" t="s">
        <v>27</v>
      </c>
      <c r="C23" s="3" t="s">
        <v>52</v>
      </c>
      <c r="D23" s="3" t="s">
        <v>48</v>
      </c>
      <c r="E23" s="5">
        <v>553.89</v>
      </c>
      <c r="F23" s="5">
        <v>12.747</v>
      </c>
      <c r="G23" s="5">
        <v>3011.4</v>
      </c>
      <c r="H23" s="5">
        <v>41.116999999999997</v>
      </c>
      <c r="I23" s="4">
        <f t="shared" si="0"/>
        <v>2.3013594757081732E-2</v>
      </c>
      <c r="J23" s="4">
        <f t="shared" si="1"/>
        <v>1.3653782293949656E-2</v>
      </c>
      <c r="K23" s="2">
        <v>59.33</v>
      </c>
      <c r="L23" s="2">
        <f>13-2.11</f>
        <v>10.89</v>
      </c>
      <c r="M23" s="4">
        <f t="shared" si="2"/>
        <v>0.18354963762009102</v>
      </c>
      <c r="N23" s="2">
        <v>10000</v>
      </c>
    </row>
    <row r="24" spans="1:14">
      <c r="A24" s="1" t="s">
        <v>15</v>
      </c>
      <c r="B24" s="13" t="s">
        <v>27</v>
      </c>
      <c r="C24" s="3" t="s">
        <v>34</v>
      </c>
      <c r="D24" s="3" t="s">
        <v>48</v>
      </c>
      <c r="E24" s="5">
        <v>507.48</v>
      </c>
      <c r="F24" s="5">
        <v>15.973000000000001</v>
      </c>
      <c r="G24" s="5">
        <v>2769.3</v>
      </c>
      <c r="H24" s="5">
        <v>48.884999999999998</v>
      </c>
      <c r="I24" s="4">
        <f t="shared" si="0"/>
        <v>3.1475132024907385E-2</v>
      </c>
      <c r="J24" s="4">
        <f t="shared" si="1"/>
        <v>1.7652475354782794E-2</v>
      </c>
      <c r="K24" s="2">
        <v>31.24</v>
      </c>
      <c r="L24" s="2">
        <f>9.17-2.12</f>
        <v>7.05</v>
      </c>
      <c r="M24" s="4">
        <f t="shared" si="2"/>
        <v>0.22567221510883484</v>
      </c>
      <c r="N24" s="2">
        <v>10000</v>
      </c>
    </row>
    <row r="25" spans="1:14">
      <c r="A25" s="1" t="s">
        <v>15</v>
      </c>
      <c r="B25" s="13" t="s">
        <v>27</v>
      </c>
      <c r="C25" s="6" t="s">
        <v>14</v>
      </c>
      <c r="D25" s="3" t="s">
        <v>54</v>
      </c>
      <c r="E25" s="5">
        <v>464.93</v>
      </c>
      <c r="F25" s="5">
        <v>9.8793000000000006</v>
      </c>
      <c r="G25" s="5">
        <v>2473.6999999999998</v>
      </c>
      <c r="H25" s="5">
        <v>31.379000000000001</v>
      </c>
      <c r="I25" s="4">
        <f t="shared" si="0"/>
        <v>2.1249005226593252E-2</v>
      </c>
      <c r="J25" s="4">
        <f t="shared" si="1"/>
        <v>1.2685046691191334E-2</v>
      </c>
      <c r="K25" s="2">
        <v>46.15</v>
      </c>
      <c r="L25" s="2">
        <f>15.91-2.07</f>
        <v>13.84</v>
      </c>
      <c r="M25" s="4">
        <f t="shared" si="2"/>
        <v>0.29989165763813652</v>
      </c>
      <c r="N25" s="2">
        <v>10000</v>
      </c>
    </row>
    <row r="26" spans="1:14">
      <c r="A26" s="1" t="s">
        <v>16</v>
      </c>
      <c r="B26" s="13" t="s">
        <v>27</v>
      </c>
      <c r="C26" s="6" t="s">
        <v>11</v>
      </c>
      <c r="D26" s="1" t="s">
        <v>55</v>
      </c>
      <c r="E26" s="5">
        <v>790.8</v>
      </c>
      <c r="F26" s="5">
        <v>17.614999999999998</v>
      </c>
      <c r="G26" s="5">
        <v>3959.7</v>
      </c>
      <c r="H26" s="5">
        <v>52.427</v>
      </c>
      <c r="I26" s="4">
        <f t="shared" si="0"/>
        <v>2.22749114820435E-2</v>
      </c>
      <c r="J26" s="4">
        <f t="shared" si="1"/>
        <v>1.3240144455388035E-2</v>
      </c>
      <c r="M26" s="4"/>
      <c r="N26" s="2">
        <v>10000</v>
      </c>
    </row>
    <row r="27" spans="1:14">
      <c r="A27" s="1" t="s">
        <v>16</v>
      </c>
      <c r="B27" s="13" t="s">
        <v>27</v>
      </c>
      <c r="C27" s="1" t="s">
        <v>28</v>
      </c>
      <c r="D27" s="1" t="s">
        <v>55</v>
      </c>
      <c r="E27" s="5">
        <v>334.82</v>
      </c>
      <c r="F27" s="5">
        <v>8.1575000000000006</v>
      </c>
      <c r="G27" s="5">
        <v>1690.8</v>
      </c>
      <c r="H27" s="5">
        <v>24.617000000000001</v>
      </c>
      <c r="I27" s="4">
        <f t="shared" si="0"/>
        <v>2.4363837285705753E-2</v>
      </c>
      <c r="J27" s="4">
        <f t="shared" si="1"/>
        <v>1.4559380175065058E-2</v>
      </c>
      <c r="M27" s="4"/>
      <c r="N27" s="2">
        <v>10000</v>
      </c>
    </row>
    <row r="28" spans="1:14">
      <c r="A28" s="1" t="s">
        <v>16</v>
      </c>
      <c r="B28" s="13" t="s">
        <v>27</v>
      </c>
      <c r="C28" s="1" t="s">
        <v>60</v>
      </c>
      <c r="D28" s="1" t="s">
        <v>61</v>
      </c>
      <c r="E28" s="5">
        <v>617.65</v>
      </c>
      <c r="F28" s="5">
        <v>9.7039000000000009</v>
      </c>
      <c r="G28" s="5">
        <v>3203.5</v>
      </c>
      <c r="H28" s="5">
        <v>30.282</v>
      </c>
      <c r="I28" s="4">
        <f t="shared" si="0"/>
        <v>1.5711001376183927E-2</v>
      </c>
      <c r="J28" s="4">
        <f t="shared" si="1"/>
        <v>9.4527860152957711E-3</v>
      </c>
      <c r="M28" s="4"/>
      <c r="N28" s="2">
        <v>10000</v>
      </c>
    </row>
    <row r="29" spans="1:14">
      <c r="A29" s="1" t="s">
        <v>16</v>
      </c>
      <c r="B29" s="13" t="s">
        <v>27</v>
      </c>
      <c r="C29" s="1" t="s">
        <v>56</v>
      </c>
      <c r="D29" s="1" t="s">
        <v>48</v>
      </c>
      <c r="E29" s="5">
        <v>513.11</v>
      </c>
      <c r="F29" s="5">
        <v>12.337999999999999</v>
      </c>
      <c r="G29" s="5">
        <v>2771.4</v>
      </c>
      <c r="H29" s="5">
        <v>38.319000000000003</v>
      </c>
      <c r="I29" s="4">
        <f t="shared" si="0"/>
        <v>2.4045526300403419E-2</v>
      </c>
      <c r="J29" s="4">
        <f t="shared" si="1"/>
        <v>1.3826585841091145E-2</v>
      </c>
      <c r="K29" s="2">
        <v>23.05</v>
      </c>
      <c r="L29" s="2">
        <f>11.14-2.05</f>
        <v>9.09</v>
      </c>
      <c r="M29" s="4">
        <f>L29/K29</f>
        <v>0.39436008676789586</v>
      </c>
      <c r="N29" s="2">
        <v>10000</v>
      </c>
    </row>
    <row r="30" spans="1:14">
      <c r="A30" s="1" t="s">
        <v>16</v>
      </c>
      <c r="B30" s="13" t="s">
        <v>27</v>
      </c>
      <c r="C30" s="6" t="s">
        <v>12</v>
      </c>
      <c r="D30" s="1" t="s">
        <v>61</v>
      </c>
      <c r="E30" s="5">
        <v>847.19</v>
      </c>
      <c r="F30" s="5">
        <v>16.059999999999999</v>
      </c>
      <c r="G30" s="5">
        <v>4346.2</v>
      </c>
      <c r="H30" s="5">
        <v>48.777000000000001</v>
      </c>
      <c r="I30" s="4">
        <f t="shared" si="0"/>
        <v>1.8956786553193494E-2</v>
      </c>
      <c r="J30" s="4">
        <f t="shared" si="1"/>
        <v>1.1222907367355392E-2</v>
      </c>
      <c r="M30" s="4"/>
      <c r="N30" s="2">
        <v>10000</v>
      </c>
    </row>
    <row r="31" spans="1:14">
      <c r="A31" s="1" t="s">
        <v>16</v>
      </c>
      <c r="B31" s="13" t="s">
        <v>27</v>
      </c>
      <c r="C31" s="1" t="s">
        <v>58</v>
      </c>
      <c r="D31" s="1" t="s">
        <v>59</v>
      </c>
      <c r="E31" s="5">
        <v>340.52</v>
      </c>
      <c r="F31" s="5">
        <v>17.550999999999998</v>
      </c>
      <c r="G31" s="5">
        <v>1732.4</v>
      </c>
      <c r="H31" s="5">
        <v>49.06</v>
      </c>
      <c r="I31" s="4">
        <f t="shared" si="0"/>
        <v>5.154175966169388E-2</v>
      </c>
      <c r="J31" s="4">
        <f t="shared" si="1"/>
        <v>2.8319094897252366E-2</v>
      </c>
      <c r="M31" s="4"/>
      <c r="N31" s="2">
        <v>10000</v>
      </c>
    </row>
    <row r="32" spans="1:14">
      <c r="A32" s="3" t="s">
        <v>17</v>
      </c>
      <c r="B32" s="13" t="s">
        <v>27</v>
      </c>
      <c r="C32" s="6" t="s">
        <v>11</v>
      </c>
      <c r="D32" s="1" t="s">
        <v>74</v>
      </c>
      <c r="E32" s="5">
        <v>681.26</v>
      </c>
      <c r="F32" s="5">
        <v>12.157999999999999</v>
      </c>
      <c r="G32" s="5">
        <v>3535.6</v>
      </c>
      <c r="H32" s="5">
        <v>37.468000000000004</v>
      </c>
      <c r="I32" s="4">
        <f t="shared" si="0"/>
        <v>1.7846343539911338E-2</v>
      </c>
      <c r="J32" s="4">
        <f t="shared" si="1"/>
        <v>1.059735264170155E-2</v>
      </c>
      <c r="M32" s="4"/>
      <c r="N32" s="2">
        <v>10000</v>
      </c>
    </row>
    <row r="33" spans="1:14">
      <c r="A33" s="3" t="s">
        <v>17</v>
      </c>
      <c r="B33" s="13" t="s">
        <v>27</v>
      </c>
      <c r="C33" s="3" t="s">
        <v>28</v>
      </c>
      <c r="D33" s="3" t="s">
        <v>48</v>
      </c>
      <c r="E33" s="5">
        <v>1445.1</v>
      </c>
      <c r="F33" s="5">
        <v>37.203000000000003</v>
      </c>
      <c r="G33" s="5">
        <v>7462.3</v>
      </c>
      <c r="H33" s="5">
        <v>111.43</v>
      </c>
      <c r="I33" s="4">
        <f t="shared" si="0"/>
        <v>2.5744239152999795E-2</v>
      </c>
      <c r="J33" s="4">
        <f t="shared" si="1"/>
        <v>1.4932393497983197E-2</v>
      </c>
      <c r="K33" s="2">
        <v>12.57</v>
      </c>
      <c r="L33" s="2">
        <f>4.71-2.14</f>
        <v>2.57</v>
      </c>
      <c r="M33" s="4">
        <f>L33/K33</f>
        <v>0.20445505171042161</v>
      </c>
      <c r="N33" s="2">
        <v>10000</v>
      </c>
    </row>
    <row r="34" spans="1:14">
      <c r="A34" s="3" t="s">
        <v>17</v>
      </c>
      <c r="B34" s="13" t="s">
        <v>27</v>
      </c>
      <c r="C34" s="1" t="s">
        <v>10</v>
      </c>
      <c r="D34" s="1" t="s">
        <v>48</v>
      </c>
      <c r="E34" s="5">
        <v>2607.8000000000002</v>
      </c>
      <c r="F34" s="5">
        <v>44.774000000000001</v>
      </c>
      <c r="G34" s="5">
        <v>13388</v>
      </c>
      <c r="H34" s="5">
        <v>139.30000000000001</v>
      </c>
      <c r="I34" s="4">
        <f t="shared" si="0"/>
        <v>1.716926144642994E-2</v>
      </c>
      <c r="J34" s="4">
        <f t="shared" si="1"/>
        <v>1.0404840155363013E-2</v>
      </c>
      <c r="K34" s="2">
        <v>17.670000000000002</v>
      </c>
      <c r="L34" s="2">
        <f>5.4-2.11</f>
        <v>3.2900000000000005</v>
      </c>
      <c r="M34" s="4">
        <f>L34/K34</f>
        <v>0.18619128466327109</v>
      </c>
      <c r="N34" s="2">
        <v>10000</v>
      </c>
    </row>
    <row r="35" spans="1:14">
      <c r="A35" s="3" t="s">
        <v>17</v>
      </c>
      <c r="B35" s="13" t="s">
        <v>27</v>
      </c>
      <c r="C35" s="1" t="s">
        <v>56</v>
      </c>
      <c r="D35" s="1" t="s">
        <v>48</v>
      </c>
      <c r="E35" s="5">
        <v>410.6</v>
      </c>
      <c r="F35" s="5">
        <v>9.0436999999999994</v>
      </c>
      <c r="G35" s="5">
        <v>2214.6</v>
      </c>
      <c r="H35" s="5">
        <v>28.638999999999999</v>
      </c>
      <c r="I35" s="4">
        <f t="shared" si="0"/>
        <v>2.2025572333170967E-2</v>
      </c>
      <c r="J35" s="4">
        <f t="shared" si="1"/>
        <v>1.2931906439086066E-2</v>
      </c>
      <c r="K35" s="2">
        <v>43.48</v>
      </c>
      <c r="L35" s="2">
        <f>18.26-2.13</f>
        <v>16.130000000000003</v>
      </c>
      <c r="M35" s="4">
        <f>L35/K35</f>
        <v>0.37097516099356032</v>
      </c>
      <c r="N35" s="2">
        <v>10000</v>
      </c>
    </row>
    <row r="36" spans="1:14">
      <c r="A36" s="3" t="s">
        <v>17</v>
      </c>
      <c r="B36" s="13" t="s">
        <v>27</v>
      </c>
      <c r="C36" s="6" t="s">
        <v>12</v>
      </c>
      <c r="D36" s="1" t="s">
        <v>57</v>
      </c>
      <c r="E36" s="5">
        <v>746.71</v>
      </c>
      <c r="F36" s="5">
        <v>15.082000000000001</v>
      </c>
      <c r="G36" s="5">
        <v>3976.1</v>
      </c>
      <c r="H36" s="5">
        <v>46.411999999999999</v>
      </c>
      <c r="I36" s="4">
        <f t="shared" si="0"/>
        <v>2.0197934941275728E-2</v>
      </c>
      <c r="J36" s="4">
        <f t="shared" si="1"/>
        <v>1.1672744649279445E-2</v>
      </c>
      <c r="M36" s="4"/>
      <c r="N36" s="2">
        <v>10000</v>
      </c>
    </row>
    <row r="37" spans="1:14">
      <c r="A37" s="3" t="s">
        <v>17</v>
      </c>
      <c r="B37" s="13" t="s">
        <v>27</v>
      </c>
      <c r="C37" s="1" t="s">
        <v>7</v>
      </c>
      <c r="D37" s="1" t="s">
        <v>62</v>
      </c>
      <c r="E37" s="5">
        <v>767.22</v>
      </c>
      <c r="F37" s="5">
        <v>34.243000000000002</v>
      </c>
      <c r="G37" s="5">
        <v>3844.2</v>
      </c>
      <c r="H37" s="5">
        <v>93.82</v>
      </c>
      <c r="I37" s="4">
        <f t="shared" si="0"/>
        <v>4.4632569536769112E-2</v>
      </c>
      <c r="J37" s="4">
        <f t="shared" si="1"/>
        <v>2.4405598043806254E-2</v>
      </c>
      <c r="K37" s="2">
        <v>14.18</v>
      </c>
      <c r="L37" s="2">
        <f>4.85-2.09</f>
        <v>2.76</v>
      </c>
      <c r="M37" s="4">
        <f>L37/K37</f>
        <v>0.19464033850493651</v>
      </c>
      <c r="N37" s="2">
        <v>10000</v>
      </c>
    </row>
    <row r="38" spans="1:14">
      <c r="A38" s="3" t="s">
        <v>17</v>
      </c>
      <c r="B38" s="13" t="s">
        <v>27</v>
      </c>
      <c r="C38" s="1" t="s">
        <v>63</v>
      </c>
      <c r="D38" s="1" t="s">
        <v>55</v>
      </c>
      <c r="E38" s="5">
        <v>234.79</v>
      </c>
      <c r="F38" s="5">
        <v>9.4498999999999995</v>
      </c>
      <c r="G38" s="5">
        <v>1175</v>
      </c>
      <c r="H38" s="5">
        <v>25.923999999999999</v>
      </c>
      <c r="I38" s="4">
        <f t="shared" si="0"/>
        <v>4.0248306997742664E-2</v>
      </c>
      <c r="J38" s="4">
        <f t="shared" si="1"/>
        <v>2.2062978723404254E-2</v>
      </c>
      <c r="M38" s="4"/>
      <c r="N38" s="2">
        <v>10000</v>
      </c>
    </row>
    <row r="39" spans="1:14">
      <c r="A39" s="1" t="s">
        <v>18</v>
      </c>
      <c r="B39" s="13" t="s">
        <v>27</v>
      </c>
      <c r="C39" s="6" t="s">
        <v>11</v>
      </c>
      <c r="D39" s="1" t="s">
        <v>48</v>
      </c>
      <c r="E39" s="5">
        <v>4099.8999999999996</v>
      </c>
      <c r="F39" s="5">
        <v>29.606000000000002</v>
      </c>
      <c r="G39" s="5">
        <v>21279</v>
      </c>
      <c r="H39" s="5">
        <v>97.072000000000003</v>
      </c>
      <c r="I39" s="4">
        <f t="shared" si="0"/>
        <v>7.2211517354081817E-3</v>
      </c>
      <c r="J39" s="4">
        <f t="shared" si="1"/>
        <v>4.5618685088584989E-3</v>
      </c>
      <c r="K39" s="2">
        <v>90.72</v>
      </c>
      <c r="L39" s="2">
        <f>23.92-2.08</f>
        <v>21.840000000000003</v>
      </c>
      <c r="M39" s="4">
        <f>L39/K39</f>
        <v>0.24074074074074078</v>
      </c>
      <c r="N39" s="2">
        <v>10000</v>
      </c>
    </row>
    <row r="40" spans="1:14">
      <c r="A40" s="1" t="s">
        <v>18</v>
      </c>
      <c r="B40" s="13" t="s">
        <v>27</v>
      </c>
      <c r="C40" s="6" t="s">
        <v>11</v>
      </c>
      <c r="D40" s="1" t="s">
        <v>55</v>
      </c>
      <c r="E40" s="5">
        <v>924.19</v>
      </c>
      <c r="F40" s="5">
        <v>7.1475</v>
      </c>
      <c r="G40" s="5">
        <v>4901.8999999999996</v>
      </c>
      <c r="H40" s="5">
        <v>23.638000000000002</v>
      </c>
      <c r="I40" s="4">
        <f t="shared" si="0"/>
        <v>7.7337993269782183E-3</v>
      </c>
      <c r="J40" s="4">
        <f t="shared" si="1"/>
        <v>4.8222117954262638E-3</v>
      </c>
      <c r="M40" s="4"/>
      <c r="N40" s="2">
        <v>10000</v>
      </c>
    </row>
    <row r="41" spans="1:14">
      <c r="A41" s="1" t="s">
        <v>18</v>
      </c>
      <c r="B41" s="13" t="s">
        <v>27</v>
      </c>
      <c r="C41" s="1" t="s">
        <v>64</v>
      </c>
      <c r="D41" s="1" t="s">
        <v>71</v>
      </c>
      <c r="E41" s="5">
        <v>198.54</v>
      </c>
      <c r="F41" s="5">
        <v>5.4221000000000004</v>
      </c>
      <c r="G41" s="5">
        <v>1002.7</v>
      </c>
      <c r="H41" s="5">
        <v>15.747</v>
      </c>
      <c r="I41" s="4">
        <f t="shared" si="0"/>
        <v>2.7309861992545585E-2</v>
      </c>
      <c r="J41" s="4">
        <f t="shared" si="1"/>
        <v>1.5704597586516406E-2</v>
      </c>
      <c r="M41" s="4"/>
      <c r="N41" s="2">
        <v>10000</v>
      </c>
    </row>
    <row r="42" spans="1:14">
      <c r="A42" s="3" t="s">
        <v>18</v>
      </c>
      <c r="B42" s="13" t="s">
        <v>27</v>
      </c>
      <c r="C42" s="1" t="s">
        <v>28</v>
      </c>
      <c r="D42" s="1" t="s">
        <v>55</v>
      </c>
      <c r="E42" s="5">
        <v>270.35000000000002</v>
      </c>
      <c r="F42" s="5">
        <v>4.2100999999999997</v>
      </c>
      <c r="G42" s="5">
        <v>1398.5</v>
      </c>
      <c r="H42" s="5">
        <v>13.407</v>
      </c>
      <c r="I42" s="4">
        <f t="shared" si="0"/>
        <v>1.5572776031070832E-2</v>
      </c>
      <c r="J42" s="4">
        <f t="shared" si="1"/>
        <v>9.5867000357525919E-3</v>
      </c>
      <c r="M42" s="4"/>
      <c r="N42" s="2">
        <v>10000</v>
      </c>
    </row>
    <row r="43" spans="1:14">
      <c r="A43" s="1" t="s">
        <v>18</v>
      </c>
      <c r="B43" s="13" t="s">
        <v>27</v>
      </c>
      <c r="C43" s="1" t="s">
        <v>73</v>
      </c>
      <c r="D43" s="1" t="s">
        <v>48</v>
      </c>
      <c r="E43" s="5">
        <v>1238.3</v>
      </c>
      <c r="F43" s="5">
        <v>14.86</v>
      </c>
      <c r="G43" s="5">
        <v>6422.9</v>
      </c>
      <c r="H43" s="5">
        <v>48.265000000000001</v>
      </c>
      <c r="I43" s="4">
        <f t="shared" si="0"/>
        <v>1.2000323023499959E-2</v>
      </c>
      <c r="J43" s="4">
        <f t="shared" si="1"/>
        <v>7.5145183639788882E-3</v>
      </c>
      <c r="K43" s="2">
        <v>74.91</v>
      </c>
      <c r="L43" s="2">
        <f>18.7-2.09</f>
        <v>16.61</v>
      </c>
      <c r="M43" s="4">
        <f>L43/K43</f>
        <v>0.22173274596182085</v>
      </c>
      <c r="N43" s="2">
        <v>10000</v>
      </c>
    </row>
    <row r="44" spans="1:14">
      <c r="A44" s="1" t="s">
        <v>18</v>
      </c>
      <c r="B44" s="13" t="s">
        <v>27</v>
      </c>
      <c r="C44" s="1" t="s">
        <v>10</v>
      </c>
      <c r="D44" s="1" t="s">
        <v>48</v>
      </c>
      <c r="E44" s="5">
        <v>1623.2</v>
      </c>
      <c r="F44" s="5">
        <v>21.457000000000001</v>
      </c>
      <c r="G44" s="5">
        <v>8416.1</v>
      </c>
      <c r="H44" s="5">
        <v>68.634</v>
      </c>
      <c r="I44" s="4">
        <f t="shared" si="0"/>
        <v>1.3218950221784129E-2</v>
      </c>
      <c r="J44" s="4">
        <f t="shared" si="1"/>
        <v>8.1550837086061239E-3</v>
      </c>
      <c r="K44" s="2">
        <v>49.33</v>
      </c>
      <c r="L44" s="2">
        <f>12.42-2.07</f>
        <v>10.35</v>
      </c>
      <c r="M44" s="4">
        <f>L44/K44</f>
        <v>0.20981147374822623</v>
      </c>
      <c r="N44" s="2">
        <v>10000</v>
      </c>
    </row>
    <row r="45" spans="1:14">
      <c r="A45" s="1" t="s">
        <v>18</v>
      </c>
      <c r="B45" s="13" t="s">
        <v>27</v>
      </c>
      <c r="C45" s="1" t="s">
        <v>10</v>
      </c>
      <c r="D45" s="1" t="s">
        <v>55</v>
      </c>
      <c r="E45" s="5">
        <v>313.89999999999998</v>
      </c>
      <c r="F45" s="5">
        <v>4.5951000000000004</v>
      </c>
      <c r="G45" s="5">
        <v>1631.1</v>
      </c>
      <c r="H45" s="5">
        <v>14.538</v>
      </c>
      <c r="I45" s="4">
        <f t="shared" si="0"/>
        <v>1.4638738451736225E-2</v>
      </c>
      <c r="J45" s="4">
        <f t="shared" si="1"/>
        <v>8.9130034945742141E-3</v>
      </c>
      <c r="M45" s="4"/>
      <c r="N45" s="2">
        <v>10000</v>
      </c>
    </row>
    <row r="46" spans="1:14">
      <c r="A46" s="3" t="s">
        <v>18</v>
      </c>
      <c r="B46" s="13" t="s">
        <v>27</v>
      </c>
      <c r="C46" s="1" t="s">
        <v>8</v>
      </c>
      <c r="D46" s="1" t="s">
        <v>48</v>
      </c>
      <c r="E46" s="5">
        <v>541.77</v>
      </c>
      <c r="F46" s="5">
        <v>11.696</v>
      </c>
      <c r="G46" s="5">
        <v>2770.9</v>
      </c>
      <c r="H46" s="5">
        <v>36.435000000000002</v>
      </c>
      <c r="I46" s="4">
        <f t="shared" si="0"/>
        <v>2.1588496963656164E-2</v>
      </c>
      <c r="J46" s="4">
        <f t="shared" si="1"/>
        <v>1.3149157313508247E-2</v>
      </c>
      <c r="M46" s="4"/>
      <c r="N46" s="2">
        <v>10000</v>
      </c>
    </row>
    <row r="47" spans="1:14">
      <c r="A47" s="3" t="s">
        <v>18</v>
      </c>
      <c r="B47" s="13" t="s">
        <v>27</v>
      </c>
      <c r="C47" s="1" t="s">
        <v>8</v>
      </c>
      <c r="D47" s="1" t="s">
        <v>55</v>
      </c>
      <c r="E47" s="5">
        <v>139.26</v>
      </c>
      <c r="F47" s="5">
        <v>3.2805</v>
      </c>
      <c r="G47" s="5">
        <v>710.18</v>
      </c>
      <c r="H47" s="5">
        <v>10.077999999999999</v>
      </c>
      <c r="I47" s="4">
        <f t="shared" ref="I47:I66" si="3">F47/E47</f>
        <v>2.3556656613528654E-2</v>
      </c>
      <c r="J47" s="4">
        <f t="shared" ref="J47:J66" si="4">H47/G47</f>
        <v>1.419076853755386E-2</v>
      </c>
      <c r="M47" s="4"/>
      <c r="N47" s="2">
        <v>10000</v>
      </c>
    </row>
    <row r="48" spans="1:14">
      <c r="A48" s="1" t="s">
        <v>18</v>
      </c>
      <c r="B48" s="13" t="s">
        <v>27</v>
      </c>
      <c r="C48" s="6" t="s">
        <v>12</v>
      </c>
      <c r="D48" s="1" t="s">
        <v>48</v>
      </c>
      <c r="E48" s="5">
        <v>1152.5999999999999</v>
      </c>
      <c r="F48" s="5">
        <v>7.5875000000000004</v>
      </c>
      <c r="G48" s="5">
        <v>6058.6</v>
      </c>
      <c r="H48" s="5">
        <v>25.062000000000001</v>
      </c>
      <c r="I48" s="4">
        <f t="shared" si="3"/>
        <v>6.5829429116779463E-3</v>
      </c>
      <c r="J48" s="4">
        <f t="shared" si="4"/>
        <v>4.1365992143399463E-3</v>
      </c>
      <c r="M48" s="4"/>
      <c r="N48" s="2">
        <v>10000</v>
      </c>
    </row>
    <row r="49" spans="1:14">
      <c r="A49" s="3" t="s">
        <v>18</v>
      </c>
      <c r="B49" s="13" t="s">
        <v>27</v>
      </c>
      <c r="C49" s="1" t="s">
        <v>7</v>
      </c>
      <c r="D49" s="1" t="s">
        <v>48</v>
      </c>
      <c r="E49" s="5">
        <v>653.41999999999996</v>
      </c>
      <c r="F49" s="5">
        <v>17.533000000000001</v>
      </c>
      <c r="G49" s="5">
        <v>3395.5</v>
      </c>
      <c r="H49" s="5">
        <v>53.813000000000002</v>
      </c>
      <c r="I49" s="4">
        <f t="shared" si="3"/>
        <v>2.6832665054635614E-2</v>
      </c>
      <c r="J49" s="4">
        <f t="shared" si="4"/>
        <v>1.5848328670298926E-2</v>
      </c>
      <c r="K49" s="2">
        <v>33.29</v>
      </c>
      <c r="L49" s="2">
        <f>8.7-2.09</f>
        <v>6.6099999999999994</v>
      </c>
      <c r="M49" s="4">
        <f>L49/K49</f>
        <v>0.19855812556323219</v>
      </c>
      <c r="N49" s="2">
        <v>10000</v>
      </c>
    </row>
    <row r="50" spans="1:14">
      <c r="A50" s="3" t="s">
        <v>18</v>
      </c>
      <c r="B50" s="13" t="s">
        <v>27</v>
      </c>
      <c r="C50" s="1" t="s">
        <v>7</v>
      </c>
      <c r="D50" s="1" t="s">
        <v>55</v>
      </c>
      <c r="E50" s="5">
        <v>125.96</v>
      </c>
      <c r="F50" s="5">
        <v>3.0619999999999998</v>
      </c>
      <c r="G50" s="5">
        <v>648.37</v>
      </c>
      <c r="H50" s="5">
        <v>9.4458000000000002</v>
      </c>
      <c r="I50" s="4">
        <f t="shared" si="3"/>
        <v>2.4309304541124167E-2</v>
      </c>
      <c r="J50" s="4">
        <f t="shared" si="4"/>
        <v>1.4568533399139381E-2</v>
      </c>
      <c r="M50" s="4"/>
      <c r="N50" s="2">
        <v>10000</v>
      </c>
    </row>
    <row r="51" spans="1:14">
      <c r="A51" s="1" t="s">
        <v>18</v>
      </c>
      <c r="B51" s="13" t="s">
        <v>27</v>
      </c>
      <c r="C51" s="6" t="s">
        <v>13</v>
      </c>
      <c r="D51" s="1" t="s">
        <v>48</v>
      </c>
      <c r="E51" s="5">
        <v>2181.8000000000002</v>
      </c>
      <c r="F51" s="5">
        <v>20.288</v>
      </c>
      <c r="G51" s="5">
        <v>11426</v>
      </c>
      <c r="H51" s="5">
        <v>66.506</v>
      </c>
      <c r="I51" s="4">
        <f t="shared" si="3"/>
        <v>9.2987441562013013E-3</v>
      </c>
      <c r="J51" s="4">
        <f t="shared" si="4"/>
        <v>5.8205846315420966E-3</v>
      </c>
      <c r="K51" s="2">
        <v>61.55</v>
      </c>
      <c r="L51" s="2">
        <f>17.74-2.09</f>
        <v>15.649999999999999</v>
      </c>
      <c r="M51" s="4">
        <f>L51/K51</f>
        <v>0.25426482534524775</v>
      </c>
      <c r="N51" s="2">
        <v>10000</v>
      </c>
    </row>
    <row r="52" spans="1:14">
      <c r="A52" s="1" t="s">
        <v>18</v>
      </c>
      <c r="B52" s="13" t="s">
        <v>27</v>
      </c>
      <c r="C52" s="1" t="s">
        <v>51</v>
      </c>
      <c r="D52" s="1" t="s">
        <v>48</v>
      </c>
      <c r="E52" s="5">
        <v>931.57</v>
      </c>
      <c r="F52" s="5">
        <v>15.842000000000001</v>
      </c>
      <c r="G52" s="5">
        <v>4736.6000000000004</v>
      </c>
      <c r="H52" s="5">
        <v>49.918999999999997</v>
      </c>
      <c r="I52" s="4">
        <f t="shared" si="3"/>
        <v>1.7005700054746289E-2</v>
      </c>
      <c r="J52" s="4">
        <f t="shared" si="4"/>
        <v>1.0538994215259889E-2</v>
      </c>
      <c r="K52" s="7">
        <v>54.71</v>
      </c>
      <c r="L52" s="7">
        <f>14.21-3.26</f>
        <v>10.950000000000001</v>
      </c>
      <c r="M52" s="4">
        <f>L52/K52</f>
        <v>0.20014622555291539</v>
      </c>
      <c r="N52" s="2">
        <v>10000</v>
      </c>
    </row>
    <row r="53" spans="1:14">
      <c r="A53" s="1" t="s">
        <v>18</v>
      </c>
      <c r="B53" s="13" t="s">
        <v>27</v>
      </c>
      <c r="C53" s="1" t="s">
        <v>51</v>
      </c>
      <c r="D53" s="1" t="s">
        <v>72</v>
      </c>
      <c r="E53" s="5">
        <v>182.99</v>
      </c>
      <c r="F53" s="5">
        <v>4.3333000000000004</v>
      </c>
      <c r="G53" s="5">
        <v>946.86</v>
      </c>
      <c r="H53" s="5">
        <v>13.347</v>
      </c>
      <c r="I53" s="4">
        <f t="shared" si="3"/>
        <v>2.3680528990655227E-2</v>
      </c>
      <c r="J53" s="4">
        <f t="shared" si="4"/>
        <v>1.4096064888156644E-2</v>
      </c>
      <c r="M53" s="4"/>
      <c r="N53" s="2">
        <v>10000</v>
      </c>
    </row>
    <row r="54" spans="1:14">
      <c r="A54" s="1" t="s">
        <v>18</v>
      </c>
      <c r="B54" s="13" t="s">
        <v>27</v>
      </c>
      <c r="C54" s="3" t="s">
        <v>34</v>
      </c>
      <c r="D54" s="1" t="s">
        <v>48</v>
      </c>
      <c r="E54" s="5">
        <v>1486.1</v>
      </c>
      <c r="F54" s="5">
        <v>23.945</v>
      </c>
      <c r="G54" s="5">
        <v>7540.4</v>
      </c>
      <c r="H54" s="5">
        <v>75.209000000000003</v>
      </c>
      <c r="I54" s="4">
        <f t="shared" si="3"/>
        <v>1.611264383285109E-2</v>
      </c>
      <c r="J54" s="4">
        <f t="shared" si="4"/>
        <v>9.9741393029547515E-3</v>
      </c>
      <c r="K54" s="2">
        <v>32.25</v>
      </c>
      <c r="L54" s="2">
        <f>9.16-2.15</f>
        <v>7.01</v>
      </c>
      <c r="M54" s="4">
        <f>L54/K54</f>
        <v>0.21736434108527131</v>
      </c>
      <c r="N54" s="2">
        <v>10000</v>
      </c>
    </row>
    <row r="55" spans="1:14">
      <c r="A55" s="1" t="s">
        <v>18</v>
      </c>
      <c r="B55" s="13" t="s">
        <v>27</v>
      </c>
      <c r="C55" s="6" t="s">
        <v>14</v>
      </c>
      <c r="D55" s="1" t="s">
        <v>48</v>
      </c>
      <c r="E55" s="5">
        <v>1146.5999999999999</v>
      </c>
      <c r="F55" s="5">
        <v>13.645</v>
      </c>
      <c r="G55" s="5">
        <v>5996.3</v>
      </c>
      <c r="H55" s="5">
        <v>44.35</v>
      </c>
      <c r="I55" s="4">
        <f t="shared" si="3"/>
        <v>1.1900401186115472E-2</v>
      </c>
      <c r="J55" s="4">
        <f t="shared" si="4"/>
        <v>7.3962276737321352E-3</v>
      </c>
      <c r="K55" s="2">
        <v>69.84</v>
      </c>
      <c r="L55" s="2">
        <f>21.88-2.13</f>
        <v>19.75</v>
      </c>
      <c r="M55" s="4">
        <f>L55/K55</f>
        <v>0.28278923253150057</v>
      </c>
      <c r="N55" s="2">
        <v>10000</v>
      </c>
    </row>
    <row r="56" spans="1:14">
      <c r="A56" s="1" t="s">
        <v>18</v>
      </c>
      <c r="B56" s="13" t="s">
        <v>27</v>
      </c>
      <c r="C56" s="1" t="s">
        <v>65</v>
      </c>
      <c r="D56" s="1" t="s">
        <v>55</v>
      </c>
      <c r="E56" s="5">
        <v>69.122</v>
      </c>
      <c r="F56" s="5">
        <v>4.2088000000000001</v>
      </c>
      <c r="G56" s="5">
        <v>356.93</v>
      </c>
      <c r="H56" s="5">
        <v>11.865</v>
      </c>
      <c r="I56" s="4">
        <f t="shared" si="3"/>
        <v>6.0889441856427765E-2</v>
      </c>
      <c r="J56" s="4">
        <f t="shared" si="4"/>
        <v>3.3241812120023535E-2</v>
      </c>
      <c r="M56" s="4"/>
      <c r="N56" s="2">
        <v>10000</v>
      </c>
    </row>
    <row r="57" spans="1:14">
      <c r="A57" s="1" t="s">
        <v>202</v>
      </c>
      <c r="B57" s="1" t="s">
        <v>212</v>
      </c>
      <c r="C57" s="1" t="s">
        <v>11</v>
      </c>
      <c r="D57" s="1" t="s">
        <v>151</v>
      </c>
      <c r="E57" s="2">
        <v>3020.5</v>
      </c>
      <c r="F57" s="2">
        <v>30.736999999999998</v>
      </c>
      <c r="G57" s="2">
        <v>15354</v>
      </c>
      <c r="H57" s="2">
        <v>92.781999999999996</v>
      </c>
      <c r="I57" s="4">
        <f t="shared" si="3"/>
        <v>1.0176129779837775E-2</v>
      </c>
      <c r="J57" s="4">
        <f t="shared" si="4"/>
        <v>6.0428552820112023E-3</v>
      </c>
      <c r="N57" s="2">
        <v>10000</v>
      </c>
    </row>
    <row r="58" spans="1:14">
      <c r="A58" s="1" t="s">
        <v>120</v>
      </c>
      <c r="B58" s="13" t="s">
        <v>27</v>
      </c>
      <c r="C58" s="1" t="s">
        <v>11</v>
      </c>
      <c r="D58" s="1" t="s">
        <v>121</v>
      </c>
      <c r="E58" s="2">
        <v>1277.3</v>
      </c>
      <c r="F58" s="2">
        <v>16.402999999999999</v>
      </c>
      <c r="G58" s="2">
        <v>6648.5</v>
      </c>
      <c r="H58" s="2">
        <v>51.203000000000003</v>
      </c>
      <c r="I58" s="4">
        <f t="shared" si="3"/>
        <v>1.2841932200735926E-2</v>
      </c>
      <c r="J58" s="4">
        <f t="shared" si="4"/>
        <v>7.7014364142287735E-3</v>
      </c>
      <c r="K58" s="2">
        <v>56.67</v>
      </c>
      <c r="L58" s="2">
        <f>16.47-2.11</f>
        <v>14.36</v>
      </c>
      <c r="M58" s="4">
        <f t="shared" ref="M58:M64" si="5">L58/K58</f>
        <v>0.25339685900829362</v>
      </c>
      <c r="N58" s="2">
        <v>10000</v>
      </c>
    </row>
    <row r="59" spans="1:14">
      <c r="A59" s="1" t="s">
        <v>101</v>
      </c>
      <c r="B59" s="13" t="s">
        <v>27</v>
      </c>
      <c r="C59" s="1" t="s">
        <v>104</v>
      </c>
      <c r="D59" s="1" t="s">
        <v>48</v>
      </c>
      <c r="E59" s="2">
        <v>1242.9000000000001</v>
      </c>
      <c r="F59" s="2">
        <v>21.599</v>
      </c>
      <c r="G59" s="2">
        <v>6682.7</v>
      </c>
      <c r="H59" s="2">
        <v>67.653999999999996</v>
      </c>
      <c r="I59" s="4">
        <f t="shared" si="3"/>
        <v>1.7377906508970954E-2</v>
      </c>
      <c r="J59" s="4">
        <f t="shared" si="4"/>
        <v>1.0123752375536834E-2</v>
      </c>
      <c r="K59" s="2">
        <v>46.7</v>
      </c>
      <c r="L59" s="2">
        <f>13.74-2.08</f>
        <v>11.66</v>
      </c>
      <c r="M59" s="4">
        <f t="shared" si="5"/>
        <v>0.24967880085653105</v>
      </c>
      <c r="N59" s="2">
        <v>10000</v>
      </c>
    </row>
    <row r="60" spans="1:14">
      <c r="A60" s="1" t="s">
        <v>120</v>
      </c>
      <c r="B60" s="13" t="s">
        <v>27</v>
      </c>
      <c r="C60" s="1" t="s">
        <v>52</v>
      </c>
      <c r="D60" s="1" t="s">
        <v>121</v>
      </c>
      <c r="E60" s="2">
        <v>930.6</v>
      </c>
      <c r="F60" s="2">
        <v>18.370999999999999</v>
      </c>
      <c r="G60" s="2">
        <v>4992.8999999999996</v>
      </c>
      <c r="H60" s="2">
        <v>57.820999999999998</v>
      </c>
      <c r="I60" s="4">
        <f t="shared" si="3"/>
        <v>1.9741027294218783E-2</v>
      </c>
      <c r="J60" s="4">
        <f t="shared" si="4"/>
        <v>1.15806445152116E-2</v>
      </c>
      <c r="K60" s="2">
        <v>54.1</v>
      </c>
      <c r="L60" s="2">
        <f>12.27-2.08</f>
        <v>10.19</v>
      </c>
      <c r="M60" s="4">
        <f t="shared" si="5"/>
        <v>0.18835489833641403</v>
      </c>
      <c r="N60" s="2">
        <v>10000</v>
      </c>
    </row>
    <row r="61" spans="1:14">
      <c r="A61" s="1" t="s">
        <v>101</v>
      </c>
      <c r="B61" s="13" t="s">
        <v>27</v>
      </c>
      <c r="C61" s="1" t="s">
        <v>102</v>
      </c>
      <c r="D61" s="1" t="s">
        <v>103</v>
      </c>
      <c r="E61" s="2">
        <v>815.79</v>
      </c>
      <c r="F61" s="2">
        <v>20.565000000000001</v>
      </c>
      <c r="G61" s="2">
        <v>4588.2</v>
      </c>
      <c r="H61" s="2">
        <v>64.367000000000004</v>
      </c>
      <c r="I61" s="4">
        <f t="shared" si="3"/>
        <v>2.5208693413746187E-2</v>
      </c>
      <c r="J61" s="4">
        <f t="shared" si="4"/>
        <v>1.4028813042151608E-2</v>
      </c>
      <c r="K61" s="2">
        <v>26.44</v>
      </c>
      <c r="L61" s="2">
        <f>8.85-2.11</f>
        <v>6.74</v>
      </c>
      <c r="M61" s="4">
        <f t="shared" si="5"/>
        <v>0.25491679273827533</v>
      </c>
      <c r="N61" s="2">
        <v>10000</v>
      </c>
    </row>
    <row r="62" spans="1:14">
      <c r="A62" s="1" t="s">
        <v>114</v>
      </c>
      <c r="B62" s="13" t="s">
        <v>27</v>
      </c>
      <c r="C62" s="1" t="s">
        <v>11</v>
      </c>
      <c r="D62" s="1" t="s">
        <v>48</v>
      </c>
      <c r="E62" s="2">
        <v>883.62</v>
      </c>
      <c r="F62" s="2">
        <v>13.26</v>
      </c>
      <c r="G62" s="2">
        <v>4465.8999999999996</v>
      </c>
      <c r="H62" s="2">
        <v>41.045000000000002</v>
      </c>
      <c r="I62" s="4">
        <f t="shared" si="3"/>
        <v>1.5006450736742038E-2</v>
      </c>
      <c r="J62" s="4">
        <f t="shared" si="4"/>
        <v>9.1907566224053387E-3</v>
      </c>
      <c r="K62" s="2">
        <v>64.19</v>
      </c>
      <c r="L62" s="2">
        <f>17.66-2.14</f>
        <v>15.52</v>
      </c>
      <c r="M62" s="4">
        <f t="shared" si="5"/>
        <v>0.24178220906683284</v>
      </c>
      <c r="N62" s="2">
        <v>10000</v>
      </c>
    </row>
    <row r="63" spans="1:14">
      <c r="A63" s="1" t="s">
        <v>114</v>
      </c>
      <c r="B63" s="13" t="s">
        <v>27</v>
      </c>
      <c r="C63" s="1" t="s">
        <v>12</v>
      </c>
      <c r="D63" s="1" t="s">
        <v>48</v>
      </c>
      <c r="E63" s="2">
        <v>838.51</v>
      </c>
      <c r="F63" s="2">
        <v>17.350999999999999</v>
      </c>
      <c r="G63" s="2">
        <v>4075.1</v>
      </c>
      <c r="H63" s="2">
        <v>51.460999999999999</v>
      </c>
      <c r="I63" s="4">
        <f t="shared" si="3"/>
        <v>2.0692657213390416E-2</v>
      </c>
      <c r="J63" s="4">
        <f t="shared" si="4"/>
        <v>1.2628156364261E-2</v>
      </c>
      <c r="K63" s="2">
        <v>31.25</v>
      </c>
      <c r="L63" s="2">
        <f>10.43-2.11</f>
        <v>8.32</v>
      </c>
      <c r="M63" s="4">
        <f t="shared" si="5"/>
        <v>0.26624000000000003</v>
      </c>
      <c r="N63" s="2">
        <v>10000</v>
      </c>
    </row>
    <row r="64" spans="1:14">
      <c r="A64" s="1" t="s">
        <v>114</v>
      </c>
      <c r="B64" s="13" t="s">
        <v>27</v>
      </c>
      <c r="C64" s="1" t="s">
        <v>104</v>
      </c>
      <c r="D64" s="1" t="s">
        <v>112</v>
      </c>
      <c r="E64" s="2">
        <v>795.48</v>
      </c>
      <c r="F64" s="2">
        <v>35.176000000000002</v>
      </c>
      <c r="G64" s="2">
        <v>4188.5</v>
      </c>
      <c r="H64" s="2">
        <v>99.305999999999997</v>
      </c>
      <c r="I64" s="4">
        <f t="shared" si="3"/>
        <v>4.421984210790969E-2</v>
      </c>
      <c r="J64" s="4">
        <f t="shared" si="4"/>
        <v>2.3709203772233498E-2</v>
      </c>
      <c r="K64" s="2">
        <v>9.11</v>
      </c>
      <c r="L64" s="2">
        <f>4.55-2.14</f>
        <v>2.4099999999999997</v>
      </c>
      <c r="M64" s="4">
        <f t="shared" si="5"/>
        <v>0.26454445664105375</v>
      </c>
      <c r="N64" s="2">
        <v>10000</v>
      </c>
    </row>
    <row r="65" spans="1:14">
      <c r="A65" s="1" t="s">
        <v>114</v>
      </c>
      <c r="B65" s="13" t="s">
        <v>27</v>
      </c>
      <c r="C65" s="1" t="s">
        <v>117</v>
      </c>
      <c r="D65" s="1" t="s">
        <v>107</v>
      </c>
      <c r="E65" s="2">
        <v>447.02</v>
      </c>
      <c r="F65" s="2">
        <v>31.039000000000001</v>
      </c>
      <c r="G65" s="2">
        <v>1953.6</v>
      </c>
      <c r="H65" s="2">
        <v>78.418999999999997</v>
      </c>
      <c r="I65" s="4">
        <f t="shared" si="3"/>
        <v>6.9435372019149039E-2</v>
      </c>
      <c r="J65" s="4">
        <f t="shared" si="4"/>
        <v>4.0140765765765765E-2</v>
      </c>
      <c r="M65" s="4"/>
      <c r="N65" s="2">
        <v>10000</v>
      </c>
    </row>
    <row r="66" spans="1:14">
      <c r="A66" s="1" t="s">
        <v>114</v>
      </c>
      <c r="B66" s="13" t="s">
        <v>27</v>
      </c>
      <c r="C66" s="1" t="s">
        <v>115</v>
      </c>
      <c r="D66" s="1" t="s">
        <v>116</v>
      </c>
      <c r="E66" s="2">
        <v>485</v>
      </c>
      <c r="F66" s="2">
        <v>16.277999999999999</v>
      </c>
      <c r="G66" s="2">
        <v>2392.6</v>
      </c>
      <c r="H66" s="2">
        <v>46.786999999999999</v>
      </c>
      <c r="I66" s="4">
        <f t="shared" si="3"/>
        <v>3.3562886597938144E-2</v>
      </c>
      <c r="J66" s="4">
        <f t="shared" si="4"/>
        <v>1.9554877539078825E-2</v>
      </c>
      <c r="K66" s="2">
        <v>34.520000000000003</v>
      </c>
      <c r="L66" s="2">
        <f>8.21-2.12</f>
        <v>6.0900000000000007</v>
      </c>
      <c r="M66" s="4">
        <f>L66/K66</f>
        <v>0.17641946697566629</v>
      </c>
      <c r="N66" s="2">
        <v>10000</v>
      </c>
    </row>
    <row r="67" spans="1:14">
      <c r="A67" s="1" t="s">
        <v>114</v>
      </c>
      <c r="B67" s="13" t="s">
        <v>27</v>
      </c>
      <c r="C67" s="1" t="s">
        <v>102</v>
      </c>
      <c r="D67" s="1" t="s">
        <v>48</v>
      </c>
      <c r="I67" s="4"/>
      <c r="J67" s="4"/>
      <c r="K67" s="2">
        <v>7.16</v>
      </c>
      <c r="L67" s="2">
        <f>3.81-2.07</f>
        <v>1.7400000000000002</v>
      </c>
      <c r="M67" s="4">
        <f>L67/K67</f>
        <v>0.24301675977653633</v>
      </c>
      <c r="N67" s="2">
        <v>10000</v>
      </c>
    </row>
    <row r="68" spans="1:14">
      <c r="A68" s="1" t="s">
        <v>122</v>
      </c>
      <c r="B68" s="13" t="s">
        <v>27</v>
      </c>
      <c r="C68" s="1" t="s">
        <v>123</v>
      </c>
      <c r="D68" s="1" t="s">
        <v>112</v>
      </c>
      <c r="E68" s="2">
        <v>1524.2</v>
      </c>
      <c r="F68" s="2">
        <v>18.634</v>
      </c>
      <c r="G68" s="2">
        <v>8267.7000000000007</v>
      </c>
      <c r="H68" s="2">
        <v>59.116999999999997</v>
      </c>
      <c r="I68" s="4">
        <f t="shared" ref="I68:I110" si="6">F68/E68</f>
        <v>1.2225429733630756E-2</v>
      </c>
      <c r="J68" s="4">
        <f t="shared" ref="J68:J99" si="7">H68/G68</f>
        <v>7.1503562054743147E-3</v>
      </c>
      <c r="K68" s="2">
        <v>57.91</v>
      </c>
      <c r="L68" s="2">
        <f>15.92-2.11</f>
        <v>13.81</v>
      </c>
      <c r="M68" s="4">
        <f>L68/K68</f>
        <v>0.23847349335175275</v>
      </c>
      <c r="N68" s="2">
        <v>10000</v>
      </c>
    </row>
    <row r="69" spans="1:14">
      <c r="A69" s="1" t="s">
        <v>122</v>
      </c>
      <c r="B69" s="13" t="s">
        <v>27</v>
      </c>
      <c r="C69" s="1" t="s">
        <v>12</v>
      </c>
      <c r="D69" s="1" t="s">
        <v>48</v>
      </c>
      <c r="E69" s="2">
        <v>1726.3</v>
      </c>
      <c r="F69" s="2">
        <v>22.652999999999999</v>
      </c>
      <c r="G69" s="2">
        <v>9280.4</v>
      </c>
      <c r="H69" s="2">
        <v>72.463999999999999</v>
      </c>
      <c r="I69" s="4">
        <f t="shared" si="6"/>
        <v>1.3122284655042575E-2</v>
      </c>
      <c r="J69" s="4">
        <f t="shared" si="7"/>
        <v>7.8082841256842377E-3</v>
      </c>
      <c r="K69" s="2">
        <v>37.450000000000003</v>
      </c>
      <c r="L69" s="2">
        <f>11.4-2.09</f>
        <v>9.31</v>
      </c>
      <c r="M69" s="4">
        <f>L69/K69</f>
        <v>0.24859813084112148</v>
      </c>
      <c r="N69" s="2">
        <v>10000</v>
      </c>
    </row>
    <row r="70" spans="1:14">
      <c r="A70" s="1" t="s">
        <v>122</v>
      </c>
      <c r="B70" s="13" t="s">
        <v>27</v>
      </c>
      <c r="C70" s="1" t="s">
        <v>102</v>
      </c>
      <c r="D70" s="1" t="s">
        <v>48</v>
      </c>
      <c r="E70" s="2">
        <v>684.37</v>
      </c>
      <c r="F70" s="2">
        <v>40.548000000000002</v>
      </c>
      <c r="G70" s="2">
        <v>3183.3</v>
      </c>
      <c r="H70" s="2">
        <v>112.59</v>
      </c>
      <c r="I70" s="4">
        <f t="shared" si="6"/>
        <v>5.9248652044946448E-2</v>
      </c>
      <c r="J70" s="4">
        <f t="shared" si="7"/>
        <v>3.5368956743002541E-2</v>
      </c>
      <c r="K70" s="2">
        <v>7.11</v>
      </c>
      <c r="L70" s="2">
        <f>3.61-2.09</f>
        <v>1.52</v>
      </c>
      <c r="M70" s="4">
        <f>L70/K70</f>
        <v>0.21378340365682136</v>
      </c>
      <c r="N70" s="2">
        <v>10000</v>
      </c>
    </row>
    <row r="71" spans="1:14">
      <c r="A71" s="1" t="s">
        <v>161</v>
      </c>
      <c r="B71" s="1" t="s">
        <v>222</v>
      </c>
      <c r="C71" s="1" t="s">
        <v>11</v>
      </c>
      <c r="D71" s="1" t="s">
        <v>151</v>
      </c>
      <c r="E71" s="2">
        <v>1346</v>
      </c>
      <c r="F71" s="2">
        <v>23.739000000000001</v>
      </c>
      <c r="G71" s="2">
        <v>7195.9</v>
      </c>
      <c r="H71" s="2">
        <v>71.941999999999993</v>
      </c>
      <c r="I71" s="4">
        <f t="shared" si="6"/>
        <v>1.7636701337295693E-2</v>
      </c>
      <c r="J71" s="4">
        <f t="shared" si="7"/>
        <v>9.9976375436012163E-3</v>
      </c>
      <c r="N71" s="2">
        <v>10000</v>
      </c>
    </row>
    <row r="72" spans="1:14">
      <c r="A72" s="1" t="s">
        <v>22</v>
      </c>
      <c r="B72" s="13" t="s">
        <v>26</v>
      </c>
      <c r="C72" s="6" t="s">
        <v>11</v>
      </c>
      <c r="D72" s="1" t="s">
        <v>66</v>
      </c>
      <c r="E72" s="5">
        <v>638.29999999999995</v>
      </c>
      <c r="F72" s="5">
        <v>10.109</v>
      </c>
      <c r="G72" s="5">
        <v>3304.2</v>
      </c>
      <c r="H72" s="5">
        <v>32.148000000000003</v>
      </c>
      <c r="I72" s="4">
        <f t="shared" si="6"/>
        <v>1.583738054206486E-2</v>
      </c>
      <c r="J72" s="4">
        <f t="shared" si="7"/>
        <v>9.7294352642091891E-3</v>
      </c>
      <c r="K72" s="2">
        <v>74.98</v>
      </c>
      <c r="L72" s="2">
        <f>21.22-2.08</f>
        <v>19.14</v>
      </c>
      <c r="M72" s="4">
        <f t="shared" ref="M72:M89" si="8">L72/K72</f>
        <v>0.2552680714857295</v>
      </c>
      <c r="N72" s="2">
        <v>10000</v>
      </c>
    </row>
    <row r="73" spans="1:14">
      <c r="A73" s="1" t="s">
        <v>22</v>
      </c>
      <c r="B73" s="13" t="s">
        <v>26</v>
      </c>
      <c r="C73" s="3" t="s">
        <v>28</v>
      </c>
      <c r="D73" s="1" t="s">
        <v>48</v>
      </c>
      <c r="E73" s="5">
        <v>392.07</v>
      </c>
      <c r="F73" s="5">
        <v>8.7883999999999993</v>
      </c>
      <c r="G73" s="5">
        <v>1970.7</v>
      </c>
      <c r="H73" s="5">
        <v>27.263999999999999</v>
      </c>
      <c r="I73" s="4">
        <f t="shared" si="6"/>
        <v>2.2415385007779221E-2</v>
      </c>
      <c r="J73" s="4">
        <f t="shared" si="7"/>
        <v>1.3834678033186177E-2</v>
      </c>
      <c r="K73" s="2">
        <v>73.33</v>
      </c>
      <c r="L73" s="2">
        <f>17.74-2.03</f>
        <v>15.709999999999999</v>
      </c>
      <c r="M73" s="4">
        <f t="shared" si="8"/>
        <v>0.21423701077321697</v>
      </c>
      <c r="N73" s="2">
        <v>10000</v>
      </c>
    </row>
    <row r="74" spans="1:14">
      <c r="A74" s="1" t="s">
        <v>22</v>
      </c>
      <c r="B74" s="13" t="s">
        <v>26</v>
      </c>
      <c r="C74" s="1" t="s">
        <v>10</v>
      </c>
      <c r="D74" s="1" t="s">
        <v>48</v>
      </c>
      <c r="E74" s="5">
        <v>447.66</v>
      </c>
      <c r="F74" s="5">
        <v>10.242000000000001</v>
      </c>
      <c r="G74" s="5">
        <v>2259.9</v>
      </c>
      <c r="H74" s="5">
        <v>31.599</v>
      </c>
      <c r="I74" s="4">
        <f t="shared" si="6"/>
        <v>2.2878970647366305E-2</v>
      </c>
      <c r="J74" s="4">
        <f t="shared" si="7"/>
        <v>1.398247710075667E-2</v>
      </c>
      <c r="K74" s="2">
        <v>58.41</v>
      </c>
      <c r="L74" s="2">
        <f>14.5-2.05</f>
        <v>12.45</v>
      </c>
      <c r="M74" s="4">
        <f t="shared" si="8"/>
        <v>0.21314843348741655</v>
      </c>
      <c r="N74" s="2">
        <v>10000</v>
      </c>
    </row>
    <row r="75" spans="1:14">
      <c r="A75" s="1" t="s">
        <v>22</v>
      </c>
      <c r="B75" s="13" t="s">
        <v>26</v>
      </c>
      <c r="C75" s="3" t="s">
        <v>70</v>
      </c>
      <c r="D75" s="1" t="s">
        <v>48</v>
      </c>
      <c r="E75" s="5">
        <v>173.69</v>
      </c>
      <c r="F75" s="5">
        <v>5.5198</v>
      </c>
      <c r="G75" s="5">
        <v>945.47</v>
      </c>
      <c r="H75" s="5">
        <v>17.213000000000001</v>
      </c>
      <c r="I75" s="4">
        <f t="shared" si="6"/>
        <v>3.1779607346421788E-2</v>
      </c>
      <c r="J75" s="4">
        <f t="shared" si="7"/>
        <v>1.8205760098152241E-2</v>
      </c>
      <c r="K75" s="2">
        <v>76.069999999999993</v>
      </c>
      <c r="L75" s="2">
        <f>20.69-2.06</f>
        <v>18.630000000000003</v>
      </c>
      <c r="M75" s="4">
        <f t="shared" si="8"/>
        <v>0.24490600762455639</v>
      </c>
      <c r="N75" s="2">
        <v>10000</v>
      </c>
    </row>
    <row r="76" spans="1:14">
      <c r="A76" s="1" t="s">
        <v>22</v>
      </c>
      <c r="B76" s="13" t="s">
        <v>26</v>
      </c>
      <c r="C76" s="6" t="s">
        <v>12</v>
      </c>
      <c r="D76" s="1" t="s">
        <v>66</v>
      </c>
      <c r="E76" s="5">
        <v>580.77</v>
      </c>
      <c r="F76" s="5">
        <v>9.8413000000000004</v>
      </c>
      <c r="G76" s="5">
        <v>2987.3</v>
      </c>
      <c r="H76" s="5">
        <v>31.314</v>
      </c>
      <c r="I76" s="4">
        <f t="shared" si="6"/>
        <v>1.6945262324155864E-2</v>
      </c>
      <c r="J76" s="4">
        <f t="shared" si="7"/>
        <v>1.048237538914739E-2</v>
      </c>
      <c r="K76" s="2">
        <v>70.680000000000007</v>
      </c>
      <c r="L76" s="2">
        <f>20.5-2.06</f>
        <v>18.440000000000001</v>
      </c>
      <c r="M76" s="4">
        <f t="shared" si="8"/>
        <v>0.26089417091114886</v>
      </c>
      <c r="N76" s="2">
        <v>10000</v>
      </c>
    </row>
    <row r="77" spans="1:14">
      <c r="A77" s="1" t="s">
        <v>22</v>
      </c>
      <c r="B77" s="13" t="s">
        <v>26</v>
      </c>
      <c r="C77" s="3" t="s">
        <v>7</v>
      </c>
      <c r="D77" s="1" t="s">
        <v>48</v>
      </c>
      <c r="E77" s="5">
        <v>263.64</v>
      </c>
      <c r="F77" s="5">
        <v>7.2262000000000004</v>
      </c>
      <c r="G77" s="5">
        <v>1288.5</v>
      </c>
      <c r="H77" s="5">
        <v>21.663</v>
      </c>
      <c r="I77" s="4">
        <f t="shared" si="6"/>
        <v>2.7409346077985133E-2</v>
      </c>
      <c r="J77" s="4">
        <f t="shared" si="7"/>
        <v>1.6812572759022117E-2</v>
      </c>
      <c r="K77" s="2">
        <v>79.31</v>
      </c>
      <c r="L77" s="2">
        <f>19.65-2.11</f>
        <v>17.54</v>
      </c>
      <c r="M77" s="4">
        <f t="shared" si="8"/>
        <v>0.22115748329340559</v>
      </c>
      <c r="N77" s="2">
        <v>10000</v>
      </c>
    </row>
    <row r="78" spans="1:14">
      <c r="A78" s="1" t="s">
        <v>22</v>
      </c>
      <c r="B78" s="13" t="s">
        <v>26</v>
      </c>
      <c r="C78" s="6" t="s">
        <v>13</v>
      </c>
      <c r="D78" s="1" t="s">
        <v>48</v>
      </c>
      <c r="E78" s="5">
        <v>522.47</v>
      </c>
      <c r="F78" s="5">
        <v>11.694000000000001</v>
      </c>
      <c r="G78" s="5">
        <v>2632.4</v>
      </c>
      <c r="H78" s="5">
        <v>36.012999999999998</v>
      </c>
      <c r="I78" s="4">
        <f t="shared" si="6"/>
        <v>2.2382146343330717E-2</v>
      </c>
      <c r="J78" s="4">
        <f t="shared" si="7"/>
        <v>1.3680671630451297E-2</v>
      </c>
      <c r="K78" s="2">
        <v>48.76</v>
      </c>
      <c r="L78" s="2">
        <f>14.11-2.12</f>
        <v>11.989999999999998</v>
      </c>
      <c r="M78" s="4">
        <f t="shared" si="8"/>
        <v>0.24589827727645608</v>
      </c>
      <c r="N78" s="2">
        <v>10000</v>
      </c>
    </row>
    <row r="79" spans="1:14">
      <c r="A79" s="1" t="s">
        <v>22</v>
      </c>
      <c r="B79" s="13" t="s">
        <v>26</v>
      </c>
      <c r="C79" s="3" t="s">
        <v>51</v>
      </c>
      <c r="D79" s="1" t="s">
        <v>48</v>
      </c>
      <c r="E79" s="5">
        <v>243.8</v>
      </c>
      <c r="F79" s="5">
        <v>8.1318999999999999</v>
      </c>
      <c r="G79" s="5">
        <v>1297.2</v>
      </c>
      <c r="H79" s="5">
        <v>24.47</v>
      </c>
      <c r="I79" s="4">
        <f t="shared" si="6"/>
        <v>3.3354799015586543E-2</v>
      </c>
      <c r="J79" s="4">
        <f t="shared" si="7"/>
        <v>1.8863706444650012E-2</v>
      </c>
      <c r="K79" s="2">
        <v>59.93</v>
      </c>
      <c r="L79" s="2">
        <f>15.13-2.08</f>
        <v>13.05</v>
      </c>
      <c r="M79" s="4">
        <f t="shared" si="8"/>
        <v>0.21775404638745205</v>
      </c>
      <c r="N79" s="2">
        <v>10000</v>
      </c>
    </row>
    <row r="80" spans="1:14">
      <c r="A80" s="1" t="s">
        <v>22</v>
      </c>
      <c r="B80" s="13" t="s">
        <v>26</v>
      </c>
      <c r="C80" s="6" t="s">
        <v>35</v>
      </c>
      <c r="D80" s="1" t="s">
        <v>48</v>
      </c>
      <c r="E80" s="5">
        <v>560.77</v>
      </c>
      <c r="F80" s="5">
        <v>20.273</v>
      </c>
      <c r="G80" s="5">
        <v>2874.4</v>
      </c>
      <c r="H80" s="5">
        <v>58.484999999999999</v>
      </c>
      <c r="I80" s="4">
        <f t="shared" si="6"/>
        <v>3.6152076608948411E-2</v>
      </c>
      <c r="J80" s="4">
        <f t="shared" si="7"/>
        <v>2.0346854995825215E-2</v>
      </c>
      <c r="K80" s="2">
        <v>17.09</v>
      </c>
      <c r="L80" s="2">
        <f>6.06-2.1</f>
        <v>3.9599999999999995</v>
      </c>
      <c r="M80" s="4">
        <f t="shared" si="8"/>
        <v>0.23171445289643064</v>
      </c>
      <c r="N80" s="2">
        <v>10000</v>
      </c>
    </row>
    <row r="81" spans="1:14">
      <c r="A81" s="1" t="s">
        <v>22</v>
      </c>
      <c r="B81" s="13" t="s">
        <v>26</v>
      </c>
      <c r="C81" s="6" t="s">
        <v>14</v>
      </c>
      <c r="D81" s="1" t="s">
        <v>48</v>
      </c>
      <c r="E81" s="5">
        <v>320.35000000000002</v>
      </c>
      <c r="F81" s="5">
        <v>9.0067000000000004</v>
      </c>
      <c r="G81" s="5">
        <v>1666.6</v>
      </c>
      <c r="H81" s="5">
        <v>27.248999999999999</v>
      </c>
      <c r="I81" s="4">
        <f t="shared" si="6"/>
        <v>2.8115186514749493E-2</v>
      </c>
      <c r="J81" s="4">
        <f t="shared" si="7"/>
        <v>1.6350054002160087E-2</v>
      </c>
      <c r="K81" s="2">
        <v>39.68</v>
      </c>
      <c r="L81" s="2">
        <f>14.57-2.04</f>
        <v>12.530000000000001</v>
      </c>
      <c r="M81" s="4">
        <f t="shared" si="8"/>
        <v>0.31577620967741937</v>
      </c>
      <c r="N81" s="2">
        <v>10000</v>
      </c>
    </row>
    <row r="82" spans="1:14">
      <c r="A82" s="1" t="s">
        <v>67</v>
      </c>
      <c r="B82" s="13" t="s">
        <v>26</v>
      </c>
      <c r="C82" s="6" t="s">
        <v>11</v>
      </c>
      <c r="D82" s="1" t="s">
        <v>48</v>
      </c>
      <c r="E82" s="5">
        <v>591.15</v>
      </c>
      <c r="F82" s="5">
        <v>12.212</v>
      </c>
      <c r="G82" s="5">
        <v>3007.6</v>
      </c>
      <c r="H82" s="5">
        <v>37.67</v>
      </c>
      <c r="I82" s="4">
        <f t="shared" si="6"/>
        <v>2.0658039414700163E-2</v>
      </c>
      <c r="J82" s="4">
        <f t="shared" si="7"/>
        <v>1.252493682670568E-2</v>
      </c>
      <c r="K82" s="2">
        <v>45.93</v>
      </c>
      <c r="L82" s="2">
        <f>13.49-2.08</f>
        <v>11.41</v>
      </c>
      <c r="M82" s="4">
        <f t="shared" si="8"/>
        <v>0.24842151099499238</v>
      </c>
      <c r="N82" s="2">
        <v>10000</v>
      </c>
    </row>
    <row r="83" spans="1:14">
      <c r="A83" s="1" t="s">
        <v>67</v>
      </c>
      <c r="B83" s="13" t="s">
        <v>26</v>
      </c>
      <c r="C83" s="1" t="s">
        <v>68</v>
      </c>
      <c r="D83" s="1" t="s">
        <v>48</v>
      </c>
      <c r="E83" s="5">
        <v>374.46</v>
      </c>
      <c r="F83" s="5">
        <v>9.9484999999999992</v>
      </c>
      <c r="G83" s="5">
        <v>1887.4</v>
      </c>
      <c r="H83" s="5">
        <v>29.719000000000001</v>
      </c>
      <c r="I83" s="4">
        <f t="shared" si="6"/>
        <v>2.6567590663889334E-2</v>
      </c>
      <c r="J83" s="4">
        <f t="shared" si="7"/>
        <v>1.5745999788068243E-2</v>
      </c>
      <c r="K83" s="2">
        <v>55.75</v>
      </c>
      <c r="L83" s="2">
        <f>14.07-2.08</f>
        <v>11.99</v>
      </c>
      <c r="M83" s="4">
        <f t="shared" si="8"/>
        <v>0.21506726457399103</v>
      </c>
      <c r="N83" s="2">
        <v>10000</v>
      </c>
    </row>
    <row r="84" spans="1:14">
      <c r="A84" s="1" t="s">
        <v>67</v>
      </c>
      <c r="B84" s="13" t="s">
        <v>26</v>
      </c>
      <c r="C84" s="1" t="s">
        <v>10</v>
      </c>
      <c r="D84" s="1" t="s">
        <v>48</v>
      </c>
      <c r="E84" s="5">
        <v>426.61</v>
      </c>
      <c r="F84" s="5">
        <v>14.231999999999999</v>
      </c>
      <c r="G84" s="5">
        <v>2104.5</v>
      </c>
      <c r="H84" s="5">
        <v>41.295999999999999</v>
      </c>
      <c r="I84" s="4">
        <f t="shared" si="6"/>
        <v>3.3360680715407515E-2</v>
      </c>
      <c r="J84" s="4">
        <f t="shared" si="7"/>
        <v>1.9622713233547161E-2</v>
      </c>
      <c r="K84" s="2">
        <v>30.7</v>
      </c>
      <c r="L84" s="2">
        <f>8.67-2.06</f>
        <v>6.6099999999999994</v>
      </c>
      <c r="M84" s="4">
        <f t="shared" si="8"/>
        <v>0.21530944625407164</v>
      </c>
      <c r="N84" s="2">
        <v>10000</v>
      </c>
    </row>
    <row r="85" spans="1:14">
      <c r="A85" s="1" t="s">
        <v>67</v>
      </c>
      <c r="B85" s="13" t="s">
        <v>26</v>
      </c>
      <c r="C85" s="6" t="s">
        <v>12</v>
      </c>
      <c r="D85" s="1" t="s">
        <v>48</v>
      </c>
      <c r="E85" s="5">
        <v>566.4</v>
      </c>
      <c r="F85" s="5">
        <v>13.063000000000001</v>
      </c>
      <c r="G85" s="5">
        <v>2922.9</v>
      </c>
      <c r="H85" s="5">
        <v>40.097000000000001</v>
      </c>
      <c r="I85" s="4">
        <f t="shared" si="6"/>
        <v>2.3063206214689269E-2</v>
      </c>
      <c r="J85" s="4">
        <f t="shared" si="7"/>
        <v>1.371822505046358E-2</v>
      </c>
      <c r="K85" s="2">
        <v>40.729999999999997</v>
      </c>
      <c r="L85" s="2">
        <f>12.38-2.09</f>
        <v>10.290000000000001</v>
      </c>
      <c r="M85" s="4">
        <f t="shared" si="8"/>
        <v>0.25263933218757678</v>
      </c>
      <c r="N85" s="2">
        <v>10000</v>
      </c>
    </row>
    <row r="86" spans="1:14">
      <c r="A86" s="1" t="s">
        <v>67</v>
      </c>
      <c r="B86" s="13" t="s">
        <v>26</v>
      </c>
      <c r="C86" s="1" t="s">
        <v>7</v>
      </c>
      <c r="D86" s="1" t="s">
        <v>66</v>
      </c>
      <c r="E86" s="5">
        <v>264.69</v>
      </c>
      <c r="F86" s="5">
        <v>8.1190999999999995</v>
      </c>
      <c r="G86" s="5">
        <v>1295.7</v>
      </c>
      <c r="H86" s="5">
        <v>23.686</v>
      </c>
      <c r="I86" s="4">
        <f t="shared" si="6"/>
        <v>3.0673995995315274E-2</v>
      </c>
      <c r="J86" s="4">
        <f t="shared" si="7"/>
        <v>1.8280466157289496E-2</v>
      </c>
      <c r="K86" s="2">
        <v>64.47</v>
      </c>
      <c r="L86" s="2">
        <f>16.21-2.11</f>
        <v>14.100000000000001</v>
      </c>
      <c r="M86" s="4">
        <f t="shared" si="8"/>
        <v>0.21870637505816662</v>
      </c>
      <c r="N86" s="2">
        <v>10000</v>
      </c>
    </row>
    <row r="87" spans="1:14">
      <c r="A87" s="1" t="s">
        <v>124</v>
      </c>
      <c r="B87" s="13" t="s">
        <v>26</v>
      </c>
      <c r="C87" s="1" t="s">
        <v>125</v>
      </c>
      <c r="D87" s="1" t="s">
        <v>103</v>
      </c>
      <c r="E87" s="5">
        <v>440.92</v>
      </c>
      <c r="F87" s="5">
        <v>24.728000000000002</v>
      </c>
      <c r="G87" s="5">
        <v>2230.1999999999998</v>
      </c>
      <c r="H87" s="5">
        <v>24.728000000000002</v>
      </c>
      <c r="I87" s="4">
        <f t="shared" si="6"/>
        <v>5.6082736097251201E-2</v>
      </c>
      <c r="J87" s="4">
        <f t="shared" si="7"/>
        <v>1.1087794816608378E-2</v>
      </c>
      <c r="K87" s="2">
        <v>9.92</v>
      </c>
      <c r="L87" s="2">
        <f>4.52-2.07</f>
        <v>2.4499999999999997</v>
      </c>
      <c r="M87" s="4">
        <f t="shared" si="8"/>
        <v>0.24697580645161288</v>
      </c>
      <c r="N87" s="2">
        <v>10000</v>
      </c>
    </row>
    <row r="88" spans="1:14">
      <c r="A88" s="1" t="s">
        <v>128</v>
      </c>
      <c r="B88" s="13" t="s">
        <v>26</v>
      </c>
      <c r="C88" s="1" t="s">
        <v>9</v>
      </c>
      <c r="D88" s="1" t="s">
        <v>48</v>
      </c>
      <c r="E88" s="5">
        <v>256.14999999999998</v>
      </c>
      <c r="F88" s="5">
        <v>14.113</v>
      </c>
      <c r="G88" s="5">
        <v>1373.9</v>
      </c>
      <c r="H88" s="5">
        <v>40.405000000000001</v>
      </c>
      <c r="I88" s="4">
        <f t="shared" si="6"/>
        <v>5.5096623072418506E-2</v>
      </c>
      <c r="J88" s="4">
        <f t="shared" si="7"/>
        <v>2.9408981730839216E-2</v>
      </c>
      <c r="K88" s="2">
        <v>22.1</v>
      </c>
      <c r="L88" s="2">
        <f>7.08-2.12</f>
        <v>4.96</v>
      </c>
      <c r="M88" s="4">
        <f t="shared" si="8"/>
        <v>0.22443438914027147</v>
      </c>
      <c r="N88" s="2">
        <v>10000</v>
      </c>
    </row>
    <row r="89" spans="1:14">
      <c r="A89" s="1" t="s">
        <v>67</v>
      </c>
      <c r="B89" s="13" t="s">
        <v>26</v>
      </c>
      <c r="C89" s="3" t="s">
        <v>52</v>
      </c>
      <c r="D89" s="1" t="s">
        <v>48</v>
      </c>
      <c r="E89" s="5">
        <v>423.88</v>
      </c>
      <c r="F89" s="5">
        <v>27.568999999999999</v>
      </c>
      <c r="G89" s="5">
        <v>2122.6999999999998</v>
      </c>
      <c r="H89" s="5">
        <v>75.206000000000003</v>
      </c>
      <c r="I89" s="4">
        <f t="shared" si="6"/>
        <v>6.5039633858639243E-2</v>
      </c>
      <c r="J89" s="4">
        <f t="shared" si="7"/>
        <v>3.5429405945258403E-2</v>
      </c>
      <c r="K89" s="2">
        <v>10.130000000000001</v>
      </c>
      <c r="L89" s="2">
        <f>4.3-2.08</f>
        <v>2.2199999999999998</v>
      </c>
      <c r="M89" s="4">
        <f t="shared" si="8"/>
        <v>0.2191510365251727</v>
      </c>
      <c r="N89" s="2">
        <v>10000</v>
      </c>
    </row>
    <row r="90" spans="1:14">
      <c r="A90" s="1" t="s">
        <v>67</v>
      </c>
      <c r="B90" s="13" t="s">
        <v>26</v>
      </c>
      <c r="C90" s="3" t="s">
        <v>34</v>
      </c>
      <c r="D90" s="1" t="s">
        <v>48</v>
      </c>
      <c r="E90" s="5">
        <v>358.82</v>
      </c>
      <c r="F90" s="5">
        <v>25.059000000000001</v>
      </c>
      <c r="G90" s="5">
        <v>1937.2</v>
      </c>
      <c r="H90" s="5">
        <v>71.382999999999996</v>
      </c>
      <c r="I90" s="4">
        <f t="shared" si="6"/>
        <v>6.9837244300763615E-2</v>
      </c>
      <c r="J90" s="4">
        <f t="shared" si="7"/>
        <v>3.6848544290728882E-2</v>
      </c>
      <c r="K90" s="2" t="s">
        <v>69</v>
      </c>
      <c r="L90" s="2">
        <f>10.05-2.08</f>
        <v>7.9700000000000006</v>
      </c>
      <c r="M90" s="4"/>
      <c r="N90" s="2">
        <v>10000</v>
      </c>
    </row>
    <row r="91" spans="1:14">
      <c r="A91" s="1" t="s">
        <v>67</v>
      </c>
      <c r="B91" s="13" t="s">
        <v>26</v>
      </c>
      <c r="C91" s="1" t="s">
        <v>14</v>
      </c>
      <c r="D91" s="1" t="s">
        <v>48</v>
      </c>
      <c r="E91" s="5">
        <v>339.47</v>
      </c>
      <c r="F91" s="5">
        <v>13.553000000000001</v>
      </c>
      <c r="G91" s="5">
        <v>1717.5</v>
      </c>
      <c r="H91" s="5">
        <v>38.590000000000003</v>
      </c>
      <c r="I91" s="4">
        <f t="shared" si="6"/>
        <v>3.9923999175184847E-2</v>
      </c>
      <c r="J91" s="4">
        <f t="shared" si="7"/>
        <v>2.2468704512372636E-2</v>
      </c>
      <c r="K91" s="2">
        <v>23.06</v>
      </c>
      <c r="L91" s="2">
        <f>8.56-2.08</f>
        <v>6.48</v>
      </c>
      <c r="M91" s="4">
        <f t="shared" ref="M91:M97" si="9">L91/K91</f>
        <v>0.28100607111882048</v>
      </c>
      <c r="N91" s="2">
        <v>10000</v>
      </c>
    </row>
    <row r="92" spans="1:14">
      <c r="A92" s="1" t="s">
        <v>118</v>
      </c>
      <c r="B92" s="13" t="s">
        <v>27</v>
      </c>
      <c r="C92" s="1" t="s">
        <v>11</v>
      </c>
      <c r="D92" s="1" t="s">
        <v>103</v>
      </c>
      <c r="E92" s="2">
        <v>2319.9</v>
      </c>
      <c r="F92" s="2">
        <v>22.248999999999999</v>
      </c>
      <c r="G92" s="2">
        <v>11765</v>
      </c>
      <c r="H92" s="2">
        <v>70.768000000000001</v>
      </c>
      <c r="I92" s="4">
        <f t="shared" si="6"/>
        <v>9.5904995904995891E-3</v>
      </c>
      <c r="J92" s="4">
        <f t="shared" si="7"/>
        <v>6.0151296217594557E-3</v>
      </c>
      <c r="K92" s="2">
        <v>56.34</v>
      </c>
      <c r="L92" s="2">
        <f>16.28-2.07</f>
        <v>14.21</v>
      </c>
      <c r="M92" s="4">
        <f t="shared" si="9"/>
        <v>0.25221867234646789</v>
      </c>
      <c r="N92" s="2">
        <v>10000</v>
      </c>
    </row>
    <row r="93" spans="1:14">
      <c r="A93" s="1" t="s">
        <v>118</v>
      </c>
      <c r="B93" s="13" t="s">
        <v>27</v>
      </c>
      <c r="C93" s="1" t="s">
        <v>119</v>
      </c>
      <c r="D93" s="1" t="s">
        <v>48</v>
      </c>
      <c r="E93" s="2">
        <v>2208.1</v>
      </c>
      <c r="F93" s="2">
        <v>25.15</v>
      </c>
      <c r="G93" s="2">
        <v>11258</v>
      </c>
      <c r="H93" s="2">
        <v>78.998999999999995</v>
      </c>
      <c r="I93" s="4">
        <f t="shared" si="6"/>
        <v>1.1389882704587654E-2</v>
      </c>
      <c r="J93" s="4">
        <f t="shared" si="7"/>
        <v>7.0171433647184221E-3</v>
      </c>
      <c r="K93" s="2">
        <v>35.42</v>
      </c>
      <c r="L93" s="2">
        <f>11.3-2.1</f>
        <v>9.2000000000000011</v>
      </c>
      <c r="M93" s="4">
        <f t="shared" si="9"/>
        <v>0.25974025974025977</v>
      </c>
      <c r="N93" s="2">
        <v>10000</v>
      </c>
    </row>
    <row r="94" spans="1:14">
      <c r="A94" s="1" t="s">
        <v>105</v>
      </c>
      <c r="B94" s="13" t="s">
        <v>27</v>
      </c>
      <c r="C94" s="1" t="s">
        <v>106</v>
      </c>
      <c r="D94" s="1" t="s">
        <v>48</v>
      </c>
      <c r="E94" s="2">
        <v>1587.8</v>
      </c>
      <c r="F94" s="2">
        <v>39.593000000000004</v>
      </c>
      <c r="G94" s="2">
        <v>7887.3</v>
      </c>
      <c r="H94" s="2">
        <v>114.29</v>
      </c>
      <c r="I94" s="4">
        <f t="shared" si="6"/>
        <v>2.4935760171306214E-2</v>
      </c>
      <c r="J94" s="4">
        <f t="shared" si="7"/>
        <v>1.4490383274377797E-2</v>
      </c>
      <c r="K94" s="2">
        <v>16.29</v>
      </c>
      <c r="L94" s="2">
        <f>6.31-2.09</f>
        <v>4.22</v>
      </c>
      <c r="M94" s="4">
        <f t="shared" si="9"/>
        <v>0.25905463474524248</v>
      </c>
      <c r="N94" s="2">
        <v>10000</v>
      </c>
    </row>
    <row r="95" spans="1:14">
      <c r="A95" s="1" t="s">
        <v>463</v>
      </c>
      <c r="B95" s="13" t="s">
        <v>27</v>
      </c>
      <c r="C95" s="1" t="s">
        <v>115</v>
      </c>
      <c r="D95" s="1" t="s">
        <v>48</v>
      </c>
      <c r="E95" s="2">
        <v>956.23</v>
      </c>
      <c r="F95" s="2">
        <v>23.204999999999998</v>
      </c>
      <c r="G95" s="2">
        <v>4736.3</v>
      </c>
      <c r="H95" s="2">
        <v>69.064999999999998</v>
      </c>
      <c r="I95" s="4">
        <f t="shared" si="6"/>
        <v>2.4267174215408426E-2</v>
      </c>
      <c r="J95" s="4">
        <f t="shared" si="7"/>
        <v>1.4582057724384012E-2</v>
      </c>
      <c r="K95" s="2">
        <v>28.42</v>
      </c>
      <c r="L95" s="2">
        <f>7.49-2.26</f>
        <v>5.23</v>
      </c>
      <c r="M95" s="4">
        <f t="shared" si="9"/>
        <v>0.1840253342716397</v>
      </c>
      <c r="N95" s="2">
        <v>10000</v>
      </c>
    </row>
    <row r="96" spans="1:14">
      <c r="A96" s="1" t="s">
        <v>105</v>
      </c>
      <c r="B96" s="13" t="s">
        <v>27</v>
      </c>
      <c r="C96" s="1" t="s">
        <v>102</v>
      </c>
      <c r="D96" s="1" t="s">
        <v>107</v>
      </c>
      <c r="E96" s="2">
        <v>1040.3</v>
      </c>
      <c r="F96" s="2">
        <v>43.398000000000003</v>
      </c>
      <c r="G96" s="2">
        <v>5185.6000000000004</v>
      </c>
      <c r="H96" s="2">
        <v>119.69</v>
      </c>
      <c r="I96" s="4">
        <f t="shared" si="6"/>
        <v>4.1716812457944827E-2</v>
      </c>
      <c r="J96" s="4">
        <f t="shared" si="7"/>
        <v>2.3081224930576981E-2</v>
      </c>
      <c r="K96" s="2">
        <v>7.8</v>
      </c>
      <c r="L96" s="2">
        <f>3.8-2.09</f>
        <v>1.71</v>
      </c>
      <c r="M96" s="4">
        <f t="shared" si="9"/>
        <v>0.21923076923076923</v>
      </c>
      <c r="N96" s="2">
        <v>10000</v>
      </c>
    </row>
    <row r="97" spans="1:14">
      <c r="A97" s="1" t="s">
        <v>118</v>
      </c>
      <c r="B97" s="13" t="s">
        <v>27</v>
      </c>
      <c r="C97" s="1" t="s">
        <v>14</v>
      </c>
      <c r="D97" s="1" t="s">
        <v>48</v>
      </c>
      <c r="E97" s="2">
        <v>869.65</v>
      </c>
      <c r="F97" s="2">
        <v>23.326000000000001</v>
      </c>
      <c r="G97" s="2">
        <v>4427.3</v>
      </c>
      <c r="H97" s="2">
        <v>68.941999999999993</v>
      </c>
      <c r="I97" s="4">
        <f t="shared" si="6"/>
        <v>2.6822284827229346E-2</v>
      </c>
      <c r="J97" s="4">
        <f t="shared" si="7"/>
        <v>1.5572019063537595E-2</v>
      </c>
      <c r="K97" s="2">
        <v>16.64</v>
      </c>
      <c r="L97" s="2">
        <f>7.09-2.1</f>
        <v>4.99</v>
      </c>
      <c r="M97" s="4">
        <f t="shared" si="9"/>
        <v>0.29987980769230771</v>
      </c>
      <c r="N97" s="2">
        <v>10000</v>
      </c>
    </row>
    <row r="98" spans="1:14">
      <c r="A98" s="1" t="s">
        <v>150</v>
      </c>
      <c r="B98" s="1" t="s">
        <v>212</v>
      </c>
      <c r="C98" s="1" t="s">
        <v>11</v>
      </c>
      <c r="D98" s="1" t="s">
        <v>151</v>
      </c>
      <c r="E98" s="2">
        <v>1063.5</v>
      </c>
      <c r="F98" s="2">
        <v>23.106999999999999</v>
      </c>
      <c r="G98" s="2">
        <v>5668</v>
      </c>
      <c r="H98" s="2">
        <v>69.813999999999993</v>
      </c>
      <c r="I98" s="4">
        <f t="shared" si="6"/>
        <v>2.1727315467795015E-2</v>
      </c>
      <c r="J98" s="4">
        <f t="shared" si="7"/>
        <v>1.2317219477769936E-2</v>
      </c>
      <c r="N98" s="2">
        <v>1000000</v>
      </c>
    </row>
    <row r="99" spans="1:14">
      <c r="A99" s="1" t="s">
        <v>322</v>
      </c>
      <c r="B99" s="1" t="s">
        <v>311</v>
      </c>
      <c r="C99" s="1" t="s">
        <v>123</v>
      </c>
      <c r="D99" s="1" t="s">
        <v>48</v>
      </c>
      <c r="E99" s="2">
        <v>488.26</v>
      </c>
      <c r="F99" s="2">
        <v>25.382000000000001</v>
      </c>
      <c r="G99" s="2">
        <v>2524.6</v>
      </c>
      <c r="H99" s="2">
        <v>67.183999999999997</v>
      </c>
      <c r="I99" s="4">
        <f t="shared" si="6"/>
        <v>5.1984598369721052E-2</v>
      </c>
      <c r="J99" s="4">
        <f t="shared" si="7"/>
        <v>2.6611740473738415E-2</v>
      </c>
    </row>
    <row r="100" spans="1:14">
      <c r="A100" s="1" t="s">
        <v>322</v>
      </c>
      <c r="B100" s="1" t="s">
        <v>311</v>
      </c>
      <c r="C100" s="1" t="s">
        <v>323</v>
      </c>
      <c r="D100" s="1" t="s">
        <v>313</v>
      </c>
      <c r="E100" s="2">
        <v>138.78</v>
      </c>
      <c r="F100" s="2">
        <v>8.2840000000000007</v>
      </c>
      <c r="G100" s="2">
        <v>741.8</v>
      </c>
      <c r="H100" s="2">
        <v>21.282</v>
      </c>
      <c r="I100" s="4">
        <f t="shared" si="6"/>
        <v>5.9691598212998999E-2</v>
      </c>
      <c r="J100" s="4">
        <f t="shared" ref="J100:J130" si="10">H100/G100</f>
        <v>2.8689673766513886E-2</v>
      </c>
    </row>
    <row r="101" spans="1:14">
      <c r="A101" s="1" t="s">
        <v>322</v>
      </c>
      <c r="B101" s="1" t="s">
        <v>311</v>
      </c>
      <c r="C101" s="1" t="s">
        <v>60</v>
      </c>
      <c r="D101" s="1" t="s">
        <v>48</v>
      </c>
      <c r="E101" s="2">
        <v>94.453000000000003</v>
      </c>
      <c r="F101" s="2">
        <v>8.3287999999999993</v>
      </c>
      <c r="G101" s="2">
        <v>530.63</v>
      </c>
      <c r="H101" s="2">
        <v>21.126000000000001</v>
      </c>
      <c r="I101" s="4">
        <f t="shared" si="6"/>
        <v>8.8179306109917088E-2</v>
      </c>
      <c r="J101" s="4">
        <f t="shared" si="10"/>
        <v>3.9813052409400147E-2</v>
      </c>
    </row>
    <row r="102" spans="1:14">
      <c r="A102" s="1" t="s">
        <v>322</v>
      </c>
      <c r="B102" s="1" t="s">
        <v>311</v>
      </c>
      <c r="C102" s="1" t="s">
        <v>49</v>
      </c>
      <c r="D102" s="1" t="s">
        <v>48</v>
      </c>
      <c r="E102" s="2">
        <v>146.38999999999999</v>
      </c>
      <c r="F102" s="2">
        <v>8.1455000000000002</v>
      </c>
      <c r="G102" s="2">
        <v>674.26</v>
      </c>
      <c r="H102" s="2">
        <v>20.603999999999999</v>
      </c>
      <c r="I102" s="4">
        <f t="shared" si="6"/>
        <v>5.56424619167976E-2</v>
      </c>
      <c r="J102" s="4">
        <f t="shared" si="10"/>
        <v>3.055794500637736E-2</v>
      </c>
    </row>
    <row r="103" spans="1:14">
      <c r="A103" s="1" t="s">
        <v>322</v>
      </c>
      <c r="B103" s="1" t="s">
        <v>96</v>
      </c>
      <c r="C103" s="1" t="s">
        <v>113</v>
      </c>
      <c r="D103" s="1" t="s">
        <v>48</v>
      </c>
      <c r="E103" s="2">
        <v>491.11</v>
      </c>
      <c r="F103" s="2">
        <v>22.251000000000001</v>
      </c>
      <c r="G103" s="2">
        <v>2435.8000000000002</v>
      </c>
      <c r="H103" s="2">
        <v>58.064</v>
      </c>
      <c r="I103" s="4">
        <f t="shared" si="6"/>
        <v>4.5307568569159663E-2</v>
      </c>
      <c r="J103" s="4">
        <f t="shared" si="10"/>
        <v>2.3837753510140405E-2</v>
      </c>
    </row>
    <row r="104" spans="1:14">
      <c r="A104" s="1" t="s">
        <v>322</v>
      </c>
      <c r="B104" s="1" t="s">
        <v>96</v>
      </c>
      <c r="C104" s="1" t="s">
        <v>127</v>
      </c>
      <c r="D104" s="1" t="s">
        <v>48</v>
      </c>
      <c r="E104" s="2">
        <v>150.69999999999999</v>
      </c>
      <c r="F104" s="2">
        <v>11.221</v>
      </c>
      <c r="G104" s="2">
        <v>796.6</v>
      </c>
      <c r="H104" s="2">
        <v>28.739000000000001</v>
      </c>
      <c r="I104" s="4">
        <f t="shared" si="6"/>
        <v>7.4459190444591913E-2</v>
      </c>
      <c r="J104" s="4">
        <f t="shared" si="10"/>
        <v>3.6077077579713783E-2</v>
      </c>
    </row>
    <row r="105" spans="1:14">
      <c r="A105" s="1" t="s">
        <v>322</v>
      </c>
      <c r="B105" s="1" t="s">
        <v>311</v>
      </c>
      <c r="C105" s="1" t="s">
        <v>324</v>
      </c>
      <c r="D105" s="1" t="s">
        <v>48</v>
      </c>
      <c r="E105" s="2">
        <v>309.19</v>
      </c>
      <c r="F105" s="2">
        <v>25.295000000000002</v>
      </c>
      <c r="G105" s="2">
        <v>1836</v>
      </c>
      <c r="H105" s="2">
        <v>65.454999999999998</v>
      </c>
      <c r="I105" s="4">
        <f t="shared" si="6"/>
        <v>8.1810537210129694E-2</v>
      </c>
      <c r="J105" s="4">
        <f t="shared" si="10"/>
        <v>3.5650871459694991E-2</v>
      </c>
    </row>
    <row r="106" spans="1:14">
      <c r="A106" s="1" t="s">
        <v>322</v>
      </c>
      <c r="B106" s="1" t="s">
        <v>96</v>
      </c>
      <c r="C106" s="1" t="s">
        <v>51</v>
      </c>
      <c r="D106" s="1" t="s">
        <v>48</v>
      </c>
      <c r="E106" s="2">
        <v>99.667000000000002</v>
      </c>
      <c r="F106" s="2">
        <v>12.882999999999999</v>
      </c>
      <c r="G106" s="2">
        <v>523.54999999999995</v>
      </c>
      <c r="H106" s="2">
        <v>25.896999999999998</v>
      </c>
      <c r="I106" s="4">
        <f t="shared" si="6"/>
        <v>0.12926043725606268</v>
      </c>
      <c r="J106" s="4">
        <f t="shared" si="10"/>
        <v>4.9464234552573774E-2</v>
      </c>
    </row>
    <row r="107" spans="1:14">
      <c r="A107" s="1" t="s">
        <v>322</v>
      </c>
      <c r="B107" s="1" t="s">
        <v>96</v>
      </c>
      <c r="C107" s="1" t="s">
        <v>52</v>
      </c>
      <c r="D107" s="1" t="s">
        <v>48</v>
      </c>
      <c r="E107" s="2">
        <v>188.14</v>
      </c>
      <c r="F107" s="2">
        <v>26.79</v>
      </c>
      <c r="G107" s="2">
        <v>918.2</v>
      </c>
      <c r="H107" s="2">
        <v>50.09</v>
      </c>
      <c r="I107" s="4">
        <f t="shared" si="6"/>
        <v>0.14239396194323375</v>
      </c>
      <c r="J107" s="4">
        <f t="shared" si="10"/>
        <v>5.4552385101285121E-2</v>
      </c>
    </row>
    <row r="108" spans="1:14">
      <c r="A108" s="1" t="s">
        <v>322</v>
      </c>
      <c r="B108" s="1" t="s">
        <v>96</v>
      </c>
      <c r="C108" s="1" t="s">
        <v>325</v>
      </c>
      <c r="D108" s="1" t="s">
        <v>48</v>
      </c>
      <c r="E108" s="2">
        <v>291.99</v>
      </c>
      <c r="F108" s="2">
        <v>29.393999999999998</v>
      </c>
      <c r="G108" s="2">
        <v>1373.7</v>
      </c>
      <c r="H108" s="2">
        <v>68.766999999999996</v>
      </c>
      <c r="I108" s="4">
        <f t="shared" si="6"/>
        <v>0.10066783109010581</v>
      </c>
      <c r="J108" s="4">
        <f t="shared" si="10"/>
        <v>5.0059692800465891E-2</v>
      </c>
    </row>
    <row r="109" spans="1:14">
      <c r="A109" s="1" t="s">
        <v>322</v>
      </c>
      <c r="B109" s="1" t="s">
        <v>96</v>
      </c>
      <c r="C109" s="1" t="s">
        <v>200</v>
      </c>
      <c r="D109" s="1" t="s">
        <v>48</v>
      </c>
      <c r="E109" s="2">
        <v>302.01</v>
      </c>
      <c r="F109" s="2">
        <v>17.146000000000001</v>
      </c>
      <c r="G109" s="2">
        <v>1518.3</v>
      </c>
      <c r="H109" s="2">
        <v>43.109000000000002</v>
      </c>
      <c r="I109" s="4">
        <f t="shared" si="6"/>
        <v>5.6772954537929209E-2</v>
      </c>
      <c r="J109" s="4">
        <f t="shared" si="10"/>
        <v>2.8392939471777647E-2</v>
      </c>
    </row>
    <row r="110" spans="1:14">
      <c r="A110" s="1" t="s">
        <v>162</v>
      </c>
      <c r="B110" s="1" t="s">
        <v>212</v>
      </c>
      <c r="C110" s="1" t="s">
        <v>11</v>
      </c>
      <c r="D110" s="1" t="s">
        <v>151</v>
      </c>
      <c r="E110" s="2">
        <v>1141.3</v>
      </c>
      <c r="F110" s="2">
        <v>83.739000000000004</v>
      </c>
      <c r="G110" s="2">
        <v>4591.8</v>
      </c>
      <c r="H110" s="2">
        <v>195.73</v>
      </c>
      <c r="I110" s="4">
        <f t="shared" si="6"/>
        <v>7.3371593796547799E-2</v>
      </c>
      <c r="J110" s="4">
        <f t="shared" si="10"/>
        <v>4.2625985452328062E-2</v>
      </c>
      <c r="N110" s="2">
        <v>10000</v>
      </c>
    </row>
    <row r="111" spans="1:14">
      <c r="A111" s="1" t="s">
        <v>162</v>
      </c>
      <c r="B111" s="1" t="s">
        <v>215</v>
      </c>
      <c r="C111" s="1" t="s">
        <v>147</v>
      </c>
      <c r="D111" s="1" t="s">
        <v>148</v>
      </c>
      <c r="G111" s="2">
        <v>122.11</v>
      </c>
      <c r="H111" s="2">
        <v>7.8884999999999996</v>
      </c>
      <c r="I111" s="4" t="s">
        <v>209</v>
      </c>
      <c r="J111" s="4">
        <f t="shared" si="10"/>
        <v>6.4601588731471621E-2</v>
      </c>
      <c r="N111" s="2">
        <v>100000</v>
      </c>
    </row>
    <row r="112" spans="1:14">
      <c r="A112" s="1" t="s">
        <v>223</v>
      </c>
      <c r="B112" s="1" t="s">
        <v>212</v>
      </c>
      <c r="C112" s="1" t="s">
        <v>11</v>
      </c>
      <c r="D112" s="1" t="s">
        <v>151</v>
      </c>
      <c r="E112" s="2">
        <v>1953.8</v>
      </c>
      <c r="F112" s="2">
        <v>38.072000000000003</v>
      </c>
      <c r="G112" s="2">
        <v>11099</v>
      </c>
      <c r="H112" s="2">
        <v>118.67</v>
      </c>
      <c r="I112" s="4">
        <f t="shared" ref="I112:I117" si="11">F112/E112</f>
        <v>1.9486129593612449E-2</v>
      </c>
      <c r="J112" s="4">
        <f t="shared" si="10"/>
        <v>1.0691954230110821E-2</v>
      </c>
      <c r="N112" s="2">
        <v>10000</v>
      </c>
    </row>
    <row r="113" spans="1:14">
      <c r="A113" s="1" t="s">
        <v>223</v>
      </c>
      <c r="B113" s="1" t="s">
        <v>212</v>
      </c>
      <c r="C113" s="1" t="s">
        <v>11</v>
      </c>
      <c r="D113" s="1" t="s">
        <v>151</v>
      </c>
      <c r="E113" s="2">
        <v>3769.5</v>
      </c>
      <c r="F113" s="2">
        <v>35.594999999999999</v>
      </c>
      <c r="G113" s="2">
        <v>19559</v>
      </c>
      <c r="H113" s="2">
        <v>111.14</v>
      </c>
      <c r="I113" s="4">
        <f t="shared" si="11"/>
        <v>9.4428969359331479E-3</v>
      </c>
      <c r="J113" s="4">
        <f t="shared" si="10"/>
        <v>5.682294595838233E-3</v>
      </c>
      <c r="N113" s="2">
        <v>10000</v>
      </c>
    </row>
    <row r="114" spans="1:14">
      <c r="A114" s="1" t="s">
        <v>154</v>
      </c>
      <c r="B114" s="1" t="s">
        <v>26</v>
      </c>
      <c r="C114" s="1" t="s">
        <v>11</v>
      </c>
      <c r="D114" s="1" t="s">
        <v>153</v>
      </c>
      <c r="E114" s="2">
        <v>64.655000000000001</v>
      </c>
      <c r="F114" s="2">
        <v>11.651</v>
      </c>
      <c r="G114" s="2">
        <v>341.78</v>
      </c>
      <c r="H114" s="2">
        <v>24.082999999999998</v>
      </c>
      <c r="I114" s="4">
        <f t="shared" si="11"/>
        <v>0.18020261387363698</v>
      </c>
      <c r="J114" s="4">
        <f t="shared" si="10"/>
        <v>7.0463456024343146E-2</v>
      </c>
      <c r="N114" s="2">
        <v>5000</v>
      </c>
    </row>
    <row r="115" spans="1:14">
      <c r="A115" s="1" t="s">
        <v>206</v>
      </c>
      <c r="B115" s="1" t="s">
        <v>220</v>
      </c>
      <c r="C115" s="1" t="s">
        <v>11</v>
      </c>
      <c r="D115" s="1" t="s">
        <v>151</v>
      </c>
      <c r="E115" s="2">
        <v>56.069000000000003</v>
      </c>
      <c r="F115" s="2">
        <v>6.4511000000000003</v>
      </c>
      <c r="G115" s="2">
        <v>307.18</v>
      </c>
      <c r="H115" s="2">
        <v>16.698</v>
      </c>
      <c r="I115" s="4">
        <f t="shared" si="11"/>
        <v>0.11505644830476734</v>
      </c>
      <c r="J115" s="4">
        <f t="shared" si="10"/>
        <v>5.4359007747900256E-2</v>
      </c>
      <c r="N115" s="2">
        <v>10000</v>
      </c>
    </row>
    <row r="116" spans="1:14">
      <c r="A116" s="1" t="s">
        <v>152</v>
      </c>
      <c r="B116" s="1" t="s">
        <v>213</v>
      </c>
      <c r="C116" s="1" t="s">
        <v>11</v>
      </c>
      <c r="D116" s="1" t="s">
        <v>153</v>
      </c>
      <c r="E116" s="2">
        <v>160.86000000000001</v>
      </c>
      <c r="F116" s="2">
        <v>16.684999999999999</v>
      </c>
      <c r="G116" s="2">
        <v>1027.8</v>
      </c>
      <c r="H116" s="2">
        <v>46.012</v>
      </c>
      <c r="I116" s="4">
        <f t="shared" si="11"/>
        <v>0.10372373492477929</v>
      </c>
      <c r="J116" s="4">
        <f t="shared" si="10"/>
        <v>4.4767464487254334E-2</v>
      </c>
      <c r="N116" s="2">
        <v>5000</v>
      </c>
    </row>
    <row r="117" spans="1:14">
      <c r="A117" s="1" t="s">
        <v>163</v>
      </c>
      <c r="B117" s="1" t="s">
        <v>26</v>
      </c>
      <c r="C117" s="1" t="s">
        <v>11</v>
      </c>
      <c r="D117" s="1" t="s">
        <v>151</v>
      </c>
      <c r="E117" s="2">
        <v>84.17</v>
      </c>
      <c r="F117" s="2">
        <v>7.9466000000000001</v>
      </c>
      <c r="G117" s="2">
        <v>423.94</v>
      </c>
      <c r="H117" s="2">
        <v>19.300999999999998</v>
      </c>
      <c r="I117" s="4">
        <f t="shared" si="11"/>
        <v>9.4411310443150764E-2</v>
      </c>
      <c r="J117" s="4">
        <f t="shared" si="10"/>
        <v>4.5527669009765528E-2</v>
      </c>
      <c r="N117" s="2">
        <v>10000</v>
      </c>
    </row>
    <row r="118" spans="1:14">
      <c r="A118" s="1" t="s">
        <v>163</v>
      </c>
      <c r="B118" s="1" t="s">
        <v>26</v>
      </c>
      <c r="C118" s="1" t="s">
        <v>326</v>
      </c>
      <c r="D118" s="1" t="s">
        <v>148</v>
      </c>
      <c r="G118" s="2">
        <v>49.933999999999997</v>
      </c>
      <c r="H118" s="2">
        <v>4.7603</v>
      </c>
      <c r="I118" s="4"/>
      <c r="J118" s="4">
        <f t="shared" si="10"/>
        <v>9.5331838026194576E-2</v>
      </c>
    </row>
    <row r="119" spans="1:14">
      <c r="A119" s="1" t="s">
        <v>203</v>
      </c>
      <c r="B119" s="1" t="s">
        <v>26</v>
      </c>
      <c r="C119" s="1" t="s">
        <v>11</v>
      </c>
      <c r="D119" s="1" t="s">
        <v>151</v>
      </c>
      <c r="E119" s="2">
        <v>82.748999999999995</v>
      </c>
      <c r="F119" s="2">
        <v>6.7434000000000003</v>
      </c>
      <c r="G119" s="2">
        <v>379.96</v>
      </c>
      <c r="H119" s="2">
        <v>17.03</v>
      </c>
      <c r="I119" s="4">
        <f>F119/E119</f>
        <v>8.1492223470978509E-2</v>
      </c>
      <c r="J119" s="4">
        <f t="shared" si="10"/>
        <v>4.4820507421833883E-2</v>
      </c>
      <c r="N119" s="2">
        <v>10000</v>
      </c>
    </row>
    <row r="120" spans="1:14">
      <c r="A120" s="1" t="s">
        <v>204</v>
      </c>
      <c r="B120" s="1" t="s">
        <v>26</v>
      </c>
      <c r="C120" s="1" t="s">
        <v>11</v>
      </c>
      <c r="D120" s="1" t="s">
        <v>151</v>
      </c>
      <c r="E120" s="2">
        <v>78.72</v>
      </c>
      <c r="F120" s="2">
        <v>6.8868999999999998</v>
      </c>
      <c r="G120" s="2">
        <v>377.94</v>
      </c>
      <c r="H120" s="2">
        <v>17.597999999999999</v>
      </c>
      <c r="I120" s="4">
        <f>F120/E120</f>
        <v>8.7486026422764221E-2</v>
      </c>
      <c r="J120" s="4">
        <f t="shared" si="10"/>
        <v>4.6562946499444355E-2</v>
      </c>
      <c r="N120" s="2">
        <v>10000</v>
      </c>
    </row>
    <row r="121" spans="1:14">
      <c r="A121" s="1" t="s">
        <v>205</v>
      </c>
      <c r="B121" s="1" t="s">
        <v>26</v>
      </c>
      <c r="C121" s="1" t="s">
        <v>11</v>
      </c>
      <c r="D121" s="1" t="s">
        <v>151</v>
      </c>
      <c r="E121" s="2">
        <v>84.744</v>
      </c>
      <c r="F121" s="2">
        <v>7.1875999999999998</v>
      </c>
      <c r="G121" s="2">
        <v>416.47</v>
      </c>
      <c r="H121" s="2">
        <v>17.954999999999998</v>
      </c>
      <c r="I121" s="4">
        <f>F121/E121</f>
        <v>8.4815444161238554E-2</v>
      </c>
      <c r="J121" s="4">
        <f t="shared" si="10"/>
        <v>4.3112349028741559E-2</v>
      </c>
      <c r="N121" s="2">
        <v>10000</v>
      </c>
    </row>
    <row r="122" spans="1:14">
      <c r="A122" s="1" t="s">
        <v>155</v>
      </c>
      <c r="B122" s="1" t="s">
        <v>26</v>
      </c>
      <c r="C122" s="1" t="s">
        <v>11</v>
      </c>
      <c r="D122" s="1" t="s">
        <v>151</v>
      </c>
      <c r="E122" s="2">
        <v>71.204999999999998</v>
      </c>
      <c r="F122" s="2">
        <v>14.861000000000001</v>
      </c>
      <c r="G122" s="2">
        <v>309.49</v>
      </c>
      <c r="H122" s="2">
        <v>23.928999999999998</v>
      </c>
      <c r="I122" s="4">
        <f>F122/E122</f>
        <v>0.20870725370409382</v>
      </c>
      <c r="J122" s="4">
        <f t="shared" si="10"/>
        <v>7.7317522375521017E-2</v>
      </c>
      <c r="N122" s="2">
        <v>5000</v>
      </c>
    </row>
    <row r="123" spans="1:14">
      <c r="A123" s="1" t="s">
        <v>155</v>
      </c>
      <c r="B123" s="1" t="s">
        <v>26</v>
      </c>
      <c r="C123" s="1" t="s">
        <v>323</v>
      </c>
      <c r="D123" s="1" t="s">
        <v>48</v>
      </c>
      <c r="E123" s="2">
        <v>24.279</v>
      </c>
      <c r="F123" s="2">
        <v>3.0352999999999999</v>
      </c>
      <c r="G123" s="2">
        <v>116.61</v>
      </c>
      <c r="H123" s="2">
        <v>6.0678999999999998</v>
      </c>
      <c r="I123" s="4">
        <f>F123/E123</f>
        <v>0.1250175048395733</v>
      </c>
      <c r="J123" s="4">
        <f t="shared" si="10"/>
        <v>5.2035845982334274E-2</v>
      </c>
    </row>
    <row r="124" spans="1:14">
      <c r="A124" s="1" t="s">
        <v>155</v>
      </c>
      <c r="B124" s="1" t="s">
        <v>26</v>
      </c>
      <c r="C124" s="1" t="s">
        <v>60</v>
      </c>
      <c r="D124" s="1" t="s">
        <v>48</v>
      </c>
      <c r="E124" s="2">
        <v>36.659999999999997</v>
      </c>
      <c r="F124" s="2">
        <v>3.3492000000000002</v>
      </c>
      <c r="G124" s="2">
        <v>154.97999999999999</v>
      </c>
      <c r="H124" s="2">
        <v>6.6611000000000002</v>
      </c>
      <c r="I124" s="4"/>
      <c r="J124" s="4">
        <f t="shared" si="10"/>
        <v>4.2980384565750422E-2</v>
      </c>
    </row>
    <row r="125" spans="1:14">
      <c r="A125" s="1" t="s">
        <v>155</v>
      </c>
      <c r="B125" s="1" t="s">
        <v>26</v>
      </c>
      <c r="C125" s="1" t="s">
        <v>49</v>
      </c>
      <c r="D125" s="1" t="s">
        <v>48</v>
      </c>
      <c r="G125" s="2">
        <v>225.6</v>
      </c>
      <c r="H125" s="2">
        <v>21.785</v>
      </c>
      <c r="I125" s="4"/>
      <c r="J125" s="4">
        <f t="shared" si="10"/>
        <v>9.6564716312056736E-2</v>
      </c>
    </row>
    <row r="126" spans="1:14">
      <c r="A126" s="1" t="s">
        <v>155</v>
      </c>
      <c r="B126" s="1" t="s">
        <v>26</v>
      </c>
      <c r="C126" s="1" t="s">
        <v>113</v>
      </c>
      <c r="D126" s="1" t="s">
        <v>48</v>
      </c>
      <c r="G126" s="2">
        <v>309.58</v>
      </c>
      <c r="H126" s="2">
        <v>27.96</v>
      </c>
      <c r="I126" s="4"/>
      <c r="J126" s="4">
        <f t="shared" si="10"/>
        <v>9.0315911880612457E-2</v>
      </c>
    </row>
    <row r="127" spans="1:14">
      <c r="A127" s="1" t="s">
        <v>155</v>
      </c>
      <c r="B127" s="1" t="s">
        <v>26</v>
      </c>
      <c r="C127" s="1" t="s">
        <v>327</v>
      </c>
      <c r="D127" s="1" t="s">
        <v>328</v>
      </c>
      <c r="G127" s="2">
        <v>92.057000000000002</v>
      </c>
      <c r="H127" s="2">
        <v>8.3023000000000007</v>
      </c>
      <c r="I127" s="4"/>
      <c r="J127" s="4">
        <f t="shared" si="10"/>
        <v>9.018651487665251E-2</v>
      </c>
    </row>
    <row r="128" spans="1:14">
      <c r="A128" s="1" t="s">
        <v>155</v>
      </c>
      <c r="B128" s="1" t="s">
        <v>26</v>
      </c>
      <c r="C128" s="1" t="s">
        <v>329</v>
      </c>
      <c r="D128" s="1" t="s">
        <v>48</v>
      </c>
      <c r="G128" s="2">
        <v>375.03</v>
      </c>
      <c r="H128" s="2">
        <v>29.204999999999998</v>
      </c>
      <c r="I128" s="4"/>
      <c r="J128" s="4">
        <f t="shared" si="10"/>
        <v>7.7873770098392137E-2</v>
      </c>
    </row>
    <row r="129" spans="1:14">
      <c r="A129" s="1" t="s">
        <v>155</v>
      </c>
      <c r="B129" s="1" t="s">
        <v>26</v>
      </c>
      <c r="C129" s="1" t="s">
        <v>51</v>
      </c>
      <c r="D129" s="1" t="s">
        <v>48</v>
      </c>
      <c r="G129" s="2">
        <v>124.43</v>
      </c>
      <c r="H129" s="2">
        <v>9.9319000000000006</v>
      </c>
      <c r="I129" s="4"/>
      <c r="J129" s="4">
        <f t="shared" si="10"/>
        <v>7.9819175440006426E-2</v>
      </c>
    </row>
    <row r="130" spans="1:14">
      <c r="A130" s="21" t="s">
        <v>155</v>
      </c>
      <c r="B130" s="1" t="s">
        <v>26</v>
      </c>
      <c r="C130" s="1" t="s">
        <v>200</v>
      </c>
      <c r="D130" s="1" t="s">
        <v>48</v>
      </c>
      <c r="E130" s="2">
        <v>72.921999999999997</v>
      </c>
      <c r="F130" s="2">
        <v>13.071</v>
      </c>
      <c r="G130" s="2">
        <v>306.58999999999997</v>
      </c>
      <c r="H130" s="2">
        <v>17.838000000000001</v>
      </c>
      <c r="I130" s="4"/>
      <c r="J130" s="4">
        <f t="shared" si="10"/>
        <v>5.8181936788544969E-2</v>
      </c>
    </row>
    <row r="131" spans="1:14">
      <c r="A131" s="1" t="s">
        <v>441</v>
      </c>
      <c r="B131" s="1" t="s">
        <v>442</v>
      </c>
      <c r="C131" s="1" t="s">
        <v>443</v>
      </c>
      <c r="D131" s="1" t="s">
        <v>444</v>
      </c>
      <c r="I131" s="4"/>
      <c r="J131" s="4"/>
      <c r="N131" s="2">
        <v>86000</v>
      </c>
    </row>
    <row r="132" spans="1:14">
      <c r="A132" s="1" t="s">
        <v>343</v>
      </c>
      <c r="B132" s="1" t="s">
        <v>219</v>
      </c>
      <c r="C132" s="1" t="s">
        <v>123</v>
      </c>
      <c r="D132" s="1" t="s">
        <v>48</v>
      </c>
      <c r="E132" s="2">
        <v>94.575000000000003</v>
      </c>
      <c r="F132" s="2">
        <v>17.957999999999998</v>
      </c>
      <c r="G132" s="2">
        <v>455.98</v>
      </c>
      <c r="H132" s="2">
        <v>31.984999999999999</v>
      </c>
      <c r="I132" s="4"/>
      <c r="J132" s="4">
        <f t="shared" ref="J132:J163" si="12">H132/G132</f>
        <v>7.0145620421948329E-2</v>
      </c>
    </row>
    <row r="133" spans="1:14">
      <c r="A133" s="1" t="s">
        <v>164</v>
      </c>
      <c r="B133" s="1" t="s">
        <v>26</v>
      </c>
      <c r="C133" s="1" t="s">
        <v>11</v>
      </c>
      <c r="D133" s="1" t="s">
        <v>165</v>
      </c>
      <c r="E133" s="2">
        <v>61.545000000000002</v>
      </c>
      <c r="F133" s="2">
        <v>5.7529000000000003</v>
      </c>
      <c r="G133" s="2">
        <v>327.83</v>
      </c>
      <c r="H133" s="2">
        <v>15.143000000000001</v>
      </c>
      <c r="I133" s="4">
        <f>F133/E133</f>
        <v>9.3474693313835414E-2</v>
      </c>
      <c r="J133" s="4">
        <f t="shared" si="12"/>
        <v>4.6191623707409334E-2</v>
      </c>
      <c r="N133" s="2">
        <v>10000</v>
      </c>
    </row>
    <row r="134" spans="1:14">
      <c r="A134" s="1" t="s">
        <v>164</v>
      </c>
      <c r="B134" s="1" t="s">
        <v>219</v>
      </c>
      <c r="C134" s="1" t="s">
        <v>147</v>
      </c>
      <c r="D134" s="1" t="s">
        <v>148</v>
      </c>
      <c r="G134" s="2">
        <v>34.508000000000003</v>
      </c>
      <c r="H134" s="2">
        <v>5.8181000000000003</v>
      </c>
      <c r="I134" s="4"/>
      <c r="J134" s="4">
        <f t="shared" si="12"/>
        <v>0.16860148371392139</v>
      </c>
    </row>
    <row r="135" spans="1:14">
      <c r="A135" s="1" t="s">
        <v>426</v>
      </c>
      <c r="B135" s="9" t="s">
        <v>78</v>
      </c>
      <c r="C135" s="1" t="s">
        <v>127</v>
      </c>
      <c r="D135" s="1" t="s">
        <v>425</v>
      </c>
      <c r="E135" s="2" t="s">
        <v>464</v>
      </c>
      <c r="F135" s="2" t="s">
        <v>465</v>
      </c>
      <c r="G135" s="2">
        <v>158.69999999999999</v>
      </c>
      <c r="H135" s="2">
        <v>13.864000000000001</v>
      </c>
      <c r="I135" s="4"/>
      <c r="J135" s="4">
        <f t="shared" si="12"/>
        <v>8.7359798361688737E-2</v>
      </c>
      <c r="N135" s="2">
        <v>10000</v>
      </c>
    </row>
    <row r="136" spans="1:14">
      <c r="A136" s="1" t="s">
        <v>427</v>
      </c>
      <c r="B136" s="9" t="s">
        <v>78</v>
      </c>
      <c r="C136" s="1" t="s">
        <v>111</v>
      </c>
      <c r="D136" s="1" t="s">
        <v>428</v>
      </c>
      <c r="E136" s="2" t="s">
        <v>429</v>
      </c>
      <c r="F136" s="2" t="s">
        <v>430</v>
      </c>
      <c r="G136" s="2">
        <v>116.57</v>
      </c>
      <c r="H136" s="2">
        <v>11.063000000000001</v>
      </c>
      <c r="I136" s="4"/>
      <c r="J136" s="4">
        <f t="shared" si="12"/>
        <v>9.4904349318006356E-2</v>
      </c>
      <c r="N136" s="2">
        <v>10000</v>
      </c>
    </row>
    <row r="137" spans="1:14">
      <c r="A137" s="1" t="s">
        <v>431</v>
      </c>
      <c r="B137" s="9" t="s">
        <v>78</v>
      </c>
      <c r="C137" s="1" t="s">
        <v>177</v>
      </c>
      <c r="D137" s="1" t="s">
        <v>425</v>
      </c>
      <c r="E137" s="2" t="s">
        <v>429</v>
      </c>
      <c r="F137" s="2" t="s">
        <v>430</v>
      </c>
      <c r="G137" s="2">
        <v>157.33000000000001</v>
      </c>
      <c r="H137" s="2">
        <v>13.851000000000001</v>
      </c>
      <c r="I137" s="4"/>
      <c r="J137" s="4">
        <f t="shared" si="12"/>
        <v>8.8037882158520306E-2</v>
      </c>
      <c r="N137" s="2">
        <v>10000</v>
      </c>
    </row>
    <row r="138" spans="1:14">
      <c r="A138" s="1" t="s">
        <v>431</v>
      </c>
      <c r="B138" s="9" t="s">
        <v>78</v>
      </c>
      <c r="C138" s="1" t="s">
        <v>113</v>
      </c>
      <c r="D138" s="1" t="s">
        <v>425</v>
      </c>
      <c r="E138" s="2">
        <v>62.807000000000002</v>
      </c>
      <c r="F138" s="2">
        <v>8.0867000000000004</v>
      </c>
      <c r="G138" s="2">
        <v>357.57</v>
      </c>
      <c r="H138" s="2">
        <v>20.155000000000001</v>
      </c>
      <c r="I138" s="4">
        <f>F138/E138</f>
        <v>0.12875475663540689</v>
      </c>
      <c r="J138" s="4">
        <f t="shared" si="12"/>
        <v>5.6366585563665861E-2</v>
      </c>
      <c r="N138" s="2">
        <v>10000</v>
      </c>
    </row>
    <row r="139" spans="1:14">
      <c r="A139" s="1" t="s">
        <v>445</v>
      </c>
      <c r="B139" s="1" t="s">
        <v>446</v>
      </c>
      <c r="C139" s="1" t="s">
        <v>447</v>
      </c>
      <c r="D139" s="1" t="s">
        <v>53</v>
      </c>
      <c r="E139" s="2">
        <v>43.83</v>
      </c>
      <c r="F139" s="2">
        <v>11.805</v>
      </c>
      <c r="G139" s="2">
        <v>161.6</v>
      </c>
      <c r="H139" s="2">
        <v>10.345000000000001</v>
      </c>
      <c r="I139" s="4">
        <f>F139/E139</f>
        <v>0.26933607118412045</v>
      </c>
      <c r="J139" s="4">
        <f t="shared" si="12"/>
        <v>6.4016089108910892E-2</v>
      </c>
      <c r="N139" s="2">
        <v>30000</v>
      </c>
    </row>
    <row r="140" spans="1:14">
      <c r="A140" s="1" t="s">
        <v>448</v>
      </c>
      <c r="B140" s="1" t="s">
        <v>449</v>
      </c>
      <c r="C140" s="1" t="s">
        <v>450</v>
      </c>
      <c r="D140" s="1" t="s">
        <v>451</v>
      </c>
      <c r="E140" s="2" t="s">
        <v>452</v>
      </c>
      <c r="F140" s="2" t="s">
        <v>439</v>
      </c>
      <c r="G140" s="2">
        <v>147.09</v>
      </c>
      <c r="H140" s="2">
        <v>10.019</v>
      </c>
      <c r="I140" s="2" t="s">
        <v>439</v>
      </c>
      <c r="J140" s="4">
        <f t="shared" si="12"/>
        <v>6.8114759670949751E-2</v>
      </c>
      <c r="N140" s="2">
        <v>85000</v>
      </c>
    </row>
    <row r="141" spans="1:14">
      <c r="A141" s="1" t="s">
        <v>453</v>
      </c>
      <c r="B141" s="1" t="s">
        <v>454</v>
      </c>
      <c r="C141" s="1" t="s">
        <v>455</v>
      </c>
      <c r="D141" s="1" t="s">
        <v>451</v>
      </c>
      <c r="E141" s="2" t="s">
        <v>439</v>
      </c>
      <c r="F141" s="2" t="s">
        <v>439</v>
      </c>
      <c r="G141" s="2">
        <v>270.13</v>
      </c>
      <c r="H141" s="2">
        <v>13.382</v>
      </c>
      <c r="I141" s="2" t="s">
        <v>439</v>
      </c>
      <c r="J141" s="4">
        <f t="shared" si="12"/>
        <v>4.9539110798504427E-2</v>
      </c>
      <c r="N141" s="2">
        <v>95000</v>
      </c>
    </row>
    <row r="142" spans="1:14">
      <c r="A142" s="1" t="s">
        <v>453</v>
      </c>
      <c r="B142" s="1" t="s">
        <v>456</v>
      </c>
      <c r="C142" s="1" t="s">
        <v>457</v>
      </c>
      <c r="D142" s="1" t="s">
        <v>458</v>
      </c>
      <c r="E142" s="2" t="s">
        <v>439</v>
      </c>
      <c r="F142" s="2" t="s">
        <v>439</v>
      </c>
      <c r="G142" s="2">
        <v>228.89</v>
      </c>
      <c r="H142" s="2">
        <v>18.544</v>
      </c>
      <c r="I142" s="2" t="s">
        <v>439</v>
      </c>
      <c r="J142" s="4">
        <f t="shared" si="12"/>
        <v>8.1017082441347379E-2</v>
      </c>
      <c r="N142" s="2">
        <v>100000</v>
      </c>
    </row>
    <row r="143" spans="1:14">
      <c r="A143" s="1" t="s">
        <v>330</v>
      </c>
      <c r="C143" s="1" t="s">
        <v>123</v>
      </c>
      <c r="D143" s="1" t="s">
        <v>48</v>
      </c>
      <c r="E143" s="2">
        <v>6019.8</v>
      </c>
      <c r="F143" s="2">
        <v>18.63</v>
      </c>
      <c r="G143" s="2">
        <v>31703</v>
      </c>
      <c r="H143" s="2">
        <v>55.969000000000001</v>
      </c>
      <c r="I143" s="4"/>
      <c r="J143" s="4">
        <f t="shared" si="12"/>
        <v>1.7654165220957008E-3</v>
      </c>
    </row>
    <row r="144" spans="1:14">
      <c r="A144" s="1" t="s">
        <v>149</v>
      </c>
      <c r="B144" s="1" t="s">
        <v>214</v>
      </c>
      <c r="C144" s="1" t="s">
        <v>11</v>
      </c>
      <c r="D144" s="1" t="s">
        <v>165</v>
      </c>
      <c r="E144" s="2">
        <v>5596.8</v>
      </c>
      <c r="F144" s="2">
        <v>65.686000000000007</v>
      </c>
      <c r="G144" s="2">
        <v>29576</v>
      </c>
      <c r="H144" s="2">
        <v>201.57</v>
      </c>
      <c r="I144" s="4">
        <f t="shared" ref="I144:I175" si="13">F144/E144</f>
        <v>1.1736349342481418E-2</v>
      </c>
      <c r="J144" s="4">
        <f t="shared" si="12"/>
        <v>6.8153232350554498E-3</v>
      </c>
      <c r="N144" s="2">
        <v>10000</v>
      </c>
    </row>
    <row r="145" spans="1:14">
      <c r="A145" s="1" t="s">
        <v>149</v>
      </c>
      <c r="B145" s="1" t="s">
        <v>211</v>
      </c>
      <c r="C145" s="1" t="s">
        <v>147</v>
      </c>
      <c r="D145" s="1" t="s">
        <v>148</v>
      </c>
      <c r="E145" s="2">
        <v>635.67999999999995</v>
      </c>
      <c r="F145" s="2">
        <v>14.228</v>
      </c>
      <c r="G145" s="2">
        <v>3260.6</v>
      </c>
      <c r="H145" s="2">
        <v>36.75</v>
      </c>
      <c r="I145" s="4">
        <f t="shared" si="13"/>
        <v>2.2382330732443997E-2</v>
      </c>
      <c r="J145" s="4">
        <f t="shared" si="12"/>
        <v>1.1270931730356376E-2</v>
      </c>
      <c r="N145" s="2">
        <v>1000000</v>
      </c>
    </row>
    <row r="146" spans="1:14">
      <c r="A146" s="1" t="s">
        <v>166</v>
      </c>
      <c r="B146" s="1" t="s">
        <v>215</v>
      </c>
      <c r="C146" s="1" t="s">
        <v>11</v>
      </c>
      <c r="D146" s="1" t="s">
        <v>165</v>
      </c>
      <c r="E146" s="2">
        <v>3493.5</v>
      </c>
      <c r="F146" s="2">
        <v>89.387</v>
      </c>
      <c r="G146" s="2">
        <v>17785</v>
      </c>
      <c r="H146" s="2">
        <v>251.66</v>
      </c>
      <c r="I146" s="4">
        <f t="shared" si="13"/>
        <v>2.5586660941748964E-2</v>
      </c>
      <c r="J146" s="4">
        <f t="shared" si="12"/>
        <v>1.4150126511104864E-2</v>
      </c>
      <c r="N146" s="2">
        <v>10000</v>
      </c>
    </row>
    <row r="147" spans="1:14">
      <c r="A147" s="1" t="s">
        <v>108</v>
      </c>
      <c r="B147" s="11" t="s">
        <v>86</v>
      </c>
      <c r="C147" s="1" t="s">
        <v>11</v>
      </c>
      <c r="D147" s="1" t="s">
        <v>48</v>
      </c>
      <c r="E147" s="2">
        <v>3811.1</v>
      </c>
      <c r="F147" s="2">
        <v>28.984999999999999</v>
      </c>
      <c r="G147" s="2">
        <v>19863</v>
      </c>
      <c r="H147" s="2">
        <v>94.613</v>
      </c>
      <c r="I147" s="4">
        <f t="shared" si="13"/>
        <v>7.6054157592296192E-3</v>
      </c>
      <c r="J147" s="4">
        <f t="shared" si="12"/>
        <v>4.7632784574334185E-3</v>
      </c>
      <c r="K147" s="2">
        <v>69.56</v>
      </c>
      <c r="L147" s="2">
        <f>18.88-2.09</f>
        <v>16.79</v>
      </c>
      <c r="M147" s="4">
        <f t="shared" ref="M147:M152" si="14">L147/K147</f>
        <v>0.24137435307648072</v>
      </c>
      <c r="N147" s="2">
        <v>10000</v>
      </c>
    </row>
    <row r="148" spans="1:14">
      <c r="A148" s="1" t="s">
        <v>108</v>
      </c>
      <c r="B148" s="11" t="s">
        <v>86</v>
      </c>
      <c r="C148" s="1" t="s">
        <v>109</v>
      </c>
      <c r="D148" s="1" t="s">
        <v>110</v>
      </c>
      <c r="E148" s="2">
        <v>1463.4</v>
      </c>
      <c r="F148" s="2">
        <v>14.634</v>
      </c>
      <c r="G148" s="2">
        <v>7606.1</v>
      </c>
      <c r="H148" s="2">
        <v>46.606000000000002</v>
      </c>
      <c r="I148" s="4">
        <f t="shared" si="13"/>
        <v>0.01</v>
      </c>
      <c r="J148" s="4">
        <f t="shared" si="12"/>
        <v>6.1274503359145952E-3</v>
      </c>
      <c r="K148" s="2">
        <v>41.96</v>
      </c>
      <c r="L148" s="2">
        <f>11-2.09</f>
        <v>8.91</v>
      </c>
      <c r="M148" s="4">
        <f t="shared" si="14"/>
        <v>0.21234509056244041</v>
      </c>
      <c r="N148" s="2">
        <v>10000</v>
      </c>
    </row>
    <row r="149" spans="1:14">
      <c r="A149" s="1" t="s">
        <v>108</v>
      </c>
      <c r="B149" s="11" t="s">
        <v>86</v>
      </c>
      <c r="C149" s="1" t="s">
        <v>60</v>
      </c>
      <c r="D149" s="1" t="s">
        <v>48</v>
      </c>
      <c r="E149" s="2">
        <v>4958.3</v>
      </c>
      <c r="F149" s="2">
        <v>31.324000000000002</v>
      </c>
      <c r="G149" s="2">
        <v>26107</v>
      </c>
      <c r="H149" s="2">
        <v>102.86</v>
      </c>
      <c r="I149" s="4">
        <f t="shared" si="13"/>
        <v>6.3174878486578065E-3</v>
      </c>
      <c r="J149" s="4">
        <f t="shared" si="12"/>
        <v>3.9399394798329953E-3</v>
      </c>
      <c r="K149" s="2">
        <v>89.15</v>
      </c>
      <c r="L149" s="2">
        <f>19.14-2.1</f>
        <v>17.04</v>
      </c>
      <c r="M149" s="4">
        <f t="shared" si="14"/>
        <v>0.19113853056646099</v>
      </c>
      <c r="N149" s="2">
        <v>10000</v>
      </c>
    </row>
    <row r="150" spans="1:14">
      <c r="A150" s="1" t="s">
        <v>108</v>
      </c>
      <c r="B150" s="11" t="s">
        <v>86</v>
      </c>
      <c r="C150" s="1" t="s">
        <v>111</v>
      </c>
      <c r="D150" s="1" t="s">
        <v>48</v>
      </c>
      <c r="E150" s="2">
        <v>1064.5999999999999</v>
      </c>
      <c r="F150" s="2">
        <v>12.598000000000001</v>
      </c>
      <c r="G150" s="2">
        <v>5531.8</v>
      </c>
      <c r="H150" s="2">
        <v>40.479999999999997</v>
      </c>
      <c r="I150" s="4">
        <f t="shared" si="13"/>
        <v>1.1833552507984221E-2</v>
      </c>
      <c r="J150" s="4">
        <f t="shared" si="12"/>
        <v>7.317690444339997E-3</v>
      </c>
      <c r="K150" s="2">
        <v>73.12</v>
      </c>
      <c r="L150" s="2">
        <f>23.46-2.08</f>
        <v>21.380000000000003</v>
      </c>
      <c r="M150" s="4">
        <f t="shared" si="14"/>
        <v>0.29239606126914663</v>
      </c>
      <c r="N150" s="2">
        <v>10000</v>
      </c>
    </row>
    <row r="151" spans="1:14">
      <c r="A151" s="1" t="s">
        <v>108</v>
      </c>
      <c r="B151" s="11" t="s">
        <v>86</v>
      </c>
      <c r="C151" s="1" t="s">
        <v>113</v>
      </c>
      <c r="D151" s="1" t="s">
        <v>48</v>
      </c>
      <c r="E151" s="2">
        <v>3304.8</v>
      </c>
      <c r="F151" s="2">
        <v>28.521000000000001</v>
      </c>
      <c r="G151" s="2">
        <v>17279</v>
      </c>
      <c r="H151" s="2">
        <v>93.334000000000003</v>
      </c>
      <c r="I151" s="4">
        <f t="shared" si="13"/>
        <v>8.6301742919389982E-3</v>
      </c>
      <c r="J151" s="4">
        <f t="shared" si="12"/>
        <v>5.4015857399155043E-3</v>
      </c>
      <c r="K151" s="2">
        <v>47.74</v>
      </c>
      <c r="L151" s="2">
        <f>10.96-2.08</f>
        <v>8.8800000000000008</v>
      </c>
      <c r="M151" s="4">
        <f t="shared" si="14"/>
        <v>0.18600754084625054</v>
      </c>
      <c r="N151" s="2">
        <v>10000</v>
      </c>
    </row>
    <row r="152" spans="1:14">
      <c r="A152" s="1" t="s">
        <v>142</v>
      </c>
      <c r="B152" s="11" t="s">
        <v>143</v>
      </c>
      <c r="C152" s="1" t="s">
        <v>127</v>
      </c>
      <c r="D152" s="1" t="s">
        <v>103</v>
      </c>
      <c r="E152" s="2">
        <v>1744.8</v>
      </c>
      <c r="F152" s="2">
        <v>22.766999999999999</v>
      </c>
      <c r="G152" s="2">
        <v>9339.5</v>
      </c>
      <c r="H152" s="2">
        <v>72.481999999999999</v>
      </c>
      <c r="I152" s="4">
        <f t="shared" si="13"/>
        <v>1.3048486932599725E-2</v>
      </c>
      <c r="J152" s="4">
        <f t="shared" si="12"/>
        <v>7.7608008994057495E-3</v>
      </c>
      <c r="K152" s="2">
        <v>70.56</v>
      </c>
      <c r="L152" s="2">
        <f>16.98-2.11</f>
        <v>14.870000000000001</v>
      </c>
      <c r="M152" s="4">
        <f t="shared" si="14"/>
        <v>0.21074263038548754</v>
      </c>
      <c r="N152" s="2">
        <v>10000</v>
      </c>
    </row>
    <row r="153" spans="1:14">
      <c r="A153" s="3" t="s">
        <v>142</v>
      </c>
      <c r="B153" s="11" t="s">
        <v>86</v>
      </c>
      <c r="C153" s="3" t="s">
        <v>7</v>
      </c>
      <c r="D153" s="3" t="s">
        <v>48</v>
      </c>
      <c r="E153" s="14" t="s">
        <v>254</v>
      </c>
      <c r="F153" s="14" t="s">
        <v>255</v>
      </c>
      <c r="G153" s="14" t="s">
        <v>256</v>
      </c>
      <c r="H153" s="14" t="s">
        <v>257</v>
      </c>
      <c r="I153" s="4">
        <f t="shared" si="13"/>
        <v>1.3048486932599725E-2</v>
      </c>
      <c r="J153" s="4">
        <f t="shared" si="12"/>
        <v>7.7608008994057495E-3</v>
      </c>
      <c r="M153" s="4"/>
      <c r="N153" s="2">
        <v>10000</v>
      </c>
    </row>
    <row r="154" spans="1:14">
      <c r="A154" s="1" t="s">
        <v>108</v>
      </c>
      <c r="B154" s="11" t="s">
        <v>86</v>
      </c>
      <c r="C154" s="1" t="s">
        <v>104</v>
      </c>
      <c r="D154" s="1" t="s">
        <v>48</v>
      </c>
      <c r="E154" s="2">
        <v>4678.8</v>
      </c>
      <c r="F154" s="2">
        <v>34.54</v>
      </c>
      <c r="G154" s="2">
        <v>24438</v>
      </c>
      <c r="H154" s="2">
        <v>112.4</v>
      </c>
      <c r="I154" s="4">
        <f t="shared" si="13"/>
        <v>7.3822347610498417E-3</v>
      </c>
      <c r="J154" s="4">
        <f t="shared" si="12"/>
        <v>4.599394385792618E-3</v>
      </c>
      <c r="K154" s="2">
        <v>50.8</v>
      </c>
      <c r="L154" s="2">
        <f>13.79-2.11</f>
        <v>11.68</v>
      </c>
      <c r="M154" s="4">
        <f>L154/K154</f>
        <v>0.22992125984251968</v>
      </c>
      <c r="N154" s="2">
        <v>10000</v>
      </c>
    </row>
    <row r="155" spans="1:14">
      <c r="A155" s="1" t="s">
        <v>108</v>
      </c>
      <c r="B155" s="11" t="s">
        <v>86</v>
      </c>
      <c r="C155" s="1" t="s">
        <v>9</v>
      </c>
      <c r="D155" s="1" t="s">
        <v>112</v>
      </c>
      <c r="E155" s="2">
        <v>2366.4</v>
      </c>
      <c r="F155" s="2">
        <v>26.591999999999999</v>
      </c>
      <c r="G155" s="2">
        <v>12339</v>
      </c>
      <c r="H155" s="2">
        <v>85.082999999999998</v>
      </c>
      <c r="I155" s="4">
        <f t="shared" si="13"/>
        <v>1.1237322515212981E-2</v>
      </c>
      <c r="J155" s="4">
        <f t="shared" si="12"/>
        <v>6.8954534403112078E-3</v>
      </c>
      <c r="K155" s="2">
        <v>44.06</v>
      </c>
      <c r="L155" s="2">
        <f>11.19-2.09</f>
        <v>9.1</v>
      </c>
      <c r="M155" s="4">
        <f>L155/K155</f>
        <v>0.20653654108034497</v>
      </c>
      <c r="N155" s="2">
        <v>10000</v>
      </c>
    </row>
    <row r="156" spans="1:14">
      <c r="A156" s="1" t="s">
        <v>108</v>
      </c>
      <c r="B156" s="11" t="s">
        <v>86</v>
      </c>
      <c r="C156" s="1" t="s">
        <v>14</v>
      </c>
      <c r="D156" s="1" t="s">
        <v>48</v>
      </c>
      <c r="E156" s="2">
        <v>3162.5</v>
      </c>
      <c r="F156" s="2">
        <v>29.891999999999999</v>
      </c>
      <c r="G156" s="2">
        <v>16779</v>
      </c>
      <c r="H156" s="2">
        <v>97.759</v>
      </c>
      <c r="I156" s="4">
        <f t="shared" si="13"/>
        <v>9.4520158102766802E-3</v>
      </c>
      <c r="J156" s="4">
        <f t="shared" si="12"/>
        <v>5.826270933905477E-3</v>
      </c>
      <c r="K156" s="2">
        <v>38.68</v>
      </c>
      <c r="L156" s="2">
        <f>11.93-2.07</f>
        <v>9.86</v>
      </c>
      <c r="M156" s="4">
        <f>L156/K156</f>
        <v>0.25491209927611169</v>
      </c>
      <c r="N156" s="2">
        <v>10000</v>
      </c>
    </row>
    <row r="157" spans="1:14">
      <c r="A157" s="1" t="s">
        <v>191</v>
      </c>
      <c r="B157" s="1" t="s">
        <v>216</v>
      </c>
      <c r="C157" s="1" t="s">
        <v>196</v>
      </c>
      <c r="D157" s="1" t="s">
        <v>151</v>
      </c>
      <c r="E157" s="2">
        <v>4068.9</v>
      </c>
      <c r="F157" s="2">
        <v>40.39</v>
      </c>
      <c r="G157" s="2">
        <v>21366</v>
      </c>
      <c r="H157" s="2">
        <v>126.09</v>
      </c>
      <c r="I157" s="4">
        <f t="shared" si="13"/>
        <v>9.9265157659318235E-3</v>
      </c>
      <c r="J157" s="4">
        <f t="shared" si="12"/>
        <v>5.9014321819713562E-3</v>
      </c>
      <c r="N157" s="2">
        <v>10000</v>
      </c>
    </row>
    <row r="158" spans="1:14">
      <c r="A158" s="3" t="s">
        <v>189</v>
      </c>
      <c r="B158" s="1" t="s">
        <v>98</v>
      </c>
      <c r="C158" s="3" t="s">
        <v>11</v>
      </c>
      <c r="D158" s="3" t="s">
        <v>48</v>
      </c>
      <c r="E158" s="14" t="s">
        <v>274</v>
      </c>
      <c r="F158" s="14" t="s">
        <v>275</v>
      </c>
      <c r="G158" s="14" t="s">
        <v>276</v>
      </c>
      <c r="H158" s="14">
        <v>126.09</v>
      </c>
      <c r="I158" s="4">
        <f t="shared" si="13"/>
        <v>9.9265157659318235E-3</v>
      </c>
      <c r="J158" s="4">
        <f t="shared" si="12"/>
        <v>5.9014321819713562E-3</v>
      </c>
      <c r="M158" s="4"/>
      <c r="N158" s="2">
        <v>10000</v>
      </c>
    </row>
    <row r="159" spans="1:14">
      <c r="A159" s="1" t="s">
        <v>194</v>
      </c>
      <c r="B159" s="1" t="s">
        <v>216</v>
      </c>
      <c r="C159" s="1" t="s">
        <v>195</v>
      </c>
      <c r="D159" s="1" t="s">
        <v>151</v>
      </c>
      <c r="E159" s="2">
        <v>3582.6</v>
      </c>
      <c r="F159" s="2">
        <v>31.573</v>
      </c>
      <c r="G159" s="2">
        <v>18614</v>
      </c>
      <c r="H159" s="2">
        <v>99.489000000000004</v>
      </c>
      <c r="I159" s="4">
        <f t="shared" si="13"/>
        <v>8.8128733322168258E-3</v>
      </c>
      <c r="J159" s="4">
        <f t="shared" si="12"/>
        <v>5.3448479638981417E-3</v>
      </c>
      <c r="N159" s="2">
        <v>10000</v>
      </c>
    </row>
    <row r="160" spans="1:14">
      <c r="A160" s="3" t="s">
        <v>301</v>
      </c>
      <c r="B160" s="1" t="s">
        <v>98</v>
      </c>
      <c r="C160" s="3" t="s">
        <v>12</v>
      </c>
      <c r="D160" s="3" t="s">
        <v>262</v>
      </c>
      <c r="E160" s="14" t="s">
        <v>270</v>
      </c>
      <c r="F160" s="14" t="s">
        <v>271</v>
      </c>
      <c r="G160" s="14" t="s">
        <v>272</v>
      </c>
      <c r="H160" s="14" t="s">
        <v>273</v>
      </c>
      <c r="I160" s="4">
        <f t="shared" si="13"/>
        <v>8.8128733322168258E-3</v>
      </c>
      <c r="J160" s="4">
        <f t="shared" si="12"/>
        <v>5.3448479638981417E-3</v>
      </c>
      <c r="M160" s="4"/>
      <c r="N160" s="2">
        <v>10000</v>
      </c>
    </row>
    <row r="161" spans="1:14">
      <c r="A161" s="1" t="s">
        <v>189</v>
      </c>
      <c r="B161" s="1" t="s">
        <v>216</v>
      </c>
      <c r="C161" s="1" t="s">
        <v>190</v>
      </c>
      <c r="D161" s="1" t="s">
        <v>151</v>
      </c>
      <c r="E161" s="2">
        <v>1712.4</v>
      </c>
      <c r="F161" s="2">
        <v>26.957000000000001</v>
      </c>
      <c r="G161" s="2">
        <v>9103.7999999999993</v>
      </c>
      <c r="H161" s="2">
        <v>84.01</v>
      </c>
      <c r="I161" s="4">
        <f t="shared" si="13"/>
        <v>1.5742233123102078E-2</v>
      </c>
      <c r="J161" s="4">
        <f t="shared" si="12"/>
        <v>9.2280146751905802E-3</v>
      </c>
      <c r="N161" s="2">
        <v>10000</v>
      </c>
    </row>
    <row r="162" spans="1:14">
      <c r="A162" s="1" t="s">
        <v>194</v>
      </c>
      <c r="B162" s="1" t="s">
        <v>216</v>
      </c>
      <c r="C162" s="1" t="s">
        <v>187</v>
      </c>
      <c r="D162" s="1" t="s">
        <v>151</v>
      </c>
      <c r="E162" s="2">
        <v>3381.1</v>
      </c>
      <c r="F162" s="2">
        <v>61.649000000000001</v>
      </c>
      <c r="G162" s="2">
        <v>18191</v>
      </c>
      <c r="H162" s="2">
        <v>189.56</v>
      </c>
      <c r="I162" s="4">
        <f t="shared" si="13"/>
        <v>1.8233415160746502E-2</v>
      </c>
      <c r="J162" s="4">
        <f t="shared" si="12"/>
        <v>1.0420537628497609E-2</v>
      </c>
      <c r="N162" s="2">
        <v>10000</v>
      </c>
    </row>
    <row r="163" spans="1:14">
      <c r="A163" s="3" t="s">
        <v>302</v>
      </c>
      <c r="B163" s="1" t="s">
        <v>98</v>
      </c>
      <c r="C163" s="3" t="s">
        <v>13</v>
      </c>
      <c r="D163" s="3" t="s">
        <v>262</v>
      </c>
      <c r="E163" s="14" t="s">
        <v>267</v>
      </c>
      <c r="F163" s="14" t="s">
        <v>268</v>
      </c>
      <c r="G163" s="14" t="s">
        <v>269</v>
      </c>
      <c r="H163" s="14">
        <v>189.56</v>
      </c>
      <c r="I163" s="4">
        <f t="shared" si="13"/>
        <v>1.8233415160746502E-2</v>
      </c>
      <c r="J163" s="4">
        <f t="shared" si="12"/>
        <v>1.0420537628497609E-2</v>
      </c>
      <c r="M163" s="4"/>
      <c r="N163" s="2">
        <v>10000</v>
      </c>
    </row>
    <row r="164" spans="1:14">
      <c r="A164" s="1" t="s">
        <v>191</v>
      </c>
      <c r="B164" s="1" t="s">
        <v>216</v>
      </c>
      <c r="C164" s="1" t="s">
        <v>192</v>
      </c>
      <c r="D164" s="1" t="s">
        <v>193</v>
      </c>
      <c r="E164" s="2">
        <v>1872.7</v>
      </c>
      <c r="F164" s="2">
        <v>38.591999999999999</v>
      </c>
      <c r="G164" s="2">
        <v>9776.2000000000007</v>
      </c>
      <c r="H164" s="2">
        <v>115.71</v>
      </c>
      <c r="I164" s="4">
        <f t="shared" si="13"/>
        <v>2.0607678752603192E-2</v>
      </c>
      <c r="J164" s="4">
        <f t="shared" ref="J164:J195" si="15">H164/G164</f>
        <v>1.1835887154518113E-2</v>
      </c>
      <c r="N164" s="2">
        <v>10000</v>
      </c>
    </row>
    <row r="165" spans="1:14">
      <c r="A165" s="3" t="s">
        <v>301</v>
      </c>
      <c r="B165" s="1" t="s">
        <v>98</v>
      </c>
      <c r="C165" s="3" t="s">
        <v>9</v>
      </c>
      <c r="D165" s="3" t="s">
        <v>262</v>
      </c>
      <c r="E165" s="14" t="s">
        <v>263</v>
      </c>
      <c r="F165" s="14" t="s">
        <v>264</v>
      </c>
      <c r="G165" s="14" t="s">
        <v>265</v>
      </c>
      <c r="H165" s="14" t="s">
        <v>266</v>
      </c>
      <c r="I165" s="4">
        <f t="shared" si="13"/>
        <v>2.0607678752603192E-2</v>
      </c>
      <c r="J165" s="4">
        <f t="shared" si="15"/>
        <v>1.1835887154518113E-2</v>
      </c>
      <c r="M165" s="4"/>
      <c r="N165" s="2">
        <v>10000</v>
      </c>
    </row>
    <row r="166" spans="1:14">
      <c r="A166" s="1" t="s">
        <v>191</v>
      </c>
      <c r="B166" s="1" t="s">
        <v>216</v>
      </c>
      <c r="C166" s="1" t="s">
        <v>197</v>
      </c>
      <c r="D166" s="1" t="s">
        <v>151</v>
      </c>
      <c r="E166" s="2">
        <v>4218.5</v>
      </c>
      <c r="F166" s="2">
        <v>64.683000000000007</v>
      </c>
      <c r="G166" s="2">
        <v>22370</v>
      </c>
      <c r="H166" s="2">
        <v>199.9</v>
      </c>
      <c r="I166" s="4">
        <f t="shared" si="13"/>
        <v>1.5333175299276997E-2</v>
      </c>
      <c r="J166" s="4">
        <f t="shared" si="15"/>
        <v>8.9360751005811354E-3</v>
      </c>
      <c r="N166" s="2">
        <v>10000</v>
      </c>
    </row>
    <row r="167" spans="1:14">
      <c r="A167" s="3" t="s">
        <v>302</v>
      </c>
      <c r="B167" s="1" t="s">
        <v>98</v>
      </c>
      <c r="C167" s="3" t="s">
        <v>35</v>
      </c>
      <c r="D167" s="3" t="s">
        <v>262</v>
      </c>
      <c r="E167" s="14" t="s">
        <v>277</v>
      </c>
      <c r="F167" s="14" t="s">
        <v>278</v>
      </c>
      <c r="G167" s="14" t="s">
        <v>279</v>
      </c>
      <c r="H167" s="14">
        <v>199.9</v>
      </c>
      <c r="I167" s="4">
        <f t="shared" si="13"/>
        <v>1.5333175299276997E-2</v>
      </c>
      <c r="J167" s="4">
        <f t="shared" si="15"/>
        <v>8.9360751005811354E-3</v>
      </c>
      <c r="M167" s="4"/>
      <c r="N167" s="2">
        <v>10000</v>
      </c>
    </row>
    <row r="168" spans="1:14">
      <c r="A168" s="1" t="s">
        <v>146</v>
      </c>
      <c r="B168" s="1" t="s">
        <v>216</v>
      </c>
      <c r="C168" s="1" t="s">
        <v>11</v>
      </c>
      <c r="D168" s="1" t="s">
        <v>48</v>
      </c>
      <c r="E168" s="2">
        <v>4395.8999999999996</v>
      </c>
      <c r="F168" s="2">
        <v>38.362000000000002</v>
      </c>
      <c r="G168" s="2">
        <v>23336</v>
      </c>
      <c r="H168" s="2">
        <v>120.89</v>
      </c>
      <c r="I168" s="4">
        <f t="shared" si="13"/>
        <v>8.7267681248436053E-3</v>
      </c>
      <c r="J168" s="4">
        <f t="shared" si="15"/>
        <v>5.1804079533767566E-3</v>
      </c>
      <c r="N168" s="2">
        <v>10000</v>
      </c>
    </row>
    <row r="169" spans="1:14">
      <c r="A169" s="1" t="s">
        <v>146</v>
      </c>
      <c r="B169" s="1" t="s">
        <v>210</v>
      </c>
      <c r="C169" s="1" t="s">
        <v>147</v>
      </c>
      <c r="D169" s="1" t="s">
        <v>148</v>
      </c>
      <c r="E169" s="2">
        <v>367.76</v>
      </c>
      <c r="F169" s="2">
        <v>3.8889</v>
      </c>
      <c r="G169" s="2">
        <v>1989.6</v>
      </c>
      <c r="H169" s="2">
        <v>11.542</v>
      </c>
      <c r="I169" s="4">
        <f t="shared" si="13"/>
        <v>1.0574559495323037E-2</v>
      </c>
      <c r="J169" s="4">
        <f t="shared" si="15"/>
        <v>5.801166063530358E-3</v>
      </c>
      <c r="N169" s="2">
        <v>60000</v>
      </c>
    </row>
    <row r="170" spans="1:14">
      <c r="A170" s="1" t="s">
        <v>207</v>
      </c>
      <c r="B170" s="1" t="s">
        <v>221</v>
      </c>
      <c r="C170" s="1" t="s">
        <v>11</v>
      </c>
      <c r="D170" s="1" t="s">
        <v>151</v>
      </c>
      <c r="E170" s="2">
        <v>3829.4</v>
      </c>
      <c r="F170" s="2">
        <v>36.290999999999997</v>
      </c>
      <c r="G170" s="2">
        <v>20142</v>
      </c>
      <c r="H170" s="2">
        <v>114.09</v>
      </c>
      <c r="I170" s="4">
        <f t="shared" si="13"/>
        <v>9.476941557424139E-3</v>
      </c>
      <c r="J170" s="4">
        <f t="shared" si="15"/>
        <v>5.6642835865355979E-3</v>
      </c>
      <c r="N170" s="2">
        <v>10000</v>
      </c>
    </row>
    <row r="171" spans="1:14">
      <c r="A171" s="1" t="s">
        <v>424</v>
      </c>
      <c r="B171" s="11" t="s">
        <v>27</v>
      </c>
      <c r="C171" s="1" t="s">
        <v>466</v>
      </c>
      <c r="D171" s="1" t="s">
        <v>425</v>
      </c>
      <c r="E171" s="2">
        <v>1853.4</v>
      </c>
      <c r="F171" s="2">
        <v>23.946000000000002</v>
      </c>
      <c r="G171" s="2">
        <v>9786.4</v>
      </c>
      <c r="H171" s="2">
        <v>69.825000000000003</v>
      </c>
      <c r="I171" s="4">
        <f t="shared" si="13"/>
        <v>1.292003884752347E-2</v>
      </c>
      <c r="J171" s="4">
        <f t="shared" si="15"/>
        <v>7.1349014959535689E-3</v>
      </c>
      <c r="N171" s="2">
        <v>10000</v>
      </c>
    </row>
    <row r="172" spans="1:14">
      <c r="A172" s="1" t="s">
        <v>180</v>
      </c>
      <c r="B172" s="1" t="s">
        <v>216</v>
      </c>
      <c r="C172" s="1" t="s">
        <v>11</v>
      </c>
      <c r="D172" s="1" t="s">
        <v>182</v>
      </c>
      <c r="E172" s="2">
        <v>2299.4</v>
      </c>
      <c r="F172" s="2">
        <v>81.275000000000006</v>
      </c>
      <c r="G172" s="2">
        <v>12200</v>
      </c>
      <c r="H172" s="2">
        <v>248.92</v>
      </c>
      <c r="I172" s="4">
        <f t="shared" si="13"/>
        <v>3.5346177263633989E-2</v>
      </c>
      <c r="J172" s="4">
        <f t="shared" si="15"/>
        <v>2.0403278688524588E-2</v>
      </c>
      <c r="N172" s="2">
        <v>1000</v>
      </c>
    </row>
    <row r="173" spans="1:14">
      <c r="A173" s="1" t="s">
        <v>180</v>
      </c>
      <c r="B173" s="1" t="s">
        <v>216</v>
      </c>
      <c r="C173" s="1" t="s">
        <v>12</v>
      </c>
      <c r="D173" s="1" t="s">
        <v>181</v>
      </c>
      <c r="E173" s="2">
        <v>2409.5</v>
      </c>
      <c r="F173" s="2">
        <v>86.45</v>
      </c>
      <c r="G173" s="2">
        <v>13640</v>
      </c>
      <c r="H173" s="2">
        <v>284.25</v>
      </c>
      <c r="I173" s="4">
        <f t="shared" si="13"/>
        <v>3.5878813031749328E-2</v>
      </c>
      <c r="J173" s="4">
        <f t="shared" si="15"/>
        <v>2.0839442815249267E-2</v>
      </c>
      <c r="N173" s="2">
        <v>831</v>
      </c>
    </row>
    <row r="174" spans="1:14">
      <c r="A174" s="3" t="s">
        <v>180</v>
      </c>
      <c r="B174" s="1" t="s">
        <v>98</v>
      </c>
      <c r="C174" s="3" t="s">
        <v>227</v>
      </c>
      <c r="D174" s="3" t="s">
        <v>228</v>
      </c>
      <c r="E174" s="14" t="s">
        <v>229</v>
      </c>
      <c r="F174" s="14" t="s">
        <v>230</v>
      </c>
      <c r="G174" s="14">
        <v>136.4</v>
      </c>
      <c r="H174" s="14">
        <v>284.25</v>
      </c>
      <c r="I174" s="4">
        <f t="shared" si="13"/>
        <v>0.35878813031749324</v>
      </c>
      <c r="J174" s="4">
        <f t="shared" si="15"/>
        <v>2.0839442815249267</v>
      </c>
      <c r="M174" s="4"/>
      <c r="N174" s="2">
        <v>800</v>
      </c>
    </row>
    <row r="175" spans="1:14">
      <c r="A175" s="1" t="s">
        <v>198</v>
      </c>
      <c r="B175" s="1" t="s">
        <v>216</v>
      </c>
      <c r="C175" s="1" t="s">
        <v>187</v>
      </c>
      <c r="D175" s="1" t="s">
        <v>199</v>
      </c>
      <c r="E175" s="2">
        <v>1605.8</v>
      </c>
      <c r="F175" s="2">
        <v>24.03</v>
      </c>
      <c r="G175" s="2">
        <v>8373.2999999999993</v>
      </c>
      <c r="H175" s="2">
        <v>74.441999999999993</v>
      </c>
      <c r="I175" s="4">
        <f t="shared" si="13"/>
        <v>1.4964503674181095E-2</v>
      </c>
      <c r="J175" s="4">
        <f t="shared" si="15"/>
        <v>8.8904016337644654E-3</v>
      </c>
      <c r="N175" s="2">
        <v>10000</v>
      </c>
    </row>
    <row r="176" spans="1:14">
      <c r="A176" s="3" t="s">
        <v>180</v>
      </c>
      <c r="B176" s="1" t="s">
        <v>98</v>
      </c>
      <c r="C176" s="3" t="s">
        <v>13</v>
      </c>
      <c r="D176" s="3" t="s">
        <v>262</v>
      </c>
      <c r="E176" s="14" t="s">
        <v>280</v>
      </c>
      <c r="F176" s="14" t="s">
        <v>281</v>
      </c>
      <c r="G176" s="14" t="s">
        <v>282</v>
      </c>
      <c r="H176" s="14" t="s">
        <v>283</v>
      </c>
      <c r="I176" s="4">
        <f t="shared" ref="I176:I202" si="16">F176/E176</f>
        <v>1.4964503674181095E-2</v>
      </c>
      <c r="J176" s="4">
        <f t="shared" si="15"/>
        <v>8.8904016337644654E-3</v>
      </c>
      <c r="M176" s="4"/>
      <c r="N176" s="2">
        <v>10000</v>
      </c>
    </row>
    <row r="177" spans="1:14">
      <c r="A177" s="1" t="s">
        <v>180</v>
      </c>
      <c r="B177" s="1" t="s">
        <v>217</v>
      </c>
      <c r="C177" s="1" t="s">
        <v>52</v>
      </c>
      <c r="D177" s="1" t="s">
        <v>151</v>
      </c>
      <c r="E177" s="2">
        <v>1096.5</v>
      </c>
      <c r="F177" s="2">
        <v>75.826999999999998</v>
      </c>
      <c r="G177" s="2">
        <v>6287.7</v>
      </c>
      <c r="H177" s="2">
        <v>250.9</v>
      </c>
      <c r="I177" s="4">
        <f t="shared" si="16"/>
        <v>6.9153670770633835E-2</v>
      </c>
      <c r="J177" s="4">
        <f t="shared" si="15"/>
        <v>3.9903303274647327E-2</v>
      </c>
      <c r="N177" s="2">
        <v>1000</v>
      </c>
    </row>
    <row r="178" spans="1:14">
      <c r="A178" s="3" t="s">
        <v>258</v>
      </c>
      <c r="B178" s="1" t="s">
        <v>98</v>
      </c>
      <c r="C178" s="6" t="s">
        <v>52</v>
      </c>
      <c r="D178" s="3" t="s">
        <v>48</v>
      </c>
      <c r="E178" s="14" t="s">
        <v>224</v>
      </c>
      <c r="F178" s="14" t="s">
        <v>225</v>
      </c>
      <c r="G178" s="14" t="s">
        <v>226</v>
      </c>
      <c r="H178" s="14">
        <v>250.9</v>
      </c>
      <c r="I178" s="4">
        <f t="shared" si="16"/>
        <v>6.9153670770633835E-2</v>
      </c>
      <c r="J178" s="4">
        <f t="shared" si="15"/>
        <v>3.9903303274647327E-2</v>
      </c>
      <c r="M178" s="4"/>
      <c r="N178" s="2">
        <v>1000</v>
      </c>
    </row>
    <row r="179" spans="1:14">
      <c r="A179" s="1" t="s">
        <v>180</v>
      </c>
      <c r="B179" s="1" t="s">
        <v>216</v>
      </c>
      <c r="C179" s="1" t="s">
        <v>183</v>
      </c>
      <c r="D179" s="1" t="s">
        <v>151</v>
      </c>
      <c r="E179" s="2">
        <v>1108.2</v>
      </c>
      <c r="F179" s="2">
        <v>90.424999999999997</v>
      </c>
      <c r="G179" s="2">
        <v>5573.8</v>
      </c>
      <c r="H179" s="2">
        <v>276.18</v>
      </c>
      <c r="I179" s="4">
        <f t="shared" si="16"/>
        <v>8.1596282259519939E-2</v>
      </c>
      <c r="J179" s="4">
        <f t="shared" si="15"/>
        <v>4.9549678854641357E-2</v>
      </c>
      <c r="N179" s="2">
        <v>1000</v>
      </c>
    </row>
    <row r="180" spans="1:14">
      <c r="A180" s="3" t="s">
        <v>180</v>
      </c>
      <c r="B180" s="1" t="s">
        <v>98</v>
      </c>
      <c r="C180" s="3" t="s">
        <v>35</v>
      </c>
      <c r="D180" s="3" t="s">
        <v>48</v>
      </c>
      <c r="E180" s="14" t="s">
        <v>231</v>
      </c>
      <c r="F180" s="14" t="s">
        <v>232</v>
      </c>
      <c r="G180" s="14" t="s">
        <v>233</v>
      </c>
      <c r="H180" s="14">
        <v>276.18</v>
      </c>
      <c r="I180" s="4">
        <f t="shared" si="16"/>
        <v>8.1596282259519939E-2</v>
      </c>
      <c r="J180" s="4">
        <f t="shared" si="15"/>
        <v>4.9549678854641357E-2</v>
      </c>
      <c r="M180" s="4"/>
      <c r="N180" s="2">
        <v>1000</v>
      </c>
    </row>
    <row r="181" spans="1:14">
      <c r="A181" s="1" t="s">
        <v>180</v>
      </c>
      <c r="B181" s="1" t="s">
        <v>216</v>
      </c>
      <c r="C181" s="1" t="s">
        <v>200</v>
      </c>
      <c r="D181" s="1" t="s">
        <v>151</v>
      </c>
      <c r="E181" s="2">
        <v>756.42</v>
      </c>
      <c r="F181" s="2">
        <v>15.154</v>
      </c>
      <c r="G181" s="2">
        <v>3946.9</v>
      </c>
      <c r="H181" s="2">
        <v>46.53</v>
      </c>
      <c r="I181" s="4">
        <f t="shared" si="16"/>
        <v>2.0033843631844742E-2</v>
      </c>
      <c r="J181" s="4">
        <f t="shared" si="15"/>
        <v>1.1788998961210063E-2</v>
      </c>
      <c r="N181" s="2">
        <v>10000</v>
      </c>
    </row>
    <row r="182" spans="1:14">
      <c r="A182" s="3" t="s">
        <v>180</v>
      </c>
      <c r="B182" s="1" t="s">
        <v>98</v>
      </c>
      <c r="C182" s="3" t="s">
        <v>14</v>
      </c>
      <c r="D182" s="3" t="s">
        <v>48</v>
      </c>
      <c r="E182" s="14">
        <v>756.42</v>
      </c>
      <c r="F182" s="14" t="s">
        <v>284</v>
      </c>
      <c r="G182" s="14" t="s">
        <v>285</v>
      </c>
      <c r="H182" s="14" t="s">
        <v>286</v>
      </c>
      <c r="I182" s="4">
        <f t="shared" si="16"/>
        <v>2.0033843631844742E-2</v>
      </c>
      <c r="J182" s="4">
        <f t="shared" si="15"/>
        <v>1.1788998961210063E-2</v>
      </c>
      <c r="M182" s="4"/>
      <c r="N182" s="2">
        <v>10000</v>
      </c>
    </row>
    <row r="183" spans="1:14">
      <c r="A183" s="1" t="s">
        <v>186</v>
      </c>
      <c r="B183" s="1" t="s">
        <v>218</v>
      </c>
      <c r="C183" s="1" t="s">
        <v>11</v>
      </c>
      <c r="D183" s="1" t="s">
        <v>151</v>
      </c>
      <c r="E183" s="2">
        <v>1596.2</v>
      </c>
      <c r="F183" s="2">
        <v>60.091999999999999</v>
      </c>
      <c r="G183" s="2">
        <v>7856.4</v>
      </c>
      <c r="H183" s="2">
        <v>185.07</v>
      </c>
      <c r="I183" s="4">
        <f t="shared" si="16"/>
        <v>3.7646911414609699E-2</v>
      </c>
      <c r="J183" s="4">
        <f t="shared" si="15"/>
        <v>2.3556590804948832E-2</v>
      </c>
      <c r="N183" s="2">
        <v>1000</v>
      </c>
    </row>
    <row r="184" spans="1:14">
      <c r="A184" s="3" t="s">
        <v>259</v>
      </c>
      <c r="B184" s="1" t="s">
        <v>218</v>
      </c>
      <c r="C184" s="6" t="s">
        <v>11</v>
      </c>
      <c r="D184" s="3" t="s">
        <v>228</v>
      </c>
      <c r="E184" s="14" t="s">
        <v>241</v>
      </c>
      <c r="F184" s="14" t="s">
        <v>242</v>
      </c>
      <c r="G184" s="14" t="s">
        <v>243</v>
      </c>
      <c r="H184" s="14">
        <v>185.07</v>
      </c>
      <c r="I184" s="4">
        <f t="shared" si="16"/>
        <v>3.7646911414609699E-2</v>
      </c>
      <c r="J184" s="4">
        <f t="shared" si="15"/>
        <v>2.3556590804948832E-2</v>
      </c>
      <c r="M184" s="4"/>
      <c r="N184" s="2">
        <v>1000</v>
      </c>
    </row>
    <row r="185" spans="1:14">
      <c r="A185" s="1" t="s">
        <v>186</v>
      </c>
      <c r="B185" s="1" t="s">
        <v>218</v>
      </c>
      <c r="C185" s="1" t="s">
        <v>12</v>
      </c>
      <c r="D185" s="1" t="s">
        <v>178</v>
      </c>
      <c r="E185" s="2">
        <v>1315.8</v>
      </c>
      <c r="F185" s="2">
        <v>17.934000000000001</v>
      </c>
      <c r="G185" s="2">
        <v>7024.4</v>
      </c>
      <c r="H185" s="2">
        <v>56.844000000000001</v>
      </c>
      <c r="I185" s="4">
        <f t="shared" si="16"/>
        <v>1.3629730962152304E-2</v>
      </c>
      <c r="J185" s="4">
        <f t="shared" si="15"/>
        <v>8.092363760605889E-3</v>
      </c>
      <c r="N185" s="2">
        <v>10000</v>
      </c>
    </row>
    <row r="186" spans="1:14">
      <c r="A186" s="3" t="s">
        <v>303</v>
      </c>
      <c r="B186" s="1" t="s">
        <v>218</v>
      </c>
      <c r="C186" s="3" t="s">
        <v>287</v>
      </c>
      <c r="D186" s="3" t="s">
        <v>48</v>
      </c>
      <c r="E186" s="14" t="s">
        <v>288</v>
      </c>
      <c r="F186" s="14" t="s">
        <v>289</v>
      </c>
      <c r="G186" s="14" t="s">
        <v>290</v>
      </c>
      <c r="H186" s="14" t="s">
        <v>291</v>
      </c>
      <c r="I186" s="4">
        <f t="shared" si="16"/>
        <v>1.3629730962152304E-2</v>
      </c>
      <c r="J186" s="4">
        <f t="shared" si="15"/>
        <v>8.092363760605889E-3</v>
      </c>
      <c r="M186" s="4"/>
      <c r="N186" s="2">
        <v>10000</v>
      </c>
    </row>
    <row r="187" spans="1:14">
      <c r="A187" s="1" t="s">
        <v>186</v>
      </c>
      <c r="B187" s="1" t="s">
        <v>218</v>
      </c>
      <c r="C187" s="1" t="s">
        <v>187</v>
      </c>
      <c r="D187" s="1" t="s">
        <v>153</v>
      </c>
      <c r="E187" s="2">
        <v>1665.3</v>
      </c>
      <c r="F187" s="2">
        <v>73.08</v>
      </c>
      <c r="G187" s="2">
        <v>8419.7000000000007</v>
      </c>
      <c r="H187" s="2">
        <v>226.92</v>
      </c>
      <c r="I187" s="4">
        <f t="shared" si="16"/>
        <v>4.3883984867591423E-2</v>
      </c>
      <c r="J187" s="4">
        <f t="shared" si="15"/>
        <v>2.6951079017067111E-2</v>
      </c>
      <c r="N187" s="2">
        <v>1000</v>
      </c>
    </row>
    <row r="188" spans="1:14">
      <c r="A188" s="3" t="s">
        <v>259</v>
      </c>
      <c r="B188" s="1" t="s">
        <v>218</v>
      </c>
      <c r="C188" s="3" t="s">
        <v>237</v>
      </c>
      <c r="D188" s="3" t="s">
        <v>48</v>
      </c>
      <c r="E188" s="14" t="s">
        <v>238</v>
      </c>
      <c r="F188" s="14" t="s">
        <v>239</v>
      </c>
      <c r="G188" s="14" t="s">
        <v>240</v>
      </c>
      <c r="H188" s="14">
        <v>226.92</v>
      </c>
      <c r="I188" s="4">
        <f t="shared" si="16"/>
        <v>4.3883984867591423E-2</v>
      </c>
      <c r="J188" s="4">
        <f t="shared" si="15"/>
        <v>2.6951079017067111E-2</v>
      </c>
      <c r="M188" s="4"/>
      <c r="N188" s="2">
        <v>1000</v>
      </c>
    </row>
    <row r="189" spans="1:14">
      <c r="A189" s="1" t="s">
        <v>184</v>
      </c>
      <c r="B189" s="1" t="s">
        <v>218</v>
      </c>
      <c r="C189" s="1" t="s">
        <v>52</v>
      </c>
      <c r="D189" s="1" t="s">
        <v>185</v>
      </c>
      <c r="E189" s="2">
        <v>1115.4000000000001</v>
      </c>
      <c r="F189" s="2">
        <v>63.624000000000002</v>
      </c>
      <c r="G189" s="2">
        <v>5877.8</v>
      </c>
      <c r="H189" s="2">
        <v>210.2</v>
      </c>
      <c r="I189" s="4">
        <f t="shared" si="16"/>
        <v>5.7041420118343192E-2</v>
      </c>
      <c r="J189" s="4">
        <f t="shared" si="15"/>
        <v>3.5761679539963932E-2</v>
      </c>
      <c r="N189" s="2">
        <v>1000</v>
      </c>
    </row>
    <row r="190" spans="1:14">
      <c r="A190" s="3" t="s">
        <v>259</v>
      </c>
      <c r="B190" s="1" t="s">
        <v>218</v>
      </c>
      <c r="C190" s="3" t="s">
        <v>52</v>
      </c>
      <c r="D190" s="3" t="s">
        <v>48</v>
      </c>
      <c r="E190" s="14" t="s">
        <v>234</v>
      </c>
      <c r="F190" s="14" t="s">
        <v>235</v>
      </c>
      <c r="G190" s="14" t="s">
        <v>236</v>
      </c>
      <c r="H190" s="14">
        <v>210.52</v>
      </c>
      <c r="I190" s="4">
        <f t="shared" si="16"/>
        <v>5.7041420118343192E-2</v>
      </c>
      <c r="J190" s="4">
        <f t="shared" si="15"/>
        <v>3.5816121678178908E-2</v>
      </c>
      <c r="M190" s="4"/>
      <c r="N190" s="2">
        <v>1000</v>
      </c>
    </row>
    <row r="191" spans="1:14">
      <c r="A191" s="1" t="s">
        <v>186</v>
      </c>
      <c r="B191" s="1" t="s">
        <v>218</v>
      </c>
      <c r="C191" s="1" t="s">
        <v>14</v>
      </c>
      <c r="D191" s="1" t="s">
        <v>151</v>
      </c>
      <c r="E191" s="2">
        <v>892.96</v>
      </c>
      <c r="F191" s="2">
        <v>53.177999999999997</v>
      </c>
      <c r="G191" s="2">
        <v>4867.8</v>
      </c>
      <c r="H191" s="2">
        <v>167.6</v>
      </c>
      <c r="I191" s="4">
        <f t="shared" si="16"/>
        <v>5.9552499552051601E-2</v>
      </c>
      <c r="J191" s="4">
        <f t="shared" si="15"/>
        <v>3.4430338140433045E-2</v>
      </c>
      <c r="N191" s="2">
        <v>1000</v>
      </c>
    </row>
    <row r="192" spans="1:14">
      <c r="A192" s="3" t="s">
        <v>184</v>
      </c>
      <c r="B192" s="1" t="s">
        <v>218</v>
      </c>
      <c r="C192" s="6" t="s">
        <v>244</v>
      </c>
      <c r="D192" s="3" t="s">
        <v>228</v>
      </c>
      <c r="E192" s="14">
        <v>892.96</v>
      </c>
      <c r="F192" s="14" t="s">
        <v>245</v>
      </c>
      <c r="G192" s="14" t="s">
        <v>246</v>
      </c>
      <c r="H192" s="14">
        <v>167.6</v>
      </c>
      <c r="I192" s="4">
        <f t="shared" si="16"/>
        <v>5.9552499552051601E-2</v>
      </c>
      <c r="J192" s="4">
        <f t="shared" si="15"/>
        <v>3.4430338140433045E-2</v>
      </c>
      <c r="M192" s="4"/>
      <c r="N192" s="2">
        <v>1000</v>
      </c>
    </row>
    <row r="193" spans="1:14">
      <c r="A193" s="1" t="s">
        <v>188</v>
      </c>
      <c r="B193" s="1" t="s">
        <v>26</v>
      </c>
      <c r="C193" s="1" t="s">
        <v>11</v>
      </c>
      <c r="D193" s="1" t="s">
        <v>193</v>
      </c>
      <c r="E193" s="2">
        <v>329.65</v>
      </c>
      <c r="F193" s="2">
        <v>9.1824999999999992</v>
      </c>
      <c r="G193" s="2">
        <v>1721.3</v>
      </c>
      <c r="H193" s="2">
        <v>27.373999999999999</v>
      </c>
      <c r="I193" s="4">
        <f t="shared" si="16"/>
        <v>2.7855301076899742E-2</v>
      </c>
      <c r="J193" s="4">
        <f t="shared" si="15"/>
        <v>1.5903096496833788E-2</v>
      </c>
      <c r="N193" s="2">
        <v>10000</v>
      </c>
    </row>
    <row r="194" spans="1:14">
      <c r="A194" s="3" t="s">
        <v>188</v>
      </c>
      <c r="B194" s="1" t="s">
        <v>26</v>
      </c>
      <c r="C194" s="6" t="s">
        <v>11</v>
      </c>
      <c r="D194" s="3" t="s">
        <v>262</v>
      </c>
      <c r="E194" s="14">
        <v>329.65</v>
      </c>
      <c r="F194" s="14" t="s">
        <v>292</v>
      </c>
      <c r="G194" s="14" t="s">
        <v>293</v>
      </c>
      <c r="H194" s="14" t="s">
        <v>294</v>
      </c>
      <c r="I194" s="4">
        <f t="shared" si="16"/>
        <v>2.7855301076899742E-2</v>
      </c>
      <c r="J194" s="4">
        <f t="shared" si="15"/>
        <v>1.5903096496833788E-2</v>
      </c>
      <c r="M194" s="4"/>
      <c r="N194" s="2">
        <v>10000</v>
      </c>
    </row>
    <row r="195" spans="1:14">
      <c r="A195" s="1" t="s">
        <v>188</v>
      </c>
      <c r="B195" s="1" t="s">
        <v>26</v>
      </c>
      <c r="C195" s="1" t="s">
        <v>12</v>
      </c>
      <c r="D195" s="1" t="s">
        <v>151</v>
      </c>
      <c r="E195" s="2">
        <v>260.29000000000002</v>
      </c>
      <c r="F195" s="2">
        <v>27.521000000000001</v>
      </c>
      <c r="G195" s="2">
        <v>1693.3</v>
      </c>
      <c r="H195" s="2">
        <v>92.507000000000005</v>
      </c>
      <c r="I195" s="4">
        <f t="shared" si="16"/>
        <v>0.10573206807791309</v>
      </c>
      <c r="J195" s="4">
        <f t="shared" si="15"/>
        <v>5.4631193527431648E-2</v>
      </c>
      <c r="N195" s="2">
        <v>1000</v>
      </c>
    </row>
    <row r="196" spans="1:14">
      <c r="A196" s="3" t="s">
        <v>261</v>
      </c>
      <c r="B196" s="1" t="s">
        <v>26</v>
      </c>
      <c r="C196" s="3" t="s">
        <v>227</v>
      </c>
      <c r="D196" s="3" t="s">
        <v>48</v>
      </c>
      <c r="E196" s="14">
        <v>260.29000000000002</v>
      </c>
      <c r="F196" s="14" t="s">
        <v>251</v>
      </c>
      <c r="G196" s="14" t="s">
        <v>252</v>
      </c>
      <c r="H196" s="14" t="s">
        <v>253</v>
      </c>
      <c r="I196" s="4">
        <f t="shared" si="16"/>
        <v>0.10573206807791309</v>
      </c>
      <c r="J196" s="4">
        <f t="shared" ref="J196:J202" si="17">H196/G196</f>
        <v>5.4631193527431648E-2</v>
      </c>
      <c r="K196" s="7"/>
      <c r="L196" s="7"/>
      <c r="M196" s="4"/>
      <c r="N196" s="2">
        <v>1000</v>
      </c>
    </row>
    <row r="197" spans="1:14">
      <c r="A197" s="1" t="s">
        <v>188</v>
      </c>
      <c r="B197" s="1" t="s">
        <v>26</v>
      </c>
      <c r="C197" s="1" t="s">
        <v>187</v>
      </c>
      <c r="D197" s="1" t="s">
        <v>151</v>
      </c>
      <c r="E197" s="2">
        <v>383.83</v>
      </c>
      <c r="F197" s="2">
        <v>36.475999999999999</v>
      </c>
      <c r="G197" s="2">
        <v>1778.8</v>
      </c>
      <c r="H197" s="2">
        <v>103.27</v>
      </c>
      <c r="I197" s="4">
        <f t="shared" si="16"/>
        <v>9.5031654638772375E-2</v>
      </c>
      <c r="J197" s="4">
        <f t="shared" si="17"/>
        <v>5.8055992804137618E-2</v>
      </c>
      <c r="N197" s="2">
        <v>1000</v>
      </c>
    </row>
    <row r="198" spans="1:14">
      <c r="A198" s="3" t="s">
        <v>260</v>
      </c>
      <c r="B198" s="1" t="s">
        <v>26</v>
      </c>
      <c r="C198" s="3" t="s">
        <v>237</v>
      </c>
      <c r="D198" s="3" t="s">
        <v>228</v>
      </c>
      <c r="E198" s="14">
        <v>383.83</v>
      </c>
      <c r="F198" s="14" t="s">
        <v>249</v>
      </c>
      <c r="G198" s="14" t="s">
        <v>250</v>
      </c>
      <c r="H198" s="14">
        <v>103.27</v>
      </c>
      <c r="I198" s="4">
        <f t="shared" si="16"/>
        <v>9.5031654638772375E-2</v>
      </c>
      <c r="J198" s="4">
        <f t="shared" si="17"/>
        <v>5.8055992804137618E-2</v>
      </c>
      <c r="M198" s="4"/>
      <c r="N198" s="2">
        <v>1000</v>
      </c>
    </row>
    <row r="199" spans="1:14">
      <c r="A199" s="3" t="s">
        <v>260</v>
      </c>
      <c r="B199" s="1" t="s">
        <v>26</v>
      </c>
      <c r="C199" s="3" t="s">
        <v>52</v>
      </c>
      <c r="D199" s="3" t="s">
        <v>48</v>
      </c>
      <c r="E199" s="14">
        <v>170.2</v>
      </c>
      <c r="F199" s="14" t="s">
        <v>247</v>
      </c>
      <c r="G199" s="14">
        <v>944.95</v>
      </c>
      <c r="H199" s="14" t="s">
        <v>248</v>
      </c>
      <c r="I199" s="4">
        <f t="shared" si="16"/>
        <v>0.13843713278495889</v>
      </c>
      <c r="J199" s="4">
        <f t="shared" si="17"/>
        <v>8.095560611672574E-2</v>
      </c>
      <c r="M199" s="4"/>
      <c r="N199" s="2">
        <v>1000</v>
      </c>
    </row>
    <row r="200" spans="1:14">
      <c r="A200" s="1" t="s">
        <v>201</v>
      </c>
      <c r="B200" s="1" t="s">
        <v>219</v>
      </c>
      <c r="C200" s="1" t="s">
        <v>14</v>
      </c>
      <c r="D200" s="1" t="s">
        <v>48</v>
      </c>
      <c r="E200" s="2">
        <v>134.68</v>
      </c>
      <c r="F200" s="2">
        <v>7.7988</v>
      </c>
      <c r="G200" s="2">
        <v>766.16</v>
      </c>
      <c r="H200" s="2">
        <v>22.541</v>
      </c>
      <c r="I200" s="4">
        <f t="shared" si="16"/>
        <v>5.7906147906147905E-2</v>
      </c>
      <c r="J200" s="4">
        <f t="shared" si="17"/>
        <v>2.9420747624517074E-2</v>
      </c>
      <c r="N200" s="2">
        <v>10000</v>
      </c>
    </row>
    <row r="201" spans="1:14">
      <c r="A201" s="3" t="s">
        <v>260</v>
      </c>
      <c r="B201" s="1" t="s">
        <v>26</v>
      </c>
      <c r="C201" s="3" t="s">
        <v>295</v>
      </c>
      <c r="D201" s="3" t="s">
        <v>296</v>
      </c>
      <c r="E201" s="14">
        <v>134.68</v>
      </c>
      <c r="F201" s="14" t="s">
        <v>297</v>
      </c>
      <c r="G201" s="14">
        <v>766.16</v>
      </c>
      <c r="H201" s="14" t="s">
        <v>298</v>
      </c>
      <c r="I201" s="4">
        <f t="shared" si="16"/>
        <v>5.7906147906147905E-2</v>
      </c>
      <c r="J201" s="4">
        <f t="shared" si="17"/>
        <v>2.9420747624517074E-2</v>
      </c>
      <c r="M201" s="4"/>
      <c r="N201" s="2">
        <v>10000</v>
      </c>
    </row>
    <row r="202" spans="1:14">
      <c r="A202" s="1" t="s">
        <v>208</v>
      </c>
      <c r="C202" s="1" t="s">
        <v>197</v>
      </c>
      <c r="D202" s="1" t="s">
        <v>48</v>
      </c>
      <c r="E202" s="2">
        <v>1086</v>
      </c>
      <c r="F202" s="2">
        <v>27.64</v>
      </c>
      <c r="G202" s="2">
        <v>5753.7</v>
      </c>
      <c r="H202" s="2">
        <v>81.204999999999998</v>
      </c>
      <c r="I202" s="4">
        <f t="shared" si="16"/>
        <v>2.5451197053406999E-2</v>
      </c>
      <c r="J202" s="4">
        <f t="shared" si="17"/>
        <v>1.4113526947877018E-2</v>
      </c>
      <c r="N202" s="2">
        <v>10000</v>
      </c>
    </row>
    <row r="203" spans="1:14">
      <c r="A203" s="1" t="s">
        <v>421</v>
      </c>
      <c r="B203" s="1" t="s">
        <v>422</v>
      </c>
      <c r="C203" s="1" t="s">
        <v>418</v>
      </c>
      <c r="D203" s="1" t="s">
        <v>419</v>
      </c>
      <c r="E203" s="2" t="s">
        <v>415</v>
      </c>
      <c r="F203" s="2" t="s">
        <v>423</v>
      </c>
      <c r="G203" s="2" t="s">
        <v>414</v>
      </c>
      <c r="H203" s="2" t="s">
        <v>414</v>
      </c>
      <c r="I203" s="4"/>
      <c r="J203" s="4"/>
      <c r="N203" s="2">
        <v>150000</v>
      </c>
    </row>
    <row r="204" spans="1:14">
      <c r="A204" s="1" t="s">
        <v>437</v>
      </c>
      <c r="B204" s="1" t="s">
        <v>438</v>
      </c>
      <c r="C204" s="1" t="s">
        <v>113</v>
      </c>
      <c r="D204" s="1" t="s">
        <v>53</v>
      </c>
      <c r="E204" s="2" t="s">
        <v>439</v>
      </c>
      <c r="F204" s="2" t="s">
        <v>440</v>
      </c>
      <c r="G204" s="2" t="s">
        <v>439</v>
      </c>
      <c r="H204" s="2" t="s">
        <v>440</v>
      </c>
      <c r="I204" s="2" t="s">
        <v>439</v>
      </c>
      <c r="J204" s="2" t="s">
        <v>440</v>
      </c>
      <c r="N204" s="2">
        <v>150000</v>
      </c>
    </row>
    <row r="205" spans="1:14">
      <c r="A205" s="1" t="s">
        <v>437</v>
      </c>
      <c r="B205" s="1" t="s">
        <v>459</v>
      </c>
      <c r="C205" s="1" t="s">
        <v>123</v>
      </c>
      <c r="D205" s="1" t="s">
        <v>53</v>
      </c>
      <c r="E205" s="2" t="s">
        <v>439</v>
      </c>
      <c r="F205" s="2" t="s">
        <v>440</v>
      </c>
      <c r="G205" s="2" t="s">
        <v>439</v>
      </c>
      <c r="H205" s="2" t="s">
        <v>440</v>
      </c>
      <c r="I205" s="2" t="s">
        <v>439</v>
      </c>
      <c r="J205" s="2" t="s">
        <v>440</v>
      </c>
      <c r="N205" s="2">
        <v>150000</v>
      </c>
    </row>
    <row r="206" spans="1:14">
      <c r="A206" s="1" t="s">
        <v>416</v>
      </c>
      <c r="B206" s="1" t="s">
        <v>417</v>
      </c>
      <c r="C206" s="1" t="s">
        <v>418</v>
      </c>
      <c r="D206" s="1" t="s">
        <v>419</v>
      </c>
      <c r="E206" s="2" t="s">
        <v>420</v>
      </c>
      <c r="F206" s="2" t="s">
        <v>415</v>
      </c>
      <c r="G206" s="2">
        <v>15.396000000000001</v>
      </c>
      <c r="H206" s="2">
        <v>2.9289000000000001</v>
      </c>
      <c r="I206" s="4"/>
      <c r="J206" s="4">
        <f>H206/G206</f>
        <v>0.19023772408417769</v>
      </c>
      <c r="N206" s="2">
        <v>150000</v>
      </c>
    </row>
    <row r="207" spans="1:14">
      <c r="A207" s="1" t="s">
        <v>462</v>
      </c>
      <c r="B207" s="1" t="s">
        <v>417</v>
      </c>
      <c r="C207" s="1" t="s">
        <v>123</v>
      </c>
      <c r="D207" s="1" t="s">
        <v>53</v>
      </c>
      <c r="E207" s="2" t="s">
        <v>440</v>
      </c>
      <c r="F207" s="2" t="s">
        <v>440</v>
      </c>
      <c r="G207" s="2">
        <v>15.396000000000001</v>
      </c>
      <c r="H207" s="2">
        <v>2.9289000000000001</v>
      </c>
      <c r="N207" s="2">
        <v>150000</v>
      </c>
    </row>
    <row r="208" spans="1:14">
      <c r="A208" s="1" t="s">
        <v>412</v>
      </c>
      <c r="B208" s="1" t="s">
        <v>413</v>
      </c>
      <c r="C208" s="1" t="s">
        <v>11</v>
      </c>
      <c r="D208" s="1" t="s">
        <v>48</v>
      </c>
      <c r="E208" s="2" t="s">
        <v>414</v>
      </c>
      <c r="F208" s="2" t="s">
        <v>415</v>
      </c>
      <c r="G208" s="2">
        <v>10.739000000000001</v>
      </c>
      <c r="H208" s="2">
        <v>1.9677</v>
      </c>
      <c r="I208" s="4"/>
      <c r="J208" s="4">
        <f>H208/G208</f>
        <v>0.18322935096377688</v>
      </c>
      <c r="N208" s="2">
        <v>150000</v>
      </c>
    </row>
    <row r="209" spans="1:15">
      <c r="A209" s="1" t="s">
        <v>460</v>
      </c>
      <c r="B209" s="1" t="s">
        <v>461</v>
      </c>
      <c r="C209" s="1" t="s">
        <v>123</v>
      </c>
      <c r="D209" s="1" t="s">
        <v>451</v>
      </c>
      <c r="E209" s="2" t="s">
        <v>440</v>
      </c>
      <c r="F209" s="2" t="s">
        <v>439</v>
      </c>
      <c r="G209" s="2">
        <v>10.739000000000001</v>
      </c>
      <c r="H209" s="2">
        <v>1.9677</v>
      </c>
      <c r="N209" s="2">
        <v>150000</v>
      </c>
    </row>
    <row r="210" spans="1:15">
      <c r="A210" s="1" t="s">
        <v>175</v>
      </c>
      <c r="C210" s="1" t="s">
        <v>11</v>
      </c>
      <c r="D210" s="1" t="s">
        <v>151</v>
      </c>
      <c r="E210" s="2">
        <v>195.6</v>
      </c>
      <c r="F210" s="2">
        <v>21.266999999999999</v>
      </c>
      <c r="G210" s="2">
        <v>1233.7</v>
      </c>
      <c r="H210" s="2">
        <v>71.379000000000005</v>
      </c>
      <c r="I210" s="4">
        <f t="shared" ref="I210:I221" si="18">F210/E210</f>
        <v>0.10872699386503068</v>
      </c>
      <c r="J210" s="4">
        <f t="shared" ref="J210:J217" si="19">H210/G210</f>
        <v>5.7857663937748237E-2</v>
      </c>
      <c r="N210" s="2">
        <v>2000</v>
      </c>
    </row>
    <row r="211" spans="1:15">
      <c r="A211" s="1" t="s">
        <v>174</v>
      </c>
      <c r="C211" s="1" t="s">
        <v>12</v>
      </c>
      <c r="D211" s="1" t="s">
        <v>151</v>
      </c>
      <c r="E211" s="2">
        <v>194.4</v>
      </c>
      <c r="F211" s="2">
        <v>21.628</v>
      </c>
      <c r="G211" s="2">
        <v>1084.9000000000001</v>
      </c>
      <c r="H211" s="2">
        <v>65.838999999999999</v>
      </c>
      <c r="I211" s="4">
        <f t="shared" si="18"/>
        <v>0.1112551440329218</v>
      </c>
      <c r="J211" s="4">
        <f t="shared" si="19"/>
        <v>6.0686699234952526E-2</v>
      </c>
      <c r="N211" s="2">
        <v>2000</v>
      </c>
    </row>
    <row r="212" spans="1:15">
      <c r="A212" s="1" t="s">
        <v>156</v>
      </c>
      <c r="C212" s="1" t="s">
        <v>11</v>
      </c>
      <c r="D212" s="1" t="s">
        <v>151</v>
      </c>
      <c r="E212" s="2">
        <v>147.47</v>
      </c>
      <c r="F212" s="2">
        <v>11.379</v>
      </c>
      <c r="G212" s="2">
        <v>825.93</v>
      </c>
      <c r="H212" s="2">
        <v>33.832000000000001</v>
      </c>
      <c r="I212" s="4">
        <f t="shared" si="18"/>
        <v>7.7161456567437448E-2</v>
      </c>
      <c r="J212" s="4">
        <f t="shared" si="19"/>
        <v>4.0962309154528836E-2</v>
      </c>
      <c r="N212" s="2">
        <v>5000</v>
      </c>
    </row>
    <row r="213" spans="1:15">
      <c r="A213" s="1" t="s">
        <v>156</v>
      </c>
      <c r="C213" s="1" t="s">
        <v>176</v>
      </c>
      <c r="D213" s="1" t="s">
        <v>151</v>
      </c>
      <c r="E213" s="2">
        <v>157.19</v>
      </c>
      <c r="F213" s="2">
        <v>17.199000000000002</v>
      </c>
      <c r="G213" s="2">
        <v>798.68</v>
      </c>
      <c r="H213" s="2">
        <v>49.749000000000002</v>
      </c>
      <c r="I213" s="4">
        <f t="shared" si="18"/>
        <v>0.10941535721101853</v>
      </c>
      <c r="J213" s="4">
        <f t="shared" si="19"/>
        <v>6.2289026894375724E-2</v>
      </c>
      <c r="N213" s="2">
        <v>2000</v>
      </c>
    </row>
    <row r="214" spans="1:15">
      <c r="A214" s="1" t="s">
        <v>156</v>
      </c>
      <c r="C214" s="1" t="s">
        <v>177</v>
      </c>
      <c r="D214" s="1" t="s">
        <v>178</v>
      </c>
      <c r="E214" s="2">
        <v>148.66</v>
      </c>
      <c r="F214" s="2">
        <v>18.326000000000001</v>
      </c>
      <c r="G214" s="2">
        <v>792.29</v>
      </c>
      <c r="H214" s="2">
        <v>51.749000000000002</v>
      </c>
      <c r="I214" s="4">
        <f t="shared" si="18"/>
        <v>0.12327458630431859</v>
      </c>
      <c r="J214" s="4">
        <f t="shared" si="19"/>
        <v>6.5315730351260273E-2</v>
      </c>
      <c r="N214" s="2">
        <v>2000</v>
      </c>
    </row>
    <row r="215" spans="1:15">
      <c r="A215" s="1" t="s">
        <v>156</v>
      </c>
      <c r="C215" s="1" t="s">
        <v>190</v>
      </c>
      <c r="D215" s="1" t="s">
        <v>151</v>
      </c>
      <c r="E215" s="2">
        <v>72.441000000000003</v>
      </c>
      <c r="F215" s="2">
        <v>7.1631</v>
      </c>
      <c r="G215" s="2">
        <v>406.47</v>
      </c>
      <c r="H215" s="2">
        <v>20.015000000000001</v>
      </c>
      <c r="I215" s="4">
        <f t="shared" si="18"/>
        <v>9.8881848676854261E-2</v>
      </c>
      <c r="J215" s="4">
        <f t="shared" si="19"/>
        <v>4.9241026398012151E-2</v>
      </c>
      <c r="N215" s="2">
        <v>10000</v>
      </c>
    </row>
    <row r="216" spans="1:15">
      <c r="A216" s="3" t="s">
        <v>304</v>
      </c>
      <c r="B216" s="13"/>
      <c r="C216" s="6" t="s">
        <v>7</v>
      </c>
      <c r="D216" s="3" t="s">
        <v>48</v>
      </c>
      <c r="E216" s="14" t="s">
        <v>299</v>
      </c>
      <c r="F216" s="14" t="s">
        <v>300</v>
      </c>
      <c r="G216" s="14">
        <v>406.47</v>
      </c>
      <c r="H216" s="14" t="s">
        <v>305</v>
      </c>
      <c r="I216" s="4">
        <f t="shared" si="18"/>
        <v>9.8881848676854261E-2</v>
      </c>
      <c r="J216" s="4">
        <f t="shared" si="19"/>
        <v>4.9241026398012151E-2</v>
      </c>
      <c r="M216" s="4"/>
      <c r="N216" s="2">
        <v>10000</v>
      </c>
    </row>
    <row r="217" spans="1:15">
      <c r="A217" s="1" t="s">
        <v>156</v>
      </c>
      <c r="C217" s="1" t="s">
        <v>179</v>
      </c>
      <c r="D217" s="1" t="s">
        <v>151</v>
      </c>
      <c r="E217" s="2">
        <v>125.52</v>
      </c>
      <c r="F217" s="2">
        <v>14.632</v>
      </c>
      <c r="G217" s="2">
        <v>933.11</v>
      </c>
      <c r="H217" s="2">
        <v>51.283000000000001</v>
      </c>
      <c r="I217" s="4">
        <f t="shared" si="18"/>
        <v>0.1165710643722116</v>
      </c>
      <c r="J217" s="4">
        <f t="shared" si="19"/>
        <v>5.4959222385356499E-2</v>
      </c>
      <c r="N217" s="2">
        <v>2000</v>
      </c>
    </row>
    <row r="218" spans="1:15">
      <c r="A218" s="3" t="s">
        <v>331</v>
      </c>
      <c r="B218" s="13"/>
      <c r="C218" s="6" t="s">
        <v>123</v>
      </c>
      <c r="D218" s="3" t="s">
        <v>48</v>
      </c>
      <c r="E218" s="14" t="s">
        <v>332</v>
      </c>
      <c r="F218" s="14" t="s">
        <v>333</v>
      </c>
      <c r="G218" s="14" t="s">
        <v>334</v>
      </c>
      <c r="H218" s="14" t="s">
        <v>335</v>
      </c>
      <c r="I218" s="4">
        <f t="shared" si="18"/>
        <v>3.8926345898457455E-2</v>
      </c>
      <c r="J218" s="4"/>
      <c r="M218" s="4"/>
    </row>
    <row r="219" spans="1:15">
      <c r="A219" s="1" t="s">
        <v>167</v>
      </c>
      <c r="C219" s="1" t="s">
        <v>11</v>
      </c>
      <c r="D219" s="1" t="s">
        <v>48</v>
      </c>
      <c r="E219" s="2">
        <v>1088.0999999999999</v>
      </c>
      <c r="F219" s="2">
        <v>17.988</v>
      </c>
      <c r="G219" s="2">
        <v>6014.7</v>
      </c>
      <c r="H219" s="2">
        <v>58.582000000000001</v>
      </c>
      <c r="I219" s="4">
        <f t="shared" si="18"/>
        <v>1.6531568789633307E-2</v>
      </c>
      <c r="J219" s="4">
        <f t="shared" ref="J219:J239" si="20">H219/G219</f>
        <v>9.7398041465077238E-3</v>
      </c>
      <c r="N219" s="2">
        <v>10000</v>
      </c>
    </row>
    <row r="220" spans="1:15">
      <c r="A220" s="1" t="s">
        <v>168</v>
      </c>
      <c r="C220" s="1" t="s">
        <v>11</v>
      </c>
      <c r="D220" s="1" t="s">
        <v>151</v>
      </c>
      <c r="E220" s="2">
        <v>322.3</v>
      </c>
      <c r="F220" s="2">
        <v>11.986000000000001</v>
      </c>
      <c r="G220" s="2">
        <v>1775.1</v>
      </c>
      <c r="H220" s="2">
        <v>35.450000000000003</v>
      </c>
      <c r="I220" s="4">
        <f t="shared" si="18"/>
        <v>3.7188954390319579E-2</v>
      </c>
      <c r="J220" s="4">
        <f t="shared" si="20"/>
        <v>1.9970705875725313E-2</v>
      </c>
      <c r="N220" s="2">
        <v>10000</v>
      </c>
    </row>
    <row r="221" spans="1:15">
      <c r="A221" s="1" t="s">
        <v>169</v>
      </c>
      <c r="C221" s="1" t="s">
        <v>11</v>
      </c>
      <c r="D221" s="1" t="s">
        <v>151</v>
      </c>
      <c r="E221" s="2">
        <v>111.02</v>
      </c>
      <c r="F221" s="2">
        <v>5.4508999999999999</v>
      </c>
      <c r="G221" s="2">
        <v>560.33000000000004</v>
      </c>
      <c r="H221" s="2">
        <v>15.856</v>
      </c>
      <c r="I221" s="4">
        <f t="shared" si="18"/>
        <v>4.9098360655737708E-2</v>
      </c>
      <c r="J221" s="4">
        <f t="shared" si="20"/>
        <v>2.8297610336765831E-2</v>
      </c>
      <c r="N221" s="2">
        <v>10000</v>
      </c>
    </row>
    <row r="222" spans="1:15">
      <c r="A222" s="1" t="s">
        <v>157</v>
      </c>
      <c r="C222" s="1" t="s">
        <v>11</v>
      </c>
      <c r="D222" s="1" t="s">
        <v>151</v>
      </c>
      <c r="G222" s="2">
        <v>373.48</v>
      </c>
      <c r="H222" s="2">
        <v>32.328000000000003</v>
      </c>
      <c r="I222" s="4"/>
      <c r="J222" s="4">
        <f t="shared" si="20"/>
        <v>8.6558851879618731E-2</v>
      </c>
      <c r="N222" s="2">
        <v>5000</v>
      </c>
    </row>
    <row r="223" spans="1:15">
      <c r="A223" s="1" t="s">
        <v>158</v>
      </c>
      <c r="C223" s="1" t="s">
        <v>11</v>
      </c>
      <c r="D223" s="1" t="s">
        <v>151</v>
      </c>
      <c r="E223" s="2">
        <v>14077</v>
      </c>
      <c r="F223" s="2">
        <v>127.73</v>
      </c>
      <c r="G223" s="2">
        <v>77435</v>
      </c>
      <c r="H223" s="2">
        <v>417.92</v>
      </c>
      <c r="I223" s="4">
        <f>F223/E223</f>
        <v>9.0736662641187748E-3</v>
      </c>
      <c r="J223" s="4">
        <f t="shared" si="20"/>
        <v>5.3970426809582233E-3</v>
      </c>
      <c r="N223" s="2">
        <v>5000</v>
      </c>
      <c r="O223" s="2"/>
    </row>
    <row r="224" spans="1:15">
      <c r="A224" s="1" t="s">
        <v>170</v>
      </c>
      <c r="C224" s="1" t="s">
        <v>11</v>
      </c>
      <c r="D224" s="1" t="s">
        <v>48</v>
      </c>
      <c r="E224" s="2">
        <v>149.97</v>
      </c>
      <c r="F224" s="2">
        <v>8.6885999999999992</v>
      </c>
      <c r="G224" s="2">
        <v>899.66</v>
      </c>
      <c r="H224" s="2">
        <v>26.143999999999998</v>
      </c>
      <c r="I224" s="4">
        <f>F224/E224</f>
        <v>5.7935587117423477E-2</v>
      </c>
      <c r="J224" s="4">
        <f t="shared" si="20"/>
        <v>2.9059867060889668E-2</v>
      </c>
      <c r="N224" s="2">
        <v>10000</v>
      </c>
      <c r="O224" s="2"/>
    </row>
    <row r="225" spans="1:14">
      <c r="A225" s="1" t="s">
        <v>172</v>
      </c>
      <c r="C225" s="1" t="s">
        <v>11</v>
      </c>
      <c r="D225" s="1" t="s">
        <v>151</v>
      </c>
      <c r="E225" s="2">
        <v>605.9</v>
      </c>
      <c r="F225" s="2">
        <v>16.59</v>
      </c>
      <c r="G225" s="2">
        <v>3440</v>
      </c>
      <c r="H225" s="2">
        <v>52.237000000000002</v>
      </c>
      <c r="I225" s="4">
        <f>F225/E225</f>
        <v>2.7380755900313584E-2</v>
      </c>
      <c r="J225" s="4">
        <f t="shared" si="20"/>
        <v>1.5185174418604652E-2</v>
      </c>
      <c r="N225" s="2">
        <v>10000</v>
      </c>
    </row>
    <row r="226" spans="1:14">
      <c r="A226" s="1" t="s">
        <v>171</v>
      </c>
      <c r="C226" s="1" t="s">
        <v>11</v>
      </c>
      <c r="D226" s="1" t="s">
        <v>48</v>
      </c>
      <c r="E226" s="2">
        <v>702.87</v>
      </c>
      <c r="F226" s="2">
        <v>15.962999999999999</v>
      </c>
      <c r="G226" s="2">
        <v>3981.5</v>
      </c>
      <c r="H226" s="2">
        <v>50.881999999999998</v>
      </c>
      <c r="I226" s="4">
        <f>F226/E226</f>
        <v>2.2711169917623456E-2</v>
      </c>
      <c r="J226" s="4">
        <f t="shared" si="20"/>
        <v>1.2779605676252668E-2</v>
      </c>
      <c r="N226" s="2">
        <v>10000</v>
      </c>
    </row>
    <row r="227" spans="1:14">
      <c r="A227" s="1" t="s">
        <v>336</v>
      </c>
      <c r="B227" s="1" t="s">
        <v>337</v>
      </c>
      <c r="C227" s="1" t="s">
        <v>123</v>
      </c>
      <c r="D227" s="1" t="s">
        <v>48</v>
      </c>
      <c r="E227" s="2" t="s">
        <v>338</v>
      </c>
      <c r="F227" s="2">
        <v>54.866999999999997</v>
      </c>
      <c r="G227" s="2">
        <v>20887</v>
      </c>
      <c r="H227" s="2">
        <v>177</v>
      </c>
      <c r="I227" s="4"/>
      <c r="J227" s="4">
        <f t="shared" si="20"/>
        <v>8.4741705366974673E-3</v>
      </c>
    </row>
    <row r="228" spans="1:14">
      <c r="A228" s="1" t="s">
        <v>336</v>
      </c>
      <c r="B228" s="1" t="s">
        <v>337</v>
      </c>
      <c r="C228" s="1" t="s">
        <v>60</v>
      </c>
      <c r="D228" s="1" t="s">
        <v>48</v>
      </c>
      <c r="E228" s="2">
        <v>3156</v>
      </c>
      <c r="F228" s="2">
        <v>55.088999999999999</v>
      </c>
      <c r="G228" s="2">
        <v>17856</v>
      </c>
      <c r="H228" s="2">
        <v>176.41</v>
      </c>
      <c r="I228" s="4">
        <f>F228/E228</f>
        <v>1.745532319391635E-2</v>
      </c>
      <c r="J228" s="4">
        <f t="shared" si="20"/>
        <v>9.8795922939068099E-3</v>
      </c>
    </row>
    <row r="229" spans="1:14">
      <c r="A229" s="1" t="s">
        <v>336</v>
      </c>
      <c r="B229" s="1" t="s">
        <v>337</v>
      </c>
      <c r="C229" s="1" t="s">
        <v>49</v>
      </c>
      <c r="D229" s="1" t="s">
        <v>48</v>
      </c>
      <c r="E229" s="2">
        <v>909.03</v>
      </c>
      <c r="F229" s="2">
        <v>27.228999999999999</v>
      </c>
      <c r="G229" s="2">
        <v>4864</v>
      </c>
      <c r="H229" s="2">
        <v>82.956000000000003</v>
      </c>
      <c r="I229" s="4">
        <f>F229/E229</f>
        <v>2.9953906911763088E-2</v>
      </c>
      <c r="J229" s="4">
        <f t="shared" si="20"/>
        <v>1.7055098684210526E-2</v>
      </c>
    </row>
    <row r="230" spans="1:14">
      <c r="A230" s="1" t="s">
        <v>336</v>
      </c>
      <c r="B230" s="1" t="s">
        <v>337</v>
      </c>
      <c r="C230" s="1" t="s">
        <v>327</v>
      </c>
      <c r="D230" s="1" t="s">
        <v>48</v>
      </c>
      <c r="E230" s="2">
        <v>1673.6</v>
      </c>
      <c r="F230" s="2">
        <v>51.725000000000001</v>
      </c>
      <c r="G230" s="2">
        <v>9357.5</v>
      </c>
      <c r="H230" s="2">
        <v>158.81</v>
      </c>
      <c r="I230" s="4">
        <f>F230/E230</f>
        <v>3.0906429254302106E-2</v>
      </c>
      <c r="J230" s="4">
        <f t="shared" si="20"/>
        <v>1.6971413304835693E-2</v>
      </c>
    </row>
    <row r="231" spans="1:14" ht="14" customHeight="1">
      <c r="A231" s="1" t="s">
        <v>336</v>
      </c>
      <c r="B231" s="1" t="s">
        <v>337</v>
      </c>
      <c r="C231" s="3" t="s">
        <v>104</v>
      </c>
      <c r="D231" s="1" t="s">
        <v>48</v>
      </c>
      <c r="E231" s="2">
        <v>4134.7</v>
      </c>
      <c r="F231" s="2">
        <v>96.248999999999995</v>
      </c>
      <c r="G231" s="2">
        <v>22762</v>
      </c>
      <c r="H231" s="2">
        <v>294.33</v>
      </c>
      <c r="I231" s="4">
        <f>F231/E231</f>
        <v>2.3278351512806248E-2</v>
      </c>
      <c r="J231" s="4">
        <f t="shared" si="20"/>
        <v>1.2930761795975748E-2</v>
      </c>
    </row>
    <row r="232" spans="1:14">
      <c r="A232" s="1" t="s">
        <v>336</v>
      </c>
      <c r="B232" s="1" t="s">
        <v>337</v>
      </c>
      <c r="C232" s="1" t="s">
        <v>35</v>
      </c>
      <c r="D232" s="1" t="s">
        <v>48</v>
      </c>
      <c r="E232" s="2">
        <v>3412.4</v>
      </c>
      <c r="F232" s="2">
        <v>160.43</v>
      </c>
      <c r="G232" s="2">
        <v>19522</v>
      </c>
      <c r="H232" s="2">
        <v>488.94</v>
      </c>
      <c r="I232" s="4"/>
      <c r="J232" s="4">
        <f t="shared" si="20"/>
        <v>2.5045589591230405E-2</v>
      </c>
    </row>
    <row r="233" spans="1:14">
      <c r="A233" s="1" t="s">
        <v>173</v>
      </c>
      <c r="C233" s="1" t="s">
        <v>11</v>
      </c>
      <c r="D233" s="1" t="s">
        <v>151</v>
      </c>
      <c r="E233" s="2">
        <v>2998.3</v>
      </c>
      <c r="F233" s="2">
        <v>29.975000000000001</v>
      </c>
      <c r="G233" s="2">
        <v>17188</v>
      </c>
      <c r="H233" s="2">
        <v>101.76</v>
      </c>
      <c r="I233" s="4">
        <f>F233/E233</f>
        <v>9.9973318213654409E-3</v>
      </c>
      <c r="J233" s="4">
        <f t="shared" si="20"/>
        <v>5.9204095880847109E-3</v>
      </c>
      <c r="N233" s="2">
        <v>10000</v>
      </c>
    </row>
    <row r="234" spans="1:14">
      <c r="A234" s="1" t="s">
        <v>339</v>
      </c>
      <c r="B234" s="1" t="s">
        <v>337</v>
      </c>
      <c r="C234" s="1" t="s">
        <v>123</v>
      </c>
      <c r="D234" s="1" t="s">
        <v>48</v>
      </c>
      <c r="E234" s="2">
        <v>6524.2</v>
      </c>
      <c r="F234" s="2">
        <v>57.502000000000002</v>
      </c>
      <c r="G234" s="2">
        <v>37464</v>
      </c>
      <c r="H234" s="2">
        <v>191.28</v>
      </c>
      <c r="I234" s="4"/>
      <c r="J234" s="4">
        <f t="shared" si="20"/>
        <v>5.1057014734144776E-3</v>
      </c>
    </row>
    <row r="235" spans="1:14">
      <c r="A235" s="3" t="s">
        <v>344</v>
      </c>
      <c r="B235" s="1" t="s">
        <v>337</v>
      </c>
      <c r="C235" s="1" t="s">
        <v>123</v>
      </c>
      <c r="D235" s="1" t="s">
        <v>48</v>
      </c>
      <c r="E235" s="2">
        <v>376.12</v>
      </c>
      <c r="F235" s="2">
        <v>7.7899000000000003</v>
      </c>
      <c r="G235" s="2">
        <v>2118.5</v>
      </c>
      <c r="H235" s="2">
        <v>23.968</v>
      </c>
      <c r="I235" s="4"/>
      <c r="J235" s="4">
        <f t="shared" si="20"/>
        <v>1.1313665329242389E-2</v>
      </c>
    </row>
    <row r="236" spans="1:14">
      <c r="A236" s="3" t="s">
        <v>346</v>
      </c>
      <c r="B236" s="1" t="s">
        <v>337</v>
      </c>
      <c r="C236" s="1" t="s">
        <v>123</v>
      </c>
      <c r="D236" s="1" t="s">
        <v>48</v>
      </c>
      <c r="E236" s="2">
        <v>1173.8</v>
      </c>
      <c r="F236" s="2">
        <v>26.045999999999999</v>
      </c>
      <c r="G236" s="2">
        <v>6986.3</v>
      </c>
      <c r="H236" s="2">
        <v>82.123000000000005</v>
      </c>
      <c r="I236" s="4"/>
      <c r="J236" s="4">
        <f t="shared" si="20"/>
        <v>1.1754863089188841E-2</v>
      </c>
    </row>
    <row r="237" spans="1:14">
      <c r="A237" s="3" t="s">
        <v>345</v>
      </c>
      <c r="B237" s="1" t="s">
        <v>337</v>
      </c>
      <c r="C237" s="1" t="s">
        <v>123</v>
      </c>
      <c r="D237" s="1" t="s">
        <v>48</v>
      </c>
      <c r="E237" s="2">
        <v>4346.3999999999996</v>
      </c>
      <c r="F237" s="2">
        <v>55.831000000000003</v>
      </c>
      <c r="G237" s="2">
        <v>24824</v>
      </c>
      <c r="H237" s="2">
        <v>178.13</v>
      </c>
      <c r="I237" s="4"/>
      <c r="J237" s="4">
        <f t="shared" si="20"/>
        <v>7.1757170480180469E-3</v>
      </c>
    </row>
    <row r="238" spans="1:14">
      <c r="A238" s="1" t="s">
        <v>159</v>
      </c>
      <c r="C238" s="1" t="s">
        <v>11</v>
      </c>
      <c r="D238" s="1" t="s">
        <v>151</v>
      </c>
      <c r="E238" s="2">
        <v>569.67999999999995</v>
      </c>
      <c r="F238" s="2">
        <v>20.47</v>
      </c>
      <c r="G238" s="2">
        <v>3311.3</v>
      </c>
      <c r="H238" s="2">
        <v>66.694000000000003</v>
      </c>
      <c r="I238" s="4">
        <f>F238/E238</f>
        <v>3.5932453307119791E-2</v>
      </c>
      <c r="J238" s="4">
        <f t="shared" si="20"/>
        <v>2.0141334219188838E-2</v>
      </c>
      <c r="N238" s="2">
        <v>5000</v>
      </c>
    </row>
    <row r="239" spans="1:14">
      <c r="A239" s="1" t="s">
        <v>160</v>
      </c>
      <c r="C239" s="1" t="s">
        <v>11</v>
      </c>
      <c r="D239" s="1" t="s">
        <v>151</v>
      </c>
      <c r="E239" s="2">
        <v>677.13</v>
      </c>
      <c r="F239" s="2">
        <v>19.759</v>
      </c>
      <c r="G239" s="2">
        <v>3675.9</v>
      </c>
      <c r="H239" s="2">
        <v>63.067</v>
      </c>
      <c r="I239" s="4">
        <f>F239/E239</f>
        <v>2.9180511866259064E-2</v>
      </c>
      <c r="J239" s="4">
        <f t="shared" si="20"/>
        <v>1.7156886748823416E-2</v>
      </c>
      <c r="N239" s="2">
        <v>5000</v>
      </c>
    </row>
    <row r="240" spans="1:14">
      <c r="A240" s="1" t="s">
        <v>340</v>
      </c>
      <c r="B240" s="1" t="s">
        <v>337</v>
      </c>
      <c r="C240" s="1" t="s">
        <v>60</v>
      </c>
      <c r="D240" s="1" t="s">
        <v>48</v>
      </c>
      <c r="E240" s="2">
        <v>887.48</v>
      </c>
      <c r="F240" s="2">
        <v>25.584</v>
      </c>
      <c r="G240" s="2">
        <v>5129.2</v>
      </c>
      <c r="H240" s="2">
        <v>81.13</v>
      </c>
    </row>
    <row r="241" spans="1:10">
      <c r="A241" s="1" t="s">
        <v>340</v>
      </c>
      <c r="B241" s="1" t="s">
        <v>337</v>
      </c>
      <c r="C241" s="1" t="s">
        <v>49</v>
      </c>
      <c r="D241" s="1" t="s">
        <v>48</v>
      </c>
      <c r="E241" s="2">
        <v>235.71</v>
      </c>
      <c r="F241" s="2">
        <v>10.797000000000001</v>
      </c>
      <c r="G241" s="2" t="s">
        <v>341</v>
      </c>
      <c r="H241" s="2">
        <v>36.003999999999998</v>
      </c>
      <c r="I241" s="4"/>
      <c r="J241" s="15"/>
    </row>
    <row r="242" spans="1:10">
      <c r="A242" s="1" t="s">
        <v>340</v>
      </c>
      <c r="B242" s="1" t="s">
        <v>337</v>
      </c>
      <c r="C242" s="1" t="s">
        <v>113</v>
      </c>
      <c r="D242" s="1" t="s">
        <v>48</v>
      </c>
      <c r="E242" s="2">
        <v>1329.1</v>
      </c>
      <c r="F242" s="2">
        <v>34.712000000000003</v>
      </c>
      <c r="G242" s="2">
        <v>8170.3</v>
      </c>
      <c r="H242" s="2">
        <v>116.83</v>
      </c>
    </row>
    <row r="243" spans="1:10">
      <c r="A243" s="1" t="s">
        <v>340</v>
      </c>
      <c r="B243" s="1" t="s">
        <v>337</v>
      </c>
      <c r="C243" s="1" t="s">
        <v>327</v>
      </c>
      <c r="D243" s="1" t="s">
        <v>48</v>
      </c>
      <c r="E243" s="2">
        <v>438.9</v>
      </c>
      <c r="F243" s="2">
        <v>31.035</v>
      </c>
      <c r="G243" s="2">
        <v>2088.8000000000002</v>
      </c>
      <c r="H243" s="2">
        <v>88.168999999999997</v>
      </c>
      <c r="I243" s="4"/>
      <c r="J243" s="15">
        <f>H243/G243</f>
        <v>4.2210360015319796E-2</v>
      </c>
    </row>
    <row r="244" spans="1:10">
      <c r="A244" s="1" t="s">
        <v>340</v>
      </c>
      <c r="B244" s="1" t="s">
        <v>337</v>
      </c>
      <c r="C244" s="1" t="s">
        <v>329</v>
      </c>
      <c r="D244" s="1" t="s">
        <v>48</v>
      </c>
      <c r="E244" s="2">
        <v>1414.8</v>
      </c>
      <c r="F244" s="2">
        <v>43.045000000000002</v>
      </c>
      <c r="G244" s="2">
        <v>7752.9</v>
      </c>
      <c r="H244" s="2">
        <v>133.86000000000001</v>
      </c>
    </row>
    <row r="245" spans="1:10">
      <c r="A245" s="1" t="s">
        <v>340</v>
      </c>
      <c r="B245" s="1" t="s">
        <v>337</v>
      </c>
      <c r="C245" s="1" t="s">
        <v>51</v>
      </c>
      <c r="D245" s="1" t="s">
        <v>48</v>
      </c>
      <c r="E245" s="2">
        <v>359.01</v>
      </c>
      <c r="F245" s="2">
        <v>12.06</v>
      </c>
      <c r="G245" s="2">
        <v>1920.6</v>
      </c>
      <c r="H245" s="2">
        <v>36.445999999999998</v>
      </c>
      <c r="I245" s="4"/>
    </row>
    <row r="246" spans="1:10">
      <c r="A246" s="1" t="s">
        <v>340</v>
      </c>
      <c r="B246" s="1" t="s">
        <v>337</v>
      </c>
      <c r="C246" s="1" t="s">
        <v>35</v>
      </c>
      <c r="D246" s="1" t="s">
        <v>48</v>
      </c>
      <c r="E246" s="2">
        <v>1063.9000000000001</v>
      </c>
      <c r="F246" s="2">
        <v>61.874000000000002</v>
      </c>
      <c r="G246" s="2">
        <v>5574.1</v>
      </c>
      <c r="H246" s="2">
        <v>180.16</v>
      </c>
    </row>
    <row r="247" spans="1:10">
      <c r="A247" s="1" t="s">
        <v>340</v>
      </c>
      <c r="B247" s="1" t="s">
        <v>337</v>
      </c>
      <c r="C247" s="1" t="s">
        <v>200</v>
      </c>
      <c r="D247" s="1" t="s">
        <v>48</v>
      </c>
      <c r="E247" s="2">
        <v>609.52</v>
      </c>
      <c r="F247" s="2">
        <v>24.245999999999999</v>
      </c>
      <c r="G247" s="2">
        <v>3869.8</v>
      </c>
      <c r="H247" s="2">
        <v>82.546999999999997</v>
      </c>
    </row>
    <row r="248" spans="1:10" ht="28">
      <c r="A248" s="18" t="s">
        <v>364</v>
      </c>
      <c r="C248" s="1" t="s">
        <v>123</v>
      </c>
      <c r="D248" s="1" t="s">
        <v>48</v>
      </c>
      <c r="E248" s="2">
        <v>3174.7</v>
      </c>
      <c r="F248" s="2">
        <v>43.076999999999998</v>
      </c>
      <c r="G248" s="2">
        <v>18378</v>
      </c>
      <c r="H248" s="2">
        <v>139.09</v>
      </c>
    </row>
    <row r="249" spans="1:10">
      <c r="A249" s="1" t="s">
        <v>347</v>
      </c>
      <c r="C249" s="1" t="s">
        <v>123</v>
      </c>
      <c r="D249" s="1" t="s">
        <v>48</v>
      </c>
      <c r="E249" s="2">
        <v>751.7</v>
      </c>
      <c r="F249" s="2">
        <v>22.757000000000001</v>
      </c>
      <c r="G249" s="2">
        <v>4543.8999999999996</v>
      </c>
      <c r="H249" s="2">
        <v>71.195999999999998</v>
      </c>
    </row>
    <row r="250" spans="1:10">
      <c r="A250" s="1" t="s">
        <v>348</v>
      </c>
      <c r="C250" s="1" t="s">
        <v>123</v>
      </c>
      <c r="D250" s="1" t="s">
        <v>48</v>
      </c>
      <c r="E250" s="2">
        <v>1680</v>
      </c>
      <c r="F250" s="2">
        <v>47.174999999999997</v>
      </c>
      <c r="G250" s="2">
        <v>10034</v>
      </c>
      <c r="H250" s="2">
        <v>151.03</v>
      </c>
    </row>
    <row r="251" spans="1:10">
      <c r="A251" s="1" t="s">
        <v>349</v>
      </c>
      <c r="C251" s="1" t="s">
        <v>123</v>
      </c>
      <c r="D251" s="1" t="s">
        <v>48</v>
      </c>
      <c r="E251" s="2">
        <v>2045.3</v>
      </c>
      <c r="F251" s="2">
        <v>63.542000000000002</v>
      </c>
      <c r="G251" s="2">
        <v>12178</v>
      </c>
      <c r="H251" s="2">
        <v>202.67</v>
      </c>
    </row>
    <row r="252" spans="1:10">
      <c r="A252" s="1" t="s">
        <v>351</v>
      </c>
      <c r="B252" s="1" t="s">
        <v>337</v>
      </c>
      <c r="C252" s="1" t="s">
        <v>123</v>
      </c>
      <c r="D252" s="1" t="s">
        <v>48</v>
      </c>
      <c r="E252" s="2">
        <v>1863.3</v>
      </c>
      <c r="F252" s="2">
        <v>59.23</v>
      </c>
      <c r="G252" s="2">
        <v>11099</v>
      </c>
      <c r="H252" s="2">
        <v>186.17</v>
      </c>
    </row>
    <row r="253" spans="1:10">
      <c r="A253" s="1" t="s">
        <v>356</v>
      </c>
      <c r="B253" s="1" t="s">
        <v>337</v>
      </c>
      <c r="C253" s="1" t="s">
        <v>123</v>
      </c>
      <c r="D253" s="1" t="s">
        <v>48</v>
      </c>
      <c r="E253" s="2">
        <v>2730.1</v>
      </c>
      <c r="F253" s="2">
        <v>63.848999999999997</v>
      </c>
      <c r="G253" s="2">
        <v>16030</v>
      </c>
      <c r="H253" s="2">
        <v>205.97</v>
      </c>
    </row>
    <row r="254" spans="1:10">
      <c r="A254" s="1" t="s">
        <v>355</v>
      </c>
      <c r="B254" s="1" t="s">
        <v>337</v>
      </c>
      <c r="C254" s="1" t="s">
        <v>123</v>
      </c>
      <c r="D254" s="1" t="s">
        <v>48</v>
      </c>
      <c r="E254" s="2">
        <v>2515.1999999999998</v>
      </c>
      <c r="F254" s="2">
        <v>62.215000000000003</v>
      </c>
      <c r="G254" s="2">
        <v>15148</v>
      </c>
      <c r="H254" s="2">
        <v>201.99</v>
      </c>
    </row>
    <row r="255" spans="1:10">
      <c r="A255" s="1" t="s">
        <v>354</v>
      </c>
      <c r="B255" s="1" t="s">
        <v>337</v>
      </c>
      <c r="C255" s="1" t="s">
        <v>123</v>
      </c>
      <c r="D255" s="1" t="s">
        <v>48</v>
      </c>
      <c r="E255" s="2">
        <v>2510.1</v>
      </c>
      <c r="F255" s="2">
        <v>58.728000000000002</v>
      </c>
      <c r="G255" s="2">
        <v>14275</v>
      </c>
      <c r="H255" s="2">
        <v>187.91</v>
      </c>
    </row>
    <row r="256" spans="1:10">
      <c r="A256" s="1" t="s">
        <v>352</v>
      </c>
      <c r="B256" s="1" t="s">
        <v>353</v>
      </c>
      <c r="C256" s="1" t="s">
        <v>123</v>
      </c>
      <c r="D256" s="1" t="s">
        <v>48</v>
      </c>
      <c r="E256" s="2">
        <v>2089.8000000000002</v>
      </c>
      <c r="F256" s="2">
        <v>52.363999999999997</v>
      </c>
      <c r="G256" s="2">
        <v>12500</v>
      </c>
      <c r="H256" s="2">
        <v>169.83</v>
      </c>
    </row>
    <row r="257" spans="1:14">
      <c r="A257" s="1" t="s">
        <v>307</v>
      </c>
      <c r="B257" s="1" t="s">
        <v>306</v>
      </c>
      <c r="C257" s="1" t="s">
        <v>308</v>
      </c>
      <c r="D257" s="1" t="s">
        <v>309</v>
      </c>
      <c r="E257" s="2">
        <v>1272.3</v>
      </c>
      <c r="F257" s="2">
        <v>23.507999999999999</v>
      </c>
      <c r="G257" s="2">
        <v>7528.6</v>
      </c>
      <c r="H257" s="2">
        <v>76.793000000000006</v>
      </c>
      <c r="N257" s="2">
        <v>10000</v>
      </c>
    </row>
    <row r="258" spans="1:14">
      <c r="A258" s="19" t="s">
        <v>434</v>
      </c>
      <c r="B258" s="1" t="s">
        <v>435</v>
      </c>
      <c r="C258" s="1" t="s">
        <v>436</v>
      </c>
      <c r="D258" s="1" t="s">
        <v>425</v>
      </c>
      <c r="E258" s="2">
        <v>334.71</v>
      </c>
      <c r="F258" s="2">
        <v>12.579000000000001</v>
      </c>
      <c r="G258" s="2">
        <v>2140.3000000000002</v>
      </c>
      <c r="H258" s="2">
        <v>39.866</v>
      </c>
      <c r="I258" s="4">
        <f>F258/E258</f>
        <v>3.7581787218786418E-2</v>
      </c>
      <c r="J258" s="4">
        <f>H258/G258</f>
        <v>1.8626360790543379E-2</v>
      </c>
      <c r="N258" s="2">
        <v>10000</v>
      </c>
    </row>
    <row r="259" spans="1:14">
      <c r="A259" s="19" t="s">
        <v>434</v>
      </c>
      <c r="B259" s="1" t="s">
        <v>435</v>
      </c>
      <c r="C259" s="1" t="s">
        <v>115</v>
      </c>
      <c r="D259" s="1" t="s">
        <v>425</v>
      </c>
      <c r="E259" s="2">
        <v>264.77</v>
      </c>
      <c r="F259" s="2">
        <v>10.661</v>
      </c>
      <c r="G259" s="2">
        <v>1655.3</v>
      </c>
      <c r="H259" s="2">
        <v>33.140999999999998</v>
      </c>
      <c r="I259" s="4">
        <f>F259/E259</f>
        <v>4.0265135778222612E-2</v>
      </c>
      <c r="J259" s="4">
        <f>H259/G259</f>
        <v>2.002114420346765E-2</v>
      </c>
      <c r="N259" s="2">
        <v>10000</v>
      </c>
    </row>
    <row r="260" spans="1:14">
      <c r="A260" s="19" t="s">
        <v>404</v>
      </c>
      <c r="B260" s="1" t="s">
        <v>432</v>
      </c>
      <c r="C260" s="1" t="s">
        <v>433</v>
      </c>
      <c r="D260" s="1" t="s">
        <v>425</v>
      </c>
      <c r="E260" s="2">
        <v>1401.3</v>
      </c>
      <c r="F260" s="2">
        <v>24.224</v>
      </c>
      <c r="G260" s="2">
        <v>8302.2999999999993</v>
      </c>
      <c r="H260" s="2">
        <v>78.902000000000001</v>
      </c>
      <c r="I260" s="4">
        <f>F260/E260</f>
        <v>1.7286805109541142E-2</v>
      </c>
      <c r="J260" s="4">
        <f>H260/G260</f>
        <v>9.5036315237946121E-3</v>
      </c>
      <c r="N260" s="2">
        <v>8700</v>
      </c>
    </row>
    <row r="261" spans="1:14">
      <c r="A261" s="19" t="s">
        <v>404</v>
      </c>
      <c r="B261" s="1" t="s">
        <v>432</v>
      </c>
      <c r="C261" s="1" t="s">
        <v>115</v>
      </c>
      <c r="D261" s="1" t="s">
        <v>110</v>
      </c>
      <c r="E261" s="2">
        <v>788.9</v>
      </c>
      <c r="F261" s="2">
        <v>16.686</v>
      </c>
      <c r="G261" s="2">
        <v>4697.7</v>
      </c>
      <c r="H261" s="2">
        <v>53.15</v>
      </c>
      <c r="I261" s="4">
        <f>F261/E261</f>
        <v>2.1150969704652047E-2</v>
      </c>
      <c r="J261" s="4">
        <f>H261/G261</f>
        <v>1.1314047299742428E-2</v>
      </c>
      <c r="N261" s="2">
        <v>10000</v>
      </c>
    </row>
  </sheetData>
  <sortState ref="A3:N261">
    <sortCondition ref="A3:A261"/>
  </sortState>
  <mergeCells count="11">
    <mergeCell ref="I1:J1"/>
    <mergeCell ref="K1:K2"/>
    <mergeCell ref="L1:L2"/>
    <mergeCell ref="N1:N2"/>
    <mergeCell ref="A1:A2"/>
    <mergeCell ref="C1:C2"/>
    <mergeCell ref="D1:D2"/>
    <mergeCell ref="E1:F1"/>
    <mergeCell ref="G1:H1"/>
    <mergeCell ref="B1:B2"/>
    <mergeCell ref="M1:M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Individual Data (Boar)</vt:lpstr>
      <vt:lpstr>134Cs backcals</vt:lpstr>
      <vt:lpstr>Cs soil</vt:lpstr>
      <vt:lpstr>Cs Data (Boar)</vt:lpstr>
      <vt:lpstr>'Individual Data (Boar)'!Print_Area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 OKUDA</dc:creator>
  <cp:lastModifiedBy>Hinton</cp:lastModifiedBy>
  <cp:lastPrinted>2018-04-20T01:48:56Z</cp:lastPrinted>
  <dcterms:created xsi:type="dcterms:W3CDTF">2016-07-01T00:09:41Z</dcterms:created>
  <dcterms:modified xsi:type="dcterms:W3CDTF">2019-08-01T21:12:48Z</dcterms:modified>
</cp:coreProperties>
</file>