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renaat_vanwayenberge_student_kuleuven_be/Documents/GIP Rotocasting/Design/"/>
    </mc:Choice>
  </mc:AlternateContent>
  <xr:revisionPtr revIDLastSave="0" documentId="8_{39F720F1-A139-46C4-879C-0BB904012B3A}" xr6:coauthVersionLast="47" xr6:coauthVersionMax="47" xr10:uidLastSave="{00000000-0000-0000-0000-000000000000}"/>
  <bookViews>
    <workbookView xWindow="-110" yWindow="-110" windowWidth="25820" windowHeight="13900" activeTab="3" xr2:uid="{C2AB0591-41DD-4076-A5FB-88A86F4CD7C5}"/>
  </bookViews>
  <sheets>
    <sheet name="BOM" sheetId="1" r:id="rId1"/>
    <sheet name="Al cut list" sheetId="2" r:id="rId2"/>
    <sheet name="Wire cut list" sheetId="3" r:id="rId3"/>
    <sheet name="Cable clips" sheetId="5" r:id="rId4"/>
    <sheet name="Soldering list" sheetId="4" r:id="rId5"/>
  </sheets>
  <definedNames>
    <definedName name="pDFP14054" localSheetId="0">BOM!$C$121</definedName>
    <definedName name="pDFP14086" localSheetId="0">BOM!$C$120</definedName>
    <definedName name="pDFS10080" localSheetId="0">BOM!#REF!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3" l="1"/>
  <c r="I21" i="3"/>
  <c r="I19" i="3"/>
  <c r="I18" i="3"/>
  <c r="I16" i="3"/>
  <c r="I15" i="3"/>
  <c r="F19" i="3"/>
  <c r="E19" i="3"/>
  <c r="E18" i="3"/>
  <c r="F18" i="3"/>
  <c r="I13" i="3"/>
  <c r="I12" i="3"/>
  <c r="E13" i="3"/>
  <c r="E12" i="3"/>
  <c r="A37" i="1"/>
  <c r="H37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4" i="1"/>
  <c r="A5" i="1"/>
  <c r="A6" i="1"/>
  <c r="A7" i="1"/>
  <c r="A8" i="1"/>
  <c r="A9" i="1"/>
  <c r="H152" i="1"/>
  <c r="H11" i="1"/>
  <c r="H22" i="1"/>
  <c r="E9" i="3"/>
  <c r="I9" i="3"/>
  <c r="E10" i="3"/>
  <c r="I10" i="3"/>
  <c r="E7" i="3"/>
  <c r="I7" i="3"/>
  <c r="I6" i="3"/>
  <c r="E6" i="3"/>
  <c r="I3" i="3"/>
  <c r="I4" i="3"/>
  <c r="F2" i="3"/>
  <c r="I2" i="3"/>
  <c r="E4" i="3"/>
  <c r="E3" i="3"/>
  <c r="E2" i="3"/>
  <c r="H13" i="1"/>
  <c r="H14" i="1"/>
  <c r="H40" i="1"/>
  <c r="H131" i="1"/>
  <c r="H71" i="1"/>
  <c r="G66" i="1"/>
  <c r="G61" i="1"/>
  <c r="H72" i="1"/>
  <c r="H55" i="1"/>
  <c r="H137" i="1"/>
  <c r="H36" i="1"/>
  <c r="H124" i="1"/>
  <c r="H122" i="1"/>
  <c r="H123" i="1"/>
  <c r="H125" i="1"/>
  <c r="H126" i="1"/>
  <c r="H127" i="1"/>
  <c r="H128" i="1"/>
  <c r="H129" i="1"/>
  <c r="H130" i="1"/>
  <c r="H132" i="1"/>
  <c r="H134" i="1"/>
  <c r="H135" i="1"/>
  <c r="H136" i="1"/>
  <c r="H139" i="1"/>
  <c r="H140" i="1"/>
  <c r="H141" i="1"/>
  <c r="H143" i="1"/>
  <c r="H144" i="1"/>
  <c r="H145" i="1"/>
  <c r="H146" i="1"/>
  <c r="H147" i="1"/>
  <c r="H148" i="1"/>
  <c r="H149" i="1"/>
  <c r="H150" i="1"/>
  <c r="H151" i="1"/>
  <c r="H153" i="1"/>
  <c r="A154" i="1"/>
  <c r="A10" i="1"/>
  <c r="A155" i="1"/>
  <c r="A156" i="1"/>
  <c r="H87" i="1"/>
  <c r="H105" i="1"/>
  <c r="H102" i="1"/>
  <c r="H103" i="1"/>
  <c r="H104" i="1"/>
  <c r="G101" i="1"/>
  <c r="H101" i="1" s="1"/>
  <c r="H95" i="1"/>
  <c r="H96" i="1"/>
  <c r="H20" i="1"/>
  <c r="H39" i="1"/>
  <c r="H51" i="1"/>
  <c r="H19" i="1"/>
  <c r="H38" i="1"/>
  <c r="H76" i="1"/>
  <c r="H77" i="1"/>
  <c r="H78" i="1"/>
  <c r="H75" i="1"/>
  <c r="G62" i="1"/>
  <c r="G63" i="1"/>
  <c r="G64" i="1"/>
  <c r="G65" i="1"/>
  <c r="G67" i="1"/>
  <c r="G68" i="1"/>
  <c r="H69" i="1"/>
  <c r="H70" i="1"/>
  <c r="C10" i="2" a="1"/>
  <c r="C10" i="2" s="1"/>
  <c r="H110" i="1"/>
  <c r="H50" i="1"/>
  <c r="H49" i="1"/>
  <c r="H48" i="1"/>
  <c r="H47" i="1"/>
  <c r="H53" i="1"/>
  <c r="H46" i="1"/>
  <c r="H45" i="1"/>
  <c r="H21" i="1"/>
  <c r="H26" i="1"/>
  <c r="H118" i="1"/>
  <c r="H32" i="1"/>
  <c r="H31" i="1"/>
  <c r="H88" i="1"/>
  <c r="H89" i="1"/>
  <c r="H121" i="1"/>
  <c r="H35" i="1"/>
  <c r="H109" i="1"/>
  <c r="H108" i="1"/>
  <c r="H107" i="1"/>
  <c r="H117" i="1"/>
  <c r="H84" i="1"/>
  <c r="H100" i="1"/>
  <c r="H82" i="1"/>
  <c r="H10" i="1"/>
  <c r="H113" i="1"/>
  <c r="H94" i="1"/>
  <c r="H116" i="1"/>
  <c r="H93" i="1"/>
  <c r="H92" i="1"/>
  <c r="H86" i="1"/>
  <c r="H85" i="1"/>
  <c r="H29" i="1"/>
  <c r="H30" i="1"/>
  <c r="H12" i="1"/>
  <c r="H43" i="1"/>
  <c r="H44" i="1"/>
  <c r="H79" i="1"/>
  <c r="H83" i="1"/>
  <c r="H9" i="1"/>
  <c r="H17" i="1"/>
  <c r="H18" i="1"/>
  <c r="H25" i="1"/>
  <c r="H6" i="1"/>
  <c r="H5" i="1"/>
  <c r="H4" i="1"/>
  <c r="E120" i="1" l="1"/>
  <c r="E34" i="1"/>
  <c r="E60" i="1"/>
  <c r="E99" i="1"/>
  <c r="E91" i="1"/>
  <c r="E28" i="1"/>
  <c r="E74" i="1"/>
  <c r="H57" i="1"/>
  <c r="E42" i="1"/>
  <c r="E115" i="1"/>
  <c r="E8" i="1"/>
  <c r="E24" i="1"/>
  <c r="E3" i="1"/>
  <c r="E16" i="1"/>
  <c r="E81" i="1"/>
  <c r="E112" i="1"/>
  <c r="I57" i="1" l="1"/>
  <c r="H155" i="1"/>
  <c r="I155" i="1" s="1"/>
  <c r="H157" i="1" l="1"/>
  <c r="H15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tc={97B14A5B-5998-4B91-8726-CD988D18CFA6}</author>
  </authors>
  <commentList>
    <comment ref="L108" authorId="0" shapeId="0" xr:uid="{97B14A5B-5998-4B91-8726-CD988D18CFA6}">
      <text>
        <t>[Threaded comment]
Your version of Excel allows you to read this threaded comment; however, any edits to it will get removed if the file is opened in a newer version of Excel. Learn more: https://go.microsoft.com/fwlink/?linkid=870924
Comment:
    Deze link klopt nier
Reply:
    gefikst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<sst xmlns="http://schemas.openxmlformats.org/spreadsheetml/2006/main" count="576" uniqueCount="440">
  <si>
    <t>item nr</t>
  </si>
  <si>
    <t>Category</t>
  </si>
  <si>
    <t>Part</t>
  </si>
  <si>
    <t>Supplier Part #</t>
  </si>
  <si>
    <t>Number</t>
  </si>
  <si>
    <t># needed</t>
  </si>
  <si>
    <t>Cost/Article</t>
  </si>
  <si>
    <t>Total cost</t>
  </si>
  <si>
    <t>Supplier</t>
  </si>
  <si>
    <t>Date of order</t>
  </si>
  <si>
    <t>Date of arrival</t>
  </si>
  <si>
    <t>Link</t>
  </si>
  <si>
    <t>Idx</t>
  </si>
  <si>
    <t>Electrical</t>
  </si>
  <si>
    <t>Interface</t>
  </si>
  <si>
    <t>Rotary push button</t>
  </si>
  <si>
    <t>Farnell</t>
  </si>
  <si>
    <t>https://be.farnell.com/bourns/pec11l-4120f-s0020/encoder-quadrature-20ppr-60rpm/dp/4014825</t>
  </si>
  <si>
    <t>Oled screen .95"</t>
  </si>
  <si>
    <t>LCD screen</t>
  </si>
  <si>
    <t>2436023 - 62</t>
  </si>
  <si>
    <t>Conrad</t>
  </si>
  <si>
    <t>https://www.conrad.be/nl/p/joy-it-lc-display-wit-blauw-128-x-64-pixel-b-x-h-x-d-93-x-70-x-12-mm-2436023.html</t>
  </si>
  <si>
    <t xml:space="preserve">Safety </t>
  </si>
  <si>
    <t>Door limit switch</t>
  </si>
  <si>
    <t>DEL00005</t>
  </si>
  <si>
    <t>123-3D</t>
  </si>
  <si>
    <t>https://www.123-3d.nl/123-3D-Microswitch-eindstop-met-1-meter-kabel-i1725-t324.html</t>
  </si>
  <si>
    <t>https://www.123-3d.nl/123-3D-Microswitch-eindstop-i974-t324.html</t>
  </si>
  <si>
    <t>E-stop</t>
  </si>
  <si>
    <t>2748226</t>
  </si>
  <si>
    <t>https://be.farnell.com/multicomp-pro/mca20l-v4e10q7r/emergency-stop-sw-spst-no-120v/dp/2748226</t>
  </si>
  <si>
    <t>https://benl.rs-online.com/web/p/emergency-stop-push-buttons/0102713</t>
  </si>
  <si>
    <t>Actual E-stop</t>
  </si>
  <si>
    <t>704622 - 62</t>
  </si>
  <si>
    <t>https://www.conrad.be/nl/p/tru-components-las0-a3y-11ts-noodstopschakelaar-250-v-ac-5-a-1x-nc-1x-no-ip40-1-stuk-s-704622.html</t>
  </si>
  <si>
    <t>Resettable fuse for heater</t>
  </si>
  <si>
    <t>2786604</t>
  </si>
  <si>
    <t>farnell</t>
  </si>
  <si>
    <t>https://nl.farnell.com/littelfuse/ahef750/fuse-resettable-ptc-32vdc-7-5a/dp/2786604</t>
  </si>
  <si>
    <t>Fuse holder 20A</t>
  </si>
  <si>
    <t>RS Components</t>
  </si>
  <si>
    <t>https://benl.rs-online.com/web/p/fuse-blocks/1884617?gb=s</t>
  </si>
  <si>
    <t>Car fuse for heater 20A</t>
  </si>
  <si>
    <t>787-4151P</t>
  </si>
  <si>
    <t>https://benl.rs-online.com/web/p/car-fuses/7874151P?gb=s</t>
  </si>
  <si>
    <t xml:space="preserve">Heating </t>
  </si>
  <si>
    <t>Heater + fan</t>
  </si>
  <si>
    <t>B07Y24KVPQ</t>
  </si>
  <si>
    <t>Amazon NL</t>
  </si>
  <si>
    <t>https://www.amazon.nl/Constante-Temperatuur-PTC-ventilator-Autoverwarmer-Ruimteverwarmingsincubator/dp/B07YTL7DFK/ref=sr_1_1_sspa?__mk_nl_NL=%C3%85M%C3%85%C5%BD%C3%95%C3%91&amp;crid=1TR0KE2QXSLJZ&amp;dib=eyJ2IjoiMSJ9.pvnClPnLws-u_bsUOVUQTZ4jmJ-TvV5ScNRrYnlUnte4GOH7t6-EXs2cL6TlgtfOdq5dc_uTFBsSKhC5Tj8GA_ro3PvoqQl7X47_RzE4w0Xw6czLmJn3dP40bWxskKVXQe_-zHjKDviM16juQSyAm_ptnCiOoP1CZhu-upSWqg5uoFgC6mdtSrw4LivADBVjc6Ai72V9TKA7maU94mcmIFZqrQvhI2ZxyG5wB36TVqGa64kN6MXDMg80PiWhrErdMJNX7Vl0bfrMl2Lts4h0dpIFWhkPJp2cmDHEf72wWbE.BVou4Sfa7zl42RAhmwDUC3EiUcBYqfOk9aKWsuMjYi0&amp;dib_tag=se&amp;keywords=PTC%2Bheater%2B24V%2B250W&amp;qid=1743150377&amp;sprefix=ptc%2Bheater%2B24v%2B250w%2Caps%2C112&amp;sr=8-1-spons&amp;sp_csd=d2lkZ2V0TmFtZT1zcF9hdGY&amp;th=1</t>
  </si>
  <si>
    <t>Thermo sensor (thermistor)</t>
  </si>
  <si>
    <t>4128286</t>
  </si>
  <si>
    <t xml:space="preserve">https://be.farnell.com/molex/218534-3617/thermistor-ntc-3600k-10-kohm/dp/4128286 </t>
  </si>
  <si>
    <t>Heat sink TO-220</t>
  </si>
  <si>
    <t xml:space="preserve">
189-9132</t>
  </si>
  <si>
    <t>https://benl.rs-online.com/web/p/heatsinks/1899132?cm_mmc=BE-PLA-DS3A-_-google-_-CSS_BENL_NL_Pmax_1224-_--_-1899132&amp;matchtype=&amp;&amp;gad_source=1&amp;gclid=CjwKCAjwnPS-BhBxEiwAZjMF0tOVM1zMlBN9Eh9_hYlQbIdCWJ-x74gsZwYpB6l3Nd-Iql0-RD7FihoC6z0QAvD_BwE&amp;gclsrc=aw.ds</t>
  </si>
  <si>
    <t>Heat sink Pico</t>
  </si>
  <si>
    <t>3133389 - 62</t>
  </si>
  <si>
    <t>https://www.conrad.be/nl/p/joy-it-rb-heatsink-b-koellichaamset-geschikt-voor-serie-raspberry-pi-banana-pi-asus-tinker-board-radxa-zwart-3133389.html</t>
  </si>
  <si>
    <t>Pico cooling fan</t>
  </si>
  <si>
    <t>1720600 - 62</t>
  </si>
  <si>
    <t>https://www.conrad.be/nl/p/joy-it-sbc-fan-303010-actieve-ventilator-geschikt-voor-serie-raspberry-pi-rock-pi-banana-pi-zwart-1720600.html</t>
  </si>
  <si>
    <t>Electronics cooling fan</t>
  </si>
  <si>
    <t>DMO00037</t>
  </si>
  <si>
    <t>https://www.123-3d.nl/123-3D-Ventilator-24V-50x50x12-mm-axiaal-i2705-t15055.html</t>
  </si>
  <si>
    <t>https://www.tinytronics.nl/nl/mechanica-en-actuatoren/motoraansturingen-en-drivers/stappen-motoraansturingen-en-drivers/bigtreetech-tmc2130-v3.0-stappenmotordriver-module-spi</t>
  </si>
  <si>
    <t>Compute</t>
  </si>
  <si>
    <t>Stepper driver</t>
  </si>
  <si>
    <t>https://www.123-3d.nl/BigTreeTech-TMC2130-Stappendriver-1-256-stap-interpolatie-v3-0-SPI-1020000132-ZZB000296-i8343-t332.html</t>
  </si>
  <si>
    <t>Raspberry Pi Pico</t>
  </si>
  <si>
    <t>3643332</t>
  </si>
  <si>
    <t>https://be.farnell.com/raspberry-pi/raspberry-pi-pico/raspberry-pi-32bit-arm-cortex/dp/3643332</t>
  </si>
  <si>
    <t>Power</t>
  </si>
  <si>
    <t>Main power supply (220AC -&gt; 24DC)</t>
  </si>
  <si>
    <t>B077CK3NXY</t>
  </si>
  <si>
    <t>Amazon BE</t>
  </si>
  <si>
    <t>https://www.amazon.com.be/-/nl/industri%C3%ABle-omvormer-elektrische-printer-verwarming/dp/B077CK3NXY/ref=ci_mcx_mr_mp_m_d_sccl_2_3/257-1038235-8020112?pd_rd_w=X6pLZ&amp;content-id=amzn1.sym.d0a627f1-5f2b-416e-9811-23054f32bd99:amzn1.symc.15cbde64-36a4-47c6-b315-5d1a0d7227bc&amp;pf_rd_p=d0a627f1-5f2b-416e-9811-23054f32bd99&amp;pf_rd_r=FZP98JZN301YAY0YW4YV&amp;pd_rd_wg=E7uPI&amp;pd_rd_r=4373e471-8dfd-4aa1-ace3-c89839aea63c&amp;pd_rd_i=B077CK3NXY&amp;psc=1</t>
  </si>
  <si>
    <t>Arduino power supply (24DC -&gt; 5 DC)</t>
  </si>
  <si>
    <t>DAR00071</t>
  </si>
  <si>
    <t>https://www.123-3d.nl/123-3D-Step-down-DC-DC-converter-3-2-40-V-DC-naar-1-25-35-V-DC-2-A-i3869-t13129.html</t>
  </si>
  <si>
    <t>IEC C14 power socket with fuse &amp; switch</t>
  </si>
  <si>
    <t>501638 - 62</t>
  </si>
  <si>
    <t>https://www.conrad.be/nl/p/501638-apparaatstekker-koud-stekker-inbouw-verticaal-totaal-aantal-polen-2-pe-10-a-zwart-1-stuk-s-501638.html</t>
  </si>
  <si>
    <t>Power cable 2m EU socket to IEC C13</t>
  </si>
  <si>
    <t>2521346 - 62</t>
  </si>
  <si>
    <t>https://www.conrad.be/nl/p/sygonix-sy-5042692-apparaat-koud-aansluitkabel-zwart-2-00-m-2521346.html</t>
  </si>
  <si>
    <t>PCB</t>
  </si>
  <si>
    <t>n mosfet IRLZ44N</t>
  </si>
  <si>
    <t>162877 - 62</t>
  </si>
  <si>
    <t>https://www.conrad.be/nl/p/infineon-technologies-irlz44npbf-mosfet-1-hexfet-110-w-to-220-162877.html</t>
  </si>
  <si>
    <t>n mosfet IRL3705NPBF</t>
  </si>
  <si>
    <t>162784 - 62</t>
  </si>
  <si>
    <t>https://www.conrad.nl/nl/p/infineon-technologies-irl3705npbf-mosfet-1-n-kanaal-170-w-to-220-162784.html</t>
  </si>
  <si>
    <t>n mosfet IRLB3034PBF  Low RdsOn</t>
  </si>
  <si>
    <t>161162 - 62</t>
  </si>
  <si>
    <t>https://www.conrad.be/nl/p/infineon-technologies-irlb3034pbf-mosfet-1-n-kanaal-375-w-to-220ab-161162.html?utm_source=google&amp;utm_medium=cpc&amp;utm_campaign=BE+-+PMAX+-+Brand&amp;utm_id=21358191538&amp;gad_source=1&amp;gclid=CjwKCAjwzMi_BhACEiwAX4YZUAXjmhocT1ogGrx9d_yzuMkfIC158Jcr6PK4UiWBwvKE5F8Pl62NrRoCGgIQAvD_BwE</t>
  </si>
  <si>
    <t>100nF 0603 capacitors</t>
  </si>
  <si>
    <t>257-1091</t>
  </si>
  <si>
    <t>https://benl.rs-online.com/web/p/mlccs-multilayer-ceramic-capacitors/2571091?gb=s</t>
  </si>
  <si>
    <t>10k 0603 resistors</t>
  </si>
  <si>
    <t>199-1659</t>
  </si>
  <si>
    <t>https://benl.rs-online.com/web/p/surface-mount-resistors/1991659?gb=s</t>
  </si>
  <si>
    <t>LED Strip 1m, 24VDC, Natural White</t>
  </si>
  <si>
    <t>AliExpress</t>
  </si>
  <si>
    <t>https://www.aliexpress.com/item/1005005576519990.html?spm=a2g0o.cart.0.0.152e378diVtk2s&amp;mp=1&amp;pdp_npi=5%40dis%21EUR%21EUR+4.14%21EUR+3.91%21%21%21%21%21%40210388c917429871288342292ef046%2112000033613706291%21ct%21BE%213556074561%21%211%210&amp;gatewayAdapt=glo2fra</t>
  </si>
  <si>
    <t>Connectors</t>
  </si>
  <si>
    <t>Female header (40 pins)</t>
  </si>
  <si>
    <t>1303521 - 62</t>
  </si>
  <si>
    <t>https://www.conrad.be/nl/p/econ-connect-female-header-standaard-aantal-rijen-1-aantal-polen-per-rij-40-bl40-1g8-1-stuk-s-1303521.html</t>
  </si>
  <si>
    <t>Male header (30 pins)</t>
  </si>
  <si>
    <t>1390106 - 62</t>
  </si>
  <si>
    <t>https://www.conrad.be/nl/p/connfly-male-header-standaard-aantal-rijen-1-aantal-polen-per-rij-30-ds1021-1-30sf11-1-stuk-s-1390106.html</t>
  </si>
  <si>
    <t>JST XH 4p Male 2.5mm</t>
  </si>
  <si>
    <t>820-1551</t>
  </si>
  <si>
    <t>https://benl.rs-online.com/web/p/pcb-headers/8201551?gb=s</t>
  </si>
  <si>
    <t>JST XH 4p Female 2.5mm</t>
  </si>
  <si>
    <t>820-1618</t>
  </si>
  <si>
    <t>https://benl.rs-online.com/web/p/wire-housings-plugs/8201618?gb=s</t>
  </si>
  <si>
    <t>JST XH 5p Male 2.5mm</t>
  </si>
  <si>
    <t>820-1560</t>
  </si>
  <si>
    <t>https://benl.rs-online.com/web/p/pcb-headers/8201560?gb=s</t>
  </si>
  <si>
    <t>JST XH 5p Female 2.5mm</t>
  </si>
  <si>
    <t>820-1627</t>
  </si>
  <si>
    <t>https://benl.rs-online.com/web/p/wire-housings-plugs/8201627?gb=s</t>
  </si>
  <si>
    <t>JST XH 2p Male 2.5mm</t>
  </si>
  <si>
    <t>820-1554</t>
  </si>
  <si>
    <t>https://benl.rs-online.com/web/p/pcb-headers/8201554?gb=s</t>
  </si>
  <si>
    <t>JST XH 2p Female 2.5mm</t>
  </si>
  <si>
    <t>820-1611</t>
  </si>
  <si>
    <t>https://benl.rs-online.com/web/p/wire-housings-plugs/8201611?gb=s</t>
  </si>
  <si>
    <t>High Current Terminal Block</t>
  </si>
  <si>
    <t>790-1064</t>
  </si>
  <si>
    <t>https://benl.rs-online.com/web/p/pcb-terminal-blocks/7901064?gb=s</t>
  </si>
  <si>
    <t>JST XH Female Crimp</t>
  </si>
  <si>
    <t>373-4188</t>
  </si>
  <si>
    <t>https://benl.rs-online.com/web/p/crimp-contacts/3734188?gb=s</t>
  </si>
  <si>
    <t>Thick current wires</t>
  </si>
  <si>
    <t xml:space="preserve">
</t>
  </si>
  <si>
    <t>18 AWG Ferrules (to crimp wire ends)</t>
  </si>
  <si>
    <t>2758836</t>
  </si>
  <si>
    <t>https://be.farnell.com/en-BE/wago/216-203/terminal-wire-ferrule-18awg-red/dp/2758836</t>
  </si>
  <si>
    <t>subtotal (incl btw)</t>
  </si>
  <si>
    <t>Mechanical</t>
  </si>
  <si>
    <t>Frame</t>
  </si>
  <si>
    <t>20x20 Aluminium extrusion 575 mm</t>
  </si>
  <si>
    <t>Aluxprofile</t>
  </si>
  <si>
    <t xml:space="preserve">https://www.aluxprofile.com/aluminium-slot-profile-2020-v-slot/a3663?filter=38 </t>
  </si>
  <si>
    <t>20x20 Aluminium extrusion 630 mm</t>
  </si>
  <si>
    <t>https://www.aluxprofile.com/aluminium-slot-profile-2020-v-slot/a3663?filter=39</t>
  </si>
  <si>
    <t>20x20 Aluminium extrusion 510 mm</t>
  </si>
  <si>
    <t>https://www.aluxprofile.com/aluminium-slot-profile-2020-v-slot/a3663?filter=40</t>
  </si>
  <si>
    <t>20x20 Aluminium extrusion 530 mm</t>
  </si>
  <si>
    <t>https://www.aluxprofile.com/aluminium-slot-profile-2020-v-slot/a3663?filter=41</t>
  </si>
  <si>
    <t>20x20 Aluminium extrusion 313 mm</t>
  </si>
  <si>
    <t>https://www.aluxprofile.com/aluminium-slot-profile-2020-v-slot/a3663?filter=42</t>
  </si>
  <si>
    <t>20x20 Aluminium extrusion 365 mm</t>
  </si>
  <si>
    <t>https://www.aluxprofile.com/aluminium-slot-profile-2020-v-slot/a3663?filter=43</t>
  </si>
  <si>
    <t>20x20 Aluminium extrusion 501 mm</t>
  </si>
  <si>
    <t>https://www.aluxprofile.com/aluminium-slot-profile-2020-v-slot/a3663?filter=44</t>
  </si>
  <si>
    <t>20x20 Aluminium extrusion 383 mm</t>
  </si>
  <si>
    <t>https://www.aluxprofile.com/aluminium-slot-profile-2020-v-slot/a3663?filter=45</t>
  </si>
  <si>
    <t>Loctite blue 5ml</t>
  </si>
  <si>
    <t>442-3413</t>
  </si>
  <si>
    <t>https://benl.rs-online.com/web/p/thread-lock/4423413?gb=s</t>
  </si>
  <si>
    <t>Adjustable feet</t>
  </si>
  <si>
    <t>531001</t>
  </si>
  <si>
    <t>Misumi</t>
  </si>
  <si>
    <t>https://uk.misumi-ec.com/vona2/detail/221006483028/?CategorySpec=00000250704%3A%3Ab%0900000250727%3A%3Amig00000002325857&amp;list=PageCategory</t>
  </si>
  <si>
    <t>Slot covers 5m</t>
  </si>
  <si>
    <t>DFC00177</t>
  </si>
  <si>
    <t>est ~23m</t>
  </si>
  <si>
    <t xml:space="preserve">https://www.123-3d.nl/123-3D-Slot-cover-6-mm-voor-2020-profiel-Grijs-1-meter-i7488-t14575.html </t>
  </si>
  <si>
    <t>End caps 10pc</t>
  </si>
  <si>
    <t>DFC00108</t>
  </si>
  <si>
    <t>https://www.123-3d.nl/123-3D-Afdekkap-t-b-v-aluminium-profiel-20x20-10-stuks-123-3D-huismerk-091042S05-091332-i5256-t14575.html</t>
  </si>
  <si>
    <t>Axles &amp; bearings</t>
  </si>
  <si>
    <t>8mm precision rod 110 mm</t>
  </si>
  <si>
    <t>PSFG8-110</t>
  </si>
  <si>
    <t>https://uk.misumi-ec.com/vona2/detail/110302634310/?CategorySpec=00000004017%3A%3Amig00000002330227%0900000146752%3A%3Aa%0900000146753%3A%3Aa%0900000146755%3A%3Aa</t>
  </si>
  <si>
    <t>8mm precision rod 86 mm</t>
  </si>
  <si>
    <t>PSFG8-86</t>
  </si>
  <si>
    <t>8mm precision rod 66 mm</t>
  </si>
  <si>
    <t>PSFG8-66</t>
  </si>
  <si>
    <t>8mm precision rod 87 mm</t>
  </si>
  <si>
    <t>PSFG8-87</t>
  </si>
  <si>
    <t>KFL8 bearing flange block x2</t>
  </si>
  <si>
    <t>DFC00077</t>
  </si>
  <si>
    <t xml:space="preserve">https://www.123-3d.nl/123-3D-KFL8-lager-as-bevestiging-2-stuks-i3512-t13814.html </t>
  </si>
  <si>
    <t>Belts &amp; pulleys</t>
  </si>
  <si>
    <t>GT2 pulley 60t 8mm bore 9mm belt</t>
  </si>
  <si>
    <t>DME00112</t>
  </si>
  <si>
    <t>https://www.123-3d.nl/123-3D-GT2-Pulley-hoge-resolutie-9-mm-riem-60-tanden-8-mm-as-i2573-t14819.html</t>
  </si>
  <si>
    <t>GT2 pulley 20t 8mm bore 9mm belt</t>
  </si>
  <si>
    <t>DME00069</t>
  </si>
  <si>
    <t>https://www.123-3d.nl/123-3D-GT2-Pulley-hoge-resolutie-9-mm-riem-20-tanden-8-mm-as-i2306-t14819.html</t>
  </si>
  <si>
    <t>GT2 pulley 20t 5mm bore 9mm belt</t>
  </si>
  <si>
    <t>DME00068</t>
  </si>
  <si>
    <t>https://www.123-3d.nl/123-3D-GT2-Pulley-hoge-resolutie-9-mm-riem-20-tanden-5-mm-as-i2305-t14815.html</t>
  </si>
  <si>
    <t>GT2 belt 9mm 726mm</t>
  </si>
  <si>
    <t>GBN7262GT-90</t>
  </si>
  <si>
    <t>https://uk.misumi-ec.com/vona2/detail/110302190510/?CategorySpec=00000005696%3A%3Aag%0900000005697%3A%3Amig00000002018336</t>
  </si>
  <si>
    <t>GT2 belt 9mm 1078mm</t>
  </si>
  <si>
    <t>1078-2GT-9</t>
  </si>
  <si>
    <t>https://uk.misumi-ec.com/vona2/detail/221004924958/?CategorySpec=00000005696%3A%3Aag%0900000005697%3A%3Amig00000002018336&amp;list=PageCategory</t>
  </si>
  <si>
    <t>GT2 belt 10mm 1040mm</t>
  </si>
  <si>
    <t>9mm/1040-2GT/1st</t>
  </si>
  <si>
    <t>https://nl.aliexpress.com/item/32299384151.html?spm=a2g0o.productlist.main.9.34382b0asiusCO&amp;algo_pvid=1836cb36-7eb1-4966-a45d-8d4136c54829&amp;algo_exp_id=1836cb36-7eb1-4966-a45d-8d4136c54829-4&amp;pdp_ext_f=%7B%22order%22%3A%2272%22%2C%22eval%22%3A%221%22%7D&amp;pdp_npi=4%40dis%21EUR%212.34%212.34%21%21%212.47%212.47%21%40211b615317429972649241805ec6b4%2110000003969762800%21sea%21BE%213556074561%21X&amp;curPageLogUid=R1AIa9U5Uo5a&amp;utparam-url=scene%3Asearch%7Cquery_from%3A</t>
  </si>
  <si>
    <t>Flanged bearing 606HZZ1</t>
  </si>
  <si>
    <t>F606-H-ZZ1</t>
  </si>
  <si>
    <t>https://uk.misumi-ec.com/vona2/detail/221000531116/?CategorySpec=00000196538%3A%3Ag%0900000196585%3A%3Amig00000001999158&amp;list=PageCategory</t>
  </si>
  <si>
    <t>Eye bolt M6x50</t>
  </si>
  <si>
    <t>K1418.0650</t>
  </si>
  <si>
    <t xml:space="preserve">https://uk.misumi-ec.com/vona2/detail/221303930205/?KWSearch=eye+bolt&amp;searchFlow=results2products </t>
  </si>
  <si>
    <t>Plate system</t>
  </si>
  <si>
    <t>U-channel  15x15x2</t>
  </si>
  <si>
    <t>HFHC1515-2-270</t>
  </si>
  <si>
    <t xml:space="preserve">https://uk.misumi-ec.com/vona2/detail/110300467020/?KWSearch=u+channel&amp;searchFlow=results2products </t>
  </si>
  <si>
    <t>Tight-Hold Draw Latch</t>
  </si>
  <si>
    <t>1794A51</t>
  </si>
  <si>
    <t>Mc Master</t>
  </si>
  <si>
    <t xml:space="preserve">https://www.mcmaster.com/1794A51/ </t>
  </si>
  <si>
    <t>PC plate 350x300x6 mm</t>
  </si>
  <si>
    <t>Kunststofplaten.be</t>
  </si>
  <si>
    <t>https://kunststofplaten.be/product/helder-polycarbonaat-6-mm/</t>
  </si>
  <si>
    <t>Nylon Plastic Adjustable Handle</t>
  </si>
  <si>
    <t>6324K11</t>
  </si>
  <si>
    <t>https://www.mcmaster.com/6324K11-6324K111/</t>
  </si>
  <si>
    <t>Knurled bolt plastic M4</t>
  </si>
  <si>
    <t xml:space="preserve">https://uk.misumi-ec.com/vona2/detail/221005517968/?CategorySpec=00000240939%3A%3Aa%0900000240943%3A%3Amig00000002024909%0900000241543%3A%3Amig00000001997981&amp;list=PageCategory </t>
  </si>
  <si>
    <t>Enclosure</t>
  </si>
  <si>
    <t>PE-HD plate 3mm 630x615</t>
  </si>
  <si>
    <t xml:space="preserve">https://kunststofplaten.be/product/hdpe-zwart-3-mm/ </t>
  </si>
  <si>
    <t>PE-HD plate 3mm 630x550</t>
  </si>
  <si>
    <t>PE-HD plate 3mm 615x550</t>
  </si>
  <si>
    <t>PE-HD plate 3mm 613x548</t>
  </si>
  <si>
    <t>PE-HD plate 3mm 615x100</t>
  </si>
  <si>
    <t>PE-HD plate 3mm 548x215</t>
  </si>
  <si>
    <t>PC plate 4mm 615x550</t>
  </si>
  <si>
    <t>https://kunststofplaten.be/product/helder-polycarbonaat-4-mm/</t>
  </si>
  <si>
    <t>Magnetic door catch</t>
  </si>
  <si>
    <t>C-92-1</t>
  </si>
  <si>
    <t>https://uk.misumi-ec.com/vona2/detail/221004904866/?CategorySpec=00000006168%3A%3Aa%0900000006174%3A%3Amig00000002059903%2Cmig00000002062958%2Cmig00000002062976&amp;list=PageCategory</t>
  </si>
  <si>
    <t>Door handle</t>
  </si>
  <si>
    <t>HHDS122</t>
  </si>
  <si>
    <t>https://uk.misumi-ec.com/vona2/detail/110302595630/?CategorySpec=00000242963%3A%3Aa%0900000242983%3A%3Ab%2Cc&amp;list=PageCategory</t>
  </si>
  <si>
    <t>Foam tape</t>
  </si>
  <si>
    <t>207-744</t>
  </si>
  <si>
    <t xml:space="preserve">https://benl.rs-online.com/web/p/foam-tapes/0207744 </t>
  </si>
  <si>
    <t>Motors</t>
  </si>
  <si>
    <t>Nema 17 High torque</t>
  </si>
  <si>
    <t>17HE24-2104S</t>
  </si>
  <si>
    <t>StepperOnline</t>
  </si>
  <si>
    <t>https://www.omc-stepperonline.com/nl/e-serie-nema-17-stappenmotor-1-8deg-60ncm-84-97oz-in-2-1a-42x42x60mm-4-draden-17he24-2104s</t>
  </si>
  <si>
    <t>3D printing</t>
  </si>
  <si>
    <t>PC 275 Traffic Black 1kg</t>
  </si>
  <si>
    <t>SPC-80946</t>
  </si>
  <si>
    <t xml:space="preserve">https://www.3djake.be/nl-BE/spectrum/pc-275-traffic-black?sai=28335 </t>
  </si>
  <si>
    <t>eASA Black 1kg</t>
  </si>
  <si>
    <t>ESUNCN-ASA175B1Y1</t>
  </si>
  <si>
    <t xml:space="preserve">https://www.3djake.be/nl-BE/esun/easa-black?sai=11871 </t>
  </si>
  <si>
    <t>Heat set insert M4x4</t>
  </si>
  <si>
    <t>BRM4-4.1</t>
  </si>
  <si>
    <t xml:space="preserve">https://uk.misumi-ec.com/vona2/detail/221005351346/?CategorySpec=00000230768%3A%3Amig00000002024113%0900000230906%3A%3Ag&amp;list=PageCategory </t>
  </si>
  <si>
    <t>Fasteners</t>
  </si>
  <si>
    <t>Socket button head screw M6x16</t>
  </si>
  <si>
    <t>ISO 7380-M6x16 BLACK</t>
  </si>
  <si>
    <t>https://www.aluxprofile.com/hexagon-socket-button-head-screw-iso-7380-m6x16-black/a3863?filter=58%2C24</t>
  </si>
  <si>
    <t>Socket button head screw M6x10</t>
  </si>
  <si>
    <t>CSHBTAN-ST-M6-16</t>
  </si>
  <si>
    <t xml:space="preserve">https://uk.misumi-ec.com/vona2/detail/221005020282/?CategorySpec=00000230757%3A%3Amig00000002043267%0900000230831%3A%3Amig00000002043272&amp;list=PageCategory </t>
  </si>
  <si>
    <t xml:space="preserve">Socket button head screw M5x8 </t>
  </si>
  <si>
    <t>CSHBTAN-ST-M5-8</t>
  </si>
  <si>
    <t>Socket button head screw M5x16</t>
  </si>
  <si>
    <t>CSHBTHT-ST-M5-16</t>
  </si>
  <si>
    <t>https://uk.misumi-ec.com/vona2/detail/221005020293/?CategorySpec=00000230597%3A%3Aa%0900000230757%3A%3Amig00000002043275%0900000230831%3A%3Amig00000002043278&amp;list=PageCategory</t>
  </si>
  <si>
    <t>Socket button head screw M5x14</t>
  </si>
  <si>
    <t>CSHBTHT-ST-M5-14</t>
  </si>
  <si>
    <t>Socket button head screw M4x40</t>
  </si>
  <si>
    <t>CSHBTHT-ST-M4-40</t>
  </si>
  <si>
    <t>Button Bolt with Hex Socket Head SSS Standard from TOKOSHA K | MISUMI</t>
  </si>
  <si>
    <t>Socket button head screw M4x14</t>
  </si>
  <si>
    <t>CSHBTAN-ST-M4-14</t>
  </si>
  <si>
    <t>Button Bolt with Hex Head Socket JIS-B1174 from NISSAN SCREW | MISUMI</t>
  </si>
  <si>
    <t>Socket button head screw M4x6</t>
  </si>
  <si>
    <t>CSHBTAN-ST-M4-6</t>
  </si>
  <si>
    <t>Socket button head screw M3x8</t>
  </si>
  <si>
    <t>CSHBTAN-ST-M3-8</t>
  </si>
  <si>
    <t>Socket button head screw M3x10</t>
  </si>
  <si>
    <t>CSHBTAN-ST-M3-10</t>
  </si>
  <si>
    <t>Socket button head screw M3x16</t>
  </si>
  <si>
    <t>CSHBT-SUS-M3-16</t>
  </si>
  <si>
    <t>https://uk.misumi-ec.com/vona2/detail/221000551174/?CategorySpec=00000230757%3A%3Amig00000002043275%0900000230831%3A%3Amig00000002043263&amp;list=PageCategory</t>
  </si>
  <si>
    <t>Socket button head screw M3x40</t>
  </si>
  <si>
    <t>CSHBTHT-ST-M3-40</t>
  </si>
  <si>
    <t>Socket head cap screw M6x50</t>
  </si>
  <si>
    <t>CSH-ST-M6-50</t>
  </si>
  <si>
    <t>Hexagonal Socket Head Bolt (All Screws / Partial Thread Screw) [7 Types of Materials, 21 Types of Surface Treatment] from SUNCO | MISUMI</t>
  </si>
  <si>
    <t>Socket head cap screw M4x25</t>
  </si>
  <si>
    <t>Cheese head screw according to DIN 912 from BOELLHOFF | MISUMI</t>
  </si>
  <si>
    <t>Socket head cap screw M2x10</t>
  </si>
  <si>
    <t>CSH-ST-M2-10</t>
  </si>
  <si>
    <t>Socket head cap screw M2x5</t>
  </si>
  <si>
    <t>CSHH-ST-M2-5</t>
  </si>
  <si>
    <t>Hex Socket Head Bolt CSHH / CSHHL from TOKOSHA K | MISUMI</t>
  </si>
  <si>
    <t>Socket countersunk head screw M5x16</t>
  </si>
  <si>
    <t>CSHCSHT-ST-M5-16</t>
  </si>
  <si>
    <t>Flat Head Bolt with Hex Socket SSS Standard from TOKOSHA K | MISUMI</t>
  </si>
  <si>
    <t>Socket countersunk head screw M3x5</t>
  </si>
  <si>
    <t>CSHCSHT-ST-M3-5</t>
  </si>
  <si>
    <t>Socket countersunk head screw M3x12</t>
  </si>
  <si>
    <t>CSHCSHT-ST-M3-12</t>
  </si>
  <si>
    <t>Prevailing torque nut M6</t>
  </si>
  <si>
    <t>FNTLN-STU-M6</t>
  </si>
  <si>
    <t>Flange Nylon Nut from SUNCO | MISUMI</t>
  </si>
  <si>
    <t>Hex thin nut M3</t>
  </si>
  <si>
    <t>004394129030000</t>
  </si>
  <si>
    <t>DIN 439 Hexagon nuts from REYHER | MISUMI</t>
  </si>
  <si>
    <t>Square thin nut M5</t>
  </si>
  <si>
    <t>TBN-STC-M5</t>
  </si>
  <si>
    <t>Bar Nuts from OKAMURA WORKS | MISUMI</t>
  </si>
  <si>
    <t>Square thin nut M4</t>
  </si>
  <si>
    <t>TBN-STU-M4</t>
  </si>
  <si>
    <t xml:space="preserve">https://uk.misumi-ec.com/vona2/detail/221000545155/?CategorySpec=00000232425%3A%3Amig00000002020528&amp;list=PageCategory </t>
  </si>
  <si>
    <t>Slide-in T-slot nut M4</t>
  </si>
  <si>
    <t>6-3-M4</t>
  </si>
  <si>
    <t xml:space="preserve">https://www.aluxprofile.com/slide-in-t-slot-nut-t-slot-6-m4/a3565?filter=38 </t>
  </si>
  <si>
    <t>Slide-in T-slot nut M5</t>
  </si>
  <si>
    <t>6-3-M5</t>
  </si>
  <si>
    <t>Slide-in T-slot nut, T-slot 6 M5 | Aluxprofile.com</t>
  </si>
  <si>
    <t>Hammer T-slot nut M5</t>
  </si>
  <si>
    <t>6-1-M5</t>
  </si>
  <si>
    <t>Hammer nut T-slot 6 M5 | Aluxprofile.com</t>
  </si>
  <si>
    <t>Hammer T-slot nut M4</t>
  </si>
  <si>
    <t>6-1-M4</t>
  </si>
  <si>
    <t>Hammer nut, T-slot 6 M4 | Aluxprofile.com</t>
  </si>
  <si>
    <t>Hammer T-slot nut M3</t>
  </si>
  <si>
    <t>6-1-M3</t>
  </si>
  <si>
    <t>Hammer nut, T-slot 6 M3 | Aluxprofile.com</t>
  </si>
  <si>
    <t>20 Hammer T-slot nut M3</t>
  </si>
  <si>
    <t>DFC00031</t>
  </si>
  <si>
    <t>https://www.123-3d.nl/123-3D-Glijmoer-M3-t-b-v-aluminium-2020-profiel-20-stuks-123-3D-huismerk-i2059-t14575.html?gad_source=1&amp;gclid=CjwKCAjw47i_BhBTEiwAaJfPpkbIT0mOYjVfLLbk7biktvvSuaQjctt-YtzfGWZ_bo_LK1n5-T_uQxoCoEAQAvD_BwE</t>
  </si>
  <si>
    <t>Plain washer small M6x0.8mm</t>
  </si>
  <si>
    <t>WSJS-SUSTBS-M6</t>
  </si>
  <si>
    <t>https://uk.misumi-ec.com/vona2/detail/221000552007/?CategorySpec=00000230651%3A%3Aa%0900000230734%3A%3Amig00000002024164&amp;list=PageCategory</t>
  </si>
  <si>
    <t>Total (incl btw)</t>
  </si>
  <si>
    <t>Total (excl btw)</t>
  </si>
  <si>
    <t>Item</t>
  </si>
  <si>
    <t>Qty</t>
  </si>
  <si>
    <t>Length</t>
  </si>
  <si>
    <t>Name</t>
  </si>
  <si>
    <t>Value</t>
  </si>
  <si>
    <t>right_rod</t>
  </si>
  <si>
    <t>top_rod</t>
  </si>
  <si>
    <t>bottom_rod</t>
  </si>
  <si>
    <t>left_rod</t>
  </si>
  <si>
    <t>Wire Color</t>
  </si>
  <si>
    <t>Power rating</t>
  </si>
  <si>
    <t>Voltage Rating</t>
  </si>
  <si>
    <t>Min Current Rating</t>
  </si>
  <si>
    <t>exact length (mm)</t>
  </si>
  <si>
    <t>Number of wires</t>
  </si>
  <si>
    <t>Safety factor</t>
  </si>
  <si>
    <t>Cut length</t>
  </si>
  <si>
    <t>https://www.engineeringtoolbox.com/wire-gauges-d_419.html</t>
  </si>
  <si>
    <t>mm²</t>
  </si>
  <si>
    <t>Brown</t>
  </si>
  <si>
    <t>L line</t>
  </si>
  <si>
    <t>Blue</t>
  </si>
  <si>
    <t>N line</t>
  </si>
  <si>
    <t>Green-yellow</t>
  </si>
  <si>
    <t>Earth line</t>
  </si>
  <si>
    <t>Black</t>
  </si>
  <si>
    <t>PTC voltage in, Motor voltage in, Rest voltage in</t>
  </si>
  <si>
    <t>Red</t>
  </si>
  <si>
    <t>PTC -</t>
  </si>
  <si>
    <t>PTC +</t>
  </si>
  <si>
    <t>black</t>
  </si>
  <si>
    <t>Fan -</t>
  </si>
  <si>
    <t>red</t>
  </si>
  <si>
    <t>Fan +</t>
  </si>
  <si>
    <t>blue</t>
  </si>
  <si>
    <t>Thermistor +</t>
  </si>
  <si>
    <t>Data</t>
  </si>
  <si>
    <t>/</t>
  </si>
  <si>
    <t>brown</t>
  </si>
  <si>
    <t>Thermistor -</t>
  </si>
  <si>
    <t>LED +</t>
  </si>
  <si>
    <t>LED -</t>
  </si>
  <si>
    <t>Ribbon cable 4x</t>
  </si>
  <si>
    <t>3.3/5</t>
  </si>
  <si>
    <t>Ribbon cable 5x</t>
  </si>
  <si>
    <t>Not needed</t>
  </si>
  <si>
    <t>Stepper motor wires (already 500mm)</t>
  </si>
  <si>
    <t>Limit switch (already 1m)</t>
  </si>
  <si>
    <t>1e maat</t>
  </si>
  <si>
    <t>2e maat</t>
  </si>
  <si>
    <t>3e maat</t>
  </si>
  <si>
    <t>4e maat</t>
  </si>
  <si>
    <t>5e maat</t>
  </si>
  <si>
    <t>6e maat</t>
  </si>
  <si>
    <t>Bruin</t>
  </si>
  <si>
    <t>Live</t>
  </si>
  <si>
    <t>Bruin + geelgroen + blauw</t>
  </si>
  <si>
    <t>220V</t>
  </si>
  <si>
    <t>Stepper motors</t>
  </si>
  <si>
    <t>Nodig van NanoCentre voor solderen van PCB:</t>
  </si>
  <si>
    <t>Deze lijst</t>
  </si>
  <si>
    <t>Male header pins</t>
  </si>
  <si>
    <t>Alles</t>
  </si>
  <si>
    <t>Female header pins</t>
  </si>
  <si>
    <t>2 pin male JST connector</t>
  </si>
  <si>
    <t>4 pin male JST connector</t>
  </si>
  <si>
    <t>5 pin male JST connector</t>
  </si>
  <si>
    <t>terminal block</t>
  </si>
  <si>
    <t>fuse block</t>
  </si>
  <si>
    <t>yellow car fuse</t>
  </si>
  <si>
    <t>orange resettable fuse</t>
  </si>
  <si>
    <t>Motor drivers</t>
  </si>
  <si>
    <t>Buck converter</t>
  </si>
  <si>
    <t>Raspberry Pico</t>
  </si>
  <si>
    <t>100nF capacitors</t>
  </si>
  <si>
    <t>10kOhm resistors</t>
  </si>
  <si>
    <t>Buzzer</t>
  </si>
  <si>
    <t>heat sink mosfet</t>
  </si>
  <si>
    <t>heat sink drivers</t>
  </si>
  <si>
    <t>heat sink raspberry</t>
  </si>
  <si>
    <t>Main power plug for fuse</t>
  </si>
  <si>
    <t>In elektronica labo te zoeken</t>
  </si>
  <si>
    <t>flyback diodes 1N4007</t>
  </si>
  <si>
    <t>4A, 220V glass fuse</t>
  </si>
  <si>
    <t>1+</t>
  </si>
  <si>
    <t>100kOhm resistor 0603</t>
  </si>
  <si>
    <t>100Ohm resistor 0603</t>
  </si>
  <si>
    <t>Shrink wrap for small wires</t>
  </si>
  <si>
    <t>Shrink wrap for big wires (connection for PTC heater)</t>
  </si>
  <si>
    <t>Shrink wrap for LED strip connections</t>
  </si>
  <si>
    <t>Krimptang lenen?</t>
  </si>
  <si>
    <t>2 pin female header om te krimpen</t>
  </si>
  <si>
    <t>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</si>
</sst>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[$€-2]\ * #,##0.00_);_([$€-2]\ * \(#,##0.00\);_([$€-2]\ * &quot;-&quot;??_);_(@_)"/>
    <numFmt numFmtId="165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1"/>
    <xf numFmtId="164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3" fillId="0" borderId="0" xfId="1" applyFill="1"/>
    <xf numFmtId="0" fontId="0" fillId="0" borderId="2" xfId="0" applyBorder="1" applyAlignment="1">
      <alignment horizontal="left"/>
    </xf>
    <xf numFmtId="0" fontId="8" fillId="0" borderId="0" xfId="0" applyFont="1" applyAlignment="1">
      <alignment wrapText="1"/>
    </xf>
    <xf numFmtId="0" fontId="4" fillId="2" borderId="7" xfId="0" applyFont="1" applyFill="1" applyBorder="1"/>
    <xf numFmtId="164" fontId="4" fillId="2" borderId="7" xfId="0" applyNumberFormat="1" applyFont="1" applyFill="1" applyBorder="1"/>
    <xf numFmtId="14" fontId="4" fillId="2" borderId="7" xfId="0" applyNumberFormat="1" applyFont="1" applyFill="1" applyBorder="1"/>
    <xf numFmtId="0" fontId="4" fillId="2" borderId="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4" fillId="2" borderId="6" xfId="0" applyFont="1" applyFill="1" applyBorder="1"/>
    <xf numFmtId="164" fontId="3" fillId="0" borderId="0" xfId="1" applyNumberFormat="1"/>
    <xf numFmtId="0" fontId="4" fillId="2" borderId="7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49" fontId="4" fillId="2" borderId="8" xfId="0" applyNumberFormat="1" applyFont="1" applyFill="1" applyBorder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/>
    <xf numFmtId="49" fontId="8" fillId="0" borderId="0" xfId="0" applyNumberFormat="1" applyFont="1" applyAlignment="1">
      <alignment horizontal="left" wrapText="1"/>
    </xf>
    <xf numFmtId="0" fontId="3" fillId="0" borderId="0" xfId="1" applyBorder="1"/>
    <xf numFmtId="0" fontId="4" fillId="2" borderId="9" xfId="0" applyFont="1" applyFill="1" applyBorder="1"/>
    <xf numFmtId="14" fontId="0" fillId="5" borderId="0" xfId="0" applyNumberFormat="1" applyFill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wrapText="1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2" fillId="0" borderId="0" xfId="0" applyNumberFormat="1" applyFont="1" applyAlignment="1">
      <alignment horizontal="left"/>
    </xf>
    <xf numFmtId="164" fontId="0" fillId="0" borderId="1" xfId="0" applyNumberFormat="1" applyBorder="1"/>
    <xf numFmtId="14" fontId="0" fillId="0" borderId="1" xfId="0" applyNumberFormat="1" applyBorder="1"/>
    <xf numFmtId="0" fontId="3" fillId="0" borderId="1" xfId="1" applyBorder="1"/>
    <xf numFmtId="0" fontId="3" fillId="0" borderId="2" xfId="1" applyBorder="1"/>
    <xf numFmtId="0" fontId="0" fillId="5" borderId="0" xfId="0" applyFill="1"/>
    <xf numFmtId="0" fontId="2" fillId="3" borderId="5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3" xfId="0" applyBorder="1" applyAlignment="1">
      <alignment horizontal="left"/>
    </xf>
    <xf numFmtId="0" fontId="0" fillId="4" borderId="0" xfId="0" applyFill="1"/>
    <xf numFmtId="0" fontId="0" fillId="3" borderId="0" xfId="0" applyFill="1"/>
    <xf numFmtId="0" fontId="5" fillId="0" borderId="3" xfId="0" applyFont="1" applyBorder="1"/>
    <xf numFmtId="49" fontId="2" fillId="3" borderId="1" xfId="0" applyNumberFormat="1" applyFont="1" applyFill="1" applyBorder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8" fillId="0" borderId="3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3" xfId="0" applyBorder="1"/>
    <xf numFmtId="164" fontId="0" fillId="0" borderId="3" xfId="0" applyNumberFormat="1" applyBorder="1"/>
    <xf numFmtId="164" fontId="0" fillId="4" borderId="0" xfId="0" applyNumberFormat="1" applyFill="1"/>
    <xf numFmtId="164" fontId="0" fillId="3" borderId="0" xfId="0" applyNumberFormat="1" applyFill="1"/>
    <xf numFmtId="14" fontId="0" fillId="4" borderId="0" xfId="0" applyNumberFormat="1" applyFill="1"/>
    <xf numFmtId="14" fontId="0" fillId="3" borderId="0" xfId="0" applyNumberFormat="1" applyFill="1"/>
    <xf numFmtId="14" fontId="0" fillId="0" borderId="3" xfId="0" applyNumberFormat="1" applyBorder="1"/>
    <xf numFmtId="0" fontId="3" fillId="0" borderId="4" xfId="1" applyBorder="1"/>
    <xf numFmtId="0" fontId="9" fillId="0" borderId="0" xfId="0" applyFont="1"/>
    <xf numFmtId="0" fontId="5" fillId="0" borderId="10" xfId="0" applyFont="1" applyBorder="1"/>
    <xf numFmtId="165" fontId="0" fillId="0" borderId="0" xfId="0" applyNumberForma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4">
    <dxf>
      <numFmt numFmtId="30" formatCode="@"/>
      <alignment horizontal="left" vertical="bottom" textRotation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Invisible" pivot="0" table="0" count="0" xr9:uid="{D29C777F-53BA-455B-A0D0-85B1DBA597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k Vanhees" id="{A8519AB7-F877-4874-A719-DB9EAF500AC0}" userId="S::rik.vanhees@student.kuleuven.be::31926e98-1359-4191-a816-92ff0777770b" providerId="AD"/>
  <person displayName="Renaat Van Wayenberge" id="{26437A57-F90D-4AD1-A703-1A6762F0F2D9}" userId="S::renaat.vanwayenberge@student.kuleuven.be::e48efe48-2b3e-41e7-84ba-5a203f8167b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F821F-1F8C-444B-9129-05725D7D65A5}" name="Table1" displayName="Table1" ref="A1:M158" headerRowBorderDxfId="2" tableBorderDxfId="3">
  <autoFilter ref="A1:M158" xr:uid="{A1BF821F-1F8C-444B-9129-05725D7D65A5}"/>
  <sortState xmlns:xlrd2="http://schemas.microsoft.com/office/spreadsheetml/2017/richdata2" ref="A9:M152">
    <sortCondition ref="M1:M158"/>
  </sortState>
  <tableColumns count="13">
    <tableColumn id="1" xr3:uid="{7ED1E8D0-5974-46C1-8F28-6C3196A231E4}" name="item nr" totalsRowLabel="Total" dataDxfId="1"/>
    <tableColumn id="11" xr3:uid="{26BD3DA5-03F7-416F-8530-6BD6411CC303}" name="Category"/>
    <tableColumn id="2" xr3:uid="{48A99E3D-F1F0-4080-9E05-6E8C02A20EAB}" name="Part"/>
    <tableColumn id="3" xr3:uid="{C6C7E57B-44EB-4FBD-B5DD-467B469DBE26}" name="Supplier Part #" dataDxfId="0"/>
    <tableColumn id="4" xr3:uid="{CC1F53C0-CCF9-4BF2-9C3C-6D14F741B1AC}" name="Number"/>
    <tableColumn id="12" xr3:uid="{0A96CEAC-529E-4CF4-AD42-D20E48DCCC98}" name="# needed"/>
    <tableColumn id="5" xr3:uid="{BEC76D9A-D9C5-4091-B7E8-E9BEC4F81036}" name="Cost/Article"/>
    <tableColumn id="6" xr3:uid="{A4872F28-1E49-4550-B5C8-F4EF74AA4910}" name="Total cost"/>
    <tableColumn id="7" xr3:uid="{F8835BA6-56A1-4C2F-B9C1-E00A9D0D1778}" name="Supplier"/>
    <tableColumn id="8" xr3:uid="{6E82E5F2-4E42-41C7-8035-351B689C1EA5}" name="Date of order"/>
    <tableColumn id="9" xr3:uid="{F6AA2DD8-569F-4052-9DD4-967F72117892}" name="Date of arrival"/>
    <tableColumn id="10" xr3:uid="{B6E8997C-8E21-40EA-AA99-82D457468F02}" name="Link" totalsRowFunction="count"/>
    <tableColumn id="13" xr3:uid="{1FACC395-8E2F-476F-93DD-AB454D894933}" name="Idx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08" dT="2025-03-14T19:41:33.10" personId="{A8519AB7-F877-4874-A719-DB9EAF500AC0}" id="{97B14A5B-5998-4B91-8726-CD988D18CFA6}" done="1">
    <text xml:space="preserve">Deze link klopt nier
</text>
  </threadedComment>
  <threadedComment ref="L108" dT="2025-03-14T19:58:39.22" personId="{26437A57-F90D-4AD1-A703-1A6762F0F2D9}" id="{3CCB7907-8BE2-42A3-99CB-E37EAE954303}" parentId="{97B14A5B-5998-4B91-8726-CD988D18CFA6}">
    <text>gefikst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e.farnell.com/bourns/pec11l-4120f-s0020/encoder-quadrature-20ppr-60rpm/dp/4014825" TargetMode="External"/><Relationship Id="rId21" Type="http://schemas.openxmlformats.org/officeDocument/2006/relationships/hyperlink" Target="https://be.farnell.com/molex/218534-3617/thermistor-ntc-3600k-10-kohm/dp/4128286" TargetMode="External"/><Relationship Id="rId42" Type="http://schemas.openxmlformats.org/officeDocument/2006/relationships/hyperlink" Target="https://www.aluxprofile.com/aluminium-slot-profile-2020-v-slot/a3663?filter=38" TargetMode="External"/><Relationship Id="rId47" Type="http://schemas.openxmlformats.org/officeDocument/2006/relationships/hyperlink" Target="https://benl.rs-online.com/web/p/thread-lock/4423413?gb=s" TargetMode="External"/><Relationship Id="rId63" Type="http://schemas.openxmlformats.org/officeDocument/2006/relationships/hyperlink" Target="https://www.3djake.be/nl-BE/esun/easa-black?sai=11871" TargetMode="External"/><Relationship Id="rId68" Type="http://schemas.openxmlformats.org/officeDocument/2006/relationships/hyperlink" Target="https://www.conrad.nl/nl/p/infineon-technologies-irl3705npbf-mosfet-1-n-kanaal-170-w-to-220-162784.html" TargetMode="External"/><Relationship Id="rId84" Type="http://schemas.openxmlformats.org/officeDocument/2006/relationships/hyperlink" Target="https://uk.misumi-ec.com/vona2/detail/221006357466/?CategorySpec=00000230742%3A%3Amig00000002021409&amp;list=PageCategory" TargetMode="External"/><Relationship Id="rId89" Type="http://schemas.openxmlformats.org/officeDocument/2006/relationships/hyperlink" Target="https://www.aluxprofile.com/slide-in-t-slot-nut-t-slot-6-m5/a3566?filter=38" TargetMode="External"/><Relationship Id="rId16" Type="http://schemas.openxmlformats.org/officeDocument/2006/relationships/hyperlink" Target="https://www.123-3d.nl/123-3D-GT2-Pulley-hoge-resolutie-9-mm-riem-20-tanden-5-mm-as-i2305-t14815.html" TargetMode="External"/><Relationship Id="rId11" Type="http://schemas.openxmlformats.org/officeDocument/2006/relationships/hyperlink" Target="https://be.farnell.com/multicomp-pro/mca20l-v4e10q7r/emergency-stop-sw-spst-no-120v/dp/2748226" TargetMode="External"/><Relationship Id="rId32" Type="http://schemas.openxmlformats.org/officeDocument/2006/relationships/hyperlink" Target="https://benl.rs-online.com/web/p/wire-housings-plugs/8201627?gb=s" TargetMode="External"/><Relationship Id="rId37" Type="http://schemas.openxmlformats.org/officeDocument/2006/relationships/hyperlink" Target="https://benl.rs-online.com/web/p/heatsinks/1899132?cm_mmc=BE-PLA-DS3A-_-google-_-CSS_BENL_NL_Pmax_1224-_--_-1899132&amp;matchtype=&amp;&amp;gad_source=1&amp;gclid=CjwKCAjwnPS-BhBxEiwAZjMF0tOVM1zMlBN9Eh9_hYlQbIdCWJ-x74gsZwYpB6l3Nd-Iql0-RD7FihoC6z0QAvD_BwE&amp;gclsrc=aw.ds" TargetMode="External"/><Relationship Id="rId53" Type="http://schemas.openxmlformats.org/officeDocument/2006/relationships/hyperlink" Target="https://nl.farnell.com/littelfuse/ahef750/fuse-resettable-ptc-32vdc-7-5a/dp/2786604" TargetMode="External"/><Relationship Id="rId58" Type="http://schemas.openxmlformats.org/officeDocument/2006/relationships/hyperlink" Target="https://www.mcmaster.com/1794A51/" TargetMode="External"/><Relationship Id="rId74" Type="http://schemas.openxmlformats.org/officeDocument/2006/relationships/hyperlink" Target="https://uk.misumi-ec.com/vona2/detail/221005020293/?CategorySpec=00000230597%3A%3Aa%0900000230757%3A%3Amig00000002043275%0900000230831%3A%3Amig00000002043278&amp;list=PageCategory" TargetMode="External"/><Relationship Id="rId79" Type="http://schemas.openxmlformats.org/officeDocument/2006/relationships/hyperlink" Target="https://uk.misumi-ec.com/vona2/detail/221005020327/?CategorySpec=00000247374%3A%3Ah%0900000247402%3A%3Amig00000002020559%0900000247410%3A%3Amig00000002020551&amp;list=PageCategory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uk.misumi-ec.com/vona2/detail/110302190510/?CategorySpec=00000005696%3A%3Aag%0900000005697%3A%3Amig00000002018336" TargetMode="External"/><Relationship Id="rId90" Type="http://schemas.openxmlformats.org/officeDocument/2006/relationships/hyperlink" Target="https://www.aluxprofile.com/hammer-nut-t-slot-6-m4/a3535?filter=38" TargetMode="External"/><Relationship Id="rId95" Type="http://schemas.openxmlformats.org/officeDocument/2006/relationships/hyperlink" Target="https://www.aliexpress.com/item/1005005576519990.html?spm=a2g0o.cart.0.0.152e378diVtk2s&amp;mp=1&amp;pdp_npi=5%40dis%21EUR%21EUR+4.14%21EUR+3.91%21%21%21%21%21%40210388c917429871288342292ef046%2112000033613706291%21ct%21BE%213556074561%21%211%210&amp;gatewayAdapt=glo2fra" TargetMode="External"/><Relationship Id="rId22" Type="http://schemas.openxmlformats.org/officeDocument/2006/relationships/hyperlink" Target="https://www.conrad.be/nl/p/joy-it-lc-display-wit-blauw-128-x-64-pixel-b-x-h-x-d-93-x-70-x-12-mm-2436023.html" TargetMode="External"/><Relationship Id="rId27" Type="http://schemas.openxmlformats.org/officeDocument/2006/relationships/hyperlink" Target="https://www.conrad.be/nl/p/501638-apparaatstekker-koud-stekker-inbouw-verticaal-totaal-aantal-polen-2-pe-10-a-zwart-1-stuk-s-501638.html" TargetMode="External"/><Relationship Id="rId43" Type="http://schemas.openxmlformats.org/officeDocument/2006/relationships/hyperlink" Target="https://www.aluxprofile.com/aluminium-slot-profile-2020-v-slot/a3663?filter=38" TargetMode="External"/><Relationship Id="rId48" Type="http://schemas.openxmlformats.org/officeDocument/2006/relationships/hyperlink" Target="https://uk.misumi-ec.com/vona2/detail/221006483028/?CategorySpec=00000250704%3A%3Ab%0900000250727%3A%3Amig00000002325857&amp;list=PageCategory" TargetMode="External"/><Relationship Id="rId64" Type="http://schemas.openxmlformats.org/officeDocument/2006/relationships/hyperlink" Target="https://uk.misumi-ec.com/vona2/detail/221005351346/?CategorySpec=00000230768%3A%3Amig00000002024113%0900000230906%3A%3Ag&amp;list=PageCategory" TargetMode="External"/><Relationship Id="rId69" Type="http://schemas.openxmlformats.org/officeDocument/2006/relationships/hyperlink" Target="https://uk.misumi-ec.com/vona2/detail/221005020293/?CategorySpec=00000230597%3A%3Aa%0900000230757%3A%3Amig00000002043275%0900000230831%3A%3Amig00000002043278&amp;list=PageCategory" TargetMode="External"/><Relationship Id="rId80" Type="http://schemas.openxmlformats.org/officeDocument/2006/relationships/hyperlink" Target="https://uk.misumi-ec.com/vona2/detail/221005020327/?CategorySpec=00000247374%3A%3Ah%0900000247402%3A%3Amig00000002020559%0900000247410%3A%3Amig00000002020551&amp;list=PageCategory" TargetMode="External"/><Relationship Id="rId85" Type="http://schemas.openxmlformats.org/officeDocument/2006/relationships/hyperlink" Target="https://uk.misumi-ec.com/vona2/detail/221000545155/?CategorySpec=00000232425%3A%3Amig00000002020528&amp;list=PageCategory" TargetMode="External"/><Relationship Id="rId12" Type="http://schemas.openxmlformats.org/officeDocument/2006/relationships/hyperlink" Target="https://www.amazon.nl/-/en/Nikou-Air-Heater-Constant-Temperature/dp/B07Y24KVPQ?crid=4JLGL1OCQXKD&amp;dib=eyJ2IjoiMSJ9.FiSzxBpGQBklIg2Avakz1OP02Se7gb2uhsYmCDr18csqUoxhH1QcxSn3pSdOyqsdYou0yy7h07vIx-CyTUZgzzVxnvTqkx8cWCne9JtUONHykYyTpi3wQJCsr_K40qQLr5VQPzvNMg7csfJFIK7W3jU3obvxQWgJpfSOtyXBYK2p2uxa146b_kWPcG_6jtrtVR1NRhSgl0RTToy4VL7uSl3qO0gqTnQQ39M3OQpCc8mRBdId4KhIv-4vQCXUl7LWpuJ3ZI9MbJr6XlKzbPMcSem5gKJv61VlgfXuw1sKWWqmxhumMAZFgUaJ6EwW86kBIiH4mn3rLnUaHX5qH4q0UnUGj4jPM9eEqYdF_7BG7DivK3DFNdByzk5tYQWLmcR5fgSgFETADikn62xKau4PAyFAdrlLGtcrL5Qnr8EfE-jidRuZwg9OYVdjZpFhW4Vq.iHIQ3hvM-KLm4KaP8aDpeme2dVAkua2IK5Sxct8puFA&amp;dib_tag=se&amp;keywords=ptc+24v&amp;qid=1741711778&amp;sprefix=ptc+24v%2Caps%2C84&amp;sr=8-7" TargetMode="External"/><Relationship Id="rId17" Type="http://schemas.openxmlformats.org/officeDocument/2006/relationships/hyperlink" Target="https://uk.misumi-ec.com/vona2/detail/221004924958/?CategorySpec=00000005696%3A%3Aag%0900000005697%3A%3Amig00000002018336&amp;list=PageCategory" TargetMode="External"/><Relationship Id="rId33" Type="http://schemas.openxmlformats.org/officeDocument/2006/relationships/hyperlink" Target="https://benl.rs-online.com/web/p/wire-housings-plugs/8201611?gb=s" TargetMode="External"/><Relationship Id="rId38" Type="http://schemas.openxmlformats.org/officeDocument/2006/relationships/hyperlink" Target="https://www.aluxprofile.com/aluminium-slot-profile-2020-v-slot/a3663?filter=38" TargetMode="External"/><Relationship Id="rId59" Type="http://schemas.openxmlformats.org/officeDocument/2006/relationships/hyperlink" Target="https://kunststofplaten.be/product/hdpe-zwart-3-mm/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uk.misumi-ec.com/vona2/detail/110302595630/?CategorySpec=00000242963%3A%3Aa%0900000242983%3A%3Ab%2Cc&amp;list=PageCategory" TargetMode="External"/><Relationship Id="rId41" Type="http://schemas.openxmlformats.org/officeDocument/2006/relationships/hyperlink" Target="https://www.aluxprofile.com/aluminium-slot-profile-2020-v-slot/a3663?filter=38" TargetMode="External"/><Relationship Id="rId54" Type="http://schemas.openxmlformats.org/officeDocument/2006/relationships/hyperlink" Target="https://www.123-3d.nl/123-3D-GT2-Pulley-hoge-resolutie-9-mm-riem-20-tanden-8-mm-as-i2306-t14819.html" TargetMode="External"/><Relationship Id="rId62" Type="http://schemas.openxmlformats.org/officeDocument/2006/relationships/hyperlink" Target="https://www.3djake.be/nl-BE/spectrum/pc-275-traffic-black?sai=28335" TargetMode="External"/><Relationship Id="rId70" Type="http://schemas.openxmlformats.org/officeDocument/2006/relationships/hyperlink" Target="https://uk.misumi-ec.com/vona2/detail/221005020282/?CategorySpec=00000230757%3A%3Amig00000002043267%0900000230831%3A%3Amig00000002043272&amp;list=PageCategory" TargetMode="External"/><Relationship Id="rId75" Type="http://schemas.openxmlformats.org/officeDocument/2006/relationships/hyperlink" Target="https://uk.misumi-ec.com/vona2/detail/221005020259/?CategorySpec=00000230673%3A%3Ac%0900000230760%3A%3Amig00000002017310%0900000230837%3A%3Amig00000002017297&amp;list=PageCategory" TargetMode="External"/><Relationship Id="rId83" Type="http://schemas.openxmlformats.org/officeDocument/2006/relationships/hyperlink" Target="https://be.farnell.com/en-BE/wago/216-203/terminal-wire-ferrule-18awg-red/dp/2758836" TargetMode="External"/><Relationship Id="rId88" Type="http://schemas.openxmlformats.org/officeDocument/2006/relationships/hyperlink" Target="https://www.aluxprofile.com/hammer-nut-t-slot-6-m5/a3536?filter=38" TargetMode="External"/><Relationship Id="rId91" Type="http://schemas.openxmlformats.org/officeDocument/2006/relationships/hyperlink" Target="https://www.aluxprofile.com/hammer-nut-t-slot-6-m3/a3534?filter=38" TargetMode="External"/><Relationship Id="rId96" Type="http://schemas.openxmlformats.org/officeDocument/2006/relationships/hyperlink" Target="https://benl.rs-online.com/web/p/car-fuses/7874151P?gb=s" TargetMode="External"/><Relationship Id="rId1" Type="http://schemas.openxmlformats.org/officeDocument/2006/relationships/hyperlink" Target="https://www.123-3d.nl/123-3D-KFL8-lager-as-bevestiging-2-stuks-i3512-t13814.html" TargetMode="External"/><Relationship Id="rId6" Type="http://schemas.openxmlformats.org/officeDocument/2006/relationships/hyperlink" Target="https://www.123-3d.nl/123-3D-Microswitch-eindstop-met-1-meter-kabel-i1725-t324.html" TargetMode="External"/><Relationship Id="rId15" Type="http://schemas.openxmlformats.org/officeDocument/2006/relationships/hyperlink" Target="https://kunststofplaten.be/product/helder-polycarbonaat-4-mm/" TargetMode="External"/><Relationship Id="rId23" Type="http://schemas.openxmlformats.org/officeDocument/2006/relationships/hyperlink" Target="https://be.farnell.com/raspberry-pi/raspberry-pi-pico/raspberry-pi-32bit-arm-cortex/dp/3643332" TargetMode="External"/><Relationship Id="rId28" Type="http://schemas.openxmlformats.org/officeDocument/2006/relationships/hyperlink" Target="https://benl.rs-online.com/web/p/pcb-headers/8201551?gb=s" TargetMode="External"/><Relationship Id="rId36" Type="http://schemas.openxmlformats.org/officeDocument/2006/relationships/hyperlink" Target="https://benl.rs-online.com/web/p/mlccs-multilayer-ceramic-capacitors/2571091?gb=s" TargetMode="External"/><Relationship Id="rId49" Type="http://schemas.openxmlformats.org/officeDocument/2006/relationships/hyperlink" Target="https://uk.misumi-ec.com/vona2/detail/110302634310/?CategorySpec=00000004017%3A%3Amig00000002330227%0900000146752%3A%3Aa%0900000146753%3A%3Aa%0900000146755%3A%3Aa" TargetMode="External"/><Relationship Id="rId57" Type="http://schemas.openxmlformats.org/officeDocument/2006/relationships/hyperlink" Target="https://uk.misumi-ec.com/vona2/detail/110300467020/?KWSearch=u+channel&amp;searchFlow=results2products" TargetMode="External"/><Relationship Id="rId106" Type="http://schemas.microsoft.com/office/2017/10/relationships/threadedComment" Target="../threadedComments/threadedComment1.xml"/><Relationship Id="rId10" Type="http://schemas.openxmlformats.org/officeDocument/2006/relationships/hyperlink" Target="https://www.omc-stepperonline.com/nl/e-serie-nema-17-stappenmotor-1-8deg-60ncm-84-97oz-in-2-1a-42x42x60mm-4-draden-17he24-2104s" TargetMode="External"/><Relationship Id="rId31" Type="http://schemas.openxmlformats.org/officeDocument/2006/relationships/hyperlink" Target="https://benl.rs-online.com/web/p/pcb-headers/8201560?gb=s" TargetMode="External"/><Relationship Id="rId44" Type="http://schemas.openxmlformats.org/officeDocument/2006/relationships/hyperlink" Target="https://www.aluxprofile.com/aluminium-slot-profile-2020-v-slot/a3663?filter=38" TargetMode="External"/><Relationship Id="rId52" Type="http://schemas.openxmlformats.org/officeDocument/2006/relationships/hyperlink" Target="https://www.conrad.be/nl/p/joy-it-rb-heatsink-b-koellichaamset-geschikt-voor-serie-raspberry-pi-banana-pi-asus-tinker-board-radxa-zwart-3133389.html" TargetMode="External"/><Relationship Id="rId60" Type="http://schemas.openxmlformats.org/officeDocument/2006/relationships/hyperlink" Target="https://kunststofplaten.be/product/hdpe-zwart-3-mm/" TargetMode="External"/><Relationship Id="rId65" Type="http://schemas.openxmlformats.org/officeDocument/2006/relationships/hyperlink" Target="https://uk.misumi-ec.com/vona2/detail/221005020282/?CategorySpec=00000230757%3A%3Amig00000002043267%0900000230831%3A%3Amig00000002043272&amp;list=PageCategory" TargetMode="External"/><Relationship Id="rId73" Type="http://schemas.openxmlformats.org/officeDocument/2006/relationships/hyperlink" Target="https://uk.misumi-ec.com/vona2/detail/221005020282/?CategorySpec=00000230757%3A%3Amig00000002043267%0900000230831%3A%3Amig00000002043272&amp;list=PageCategory" TargetMode="External"/><Relationship Id="rId78" Type="http://schemas.openxmlformats.org/officeDocument/2006/relationships/hyperlink" Target="https://uk.misumi-ec.com/vona2/detail/221000551286/?CategorySpec=00000230673%3A%3Ac%0900000230760%3A%3Amig00000002017310%0900000230837%3A%3Amig00000002017297" TargetMode="External"/><Relationship Id="rId81" Type="http://schemas.openxmlformats.org/officeDocument/2006/relationships/hyperlink" Target="https://uk.misumi-ec.com/vona2/detail/221005020327/?CategorySpec=00000247374%3A%3Ah%0900000247402%3A%3Amig00000002020559%0900000247410%3A%3Amig00000002020551&amp;list=PageCategory" TargetMode="External"/><Relationship Id="rId86" Type="http://schemas.openxmlformats.org/officeDocument/2006/relationships/hyperlink" Target="https://uk.misumi-ec.com/vona2/detail/221000545155/?CategorySpec=00000232425%3A%3Amig00000002020528&amp;list=PageCategory" TargetMode="External"/><Relationship Id="rId94" Type="http://schemas.openxmlformats.org/officeDocument/2006/relationships/hyperlink" Target="https://uk.misumi-ec.com/vona2/detail/221005517968/?CategorySpec=00000240939%3A%3Aa%0900000240943%3A%3Amig00000002024909%0900000241543%3A%3Amig00000001997981&amp;list=PageCategory" TargetMode="External"/><Relationship Id="rId99" Type="http://schemas.openxmlformats.org/officeDocument/2006/relationships/hyperlink" Target="https://www.conrad.be/nl/p/tru-components-las0-a3y-11ts-noodstopschakelaar-250-v-ac-5-a-1x-nc-1x-no-ip40-1-stuk-s-704622.html" TargetMode="External"/><Relationship Id="rId101" Type="http://schemas.openxmlformats.org/officeDocument/2006/relationships/hyperlink" Target="https://www.conrad.be/nl/p/infineon-technologies-irlb3034pbf-mosfet-1-n-kanaal-375-w-to-220ab-161162.html?utm_source=google&amp;utm_medium=cpc&amp;utm_campaign=BE+-+PMAX+-+Brand&amp;utm_id=21358191538&amp;gad_source=1&amp;gclid=CjwKCAjwzMi_BhACEiwAX4YZUAXjmhocT1ogGrx9d_yzuMkfIC158Jcr6PK4UiWBwvKE5F8Pl62NrRoCGgIQAvD_BwE" TargetMode="External"/><Relationship Id="rId4" Type="http://schemas.openxmlformats.org/officeDocument/2006/relationships/hyperlink" Target="https://www.conrad.be/nl/p/connfly-male-header-standaard-aantal-rijen-1-aantal-polen-per-rij-30-ds1021-1-30sf11-1-stuk-s-1390106.html" TargetMode="External"/><Relationship Id="rId9" Type="http://schemas.openxmlformats.org/officeDocument/2006/relationships/hyperlink" Target="https://www.tinytronics.nl/nl/mechanica-en-actuatoren/motoraansturingen-en-drivers/stappen-motoraansturingen-en-drivers/bigtreetech-tmc2130-v3.0-stappenmotordriver-module-spi" TargetMode="External"/><Relationship Id="rId13" Type="http://schemas.openxmlformats.org/officeDocument/2006/relationships/hyperlink" Target="https://www.mcmaster.com/6324K11-6324K111/" TargetMode="External"/><Relationship Id="rId18" Type="http://schemas.openxmlformats.org/officeDocument/2006/relationships/hyperlink" Target="https://uk.misumi-ec.com/vona2/detail/221004904866/?CategorySpec=00000006168%3A%3Aa%0900000006174%3A%3Amig00000002059903%2Cmig00000002062958%2Cmig00000002062976&amp;list=PageCategory" TargetMode="External"/><Relationship Id="rId39" Type="http://schemas.openxmlformats.org/officeDocument/2006/relationships/hyperlink" Target="https://www.aluxprofile.com/aluminium-slot-profile-2020-v-slot/a3663?filter=38" TargetMode="External"/><Relationship Id="rId34" Type="http://schemas.openxmlformats.org/officeDocument/2006/relationships/hyperlink" Target="https://benl.rs-online.com/web/p/pcb-headers/8201554?gb=s" TargetMode="External"/><Relationship Id="rId50" Type="http://schemas.openxmlformats.org/officeDocument/2006/relationships/hyperlink" Target="https://www.123-3d.nl/123-3D-GT2-Pulley-hoge-resolutie-9-mm-riem-60-tanden-8-mm-as-i2573-t14819.html" TargetMode="External"/><Relationship Id="rId55" Type="http://schemas.openxmlformats.org/officeDocument/2006/relationships/hyperlink" Target="https://uk.misumi-ec.com/vona2/detail/221000531116/?CategorySpec=00000196538%3A%3Ag%0900000196585%3A%3Amig00000001999158&amp;list=PageCategory" TargetMode="External"/><Relationship Id="rId76" Type="http://schemas.openxmlformats.org/officeDocument/2006/relationships/hyperlink" Target="https://uk.misumi-ec.com/vona2/detail/221000551286/?CategorySpec=00000230673%3A%3Ac%0900000230760%3A%3Amig00000002017310%0900000230837%3A%3Amig00000002017297" TargetMode="External"/><Relationship Id="rId97" Type="http://schemas.openxmlformats.org/officeDocument/2006/relationships/hyperlink" Target="https://benl.rs-online.com/web/p/fuse-blocks/1884617?gb=s" TargetMode="External"/><Relationship Id="rId104" Type="http://schemas.openxmlformats.org/officeDocument/2006/relationships/table" Target="../tables/table1.xml"/><Relationship Id="rId7" Type="http://schemas.openxmlformats.org/officeDocument/2006/relationships/hyperlink" Target="https://www.123-3d.nl/123-3D-Microswitch-eindstop-i974-t324.html" TargetMode="External"/><Relationship Id="rId71" Type="http://schemas.openxmlformats.org/officeDocument/2006/relationships/hyperlink" Target="https://uk.misumi-ec.com/vona2/detail/221005020282/?CategorySpec=00000230757%3A%3Amig00000002043267%0900000230831%3A%3Amig00000002043272&amp;list=PageCategory" TargetMode="External"/><Relationship Id="rId92" Type="http://schemas.openxmlformats.org/officeDocument/2006/relationships/hyperlink" Target="https://www.123-3d.nl/123-3D-Slot-cover-6-mm-voor-2020-profiel-Grijs-1-meter-i7488-t14575.html" TargetMode="External"/><Relationship Id="rId2" Type="http://schemas.openxmlformats.org/officeDocument/2006/relationships/hyperlink" Target="https://www.123-3d.nl/123-3D-Step-down-DC-DC-converter-3-2-40-V-DC-naar-1-25-35-V-DC-2-A-i3869-t13129.html" TargetMode="External"/><Relationship Id="rId29" Type="http://schemas.openxmlformats.org/officeDocument/2006/relationships/hyperlink" Target="https://benl.rs-online.com/web/p/wire-housings-plugs/8201618?gb=s" TargetMode="External"/><Relationship Id="rId24" Type="http://schemas.openxmlformats.org/officeDocument/2006/relationships/hyperlink" Target="https://kunststofplaten.be/product/hdpe-zwart-3-mm/" TargetMode="External"/><Relationship Id="rId40" Type="http://schemas.openxmlformats.org/officeDocument/2006/relationships/hyperlink" Target="https://www.aluxprofile.com/aluminium-slot-profile-2020-v-slot/a3663?filter=38" TargetMode="External"/><Relationship Id="rId45" Type="http://schemas.openxmlformats.org/officeDocument/2006/relationships/hyperlink" Target="https://www.aluxprofile.com/aluminium-slot-profile-2020-v-slot/a3663?filter=38" TargetMode="External"/><Relationship Id="rId66" Type="http://schemas.openxmlformats.org/officeDocument/2006/relationships/hyperlink" Target="https://uk.misumi-ec.com/vona2/detail/221005020282/?CategorySpec=00000230757%3A%3Amig00000002043267%0900000230831%3A%3Amig00000002043272&amp;list=PageCategory" TargetMode="External"/><Relationship Id="rId87" Type="http://schemas.openxmlformats.org/officeDocument/2006/relationships/hyperlink" Target="https://www.aluxprofile.com/slide-in-t-slot-nut-t-slot-6-m4/a3565?filter=38" TargetMode="External"/><Relationship Id="rId61" Type="http://schemas.openxmlformats.org/officeDocument/2006/relationships/hyperlink" Target="https://benl.rs-online.com/web/p/foam-tapes/0207744" TargetMode="External"/><Relationship Id="rId82" Type="http://schemas.openxmlformats.org/officeDocument/2006/relationships/hyperlink" Target="https://uk.misumi-ec.com/vona2/detail/221000544941/?CategorySpec=00000232412%3A%3Ad&amp;list=PageCategory" TargetMode="External"/><Relationship Id="rId19" Type="http://schemas.openxmlformats.org/officeDocument/2006/relationships/hyperlink" Target="https://www.conrad.be/nl/p/infineon-technologies-irlz44npbf-mosfet-1-hexfet-110-w-to-220-162877.html" TargetMode="External"/><Relationship Id="rId14" Type="http://schemas.openxmlformats.org/officeDocument/2006/relationships/hyperlink" Target="https://kunststofplaten.be/product/helder-polycarbonaat-6-mm/" TargetMode="External"/><Relationship Id="rId30" Type="http://schemas.openxmlformats.org/officeDocument/2006/relationships/hyperlink" Target="https://benl.rs-online.com/web/p/crimp-contacts/3734188?gb=s" TargetMode="External"/><Relationship Id="rId35" Type="http://schemas.openxmlformats.org/officeDocument/2006/relationships/hyperlink" Target="https://www.conrad.be/nl/p/sygonix-sy-5042692-apparaat-koud-aansluitkabel-zwart-2-00-m-2521346.html" TargetMode="External"/><Relationship Id="rId56" Type="http://schemas.openxmlformats.org/officeDocument/2006/relationships/hyperlink" Target="https://uk.misumi-ec.com/vona2/detail/221303930205/?KWSearch=eye+bolt&amp;searchFlow=results2products" TargetMode="External"/><Relationship Id="rId77" Type="http://schemas.openxmlformats.org/officeDocument/2006/relationships/hyperlink" Target="https://uk.misumi-ec.com/vona2/detail/221006347487/?CategorySpec=00000230673%3A%3Ac%0900000230837%3A%3Amig00000002017266%0900000230944%3A%3Aa" TargetMode="External"/><Relationship Id="rId100" Type="http://schemas.openxmlformats.org/officeDocument/2006/relationships/hyperlink" Target="https://www.123-3d.nl/123-3D-Glijmoer-M3-t-b-v-aluminium-2020-profiel-20-stuks-123-3D-huismerk-i2059-t14575.html?gad_source=1&amp;gclid=CjwKCAjw47i_BhBTEiwAaJfPpkbIT0mOYjVfLLbk7biktvvSuaQjctt-YtzfGWZ_bo_LK1n5-T_uQxoCoEAQAvD_BwE" TargetMode="External"/><Relationship Id="rId105" Type="http://schemas.openxmlformats.org/officeDocument/2006/relationships/comments" Target="../comments1.xml"/><Relationship Id="rId8" Type="http://schemas.openxmlformats.org/officeDocument/2006/relationships/hyperlink" Target="https://www.123-3d.nl/BigTreeTech-TMC2130-Stappendriver-1-256-stap-interpolatie-v3-0-SPI-1020000132-ZZB000296-i8343-t332.html" TargetMode="External"/><Relationship Id="rId51" Type="http://schemas.openxmlformats.org/officeDocument/2006/relationships/hyperlink" Target="https://benl.rs-online.com/web/p/surface-mount-resistors/1991659?gb=s" TargetMode="External"/><Relationship Id="rId72" Type="http://schemas.openxmlformats.org/officeDocument/2006/relationships/hyperlink" Target="https://uk.misumi-ec.com/vona2/detail/221005020282/?CategorySpec=00000230757%3A%3Amig00000002043267%0900000230831%3A%3Amig00000002043272&amp;list=PageCategory" TargetMode="External"/><Relationship Id="rId93" Type="http://schemas.openxmlformats.org/officeDocument/2006/relationships/hyperlink" Target="https://uk.misumi-ec.com/vona2/detail/110302634310/?CategorySpec=00000004017%3A%3Amig00000002330227%0900000146752%3A%3Aa%0900000146753%3A%3Aa%0900000146755%3A%3Aa" TargetMode="External"/><Relationship Id="rId98" Type="http://schemas.openxmlformats.org/officeDocument/2006/relationships/hyperlink" Target="https://www.123-3d.nl/123-3D-Ventilator-24V-50x50x12-mm-axiaal-i2705-t15055.html" TargetMode="External"/><Relationship Id="rId3" Type="http://schemas.openxmlformats.org/officeDocument/2006/relationships/hyperlink" Target="https://www.conrad.be/nl/p/econ-connect-female-header-standaard-aantal-rijen-1-aantal-polen-per-rij-40-bl40-1g8-1-stuk-s-1303521.html" TargetMode="External"/><Relationship Id="rId25" Type="http://schemas.openxmlformats.org/officeDocument/2006/relationships/hyperlink" Target="https://www.conrad.be/nl/p/joy-it-sbc-fan-303010-actieve-ventilator-geschikt-voor-serie-raspberry-pi-rock-pi-banana-pi-zwart-1720600.html" TargetMode="External"/><Relationship Id="rId46" Type="http://schemas.openxmlformats.org/officeDocument/2006/relationships/hyperlink" Target="https://benl.rs-online.com/web/p/pcb-terminal-blocks/7901064?gb=s" TargetMode="External"/><Relationship Id="rId67" Type="http://schemas.openxmlformats.org/officeDocument/2006/relationships/hyperlink" Target="https://uk.misumi-ec.com/vona2/detail/221005020293/?CategorySpec=00000230597%3A%3Aa%0900000230757%3A%3Amig00000002043275%0900000230831%3A%3Amig00000002043278&amp;list=PageCatego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ingtoolbox.com/wire-gauges-d_4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2DBE-50DF-435C-9219-01F5AE986F8A}">
  <dimension ref="A1:N175"/>
  <sheetViews>
    <sheetView zoomScaleNormal="85" workbookViewId="0">
      <selection activeCell="C37" sqref="C37"/>
    </sheetView>
  </sheetViews>
  <sheetFormatPr defaultRowHeight="15" customHeight="1"/>
  <cols>
    <col min="1" max="1" width="11.42578125" style="25" bestFit="1" customWidth="1"/>
    <col min="2" max="2" width="16.140625" bestFit="1" customWidth="1"/>
    <col min="3" max="3" width="32.85546875" customWidth="1"/>
    <col min="4" max="4" width="19.85546875" style="34" bestFit="1" customWidth="1"/>
    <col min="5" max="5" width="11.85546875" style="1" bestFit="1" customWidth="1"/>
    <col min="6" max="6" width="12.85546875" style="1" bestFit="1" customWidth="1"/>
    <col min="7" max="7" width="17.7109375" bestFit="1" customWidth="1"/>
    <col min="8" max="8" width="15.140625" style="2" bestFit="1" customWidth="1"/>
    <col min="9" max="9" width="17.28515625" style="2" customWidth="1"/>
    <col min="10" max="10" width="13.28515625" customWidth="1"/>
    <col min="11" max="11" width="18" bestFit="1" customWidth="1"/>
    <col min="12" max="12" width="255.5703125" bestFit="1" customWidth="1"/>
    <col min="13" max="13" width="6.42578125" bestFit="1" customWidth="1"/>
  </cols>
  <sheetData>
    <row r="1" spans="1:14" ht="18.600000000000001">
      <c r="A1" s="23" t="s">
        <v>0</v>
      </c>
      <c r="B1" s="18" t="s">
        <v>1</v>
      </c>
      <c r="C1" s="21" t="s">
        <v>2</v>
      </c>
      <c r="D1" s="26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5" t="s">
        <v>8</v>
      </c>
      <c r="J1" s="17" t="s">
        <v>9</v>
      </c>
      <c r="K1" s="17" t="s">
        <v>10</v>
      </c>
      <c r="L1" s="15" t="s">
        <v>11</v>
      </c>
      <c r="M1" s="37" t="s">
        <v>12</v>
      </c>
    </row>
    <row r="2" spans="1:14" ht="14.45" customHeight="1" thickBot="1">
      <c r="A2" s="51"/>
      <c r="B2" s="54" t="s">
        <v>13</v>
      </c>
      <c r="C2" s="20"/>
      <c r="D2" s="61"/>
      <c r="E2" s="54"/>
      <c r="F2" s="54"/>
      <c r="G2" s="54"/>
      <c r="H2" s="54"/>
      <c r="I2" s="54"/>
      <c r="J2" s="54"/>
      <c r="K2" s="54"/>
      <c r="L2" s="54"/>
      <c r="M2">
        <v>1</v>
      </c>
    </row>
    <row r="3" spans="1:14" thickTop="1">
      <c r="A3" s="24"/>
      <c r="B3" s="9" t="s">
        <v>14</v>
      </c>
      <c r="D3" s="27"/>
      <c r="E3" s="1">
        <f>SUM(H3:H7)</f>
        <v>30.909999999999997</v>
      </c>
      <c r="H3"/>
      <c r="I3"/>
      <c r="M3">
        <v>2</v>
      </c>
    </row>
    <row r="4" spans="1:14" ht="14.45">
      <c r="A4" s="25">
        <f>IF(Table1[[#This Row],[Part]]&lt;&gt; "", COUNTA(C$3:C4), "")</f>
        <v>1</v>
      </c>
      <c r="B4" s="19"/>
      <c r="C4" t="s">
        <v>15</v>
      </c>
      <c r="D4" s="28"/>
      <c r="E4">
        <v>1</v>
      </c>
      <c r="F4">
        <v>1</v>
      </c>
      <c r="G4" s="1">
        <v>2.63</v>
      </c>
      <c r="H4" s="1">
        <f>SUM(G4*E4)</f>
        <v>2.63</v>
      </c>
      <c r="I4" t="s">
        <v>16</v>
      </c>
      <c r="J4" s="2">
        <v>45716</v>
      </c>
      <c r="K4" s="2">
        <v>45722</v>
      </c>
      <c r="L4" s="36" t="s">
        <v>17</v>
      </c>
      <c r="M4">
        <v>3</v>
      </c>
    </row>
    <row r="5" spans="1:14" ht="14.45">
      <c r="A5" s="25">
        <f>IF(Table1[[#This Row],[Part]]&lt;&gt; "", COUNTA(C$3:C5), "")</f>
        <v>2</v>
      </c>
      <c r="B5" s="19"/>
      <c r="C5" t="s">
        <v>18</v>
      </c>
      <c r="D5" s="28"/>
      <c r="E5">
        <v>1</v>
      </c>
      <c r="F5">
        <v>1</v>
      </c>
      <c r="G5" s="1">
        <v>17.29</v>
      </c>
      <c r="H5" s="1">
        <f>SUM(G5*E5)</f>
        <v>17.29</v>
      </c>
      <c r="I5" t="s">
        <v>16</v>
      </c>
      <c r="J5" s="2">
        <v>45716</v>
      </c>
      <c r="K5" s="2"/>
      <c r="M5">
        <v>4</v>
      </c>
    </row>
    <row r="6" spans="1:14" ht="14.45">
      <c r="A6" s="25">
        <f>IF(Table1[[#This Row],[Part]]&lt;&gt; "", COUNTA(C$3:C6), "")</f>
        <v>3</v>
      </c>
      <c r="B6" s="19"/>
      <c r="C6" s="14" t="s">
        <v>19</v>
      </c>
      <c r="D6" s="29" t="s">
        <v>20</v>
      </c>
      <c r="E6">
        <v>1</v>
      </c>
      <c r="F6">
        <v>1</v>
      </c>
      <c r="G6" s="1">
        <v>10.99</v>
      </c>
      <c r="H6" s="1">
        <f>SUM(G6*E6)</f>
        <v>10.99</v>
      </c>
      <c r="I6" t="s">
        <v>21</v>
      </c>
      <c r="J6" s="2">
        <v>45742</v>
      </c>
      <c r="K6" s="2">
        <v>45750</v>
      </c>
      <c r="L6" s="3" t="s">
        <v>22</v>
      </c>
      <c r="M6">
        <v>5</v>
      </c>
    </row>
    <row r="7" spans="1:14" ht="14.45">
      <c r="A7" s="25" t="str">
        <f>IF(Table1[[#This Row],[Part]]&lt;&gt; "", COUNTA(C$3:C7), "")</f>
        <v/>
      </c>
      <c r="B7" s="19"/>
      <c r="C7" s="8"/>
      <c r="D7" s="30"/>
      <c r="E7"/>
      <c r="F7"/>
      <c r="G7" s="1"/>
      <c r="H7" s="1"/>
      <c r="I7"/>
      <c r="J7" s="2"/>
      <c r="K7" s="2"/>
      <c r="L7" s="3"/>
      <c r="M7">
        <v>6</v>
      </c>
    </row>
    <row r="8" spans="1:14" ht="14.45">
      <c r="A8" s="25" t="str">
        <f>IF(Table1[[#This Row],[Part]]&lt;&gt; "", COUNTA(C$3:C8), "")</f>
        <v/>
      </c>
      <c r="B8" s="9" t="s">
        <v>23</v>
      </c>
      <c r="D8" s="27"/>
      <c r="E8" s="1">
        <f>SUM(H8:H18)</f>
        <v>49.43</v>
      </c>
      <c r="G8" s="1"/>
      <c r="H8" s="1"/>
      <c r="I8"/>
      <c r="J8" s="2"/>
      <c r="K8" s="2"/>
      <c r="M8">
        <v>7</v>
      </c>
    </row>
    <row r="9" spans="1:14" ht="14.45">
      <c r="A9" s="25">
        <f>IF(Table1[[#This Row],[Part]]&lt;&gt; "", COUNTA(C$3:C9), "")</f>
        <v>4</v>
      </c>
      <c r="B9" s="19"/>
      <c r="C9" s="7" t="s">
        <v>24</v>
      </c>
      <c r="D9" s="30" t="s">
        <v>25</v>
      </c>
      <c r="E9">
        <v>1</v>
      </c>
      <c r="F9">
        <v>1</v>
      </c>
      <c r="G9" s="1">
        <v>3.85</v>
      </c>
      <c r="H9" s="1">
        <f t="shared" ref="H9:H14" si="0">SUM(G9*E9)</f>
        <v>3.85</v>
      </c>
      <c r="I9" t="s">
        <v>26</v>
      </c>
      <c r="J9" s="2">
        <v>45742</v>
      </c>
      <c r="K9" s="2">
        <v>45392</v>
      </c>
      <c r="L9" s="36" t="s">
        <v>27</v>
      </c>
      <c r="M9">
        <v>8</v>
      </c>
      <c r="N9" s="3" t="s">
        <v>28</v>
      </c>
    </row>
    <row r="10" spans="1:14" ht="14.45">
      <c r="A10" s="25">
        <f>IF(Table1[[#This Row],[Part]]&lt;&gt; "", COUNTA(C$3:C10), "")</f>
        <v>5</v>
      </c>
      <c r="B10" s="19"/>
      <c r="C10" s="8" t="s">
        <v>29</v>
      </c>
      <c r="D10" s="30" t="s">
        <v>30</v>
      </c>
      <c r="E10">
        <v>1</v>
      </c>
      <c r="F10">
        <v>1</v>
      </c>
      <c r="G10" s="1">
        <v>12.98</v>
      </c>
      <c r="H10" s="1">
        <f t="shared" si="0"/>
        <v>12.98</v>
      </c>
      <c r="I10" t="s">
        <v>16</v>
      </c>
      <c r="J10" s="2">
        <v>45742</v>
      </c>
      <c r="K10" s="2">
        <v>45750</v>
      </c>
      <c r="L10" s="3" t="s">
        <v>31</v>
      </c>
      <c r="M10">
        <v>9</v>
      </c>
      <c r="N10" s="3" t="s">
        <v>32</v>
      </c>
    </row>
    <row r="11" spans="1:14" ht="14.45">
      <c r="A11" s="25">
        <f>IF(Table1[[#This Row],[Part]]&lt;&gt; "", COUNTA(C$3:C11), "")</f>
        <v>6</v>
      </c>
      <c r="B11" s="19"/>
      <c r="C11" s="8" t="s">
        <v>33</v>
      </c>
      <c r="D11" s="30" t="s">
        <v>34</v>
      </c>
      <c r="E11">
        <v>1</v>
      </c>
      <c r="F11">
        <v>1</v>
      </c>
      <c r="G11" s="1">
        <v>9.49</v>
      </c>
      <c r="H11" s="1">
        <f t="shared" si="0"/>
        <v>9.49</v>
      </c>
      <c r="I11" t="s">
        <v>21</v>
      </c>
      <c r="J11" s="2"/>
      <c r="K11" s="2">
        <v>45769</v>
      </c>
      <c r="L11" s="3" t="s">
        <v>35</v>
      </c>
      <c r="M11">
        <v>10</v>
      </c>
      <c r="N11" s="3"/>
    </row>
    <row r="12" spans="1:14" ht="14.45">
      <c r="A12" s="25">
        <f>IF(Table1[[#This Row],[Part]]&lt;&gt; "", COUNTA(C$3:C12), "")</f>
        <v>7</v>
      </c>
      <c r="B12" s="19"/>
      <c r="C12" s="8" t="s">
        <v>36</v>
      </c>
      <c r="D12" s="30" t="s">
        <v>37</v>
      </c>
      <c r="E12">
        <v>1</v>
      </c>
      <c r="F12">
        <v>1</v>
      </c>
      <c r="G12" s="1">
        <v>1.28</v>
      </c>
      <c r="H12" s="1">
        <f t="shared" si="0"/>
        <v>1.28</v>
      </c>
      <c r="I12" t="s">
        <v>38</v>
      </c>
      <c r="J12" s="2">
        <v>45742</v>
      </c>
      <c r="K12" s="2">
        <v>45750</v>
      </c>
      <c r="L12" s="3" t="s">
        <v>39</v>
      </c>
      <c r="M12">
        <v>11</v>
      </c>
      <c r="N12" s="3"/>
    </row>
    <row r="13" spans="1:14" ht="15" customHeight="1">
      <c r="A13" s="25">
        <f>IF(Table1[[#This Row],[Part]]&lt;&gt; "", COUNTA(C$3:C13), "")</f>
        <v>8</v>
      </c>
      <c r="B13" s="19"/>
      <c r="C13" s="8" t="s">
        <v>40</v>
      </c>
      <c r="D13" s="30"/>
      <c r="E13">
        <v>1</v>
      </c>
      <c r="F13">
        <v>1</v>
      </c>
      <c r="G13" s="1">
        <v>1.08</v>
      </c>
      <c r="H13" s="1">
        <f t="shared" si="0"/>
        <v>1.08</v>
      </c>
      <c r="I13" t="s">
        <v>41</v>
      </c>
      <c r="J13" s="2"/>
      <c r="K13" s="2">
        <v>45769</v>
      </c>
      <c r="L13" s="3" t="s">
        <v>42</v>
      </c>
      <c r="M13">
        <v>12</v>
      </c>
    </row>
    <row r="14" spans="1:14" ht="14.45">
      <c r="A14" s="25">
        <f>IF(Table1[[#This Row],[Part]]&lt;&gt; "", COUNTA(C$3:C14), "")</f>
        <v>9</v>
      </c>
      <c r="B14" s="13"/>
      <c r="C14" s="42" t="s">
        <v>43</v>
      </c>
      <c r="D14" s="44" t="s">
        <v>44</v>
      </c>
      <c r="E14" s="5">
        <v>10</v>
      </c>
      <c r="F14" s="5">
        <v>1</v>
      </c>
      <c r="G14" s="4">
        <v>0.28100000000000003</v>
      </c>
      <c r="H14" s="4">
        <f t="shared" si="0"/>
        <v>2.8100000000000005</v>
      </c>
      <c r="I14" s="5" t="s">
        <v>41</v>
      </c>
      <c r="J14" s="6"/>
      <c r="K14" s="2">
        <v>45769</v>
      </c>
      <c r="L14" s="49" t="s">
        <v>45</v>
      </c>
      <c r="M14">
        <v>13</v>
      </c>
      <c r="N14" s="3"/>
    </row>
    <row r="15" spans="1:14" ht="14.45">
      <c r="A15" s="25" t="str">
        <f>IF(Table1[[#This Row],[Part]]&lt;&gt; "", COUNTA(C$3:C15), "")</f>
        <v/>
      </c>
      <c r="B15" s="19"/>
      <c r="C15" s="8"/>
      <c r="D15" s="30"/>
      <c r="E15"/>
      <c r="F15"/>
      <c r="G15" s="1"/>
      <c r="H15" s="1"/>
      <c r="I15"/>
      <c r="J15" s="2"/>
      <c r="K15" s="2"/>
      <c r="L15" s="3"/>
      <c r="M15">
        <v>14</v>
      </c>
      <c r="N15" s="3"/>
    </row>
    <row r="16" spans="1:14" ht="14.45">
      <c r="A16" s="25" t="str">
        <f>IF(Table1[[#This Row],[Part]]&lt;&gt; "", COUNTA(C$3:C16), "")</f>
        <v/>
      </c>
      <c r="B16" s="10" t="s">
        <v>46</v>
      </c>
      <c r="D16" s="32"/>
      <c r="E16" s="1">
        <f>SUM(H16:H24)</f>
        <v>28.939999999999994</v>
      </c>
      <c r="G16" s="1"/>
      <c r="H16" s="1"/>
      <c r="I16"/>
      <c r="J16" s="2"/>
      <c r="K16" s="2"/>
      <c r="L16" s="3"/>
      <c r="M16">
        <v>15</v>
      </c>
      <c r="N16" s="3"/>
    </row>
    <row r="17" spans="1:14" ht="14.45">
      <c r="A17" s="25">
        <f>IF(Table1[[#This Row],[Part]]&lt;&gt; "", COUNTA(C$3:C17), "")</f>
        <v>10</v>
      </c>
      <c r="B17" s="19"/>
      <c r="C17" s="7" t="s">
        <v>47</v>
      </c>
      <c r="D17" s="35" t="s">
        <v>48</v>
      </c>
      <c r="E17">
        <v>1</v>
      </c>
      <c r="F17">
        <v>1</v>
      </c>
      <c r="G17" s="1">
        <v>13.09</v>
      </c>
      <c r="H17" s="1">
        <f t="shared" ref="H17:H22" si="1">SUM(G17*E17)</f>
        <v>13.09</v>
      </c>
      <c r="I17" t="s">
        <v>49</v>
      </c>
      <c r="J17" s="2">
        <v>45742</v>
      </c>
      <c r="K17" s="2">
        <v>45750</v>
      </c>
      <c r="L17" s="3" t="s">
        <v>50</v>
      </c>
      <c r="M17">
        <v>16</v>
      </c>
    </row>
    <row r="18" spans="1:14" ht="14.45">
      <c r="A18" s="25">
        <f>IF(Table1[[#This Row],[Part]]&lt;&gt; "", COUNTA(C$3:C18), "")</f>
        <v>11</v>
      </c>
      <c r="B18" s="19"/>
      <c r="C18" s="7" t="s">
        <v>51</v>
      </c>
      <c r="D18" s="35" t="s">
        <v>52</v>
      </c>
      <c r="E18">
        <v>1</v>
      </c>
      <c r="F18">
        <v>1</v>
      </c>
      <c r="G18" s="1">
        <v>4.8499999999999996</v>
      </c>
      <c r="H18" s="1">
        <f t="shared" si="1"/>
        <v>4.8499999999999996</v>
      </c>
      <c r="I18" t="s">
        <v>16</v>
      </c>
      <c r="J18" s="2">
        <v>45742</v>
      </c>
      <c r="K18" s="2">
        <v>45750</v>
      </c>
      <c r="L18" s="3" t="s">
        <v>53</v>
      </c>
      <c r="M18">
        <v>17</v>
      </c>
    </row>
    <row r="19" spans="1:14" ht="15.6" customHeight="1">
      <c r="A19" s="25">
        <f>IF(Table1[[#This Row],[Part]]&lt;&gt; "", COUNTA(C$3:C19), "")</f>
        <v>12</v>
      </c>
      <c r="B19" s="19"/>
      <c r="C19" s="8" t="s">
        <v>54</v>
      </c>
      <c r="D19" s="30" t="s">
        <v>55</v>
      </c>
      <c r="E19">
        <v>1</v>
      </c>
      <c r="F19">
        <v>1</v>
      </c>
      <c r="G19" s="1">
        <v>1.52</v>
      </c>
      <c r="H19" s="1">
        <f t="shared" si="1"/>
        <v>1.52</v>
      </c>
      <c r="I19" t="s">
        <v>41</v>
      </c>
      <c r="J19" s="2">
        <v>45742</v>
      </c>
      <c r="K19" s="2">
        <v>45751</v>
      </c>
      <c r="L19" s="3" t="s">
        <v>56</v>
      </c>
      <c r="M19">
        <v>18</v>
      </c>
    </row>
    <row r="20" spans="1:14" ht="14.45">
      <c r="A20" s="25">
        <f>IF(Table1[[#This Row],[Part]]&lt;&gt; "", COUNTA(C$3:C20), "")</f>
        <v>13</v>
      </c>
      <c r="C20" t="s">
        <v>57</v>
      </c>
      <c r="D20" s="28" t="s">
        <v>58</v>
      </c>
      <c r="E20">
        <v>1</v>
      </c>
      <c r="F20">
        <v>1</v>
      </c>
      <c r="G20" s="1">
        <v>1.49</v>
      </c>
      <c r="H20" s="1">
        <f t="shared" si="1"/>
        <v>1.49</v>
      </c>
      <c r="I20" s="2" t="s">
        <v>21</v>
      </c>
      <c r="J20" s="2">
        <v>45742</v>
      </c>
      <c r="K20" s="2">
        <v>45750</v>
      </c>
      <c r="L20" s="3" t="s">
        <v>59</v>
      </c>
      <c r="M20">
        <v>19</v>
      </c>
    </row>
    <row r="21" spans="1:14" thickBot="1">
      <c r="A21" s="25">
        <f>IF(Table1[[#This Row],[Part]]&lt;&gt; "", COUNTA(C$3:C21), "")</f>
        <v>14</v>
      </c>
      <c r="B21" s="19"/>
      <c r="C21" s="7" t="s">
        <v>60</v>
      </c>
      <c r="D21" s="31" t="s">
        <v>61</v>
      </c>
      <c r="E21">
        <v>1</v>
      </c>
      <c r="F21">
        <v>1</v>
      </c>
      <c r="G21" s="1">
        <v>3.29</v>
      </c>
      <c r="H21" s="1">
        <f t="shared" si="1"/>
        <v>3.29</v>
      </c>
      <c r="I21" t="s">
        <v>21</v>
      </c>
      <c r="J21" s="2">
        <v>45742</v>
      </c>
      <c r="K21" s="2">
        <v>45750</v>
      </c>
      <c r="L21" s="3" t="s">
        <v>62</v>
      </c>
      <c r="M21">
        <v>20</v>
      </c>
    </row>
    <row r="22" spans="1:14" thickBot="1">
      <c r="A22" s="25">
        <f>IF(Table1[[#This Row],[Part]]&lt;&gt; "", COUNTA(C$3:C22), "")</f>
        <v>15</v>
      </c>
      <c r="B22" s="57"/>
      <c r="C22" s="60" t="s">
        <v>63</v>
      </c>
      <c r="D22" s="64" t="s">
        <v>64</v>
      </c>
      <c r="E22" s="66">
        <v>1</v>
      </c>
      <c r="F22" s="66">
        <v>1</v>
      </c>
      <c r="G22" s="67">
        <v>4.7</v>
      </c>
      <c r="H22" s="67">
        <f t="shared" si="1"/>
        <v>4.7</v>
      </c>
      <c r="I22" s="66" t="s">
        <v>26</v>
      </c>
      <c r="J22" s="72"/>
      <c r="K22" s="2">
        <v>45769</v>
      </c>
      <c r="L22" s="73" t="s">
        <v>65</v>
      </c>
      <c r="M22">
        <v>21</v>
      </c>
    </row>
    <row r="23" spans="1:14" ht="14.45">
      <c r="A23" s="25" t="str">
        <f>IF(Table1[[#This Row],[Part]]&lt;&gt; "", COUNTA(C$3:C23), "")</f>
        <v/>
      </c>
      <c r="B23" s="19"/>
      <c r="C23" s="7"/>
      <c r="D23" s="31"/>
      <c r="E23"/>
      <c r="F23"/>
      <c r="G23" s="1"/>
      <c r="H23" s="1"/>
      <c r="I23"/>
      <c r="J23" s="2"/>
      <c r="K23" s="2"/>
      <c r="L23" s="3"/>
      <c r="M23">
        <v>22</v>
      </c>
      <c r="N23" s="3" t="s">
        <v>66</v>
      </c>
    </row>
    <row r="24" spans="1:14" ht="14.25" customHeight="1">
      <c r="A24" s="25" t="str">
        <f>IF(Table1[[#This Row],[Part]]&lt;&gt; "", COUNTA(C$3:C24), "")</f>
        <v/>
      </c>
      <c r="B24" s="10" t="s">
        <v>67</v>
      </c>
      <c r="D24" s="32"/>
      <c r="E24" s="1">
        <f>SUM(H24:H27)</f>
        <v>39.64</v>
      </c>
      <c r="G24" s="1"/>
      <c r="H24" s="1"/>
      <c r="I24"/>
      <c r="J24" s="2"/>
      <c r="K24" s="2"/>
      <c r="L24" s="3"/>
      <c r="M24">
        <v>23</v>
      </c>
    </row>
    <row r="25" spans="1:14" ht="15" customHeight="1">
      <c r="A25" s="25">
        <f>IF(Table1[[#This Row],[Part]]&lt;&gt; "", COUNTA(C$3:C25), "")</f>
        <v>16</v>
      </c>
      <c r="B25" s="19"/>
      <c r="C25" t="s">
        <v>68</v>
      </c>
      <c r="D25" s="31"/>
      <c r="E25">
        <v>2</v>
      </c>
      <c r="F25">
        <v>2</v>
      </c>
      <c r="G25" s="1">
        <v>17.5</v>
      </c>
      <c r="H25" s="1">
        <f>SUM(G25*E25)</f>
        <v>35</v>
      </c>
      <c r="I25" t="s">
        <v>26</v>
      </c>
      <c r="J25" s="2">
        <v>45742</v>
      </c>
      <c r="K25" s="2">
        <v>45392</v>
      </c>
      <c r="L25" s="3" t="s">
        <v>69</v>
      </c>
      <c r="M25">
        <v>24</v>
      </c>
    </row>
    <row r="26" spans="1:14" ht="14.45">
      <c r="A26" s="25">
        <f>IF(Table1[[#This Row],[Part]]&lt;&gt; "", COUNTA(C$3:C26), "")</f>
        <v>17</v>
      </c>
      <c r="B26" s="19"/>
      <c r="C26" t="s">
        <v>70</v>
      </c>
      <c r="D26" s="28" t="s">
        <v>71</v>
      </c>
      <c r="E26">
        <v>1</v>
      </c>
      <c r="F26">
        <v>1</v>
      </c>
      <c r="G26" s="1">
        <v>4.6399999999999997</v>
      </c>
      <c r="H26" s="1">
        <f>SUM(G26*E26)</f>
        <v>4.6399999999999997</v>
      </c>
      <c r="I26" t="s">
        <v>16</v>
      </c>
      <c r="J26" s="2">
        <v>45742</v>
      </c>
      <c r="K26" s="2">
        <v>45750</v>
      </c>
      <c r="L26" s="3" t="s">
        <v>72</v>
      </c>
      <c r="M26">
        <v>25</v>
      </c>
    </row>
    <row r="27" spans="1:14" ht="14.45">
      <c r="A27" s="25" t="str">
        <f>IF(Table1[[#This Row],[Part]]&lt;&gt; "", COUNTA(C$3:C27), "")</f>
        <v/>
      </c>
      <c r="B27" s="19"/>
      <c r="D27" s="28"/>
      <c r="E27"/>
      <c r="F27"/>
      <c r="G27" s="1"/>
      <c r="H27" s="1"/>
      <c r="I27"/>
      <c r="J27" s="2"/>
      <c r="K27" s="2"/>
      <c r="M27">
        <v>26</v>
      </c>
    </row>
    <row r="28" spans="1:14" ht="14.45">
      <c r="A28" s="25" t="str">
        <f>IF(Table1[[#This Row],[Part]]&lt;&gt; "", COUNTA(C$3:C28), "")</f>
        <v/>
      </c>
      <c r="B28" s="10" t="s">
        <v>73</v>
      </c>
      <c r="D28" s="32"/>
      <c r="E28" s="1">
        <f>SUM(H28:H33)</f>
        <v>52.33</v>
      </c>
      <c r="G28" s="1"/>
      <c r="H28" s="1"/>
      <c r="I28"/>
      <c r="J28" s="2"/>
      <c r="K28" s="2"/>
      <c r="M28">
        <v>27</v>
      </c>
    </row>
    <row r="29" spans="1:14" ht="15.75" customHeight="1">
      <c r="A29" s="25">
        <f>IF(Table1[[#This Row],[Part]]&lt;&gt; "", COUNTA(C$3:C29), "")</f>
        <v>18</v>
      </c>
      <c r="B29" s="19"/>
      <c r="C29" s="8" t="s">
        <v>74</v>
      </c>
      <c r="D29" s="30" t="s">
        <v>75</v>
      </c>
      <c r="E29">
        <v>1</v>
      </c>
      <c r="F29">
        <v>1</v>
      </c>
      <c r="G29" s="1">
        <v>36.99</v>
      </c>
      <c r="H29" s="1">
        <f>SUM(G29*E29)</f>
        <v>36.99</v>
      </c>
      <c r="I29" t="s">
        <v>76</v>
      </c>
      <c r="J29" s="2">
        <v>45742</v>
      </c>
      <c r="K29" s="2">
        <v>45750</v>
      </c>
      <c r="L29" s="3" t="s">
        <v>77</v>
      </c>
      <c r="M29">
        <v>28</v>
      </c>
    </row>
    <row r="30" spans="1:14" ht="15.75" customHeight="1">
      <c r="A30" s="25">
        <f>IF(Table1[[#This Row],[Part]]&lt;&gt; "", COUNTA(C$3:C30), "")</f>
        <v>19</v>
      </c>
      <c r="B30" s="19"/>
      <c r="C30" s="8" t="s">
        <v>78</v>
      </c>
      <c r="D30" s="30" t="s">
        <v>79</v>
      </c>
      <c r="E30">
        <v>1</v>
      </c>
      <c r="F30">
        <v>1</v>
      </c>
      <c r="G30" s="1">
        <v>6.05</v>
      </c>
      <c r="H30" s="1">
        <f>SUM(G30*E30)</f>
        <v>6.05</v>
      </c>
      <c r="I30" t="s">
        <v>26</v>
      </c>
      <c r="J30" s="2">
        <v>45742</v>
      </c>
      <c r="K30" s="2">
        <v>45392</v>
      </c>
      <c r="L30" s="3" t="s">
        <v>80</v>
      </c>
      <c r="M30">
        <v>29</v>
      </c>
    </row>
    <row r="31" spans="1:14" ht="15.75" customHeight="1">
      <c r="A31" s="25">
        <f>IF(Table1[[#This Row],[Part]]&lt;&gt; "", COUNTA(C$3:C31), "")</f>
        <v>20</v>
      </c>
      <c r="B31" s="19"/>
      <c r="C31" s="8" t="s">
        <v>81</v>
      </c>
      <c r="D31" s="30" t="s">
        <v>82</v>
      </c>
      <c r="E31">
        <v>1</v>
      </c>
      <c r="F31">
        <v>1</v>
      </c>
      <c r="G31" s="1">
        <v>5</v>
      </c>
      <c r="H31" s="1">
        <f>SUM(G31*E31)</f>
        <v>5</v>
      </c>
      <c r="I31" t="s">
        <v>21</v>
      </c>
      <c r="J31" s="2">
        <v>45742</v>
      </c>
      <c r="K31" s="2">
        <v>45750</v>
      </c>
      <c r="L31" s="3" t="s">
        <v>83</v>
      </c>
      <c r="M31">
        <v>30</v>
      </c>
    </row>
    <row r="32" spans="1:14" ht="15.75" customHeight="1">
      <c r="A32" s="25">
        <f>IF(Table1[[#This Row],[Part]]&lt;&gt; "", COUNTA(C$3:C32), "")</f>
        <v>21</v>
      </c>
      <c r="B32" s="19"/>
      <c r="C32" s="8" t="s">
        <v>84</v>
      </c>
      <c r="D32" s="30" t="s">
        <v>85</v>
      </c>
      <c r="E32">
        <v>1</v>
      </c>
      <c r="F32">
        <v>1</v>
      </c>
      <c r="G32" s="1">
        <v>4.29</v>
      </c>
      <c r="H32" s="1">
        <f>SUM(G32*E32)</f>
        <v>4.29</v>
      </c>
      <c r="I32" t="s">
        <v>21</v>
      </c>
      <c r="J32" s="2">
        <v>45742</v>
      </c>
      <c r="K32" s="2">
        <v>45750</v>
      </c>
      <c r="L32" s="3" t="s">
        <v>86</v>
      </c>
      <c r="M32">
        <v>31</v>
      </c>
    </row>
    <row r="33" spans="1:13" ht="15.75" customHeight="1">
      <c r="A33" s="25" t="str">
        <f>IF(Table1[[#This Row],[Part]]&lt;&gt; "", COUNTA(C$3:C33), "")</f>
        <v/>
      </c>
      <c r="B33" s="19"/>
      <c r="D33" s="28"/>
      <c r="E33"/>
      <c r="F33"/>
      <c r="G33" s="1"/>
      <c r="H33" s="1"/>
      <c r="I33"/>
      <c r="J33" s="2"/>
      <c r="K33" s="2"/>
      <c r="M33">
        <v>32</v>
      </c>
    </row>
    <row r="34" spans="1:13" ht="15.75" customHeight="1">
      <c r="A34" s="25" t="str">
        <f>IF(Table1[[#This Row],[Part]]&lt;&gt; "", COUNTA(C$3:C34), "")</f>
        <v/>
      </c>
      <c r="B34" s="11" t="s">
        <v>87</v>
      </c>
      <c r="D34" s="33"/>
      <c r="E34" s="1">
        <f>SUM(H34:H41)</f>
        <v>15.020000000000001</v>
      </c>
      <c r="G34" s="1"/>
      <c r="H34" s="1"/>
      <c r="I34"/>
      <c r="J34" s="2"/>
      <c r="K34" s="2">
        <v>45769</v>
      </c>
      <c r="M34">
        <v>33</v>
      </c>
    </row>
    <row r="35" spans="1:13" ht="14.45">
      <c r="A35" s="25">
        <f>IF(Table1[[#This Row],[Part]]&lt;&gt; "", COUNTA(C$3:C35), "")</f>
        <v>22</v>
      </c>
      <c r="B35" s="19"/>
      <c r="C35" s="7" t="s">
        <v>88</v>
      </c>
      <c r="D35" s="30" t="s">
        <v>89</v>
      </c>
      <c r="E35">
        <v>3</v>
      </c>
      <c r="F35">
        <v>3</v>
      </c>
      <c r="G35" s="1">
        <v>0.93</v>
      </c>
      <c r="H35" s="1">
        <f t="shared" ref="H35:H40" si="2">SUM(G35*E35)</f>
        <v>2.79</v>
      </c>
      <c r="I35" t="s">
        <v>21</v>
      </c>
      <c r="J35" s="2">
        <v>45742</v>
      </c>
      <c r="K35" s="2">
        <v>45750</v>
      </c>
      <c r="L35" s="3" t="s">
        <v>90</v>
      </c>
      <c r="M35">
        <v>34</v>
      </c>
    </row>
    <row r="36" spans="1:13" ht="14.45">
      <c r="A36" s="25">
        <f>IF(Table1[[#This Row],[Part]]&lt;&gt; "", COUNTA(C$3:C36), "")</f>
        <v>23</v>
      </c>
      <c r="B36" s="19"/>
      <c r="C36" s="7" t="s">
        <v>91</v>
      </c>
      <c r="D36" s="30" t="s">
        <v>92</v>
      </c>
      <c r="E36">
        <v>1</v>
      </c>
      <c r="F36">
        <v>1</v>
      </c>
      <c r="G36" s="1">
        <v>2.29</v>
      </c>
      <c r="H36" s="1">
        <f t="shared" si="2"/>
        <v>2.29</v>
      </c>
      <c r="I36" t="s">
        <v>21</v>
      </c>
      <c r="J36" s="2">
        <v>45742</v>
      </c>
      <c r="K36" s="2">
        <v>45750</v>
      </c>
      <c r="L36" s="3" t="s">
        <v>93</v>
      </c>
      <c r="M36">
        <v>35</v>
      </c>
    </row>
    <row r="37" spans="1:13" ht="14.45">
      <c r="A37" s="25">
        <f>IF(Table1[[#This Row],[Part]]&lt;&gt; "", COUNTA(C$3:C37), "")</f>
        <v>24</v>
      </c>
      <c r="B37" s="19"/>
      <c r="C37" s="7" t="s">
        <v>94</v>
      </c>
      <c r="D37" s="30" t="s">
        <v>95</v>
      </c>
      <c r="E37">
        <v>1</v>
      </c>
      <c r="F37">
        <v>1</v>
      </c>
      <c r="G37" s="1">
        <v>3.99</v>
      </c>
      <c r="H37" s="1">
        <f t="shared" si="2"/>
        <v>3.99</v>
      </c>
      <c r="I37" t="s">
        <v>21</v>
      </c>
      <c r="J37" s="2"/>
      <c r="K37" s="2">
        <v>45769</v>
      </c>
      <c r="L37" s="3" t="s">
        <v>96</v>
      </c>
      <c r="M37">
        <v>36</v>
      </c>
    </row>
    <row r="38" spans="1:13" ht="14.45">
      <c r="A38" s="25">
        <f>IF(Table1[[#This Row],[Part]]&lt;&gt; "", COUNTA(C$3:C38), "")</f>
        <v>25</v>
      </c>
      <c r="B38" s="19"/>
      <c r="C38" t="s">
        <v>97</v>
      </c>
      <c r="D38" s="28" t="s">
        <v>98</v>
      </c>
      <c r="E38">
        <v>50</v>
      </c>
      <c r="F38">
        <v>8</v>
      </c>
      <c r="G38" s="1">
        <v>2.8000000000000001E-2</v>
      </c>
      <c r="H38" s="1">
        <f t="shared" si="2"/>
        <v>1.4000000000000001</v>
      </c>
      <c r="I38" t="s">
        <v>41</v>
      </c>
      <c r="J38" s="2">
        <v>45742</v>
      </c>
      <c r="K38" s="2">
        <v>45751</v>
      </c>
      <c r="L38" s="3" t="s">
        <v>99</v>
      </c>
      <c r="M38">
        <v>37</v>
      </c>
    </row>
    <row r="39" spans="1:13" ht="15" customHeight="1">
      <c r="A39" s="25">
        <f>IF(Table1[[#This Row],[Part]]&lt;&gt; "", COUNTA(C$3:C39), "")</f>
        <v>26</v>
      </c>
      <c r="B39" s="19"/>
      <c r="C39" t="s">
        <v>100</v>
      </c>
      <c r="D39" s="28" t="s">
        <v>101</v>
      </c>
      <c r="E39" s="50">
        <v>20</v>
      </c>
      <c r="F39">
        <v>12</v>
      </c>
      <c r="G39" s="1">
        <v>3.2000000000000001E-2</v>
      </c>
      <c r="H39" s="1">
        <f t="shared" si="2"/>
        <v>0.64</v>
      </c>
      <c r="I39" t="s">
        <v>41</v>
      </c>
      <c r="J39" s="2">
        <v>45742</v>
      </c>
      <c r="K39" s="38">
        <v>45751</v>
      </c>
      <c r="L39" s="3" t="s">
        <v>102</v>
      </c>
      <c r="M39">
        <v>38</v>
      </c>
    </row>
    <row r="40" spans="1:13" ht="15" customHeight="1">
      <c r="A40" s="25">
        <f>IF(Table1[[#This Row],[Part]]&lt;&gt; "", COUNTA(C$3:C40), "")</f>
        <v>27</v>
      </c>
      <c r="B40" s="19"/>
      <c r="C40" s="8" t="s">
        <v>103</v>
      </c>
      <c r="D40" s="30"/>
      <c r="E40">
        <v>1</v>
      </c>
      <c r="F40">
        <v>1</v>
      </c>
      <c r="G40" s="1">
        <v>3.91</v>
      </c>
      <c r="H40" s="1">
        <f t="shared" si="2"/>
        <v>3.91</v>
      </c>
      <c r="I40" t="s">
        <v>104</v>
      </c>
      <c r="J40" s="2">
        <v>45742</v>
      </c>
      <c r="K40" s="2">
        <v>45750</v>
      </c>
      <c r="L40" s="3" t="s">
        <v>105</v>
      </c>
      <c r="M40">
        <v>39</v>
      </c>
    </row>
    <row r="41" spans="1:13" ht="14.45">
      <c r="A41" s="25" t="str">
        <f>IF(Table1[[#This Row],[Part]]&lt;&gt; "", COUNTA(C$3:C41), "")</f>
        <v/>
      </c>
      <c r="B41" s="19"/>
      <c r="D41" s="28"/>
      <c r="E41"/>
      <c r="F41"/>
      <c r="G41" s="1"/>
      <c r="H41" s="1"/>
      <c r="I41"/>
      <c r="J41" s="2"/>
      <c r="K41" s="2"/>
      <c r="M41">
        <v>40</v>
      </c>
    </row>
    <row r="42" spans="1:13" ht="15" customHeight="1">
      <c r="A42" s="25" t="str">
        <f>IF(Table1[[#This Row],[Part]]&lt;&gt; "", COUNTA(C$3:C42), "")</f>
        <v/>
      </c>
      <c r="B42" s="11" t="s">
        <v>106</v>
      </c>
      <c r="D42" s="33"/>
      <c r="E42" s="1">
        <f>SUM(H42:H54)</f>
        <v>20.564999999999998</v>
      </c>
      <c r="G42" s="1"/>
      <c r="H42" s="1"/>
      <c r="I42"/>
      <c r="J42" s="2"/>
      <c r="K42" s="2"/>
      <c r="M42">
        <v>41</v>
      </c>
    </row>
    <row r="43" spans="1:13" ht="14.45">
      <c r="A43" s="25">
        <f>IF(Table1[[#This Row],[Part]]&lt;&gt; "", COUNTA(C$3:C43), "")</f>
        <v>28</v>
      </c>
      <c r="B43" s="19"/>
      <c r="C43" s="8" t="s">
        <v>107</v>
      </c>
      <c r="D43" s="30" t="s">
        <v>108</v>
      </c>
      <c r="E43">
        <v>5</v>
      </c>
      <c r="F43">
        <v>3</v>
      </c>
      <c r="G43" s="1">
        <v>0.75</v>
      </c>
      <c r="H43" s="1">
        <f t="shared" ref="H43:H51" si="3">SUM(G43*E43)</f>
        <v>3.75</v>
      </c>
      <c r="I43" t="s">
        <v>21</v>
      </c>
      <c r="J43" s="2">
        <v>45742</v>
      </c>
      <c r="K43" s="2">
        <v>45750</v>
      </c>
      <c r="L43" s="3" t="s">
        <v>109</v>
      </c>
      <c r="M43">
        <v>42</v>
      </c>
    </row>
    <row r="44" spans="1:13" ht="14.45">
      <c r="A44" s="25">
        <f>IF(Table1[[#This Row],[Part]]&lt;&gt; "", COUNTA(C$3:C44), "")</f>
        <v>29</v>
      </c>
      <c r="B44" s="19"/>
      <c r="C44" s="8" t="s">
        <v>110</v>
      </c>
      <c r="D44" s="30" t="s">
        <v>111</v>
      </c>
      <c r="E44">
        <v>7</v>
      </c>
      <c r="F44">
        <v>2</v>
      </c>
      <c r="G44" s="1">
        <v>0.44</v>
      </c>
      <c r="H44" s="1">
        <f t="shared" si="3"/>
        <v>3.08</v>
      </c>
      <c r="I44" t="s">
        <v>21</v>
      </c>
      <c r="J44" s="2">
        <v>45742</v>
      </c>
      <c r="K44" s="2">
        <v>45750</v>
      </c>
      <c r="L44" s="3" t="s">
        <v>112</v>
      </c>
      <c r="M44">
        <v>43</v>
      </c>
    </row>
    <row r="45" spans="1:13" ht="14.45">
      <c r="A45" s="25">
        <f>IF(Table1[[#This Row],[Part]]&lt;&gt; "", COUNTA(C$3:C45), "")</f>
        <v>30</v>
      </c>
      <c r="B45" s="19"/>
      <c r="C45" t="s">
        <v>113</v>
      </c>
      <c r="D45" s="28" t="s">
        <v>114</v>
      </c>
      <c r="E45">
        <v>5</v>
      </c>
      <c r="F45">
        <v>4</v>
      </c>
      <c r="G45" s="1">
        <v>0.249</v>
      </c>
      <c r="H45" s="1">
        <f t="shared" si="3"/>
        <v>1.2450000000000001</v>
      </c>
      <c r="I45" t="s">
        <v>41</v>
      </c>
      <c r="J45" s="2">
        <v>45742</v>
      </c>
      <c r="K45" s="2">
        <v>45751</v>
      </c>
      <c r="L45" s="3" t="s">
        <v>115</v>
      </c>
      <c r="M45">
        <v>44</v>
      </c>
    </row>
    <row r="46" spans="1:13" ht="14.45">
      <c r="A46" s="25">
        <f>IF(Table1[[#This Row],[Part]]&lt;&gt; "", COUNTA(C$3:C46), "")</f>
        <v>31</v>
      </c>
      <c r="B46" s="19"/>
      <c r="C46" t="s">
        <v>116</v>
      </c>
      <c r="D46" s="28" t="s">
        <v>117</v>
      </c>
      <c r="E46">
        <v>5</v>
      </c>
      <c r="F46">
        <v>4</v>
      </c>
      <c r="G46" s="1">
        <v>0.126</v>
      </c>
      <c r="H46" s="1">
        <f t="shared" si="3"/>
        <v>0.63</v>
      </c>
      <c r="I46" t="s">
        <v>41</v>
      </c>
      <c r="J46" s="2">
        <v>45742</v>
      </c>
      <c r="K46" s="2">
        <v>45751</v>
      </c>
      <c r="L46" s="3" t="s">
        <v>118</v>
      </c>
      <c r="M46">
        <v>45</v>
      </c>
    </row>
    <row r="47" spans="1:13" ht="14.45">
      <c r="A47" s="25">
        <f>IF(Table1[[#This Row],[Part]]&lt;&gt; "", COUNTA(C$3:C47), "")</f>
        <v>32</v>
      </c>
      <c r="B47" s="19"/>
      <c r="C47" t="s">
        <v>119</v>
      </c>
      <c r="D47" s="30" t="s">
        <v>120</v>
      </c>
      <c r="E47" s="50">
        <v>5</v>
      </c>
      <c r="F47">
        <v>1</v>
      </c>
      <c r="G47" s="1">
        <v>0.32200000000000001</v>
      </c>
      <c r="H47" s="1">
        <f t="shared" si="3"/>
        <v>1.61</v>
      </c>
      <c r="I47" t="s">
        <v>41</v>
      </c>
      <c r="J47" s="2">
        <v>45742</v>
      </c>
      <c r="K47" s="38"/>
      <c r="L47" s="3" t="s">
        <v>121</v>
      </c>
      <c r="M47">
        <v>46</v>
      </c>
    </row>
    <row r="48" spans="1:13" ht="14.45">
      <c r="A48" s="25">
        <f>IF(Table1[[#This Row],[Part]]&lt;&gt; "", COUNTA(C$3:C48), "")</f>
        <v>33</v>
      </c>
      <c r="B48" s="19"/>
      <c r="C48" t="s">
        <v>122</v>
      </c>
      <c r="D48" s="28" t="s">
        <v>123</v>
      </c>
      <c r="E48">
        <v>5</v>
      </c>
      <c r="F48">
        <v>1</v>
      </c>
      <c r="G48" s="1">
        <v>0.152</v>
      </c>
      <c r="H48" s="1">
        <f t="shared" si="3"/>
        <v>0.76</v>
      </c>
      <c r="I48" t="s">
        <v>41</v>
      </c>
      <c r="J48" s="2">
        <v>45742</v>
      </c>
      <c r="K48" s="2">
        <v>45751</v>
      </c>
      <c r="L48" s="3" t="s">
        <v>124</v>
      </c>
      <c r="M48">
        <v>47</v>
      </c>
    </row>
    <row r="49" spans="1:13" ht="14.45">
      <c r="A49" s="25">
        <f>IF(Table1[[#This Row],[Part]]&lt;&gt; "", COUNTA(C$3:C49), "")</f>
        <v>34</v>
      </c>
      <c r="B49" s="19"/>
      <c r="C49" t="s">
        <v>125</v>
      </c>
      <c r="D49" s="28" t="s">
        <v>126</v>
      </c>
      <c r="E49">
        <v>5</v>
      </c>
      <c r="F49">
        <v>2</v>
      </c>
      <c r="G49" s="1">
        <v>0.184</v>
      </c>
      <c r="H49" s="1">
        <f t="shared" si="3"/>
        <v>0.91999999999999993</v>
      </c>
      <c r="I49" t="s">
        <v>41</v>
      </c>
      <c r="J49" s="2">
        <v>45742</v>
      </c>
      <c r="K49" s="2">
        <v>45751</v>
      </c>
      <c r="L49" s="3" t="s">
        <v>127</v>
      </c>
      <c r="M49">
        <v>48</v>
      </c>
    </row>
    <row r="50" spans="1:13" ht="14.45">
      <c r="A50" s="25">
        <f>IF(Table1[[#This Row],[Part]]&lt;&gt; "", COUNTA(C$3:C50), "")</f>
        <v>35</v>
      </c>
      <c r="B50" s="19"/>
      <c r="C50" t="s">
        <v>128</v>
      </c>
      <c r="D50" s="28" t="s">
        <v>129</v>
      </c>
      <c r="E50">
        <v>5</v>
      </c>
      <c r="F50">
        <v>2</v>
      </c>
      <c r="G50" s="1">
        <v>0.11</v>
      </c>
      <c r="H50" s="1">
        <f t="shared" si="3"/>
        <v>0.55000000000000004</v>
      </c>
      <c r="I50" t="s">
        <v>41</v>
      </c>
      <c r="J50" s="2">
        <v>45742</v>
      </c>
      <c r="K50" s="2">
        <v>45751</v>
      </c>
      <c r="L50" s="3" t="s">
        <v>130</v>
      </c>
      <c r="M50">
        <v>49</v>
      </c>
    </row>
    <row r="51" spans="1:13" ht="14.45">
      <c r="A51" s="25">
        <f>IF(Table1[[#This Row],[Part]]&lt;&gt; "", COUNTA(C$3:C51), "")</f>
        <v>36</v>
      </c>
      <c r="B51" s="19"/>
      <c r="C51" s="8" t="s">
        <v>131</v>
      </c>
      <c r="D51" s="30" t="s">
        <v>132</v>
      </c>
      <c r="E51" s="50">
        <v>10</v>
      </c>
      <c r="F51">
        <v>6</v>
      </c>
      <c r="G51" s="1">
        <v>0.61199999999999999</v>
      </c>
      <c r="H51" s="1">
        <f t="shared" si="3"/>
        <v>6.12</v>
      </c>
      <c r="I51" t="s">
        <v>41</v>
      </c>
      <c r="J51" s="2">
        <v>45742</v>
      </c>
      <c r="K51" s="38">
        <v>45751</v>
      </c>
      <c r="L51" s="3" t="s">
        <v>133</v>
      </c>
      <c r="M51">
        <v>50</v>
      </c>
    </row>
    <row r="52" spans="1:13" ht="14.45">
      <c r="A52" s="25" t="str">
        <f>IF(Table1[[#This Row],[Part]]&lt;&gt; "", COUNTA(C$3:C52), "")</f>
        <v/>
      </c>
      <c r="B52" s="19"/>
      <c r="D52" s="28"/>
      <c r="E52"/>
      <c r="F52"/>
      <c r="G52" s="1"/>
      <c r="H52" s="1"/>
      <c r="I52"/>
      <c r="J52" s="2"/>
      <c r="K52" s="2"/>
      <c r="L52" s="3"/>
      <c r="M52">
        <v>51</v>
      </c>
    </row>
    <row r="53" spans="1:13" ht="14.45">
      <c r="A53" s="25">
        <f>IF(Table1[[#This Row],[Part]]&lt;&gt; "", COUNTA(C$3:C53), "")</f>
        <v>37</v>
      </c>
      <c r="B53" s="19"/>
      <c r="C53" t="s">
        <v>134</v>
      </c>
      <c r="D53" s="30" t="s">
        <v>135</v>
      </c>
      <c r="E53">
        <v>100</v>
      </c>
      <c r="F53">
        <v>25</v>
      </c>
      <c r="G53" s="1">
        <v>1.9E-2</v>
      </c>
      <c r="H53" s="1">
        <f>SUM(G53*E53)</f>
        <v>1.9</v>
      </c>
      <c r="I53" t="s">
        <v>41</v>
      </c>
      <c r="J53" s="2">
        <v>45742</v>
      </c>
      <c r="K53" s="2">
        <v>45751</v>
      </c>
      <c r="L53" s="3" t="s">
        <v>136</v>
      </c>
      <c r="M53">
        <v>52</v>
      </c>
    </row>
    <row r="54" spans="1:13" ht="15" customHeight="1">
      <c r="A54" s="25">
        <f>IF(Table1[[#This Row],[Part]]&lt;&gt; "", COUNTA(C$3:C54), "")</f>
        <v>38</v>
      </c>
      <c r="B54" s="19"/>
      <c r="C54" t="s">
        <v>137</v>
      </c>
      <c r="D54" s="30" t="s">
        <v>138</v>
      </c>
      <c r="E54"/>
      <c r="F54"/>
      <c r="G54" s="1"/>
      <c r="H54" s="1"/>
      <c r="I54"/>
      <c r="J54" s="2"/>
      <c r="K54" s="2"/>
      <c r="M54">
        <v>53</v>
      </c>
    </row>
    <row r="55" spans="1:13" ht="15" customHeight="1">
      <c r="A55" s="25">
        <f>IF(Table1[[#This Row],[Part]]&lt;&gt; "", COUNTA(C$3:C55), "")</f>
        <v>39</v>
      </c>
      <c r="B55" s="19"/>
      <c r="C55" t="s">
        <v>139</v>
      </c>
      <c r="D55" s="28" t="s">
        <v>140</v>
      </c>
      <c r="E55">
        <v>20</v>
      </c>
      <c r="F55">
        <v>12</v>
      </c>
      <c r="G55" s="1">
        <v>8.2299999999999998E-2</v>
      </c>
      <c r="H55" s="1">
        <f>SUM(G55*E55)</f>
        <v>1.6459999999999999</v>
      </c>
      <c r="I55" t="s">
        <v>16</v>
      </c>
      <c r="J55" s="2">
        <v>45742</v>
      </c>
      <c r="K55" s="2">
        <v>45750</v>
      </c>
      <c r="L55" s="3" t="s">
        <v>141</v>
      </c>
      <c r="M55">
        <v>54</v>
      </c>
    </row>
    <row r="56" spans="1:13" ht="15" customHeight="1">
      <c r="A56" s="25" t="str">
        <f>IF(Table1[[#This Row],[Part]]&lt;&gt; "", COUNTA(C$3:C56), "")</f>
        <v/>
      </c>
      <c r="B56" s="19"/>
      <c r="D56" s="28"/>
      <c r="E56"/>
      <c r="F56"/>
      <c r="G56" s="1"/>
      <c r="H56" s="1"/>
      <c r="I56"/>
      <c r="J56" s="2"/>
      <c r="K56" s="2"/>
      <c r="M56">
        <v>55</v>
      </c>
    </row>
    <row r="57" spans="1:13" ht="15" customHeight="1">
      <c r="A57" s="25" t="str">
        <f>IF(Table1[[#This Row],[Part]]&lt;&gt; "", COUNTA(C$3:C57), "")</f>
        <v/>
      </c>
      <c r="B57" s="40" t="s">
        <v>142</v>
      </c>
      <c r="D57" s="27"/>
      <c r="E57" s="40"/>
      <c r="F57" s="40"/>
      <c r="G57" s="40"/>
      <c r="H57" s="1">
        <f>SUM(H1:H54)</f>
        <v>218.89500000000001</v>
      </c>
      <c r="I57" s="1">
        <f>0.79*Table1[[#This Row],[Total cost]]</f>
        <v>172.92705000000001</v>
      </c>
      <c r="J57" s="2"/>
      <c r="K57" s="2"/>
      <c r="M57">
        <v>56</v>
      </c>
    </row>
    <row r="58" spans="1:13" ht="15" customHeight="1">
      <c r="A58" s="25" t="str">
        <f>IF(Table1[[#This Row],[Part]]&lt;&gt; "", COUNTA(C$3:C58), "")</f>
        <v/>
      </c>
      <c r="B58" s="19"/>
      <c r="D58" s="28"/>
      <c r="E58"/>
      <c r="F58"/>
      <c r="G58" s="1"/>
      <c r="H58" s="1"/>
      <c r="I58"/>
      <c r="J58" s="2"/>
      <c r="K58" s="2"/>
      <c r="M58">
        <v>57</v>
      </c>
    </row>
    <row r="59" spans="1:13" ht="15" customHeight="1">
      <c r="A59" s="25" t="str">
        <f>IF(Table1[[#This Row],[Part]]&lt;&gt; "", COUNTA(C$3:C59), "")</f>
        <v/>
      </c>
      <c r="B59" s="41" t="s">
        <v>143</v>
      </c>
      <c r="D59" s="45"/>
      <c r="E59" s="41"/>
      <c r="F59" s="41"/>
      <c r="G59" s="41"/>
      <c r="H59" s="41"/>
      <c r="I59" s="41"/>
      <c r="J59" s="41"/>
      <c r="K59" s="41"/>
      <c r="L59" s="41"/>
      <c r="M59">
        <v>58</v>
      </c>
    </row>
    <row r="60" spans="1:13" ht="14.45">
      <c r="A60" s="25" t="str">
        <f>IF(Table1[[#This Row],[Part]]&lt;&gt; "", COUNTA(C$3:C60), "")</f>
        <v/>
      </c>
      <c r="B60" s="9" t="s">
        <v>144</v>
      </c>
      <c r="D60" s="27"/>
      <c r="E60" s="1">
        <f>SUM(H60:H73)</f>
        <v>129.54000000000002</v>
      </c>
      <c r="H60" s="1"/>
      <c r="I60"/>
      <c r="M60">
        <v>59</v>
      </c>
    </row>
    <row r="61" spans="1:13" ht="14.45">
      <c r="A61" s="25">
        <f>IF(Table1[[#This Row],[Part]]&lt;&gt; "", COUNTA(C$3:C61), "")</f>
        <v>40</v>
      </c>
      <c r="B61" s="13"/>
      <c r="C61" s="5" t="s">
        <v>145</v>
      </c>
      <c r="D61" s="65"/>
      <c r="E61" s="5">
        <v>4</v>
      </c>
      <c r="F61" s="5"/>
      <c r="G61" s="4">
        <f t="shared" ref="G61:G68" si="4">H61/E61</f>
        <v>3.8875000000000002</v>
      </c>
      <c r="H61" s="4">
        <v>15.55</v>
      </c>
      <c r="I61" s="5" t="s">
        <v>146</v>
      </c>
      <c r="J61" s="6">
        <v>45742</v>
      </c>
      <c r="K61" s="6">
        <v>45750</v>
      </c>
      <c r="L61" s="49" t="s">
        <v>147</v>
      </c>
      <c r="M61">
        <v>60</v>
      </c>
    </row>
    <row r="62" spans="1:13" ht="14.45">
      <c r="A62" s="25">
        <f>IF(Table1[[#This Row],[Part]]&lt;&gt; "", COUNTA(C$3:C62), "")</f>
        <v>41</v>
      </c>
      <c r="B62" s="19"/>
      <c r="C62" t="s">
        <v>148</v>
      </c>
      <c r="D62" s="28"/>
      <c r="E62">
        <v>4</v>
      </c>
      <c r="F62"/>
      <c r="G62" s="1">
        <f t="shared" si="4"/>
        <v>4.2549999999999999</v>
      </c>
      <c r="H62" s="1">
        <v>17.02</v>
      </c>
      <c r="I62" t="s">
        <v>146</v>
      </c>
      <c r="J62" s="2">
        <v>45742</v>
      </c>
      <c r="K62" s="2">
        <v>45750</v>
      </c>
      <c r="L62" s="3" t="s">
        <v>149</v>
      </c>
      <c r="M62">
        <v>61</v>
      </c>
    </row>
    <row r="63" spans="1:13" thickBot="1">
      <c r="A63" s="25">
        <f>IF(Table1[[#This Row],[Part]]&lt;&gt; "", COUNTA(C$3:C63), "")</f>
        <v>42</v>
      </c>
      <c r="B63" s="39"/>
      <c r="C63" s="20" t="s">
        <v>150</v>
      </c>
      <c r="D63" s="43"/>
      <c r="E63" s="20">
        <v>4</v>
      </c>
      <c r="F63" s="20"/>
      <c r="G63" s="46">
        <f t="shared" si="4"/>
        <v>3.4449999999999998</v>
      </c>
      <c r="H63" s="46">
        <v>13.78</v>
      </c>
      <c r="I63" s="20" t="s">
        <v>146</v>
      </c>
      <c r="J63" s="47">
        <v>45742</v>
      </c>
      <c r="K63" s="47">
        <v>45750</v>
      </c>
      <c r="L63" s="48" t="s">
        <v>151</v>
      </c>
      <c r="M63">
        <v>62</v>
      </c>
    </row>
    <row r="64" spans="1:13" thickTop="1">
      <c r="A64" s="25">
        <f>IF(Table1[[#This Row],[Part]]&lt;&gt; "", COUNTA(C$3:C64), "")</f>
        <v>43</v>
      </c>
      <c r="B64" s="19"/>
      <c r="C64" t="s">
        <v>152</v>
      </c>
      <c r="D64" s="28"/>
      <c r="E64">
        <v>2</v>
      </c>
      <c r="F64"/>
      <c r="G64" s="1">
        <f t="shared" si="4"/>
        <v>3.58</v>
      </c>
      <c r="H64" s="1">
        <v>7.16</v>
      </c>
      <c r="I64" t="s">
        <v>146</v>
      </c>
      <c r="J64" s="2">
        <v>45742</v>
      </c>
      <c r="K64" s="2">
        <v>45750</v>
      </c>
      <c r="L64" s="3" t="s">
        <v>153</v>
      </c>
      <c r="M64">
        <v>63</v>
      </c>
    </row>
    <row r="65" spans="1:13" ht="14.45">
      <c r="A65" s="25">
        <f>IF(Table1[[#This Row],[Part]]&lt;&gt; "", COUNTA(C$3:C65), "")</f>
        <v>44</v>
      </c>
      <c r="B65" s="19"/>
      <c r="C65" t="s">
        <v>154</v>
      </c>
      <c r="D65" s="28"/>
      <c r="E65">
        <v>2</v>
      </c>
      <c r="F65"/>
      <c r="G65" s="1">
        <f t="shared" si="4"/>
        <v>2.1150000000000002</v>
      </c>
      <c r="H65" s="1">
        <v>4.2300000000000004</v>
      </c>
      <c r="I65" t="s">
        <v>146</v>
      </c>
      <c r="J65" s="2">
        <v>45742</v>
      </c>
      <c r="K65" s="2">
        <v>45750</v>
      </c>
      <c r="L65" s="3" t="s">
        <v>155</v>
      </c>
      <c r="M65">
        <v>64</v>
      </c>
    </row>
    <row r="66" spans="1:13" ht="14.45">
      <c r="A66" s="25">
        <f>IF(Table1[[#This Row],[Part]]&lt;&gt; "", COUNTA(C$3:C66), "")</f>
        <v>45</v>
      </c>
      <c r="B66" s="19"/>
      <c r="C66" t="s">
        <v>156</v>
      </c>
      <c r="D66" s="28"/>
      <c r="E66">
        <v>2</v>
      </c>
      <c r="F66"/>
      <c r="G66" s="1">
        <f t="shared" si="4"/>
        <v>2.46</v>
      </c>
      <c r="H66" s="1">
        <v>4.92</v>
      </c>
      <c r="I66" t="s">
        <v>146</v>
      </c>
      <c r="J66" s="2">
        <v>45742</v>
      </c>
      <c r="K66" s="2">
        <v>45750</v>
      </c>
      <c r="L66" s="3" t="s">
        <v>157</v>
      </c>
      <c r="M66">
        <v>65</v>
      </c>
    </row>
    <row r="67" spans="1:13" ht="14.45">
      <c r="A67" s="25">
        <f>IF(Table1[[#This Row],[Part]]&lt;&gt; "", COUNTA(C$3:C67), "")</f>
        <v>46</v>
      </c>
      <c r="B67" s="19"/>
      <c r="C67" t="s">
        <v>158</v>
      </c>
      <c r="D67" s="28"/>
      <c r="E67">
        <v>2</v>
      </c>
      <c r="F67"/>
      <c r="G67" s="1">
        <f t="shared" si="4"/>
        <v>3.3849999999999998</v>
      </c>
      <c r="H67" s="1">
        <v>6.77</v>
      </c>
      <c r="I67" t="s">
        <v>146</v>
      </c>
      <c r="J67" s="2">
        <v>45742</v>
      </c>
      <c r="K67" s="2">
        <v>45750</v>
      </c>
      <c r="L67" s="3" t="s">
        <v>159</v>
      </c>
      <c r="M67">
        <v>66</v>
      </c>
    </row>
    <row r="68" spans="1:13" ht="14.45">
      <c r="A68" s="25">
        <f>IF(Table1[[#This Row],[Part]]&lt;&gt; "", COUNTA(C$3:C68), "")</f>
        <v>47</v>
      </c>
      <c r="B68" s="19"/>
      <c r="C68" t="s">
        <v>160</v>
      </c>
      <c r="D68" s="28"/>
      <c r="E68">
        <v>2</v>
      </c>
      <c r="F68"/>
      <c r="G68" s="1">
        <f t="shared" si="4"/>
        <v>2.585</v>
      </c>
      <c r="H68" s="1">
        <v>5.17</v>
      </c>
      <c r="I68" t="s">
        <v>146</v>
      </c>
      <c r="J68" s="2">
        <v>45742</v>
      </c>
      <c r="K68" s="2">
        <v>45750</v>
      </c>
      <c r="L68" s="3" t="s">
        <v>161</v>
      </c>
      <c r="M68">
        <v>67</v>
      </c>
    </row>
    <row r="69" spans="1:13" ht="14.45">
      <c r="A69" s="25">
        <f>IF(Table1[[#This Row],[Part]]&lt;&gt; "", COUNTA(C$3:C69), "")</f>
        <v>48</v>
      </c>
      <c r="B69" s="19"/>
      <c r="C69" t="s">
        <v>162</v>
      </c>
      <c r="D69" s="28" t="s">
        <v>163</v>
      </c>
      <c r="E69">
        <v>1</v>
      </c>
      <c r="F69"/>
      <c r="G69" s="1">
        <v>10.54</v>
      </c>
      <c r="H69" s="1">
        <f>E69*G69</f>
        <v>10.54</v>
      </c>
      <c r="I69" t="s">
        <v>41</v>
      </c>
      <c r="J69" s="2">
        <v>45742</v>
      </c>
      <c r="K69" s="2">
        <v>45751</v>
      </c>
      <c r="L69" s="3" t="s">
        <v>164</v>
      </c>
      <c r="M69">
        <v>68</v>
      </c>
    </row>
    <row r="70" spans="1:13" ht="14.45">
      <c r="A70" s="25">
        <f>IF(Table1[[#This Row],[Part]]&lt;&gt; "", COUNTA(C$3:C70), "")</f>
        <v>49</v>
      </c>
      <c r="B70" s="19"/>
      <c r="C70" t="s">
        <v>165</v>
      </c>
      <c r="D70" s="28" t="s">
        <v>166</v>
      </c>
      <c r="E70">
        <v>4</v>
      </c>
      <c r="F70"/>
      <c r="G70" s="1">
        <v>0.8</v>
      </c>
      <c r="H70" s="1">
        <f>E70*G70</f>
        <v>3.2</v>
      </c>
      <c r="I70" t="s">
        <v>167</v>
      </c>
      <c r="J70" s="2">
        <v>45742</v>
      </c>
      <c r="K70" s="2">
        <v>45769</v>
      </c>
      <c r="L70" s="36" t="s">
        <v>168</v>
      </c>
      <c r="M70">
        <v>69</v>
      </c>
    </row>
    <row r="71" spans="1:13" ht="14.45">
      <c r="A71" s="25">
        <f>IF(Table1[[#This Row],[Part]]&lt;&gt; "", COUNTA(C$3:C71), "")</f>
        <v>50</v>
      </c>
      <c r="B71" s="19"/>
      <c r="C71" t="s">
        <v>169</v>
      </c>
      <c r="D71" s="28" t="s">
        <v>170</v>
      </c>
      <c r="E71">
        <v>5</v>
      </c>
      <c r="F71" t="s">
        <v>171</v>
      </c>
      <c r="G71" s="1">
        <v>7.34</v>
      </c>
      <c r="H71" s="1">
        <f>E71*G71</f>
        <v>36.700000000000003</v>
      </c>
      <c r="I71" t="s">
        <v>26</v>
      </c>
      <c r="J71" s="2">
        <v>45742</v>
      </c>
      <c r="K71" s="38">
        <v>45392</v>
      </c>
      <c r="L71" s="3" t="s">
        <v>172</v>
      </c>
      <c r="M71">
        <v>70</v>
      </c>
    </row>
    <row r="72" spans="1:13" ht="14.45">
      <c r="A72" s="25">
        <f>IF(Table1[[#This Row],[Part]]&lt;&gt; "", COUNTA(C$3:C72), "")</f>
        <v>51</v>
      </c>
      <c r="B72" s="19"/>
      <c r="C72" t="s">
        <v>173</v>
      </c>
      <c r="D72" s="28" t="s">
        <v>174</v>
      </c>
      <c r="E72">
        <v>1</v>
      </c>
      <c r="F72"/>
      <c r="G72" s="1">
        <v>4.5</v>
      </c>
      <c r="H72" s="1">
        <f>E72*G72</f>
        <v>4.5</v>
      </c>
      <c r="I72" t="s">
        <v>26</v>
      </c>
      <c r="J72" s="2">
        <v>45742</v>
      </c>
      <c r="K72" s="2">
        <v>45392</v>
      </c>
      <c r="L72" s="3" t="s">
        <v>175</v>
      </c>
      <c r="M72">
        <v>71</v>
      </c>
    </row>
    <row r="73" spans="1:13" ht="14.45">
      <c r="A73" s="25" t="str">
        <f>IF(Table1[[#This Row],[Part]]&lt;&gt; "", COUNTA(C$3:C73), "")</f>
        <v/>
      </c>
      <c r="B73" s="19"/>
      <c r="D73" s="28"/>
      <c r="E73"/>
      <c r="F73"/>
      <c r="G73" s="1"/>
      <c r="H73" s="1"/>
      <c r="I73"/>
      <c r="J73" s="2"/>
      <c r="K73" s="2"/>
      <c r="L73" s="3"/>
      <c r="M73">
        <v>72</v>
      </c>
    </row>
    <row r="74" spans="1:13" ht="14.45">
      <c r="A74" s="25" t="str">
        <f>IF(Table1[[#This Row],[Part]]&lt;&gt; "", COUNTA(C$3:C74), "")</f>
        <v/>
      </c>
      <c r="B74" s="9" t="s">
        <v>176</v>
      </c>
      <c r="D74" s="27"/>
      <c r="E74" s="1">
        <f>SUM(H75:H79)</f>
        <v>38.93</v>
      </c>
      <c r="G74" s="1"/>
      <c r="H74" s="1"/>
      <c r="I74"/>
      <c r="J74" s="2"/>
      <c r="K74" s="2"/>
      <c r="M74">
        <v>73</v>
      </c>
    </row>
    <row r="75" spans="1:13" ht="14.45">
      <c r="A75" s="25">
        <f>IF(Table1[[#This Row],[Part]]&lt;&gt; "", COUNTA(C$3:C75), "")</f>
        <v>52</v>
      </c>
      <c r="B75" s="19"/>
      <c r="C75" t="s">
        <v>177</v>
      </c>
      <c r="D75" s="28" t="s">
        <v>178</v>
      </c>
      <c r="E75">
        <v>1</v>
      </c>
      <c r="F75"/>
      <c r="G75" s="1">
        <v>4.9400000000000004</v>
      </c>
      <c r="H75" s="1">
        <f>E75*G75</f>
        <v>4.9400000000000004</v>
      </c>
      <c r="I75" t="s">
        <v>167</v>
      </c>
      <c r="J75" s="2">
        <v>45742</v>
      </c>
      <c r="K75" s="2">
        <v>45769</v>
      </c>
      <c r="L75" s="3" t="s">
        <v>179</v>
      </c>
      <c r="M75">
        <v>74</v>
      </c>
    </row>
    <row r="76" spans="1:13" ht="14.45">
      <c r="A76" s="25">
        <f>IF(Table1[[#This Row],[Part]]&lt;&gt; "", COUNTA(C$3:C76), "")</f>
        <v>53</v>
      </c>
      <c r="B76" s="19"/>
      <c r="C76" t="s">
        <v>180</v>
      </c>
      <c r="D76" s="28" t="s">
        <v>181</v>
      </c>
      <c r="E76">
        <v>1</v>
      </c>
      <c r="F76"/>
      <c r="G76" s="1">
        <v>3.08</v>
      </c>
      <c r="H76" s="1">
        <f>E76*G76</f>
        <v>3.08</v>
      </c>
      <c r="I76" t="s">
        <v>167</v>
      </c>
      <c r="J76" s="2">
        <v>45742</v>
      </c>
      <c r="K76" s="2">
        <v>45769</v>
      </c>
      <c r="L76" s="36" t="s">
        <v>179</v>
      </c>
      <c r="M76">
        <v>75</v>
      </c>
    </row>
    <row r="77" spans="1:13" ht="14.45">
      <c r="A77" s="25">
        <f>IF(Table1[[#This Row],[Part]]&lt;&gt; "", COUNTA(C$3:C77), "")</f>
        <v>54</v>
      </c>
      <c r="B77" s="19"/>
      <c r="C77" t="s">
        <v>182</v>
      </c>
      <c r="D77" s="28" t="s">
        <v>183</v>
      </c>
      <c r="E77">
        <v>1</v>
      </c>
      <c r="F77"/>
      <c r="G77" s="1">
        <v>3.08</v>
      </c>
      <c r="H77" s="1">
        <f>E77*G77</f>
        <v>3.08</v>
      </c>
      <c r="I77" t="s">
        <v>167</v>
      </c>
      <c r="J77" s="2">
        <v>45742</v>
      </c>
      <c r="K77" s="2">
        <v>45769</v>
      </c>
      <c r="L77" s="3" t="s">
        <v>179</v>
      </c>
      <c r="M77">
        <v>76</v>
      </c>
    </row>
    <row r="78" spans="1:13" ht="15.95" customHeight="1">
      <c r="A78" s="25">
        <f>IF(Table1[[#This Row],[Part]]&lt;&gt; "", COUNTA(C$3:C78), "")</f>
        <v>55</v>
      </c>
      <c r="B78" s="19"/>
      <c r="C78" t="s">
        <v>184</v>
      </c>
      <c r="D78" s="28" t="s">
        <v>185</v>
      </c>
      <c r="E78">
        <v>1</v>
      </c>
      <c r="F78"/>
      <c r="G78" s="1">
        <v>3.08</v>
      </c>
      <c r="H78" s="1">
        <f>E78*G78</f>
        <v>3.08</v>
      </c>
      <c r="I78" t="s">
        <v>167</v>
      </c>
      <c r="J78" s="2">
        <v>45742</v>
      </c>
      <c r="K78" s="2">
        <v>45769</v>
      </c>
      <c r="L78" s="3" t="s">
        <v>179</v>
      </c>
      <c r="M78">
        <v>77</v>
      </c>
    </row>
    <row r="79" spans="1:13" ht="14.45">
      <c r="A79" s="25">
        <f>IF(Table1[[#This Row],[Part]]&lt;&gt; "", COUNTA(C$3:C79), "")</f>
        <v>56</v>
      </c>
      <c r="B79" s="19"/>
      <c r="C79" t="s">
        <v>186</v>
      </c>
      <c r="D79" s="28" t="s">
        <v>187</v>
      </c>
      <c r="E79">
        <v>3</v>
      </c>
      <c r="F79"/>
      <c r="G79" s="1">
        <v>8.25</v>
      </c>
      <c r="H79" s="1">
        <f>E79*G79</f>
        <v>24.75</v>
      </c>
      <c r="I79" t="s">
        <v>26</v>
      </c>
      <c r="J79" s="2">
        <v>45742</v>
      </c>
      <c r="K79" s="2">
        <v>45392</v>
      </c>
      <c r="L79" s="3" t="s">
        <v>188</v>
      </c>
      <c r="M79">
        <v>78</v>
      </c>
    </row>
    <row r="80" spans="1:13" ht="14.45">
      <c r="A80" s="25" t="str">
        <f>IF(Table1[[#This Row],[Part]]&lt;&gt; "", COUNTA(C$3:C80), "")</f>
        <v/>
      </c>
      <c r="B80" s="19"/>
      <c r="D80" s="28"/>
      <c r="E80"/>
      <c r="F80"/>
      <c r="G80" s="1"/>
      <c r="H80" s="1"/>
      <c r="I80"/>
      <c r="J80" s="2"/>
      <c r="K80" s="2"/>
      <c r="L80" s="3"/>
      <c r="M80">
        <v>79</v>
      </c>
    </row>
    <row r="81" spans="1:13" ht="14.45">
      <c r="A81" s="25" t="str">
        <f>IF(Table1[[#This Row],[Part]]&lt;&gt; "", COUNTA(C$3:C81), "")</f>
        <v/>
      </c>
      <c r="B81" s="9" t="s">
        <v>189</v>
      </c>
      <c r="D81" s="27"/>
      <c r="E81" s="1">
        <f>SUM(H82:H89)</f>
        <v>82.75</v>
      </c>
      <c r="G81" s="1"/>
      <c r="H81" s="1"/>
      <c r="I81"/>
      <c r="J81" s="2"/>
      <c r="K81" s="2"/>
      <c r="L81" s="3"/>
      <c r="M81">
        <v>80</v>
      </c>
    </row>
    <row r="82" spans="1:13" ht="14.45">
      <c r="A82" s="25">
        <f>IF(Table1[[#This Row],[Part]]&lt;&gt; "", COUNTA(C$3:C82), "")</f>
        <v>57</v>
      </c>
      <c r="B82" s="19"/>
      <c r="C82" t="s">
        <v>190</v>
      </c>
      <c r="D82" s="28" t="s">
        <v>191</v>
      </c>
      <c r="E82">
        <v>2</v>
      </c>
      <c r="F82"/>
      <c r="G82" s="1">
        <v>10</v>
      </c>
      <c r="H82" s="1">
        <f t="shared" ref="H82:H89" si="5">E82*G82</f>
        <v>20</v>
      </c>
      <c r="I82" t="s">
        <v>26</v>
      </c>
      <c r="J82" s="2">
        <v>45742</v>
      </c>
      <c r="K82" s="2">
        <v>45392</v>
      </c>
      <c r="L82" s="3" t="s">
        <v>192</v>
      </c>
      <c r="M82">
        <v>81</v>
      </c>
    </row>
    <row r="83" spans="1:13" ht="14.45">
      <c r="A83" s="25">
        <f>IF(Table1[[#This Row],[Part]]&lt;&gt; "", COUNTA(C$3:C83), "")</f>
        <v>58</v>
      </c>
      <c r="B83" s="19"/>
      <c r="C83" t="s">
        <v>193</v>
      </c>
      <c r="D83" s="28" t="s">
        <v>194</v>
      </c>
      <c r="E83">
        <v>2</v>
      </c>
      <c r="F83"/>
      <c r="G83" s="1">
        <v>6</v>
      </c>
      <c r="H83" s="1">
        <f t="shared" si="5"/>
        <v>12</v>
      </c>
      <c r="I83" t="s">
        <v>26</v>
      </c>
      <c r="J83" s="2">
        <v>45742</v>
      </c>
      <c r="K83" s="2">
        <v>45392</v>
      </c>
      <c r="L83" s="3" t="s">
        <v>195</v>
      </c>
      <c r="M83">
        <v>82</v>
      </c>
    </row>
    <row r="84" spans="1:13" ht="14.45">
      <c r="A84" s="25">
        <f>IF(Table1[[#This Row],[Part]]&lt;&gt; "", COUNTA(C$3:C84), "")</f>
        <v>59</v>
      </c>
      <c r="B84" s="19"/>
      <c r="C84" t="s">
        <v>196</v>
      </c>
      <c r="D84" s="28" t="s">
        <v>197</v>
      </c>
      <c r="E84">
        <v>2</v>
      </c>
      <c r="F84"/>
      <c r="G84" s="1">
        <v>6</v>
      </c>
      <c r="H84" s="1">
        <f t="shared" si="5"/>
        <v>12</v>
      </c>
      <c r="I84" t="s">
        <v>26</v>
      </c>
      <c r="J84" s="2">
        <v>45742</v>
      </c>
      <c r="K84" s="2">
        <v>45392</v>
      </c>
      <c r="L84" s="3" t="s">
        <v>198</v>
      </c>
      <c r="M84">
        <v>83</v>
      </c>
    </row>
    <row r="85" spans="1:13" ht="14.45">
      <c r="A85" s="25">
        <f>IF(Table1[[#This Row],[Part]]&lt;&gt; "", COUNTA(C$3:C85), "")</f>
        <v>60</v>
      </c>
      <c r="B85" s="19"/>
      <c r="C85" t="s">
        <v>199</v>
      </c>
      <c r="D85" s="28" t="s">
        <v>200</v>
      </c>
      <c r="E85">
        <v>2</v>
      </c>
      <c r="F85"/>
      <c r="G85" s="1">
        <v>11.45</v>
      </c>
      <c r="H85" s="1">
        <f t="shared" si="5"/>
        <v>22.9</v>
      </c>
      <c r="I85" t="s">
        <v>167</v>
      </c>
      <c r="J85" s="2">
        <v>45742</v>
      </c>
      <c r="K85" s="2">
        <v>45769</v>
      </c>
      <c r="L85" s="3" t="s">
        <v>201</v>
      </c>
      <c r="M85">
        <v>84</v>
      </c>
    </row>
    <row r="86" spans="1:13" ht="14.45">
      <c r="A86" s="25">
        <f>IF(Table1[[#This Row],[Part]]&lt;&gt; "", COUNTA(C$3:C86), "")</f>
        <v>61</v>
      </c>
      <c r="B86" s="19"/>
      <c r="C86" t="s">
        <v>202</v>
      </c>
      <c r="D86" s="28" t="s">
        <v>203</v>
      </c>
      <c r="E86">
        <v>0</v>
      </c>
      <c r="F86"/>
      <c r="G86" s="1">
        <v>20.11</v>
      </c>
      <c r="H86" s="1">
        <f t="shared" si="5"/>
        <v>0</v>
      </c>
      <c r="I86" t="s">
        <v>167</v>
      </c>
      <c r="J86" s="2">
        <v>45742</v>
      </c>
      <c r="K86" s="2"/>
      <c r="L86" s="3" t="s">
        <v>204</v>
      </c>
      <c r="M86">
        <v>85</v>
      </c>
    </row>
    <row r="87" spans="1:13" ht="14.45">
      <c r="A87" s="25">
        <f>IF(Table1[[#This Row],[Part]]&lt;&gt; "", COUNTA(C$3:C87), "")</f>
        <v>62</v>
      </c>
      <c r="B87" s="19"/>
      <c r="C87" t="s">
        <v>205</v>
      </c>
      <c r="D87" s="28" t="s">
        <v>206</v>
      </c>
      <c r="E87">
        <v>1</v>
      </c>
      <c r="F87"/>
      <c r="G87" s="1">
        <v>3.53</v>
      </c>
      <c r="H87" s="1">
        <f t="shared" si="5"/>
        <v>3.53</v>
      </c>
      <c r="I87" t="s">
        <v>104</v>
      </c>
      <c r="J87" s="2">
        <v>45742</v>
      </c>
      <c r="K87" s="2">
        <v>45750</v>
      </c>
      <c r="L87" s="3" t="s">
        <v>207</v>
      </c>
      <c r="M87">
        <v>86</v>
      </c>
    </row>
    <row r="88" spans="1:13" ht="14.45">
      <c r="A88" s="25">
        <f>IF(Table1[[#This Row],[Part]]&lt;&gt; "", COUNTA(C$3:C88), "")</f>
        <v>63</v>
      </c>
      <c r="B88" s="19"/>
      <c r="C88" t="s">
        <v>208</v>
      </c>
      <c r="D88" s="28" t="s">
        <v>209</v>
      </c>
      <c r="E88">
        <v>4</v>
      </c>
      <c r="F88"/>
      <c r="G88" s="1">
        <v>1.2</v>
      </c>
      <c r="H88" s="1">
        <f t="shared" si="5"/>
        <v>4.8</v>
      </c>
      <c r="I88" t="s">
        <v>167</v>
      </c>
      <c r="J88" s="2">
        <v>45742</v>
      </c>
      <c r="K88" s="2">
        <v>45769</v>
      </c>
      <c r="L88" s="3" t="s">
        <v>210</v>
      </c>
      <c r="M88">
        <v>87</v>
      </c>
    </row>
    <row r="89" spans="1:13" ht="14.45">
      <c r="A89" s="25">
        <f>IF(Table1[[#This Row],[Part]]&lt;&gt; "", COUNTA(C$3:C89), "")</f>
        <v>64</v>
      </c>
      <c r="B89" s="19"/>
      <c r="C89" t="s">
        <v>211</v>
      </c>
      <c r="D89" s="28" t="s">
        <v>212</v>
      </c>
      <c r="E89">
        <v>2</v>
      </c>
      <c r="F89"/>
      <c r="G89" s="1">
        <v>3.76</v>
      </c>
      <c r="H89" s="1">
        <f t="shared" si="5"/>
        <v>7.52</v>
      </c>
      <c r="I89" t="s">
        <v>167</v>
      </c>
      <c r="J89" s="2">
        <v>45742</v>
      </c>
      <c r="K89" s="2">
        <v>45769</v>
      </c>
      <c r="L89" s="3" t="s">
        <v>213</v>
      </c>
      <c r="M89">
        <v>88</v>
      </c>
    </row>
    <row r="90" spans="1:13" ht="14.45">
      <c r="A90" s="25" t="str">
        <f>IF(Table1[[#This Row],[Part]]&lt;&gt; "", COUNTA(C$3:C90), "")</f>
        <v/>
      </c>
      <c r="B90" s="19"/>
      <c r="D90" s="28"/>
      <c r="E90"/>
      <c r="F90"/>
      <c r="G90" s="1"/>
      <c r="H90" s="1"/>
      <c r="I90"/>
      <c r="J90" s="2"/>
      <c r="K90" s="2"/>
      <c r="L90" s="3"/>
      <c r="M90">
        <v>89</v>
      </c>
    </row>
    <row r="91" spans="1:13" ht="14.45">
      <c r="A91" s="25" t="str">
        <f>IF(Table1[[#This Row],[Part]]&lt;&gt; "", COUNTA(C$3:C91), "")</f>
        <v/>
      </c>
      <c r="B91" s="9" t="s">
        <v>214</v>
      </c>
      <c r="D91" s="27"/>
      <c r="E91" s="1">
        <f>SUM(H91:H98)</f>
        <v>66.309999999999988</v>
      </c>
      <c r="G91" s="1"/>
      <c r="H91" s="1"/>
      <c r="I91"/>
      <c r="J91" s="2"/>
      <c r="K91" s="2"/>
      <c r="L91" s="3"/>
      <c r="M91">
        <v>90</v>
      </c>
    </row>
    <row r="92" spans="1:13" ht="14.45">
      <c r="A92" s="25">
        <f>IF(Table1[[#This Row],[Part]]&lt;&gt; "", COUNTA(C$3:C92), "")</f>
        <v>65</v>
      </c>
      <c r="B92" s="19"/>
      <c r="C92" t="s">
        <v>215</v>
      </c>
      <c r="D92" s="28" t="s">
        <v>216</v>
      </c>
      <c r="E92">
        <v>2</v>
      </c>
      <c r="F92"/>
      <c r="G92" s="1">
        <v>3.75</v>
      </c>
      <c r="H92" s="1">
        <f>E92*G92</f>
        <v>7.5</v>
      </c>
      <c r="I92" t="s">
        <v>167</v>
      </c>
      <c r="J92" s="2">
        <v>45742</v>
      </c>
      <c r="K92" s="2">
        <v>45769</v>
      </c>
      <c r="L92" s="3" t="s">
        <v>217</v>
      </c>
      <c r="M92">
        <v>91</v>
      </c>
    </row>
    <row r="93" spans="1:13" ht="14.45">
      <c r="A93" s="25">
        <f>IF(Table1[[#This Row],[Part]]&lt;&gt; "", COUNTA(C$3:C93), "")</f>
        <v>66</v>
      </c>
      <c r="B93" s="19"/>
      <c r="C93" t="s">
        <v>218</v>
      </c>
      <c r="D93" s="28" t="s">
        <v>219</v>
      </c>
      <c r="E93">
        <v>2</v>
      </c>
      <c r="F93"/>
      <c r="G93" s="1">
        <v>7.29</v>
      </c>
      <c r="H93" s="1">
        <f>E93*G93</f>
        <v>14.58</v>
      </c>
      <c r="I93" t="s">
        <v>220</v>
      </c>
      <c r="J93" s="2">
        <v>45742</v>
      </c>
      <c r="K93" s="2">
        <v>45750</v>
      </c>
      <c r="L93" s="3" t="s">
        <v>221</v>
      </c>
      <c r="M93">
        <v>92</v>
      </c>
    </row>
    <row r="94" spans="1:13" ht="14.45">
      <c r="A94" s="25">
        <f>IF(Table1[[#This Row],[Part]]&lt;&gt; "", COUNTA(C$3:C94), "")</f>
        <v>67</v>
      </c>
      <c r="B94" s="19"/>
      <c r="C94" t="s">
        <v>222</v>
      </c>
      <c r="D94" s="28"/>
      <c r="E94">
        <v>1</v>
      </c>
      <c r="F94"/>
      <c r="G94" s="1">
        <v>26.49</v>
      </c>
      <c r="H94" s="1">
        <f>E94*G94</f>
        <v>26.49</v>
      </c>
      <c r="I94" t="s">
        <v>223</v>
      </c>
      <c r="J94" s="2">
        <v>45742</v>
      </c>
      <c r="K94" s="2">
        <v>45769</v>
      </c>
      <c r="L94" s="3" t="s">
        <v>224</v>
      </c>
      <c r="M94">
        <v>93</v>
      </c>
    </row>
    <row r="95" spans="1:13" ht="14.45">
      <c r="A95" s="25">
        <f>IF(Table1[[#This Row],[Part]]&lt;&gt; "", COUNTA(C$3:C95), "")</f>
        <v>68</v>
      </c>
      <c r="B95" s="19"/>
      <c r="C95" t="s">
        <v>225</v>
      </c>
      <c r="D95" s="28" t="s">
        <v>226</v>
      </c>
      <c r="E95">
        <v>2</v>
      </c>
      <c r="F95"/>
      <c r="G95" s="1">
        <v>6.29</v>
      </c>
      <c r="H95" s="1">
        <f>E95*G95</f>
        <v>12.58</v>
      </c>
      <c r="I95" t="s">
        <v>220</v>
      </c>
      <c r="J95" s="2">
        <v>45742</v>
      </c>
      <c r="K95" s="2">
        <v>45750</v>
      </c>
      <c r="L95" s="3" t="s">
        <v>227</v>
      </c>
      <c r="M95">
        <v>94</v>
      </c>
    </row>
    <row r="96" spans="1:13" ht="14.45">
      <c r="A96" s="25">
        <f>IF(Table1[[#This Row],[Part]]&lt;&gt; "", COUNTA(C$3:C96), "")</f>
        <v>69</v>
      </c>
      <c r="B96" s="19"/>
      <c r="C96" t="s">
        <v>228</v>
      </c>
      <c r="D96" s="28">
        <v>24830.0036</v>
      </c>
      <c r="E96">
        <v>4</v>
      </c>
      <c r="F96"/>
      <c r="G96" s="1">
        <v>1.29</v>
      </c>
      <c r="H96" s="1">
        <f>E96*G96</f>
        <v>5.16</v>
      </c>
      <c r="I96" t="s">
        <v>167</v>
      </c>
      <c r="J96" s="2">
        <v>45742</v>
      </c>
      <c r="K96" s="2">
        <v>45769</v>
      </c>
      <c r="L96" s="3" t="s">
        <v>229</v>
      </c>
      <c r="M96">
        <v>95</v>
      </c>
    </row>
    <row r="97" spans="1:13" ht="14.45">
      <c r="A97" s="25" t="str">
        <f>IF(Table1[[#This Row],[Part]]&lt;&gt; "", COUNTA(C$3:C97), "")</f>
        <v/>
      </c>
      <c r="B97" s="19"/>
      <c r="D97" s="28"/>
      <c r="E97"/>
      <c r="F97"/>
      <c r="G97" s="1"/>
      <c r="H97" s="1"/>
      <c r="I97"/>
      <c r="J97" s="2"/>
      <c r="K97" s="2"/>
      <c r="L97" s="3"/>
      <c r="M97">
        <v>96</v>
      </c>
    </row>
    <row r="98" spans="1:13" ht="14.45">
      <c r="A98" s="25" t="str">
        <f>IF(Table1[[#This Row],[Part]]&lt;&gt; "", COUNTA(C$3:C98), "")</f>
        <v/>
      </c>
      <c r="B98" s="19"/>
      <c r="D98" s="28"/>
      <c r="E98"/>
      <c r="F98"/>
      <c r="G98" s="1"/>
      <c r="H98" s="1"/>
      <c r="I98"/>
      <c r="J98" s="2"/>
      <c r="K98" s="2"/>
      <c r="L98" s="3"/>
      <c r="M98">
        <v>97</v>
      </c>
    </row>
    <row r="99" spans="1:13" ht="14.45">
      <c r="A99" s="25" t="str">
        <f>IF(Table1[[#This Row],[Part]]&lt;&gt; "", COUNTA(C$3:C99), "")</f>
        <v/>
      </c>
      <c r="B99" s="9" t="s">
        <v>230</v>
      </c>
      <c r="D99" s="27"/>
      <c r="E99" s="1">
        <f>SUM(H99:H111)</f>
        <v>108.45000000000002</v>
      </c>
      <c r="G99" s="1"/>
      <c r="H99" s="1"/>
      <c r="I99"/>
      <c r="J99" s="2"/>
      <c r="K99" s="2"/>
      <c r="L99" s="3"/>
      <c r="M99">
        <v>98</v>
      </c>
    </row>
    <row r="100" spans="1:13" ht="14.45">
      <c r="A100" s="25">
        <f>IF(Table1[[#This Row],[Part]]&lt;&gt; "", COUNTA(C$3:C100), "")</f>
        <v>70</v>
      </c>
      <c r="B100" s="19"/>
      <c r="C100" t="s">
        <v>231</v>
      </c>
      <c r="D100" s="28"/>
      <c r="E100">
        <v>1</v>
      </c>
      <c r="F100"/>
      <c r="G100" s="1">
        <v>13.64</v>
      </c>
      <c r="H100" s="1">
        <f t="shared" ref="H100:H105" si="6">E100*G100</f>
        <v>13.64</v>
      </c>
      <c r="I100" t="s">
        <v>223</v>
      </c>
      <c r="J100" s="2">
        <v>45742</v>
      </c>
      <c r="K100" s="2">
        <v>45769</v>
      </c>
      <c r="L100" s="3" t="s">
        <v>232</v>
      </c>
      <c r="M100">
        <v>99</v>
      </c>
    </row>
    <row r="101" spans="1:13" ht="14.45">
      <c r="A101" s="25">
        <f>IF(Table1[[#This Row],[Part]]&lt;&gt; "", COUNTA(C$3:C101), "")</f>
        <v>71</v>
      </c>
      <c r="B101" s="19"/>
      <c r="C101" t="s">
        <v>233</v>
      </c>
      <c r="D101" s="28"/>
      <c r="E101">
        <v>2</v>
      </c>
      <c r="F101"/>
      <c r="G101" s="1">
        <f>24.35/2</f>
        <v>12.175000000000001</v>
      </c>
      <c r="H101" s="1">
        <f t="shared" si="6"/>
        <v>24.35</v>
      </c>
      <c r="I101" t="s">
        <v>223</v>
      </c>
      <c r="J101" s="2">
        <v>45742</v>
      </c>
      <c r="K101" s="2">
        <v>45769</v>
      </c>
      <c r="L101" s="3" t="s">
        <v>232</v>
      </c>
      <c r="M101">
        <v>100</v>
      </c>
    </row>
    <row r="102" spans="1:13" ht="14.45">
      <c r="A102" s="25">
        <f>IF(Table1[[#This Row],[Part]]&lt;&gt; "", COUNTA(C$3:C102), "")</f>
        <v>72</v>
      </c>
      <c r="B102" s="19"/>
      <c r="C102" t="s">
        <v>234</v>
      </c>
      <c r="D102" s="28"/>
      <c r="E102">
        <v>1</v>
      </c>
      <c r="F102"/>
      <c r="G102" s="1">
        <v>12.17</v>
      </c>
      <c r="H102" s="1">
        <f t="shared" si="6"/>
        <v>12.17</v>
      </c>
      <c r="I102" t="s">
        <v>223</v>
      </c>
      <c r="J102" s="2">
        <v>45742</v>
      </c>
      <c r="K102" s="2">
        <v>45769</v>
      </c>
      <c r="L102" s="3" t="s">
        <v>232</v>
      </c>
      <c r="M102">
        <v>101</v>
      </c>
    </row>
    <row r="103" spans="1:13" ht="14.45">
      <c r="A103" s="25">
        <f>IF(Table1[[#This Row],[Part]]&lt;&gt; "", COUNTA(C$3:C103), "")</f>
        <v>73</v>
      </c>
      <c r="B103" s="19"/>
      <c r="C103" t="s">
        <v>235</v>
      </c>
      <c r="D103" s="28"/>
      <c r="E103">
        <v>1</v>
      </c>
      <c r="F103"/>
      <c r="G103" s="1">
        <v>11.8</v>
      </c>
      <c r="H103" s="1">
        <f t="shared" si="6"/>
        <v>11.8</v>
      </c>
      <c r="I103" t="s">
        <v>223</v>
      </c>
      <c r="J103" s="2">
        <v>45742</v>
      </c>
      <c r="K103" s="2">
        <v>45769</v>
      </c>
      <c r="L103" s="3" t="s">
        <v>232</v>
      </c>
      <c r="M103">
        <v>102</v>
      </c>
    </row>
    <row r="104" spans="1:13" ht="14.45">
      <c r="A104" s="25">
        <f>IF(Table1[[#This Row],[Part]]&lt;&gt; "", COUNTA(C$3:C104), "")</f>
        <v>74</v>
      </c>
      <c r="B104" s="19"/>
      <c r="C104" t="s">
        <v>236</v>
      </c>
      <c r="D104" s="28"/>
      <c r="E104">
        <v>1</v>
      </c>
      <c r="F104"/>
      <c r="G104" s="1">
        <v>3.63</v>
      </c>
      <c r="H104" s="1">
        <f t="shared" si="6"/>
        <v>3.63</v>
      </c>
      <c r="I104" t="s">
        <v>223</v>
      </c>
      <c r="J104" s="2">
        <v>45742</v>
      </c>
      <c r="K104" s="2">
        <v>45769</v>
      </c>
      <c r="L104" s="3" t="s">
        <v>232</v>
      </c>
      <c r="M104">
        <v>103</v>
      </c>
    </row>
    <row r="105" spans="1:13" ht="14.45">
      <c r="A105" s="25">
        <f>IF(Table1[[#This Row],[Part]]&lt;&gt; "", COUNTA(C$3:C105), "")</f>
        <v>75</v>
      </c>
      <c r="B105" s="19"/>
      <c r="C105" t="s">
        <v>237</v>
      </c>
      <c r="D105" s="28"/>
      <c r="E105">
        <v>1</v>
      </c>
      <c r="F105"/>
      <c r="G105" s="1">
        <v>4.1399999999999997</v>
      </c>
      <c r="H105" s="1">
        <f t="shared" si="6"/>
        <v>4.1399999999999997</v>
      </c>
      <c r="I105" t="s">
        <v>223</v>
      </c>
      <c r="J105" s="2">
        <v>45742</v>
      </c>
      <c r="K105" s="2">
        <v>45769</v>
      </c>
      <c r="L105" s="3" t="s">
        <v>232</v>
      </c>
      <c r="M105">
        <v>104</v>
      </c>
    </row>
    <row r="106" spans="1:13" ht="14.45">
      <c r="A106" s="25" t="str">
        <f>IF(Table1[[#This Row],[Part]]&lt;&gt; "", COUNTA(C$3:C106), "")</f>
        <v/>
      </c>
      <c r="B106" s="19"/>
      <c r="D106" s="28"/>
      <c r="E106"/>
      <c r="F106"/>
      <c r="G106" s="1"/>
      <c r="H106" s="1"/>
      <c r="I106"/>
      <c r="J106" s="2"/>
      <c r="K106" s="2"/>
      <c r="L106" s="3"/>
      <c r="M106">
        <v>105</v>
      </c>
    </row>
    <row r="107" spans="1:13" ht="14.45">
      <c r="A107" s="25">
        <f>IF(Table1[[#This Row],[Part]]&lt;&gt; "", COUNTA(C$3:C107), "")</f>
        <v>76</v>
      </c>
      <c r="B107" s="19"/>
      <c r="C107" t="s">
        <v>238</v>
      </c>
      <c r="D107" s="28"/>
      <c r="E107">
        <v>1</v>
      </c>
      <c r="F107"/>
      <c r="G107" s="1">
        <v>23.91</v>
      </c>
      <c r="H107" s="1">
        <f>E107*G107</f>
        <v>23.91</v>
      </c>
      <c r="I107" t="s">
        <v>223</v>
      </c>
      <c r="J107" s="2">
        <v>45742</v>
      </c>
      <c r="K107" s="2">
        <v>45769</v>
      </c>
      <c r="L107" s="3" t="s">
        <v>239</v>
      </c>
      <c r="M107">
        <v>106</v>
      </c>
    </row>
    <row r="108" spans="1:13" ht="14.45">
      <c r="A108" s="25">
        <f>IF(Table1[[#This Row],[Part]]&lt;&gt; "", COUNTA(C$3:C108), "")</f>
        <v>77</v>
      </c>
      <c r="B108" s="19"/>
      <c r="C108" t="s">
        <v>240</v>
      </c>
      <c r="D108" s="28" t="s">
        <v>241</v>
      </c>
      <c r="E108">
        <v>2</v>
      </c>
      <c r="F108"/>
      <c r="G108" s="1">
        <v>1.52</v>
      </c>
      <c r="H108" s="1">
        <f>E108*G108</f>
        <v>3.04</v>
      </c>
      <c r="I108" t="s">
        <v>167</v>
      </c>
      <c r="J108" s="2">
        <v>45742</v>
      </c>
      <c r="K108" s="2">
        <v>45769</v>
      </c>
      <c r="L108" s="12" t="s">
        <v>242</v>
      </c>
      <c r="M108">
        <v>107</v>
      </c>
    </row>
    <row r="109" spans="1:13" ht="14.45">
      <c r="A109" s="25">
        <f>IF(Table1[[#This Row],[Part]]&lt;&gt; "", COUNTA(C$3:C109), "")</f>
        <v>78</v>
      </c>
      <c r="B109" s="19"/>
      <c r="C109" t="s">
        <v>243</v>
      </c>
      <c r="D109" s="28" t="s">
        <v>244</v>
      </c>
      <c r="E109">
        <v>1</v>
      </c>
      <c r="F109"/>
      <c r="G109" s="1">
        <v>5.2</v>
      </c>
      <c r="H109" s="1">
        <f>E109*G109</f>
        <v>5.2</v>
      </c>
      <c r="I109" t="s">
        <v>167</v>
      </c>
      <c r="J109" s="2">
        <v>45742</v>
      </c>
      <c r="K109" s="2">
        <v>45769</v>
      </c>
      <c r="L109" s="3" t="s">
        <v>245</v>
      </c>
      <c r="M109">
        <v>108</v>
      </c>
    </row>
    <row r="110" spans="1:13" ht="15" customHeight="1">
      <c r="A110" s="25">
        <f>IF(Table1[[#This Row],[Part]]&lt;&gt; "", COUNTA(C$3:C110), "")</f>
        <v>79</v>
      </c>
      <c r="B110" s="19"/>
      <c r="C110" t="s">
        <v>246</v>
      </c>
      <c r="D110" s="28" t="s">
        <v>247</v>
      </c>
      <c r="E110">
        <v>1</v>
      </c>
      <c r="F110"/>
      <c r="G110" s="1">
        <v>6.57</v>
      </c>
      <c r="H110" s="1">
        <f>E110*G110</f>
        <v>6.57</v>
      </c>
      <c r="I110" t="s">
        <v>41</v>
      </c>
      <c r="J110" s="2">
        <v>45742</v>
      </c>
      <c r="K110" s="2">
        <v>45751</v>
      </c>
      <c r="L110" s="3" t="s">
        <v>248</v>
      </c>
      <c r="M110">
        <v>109</v>
      </c>
    </row>
    <row r="111" spans="1:13" ht="14.45">
      <c r="A111" s="25" t="str">
        <f>IF(Table1[[#This Row],[Part]]&lt;&gt; "", COUNTA(C$3:C111), "")</f>
        <v/>
      </c>
      <c r="B111" s="19"/>
      <c r="D111" s="28"/>
      <c r="E111"/>
      <c r="F111"/>
      <c r="G111" s="1"/>
      <c r="H111" s="1"/>
      <c r="I111"/>
      <c r="J111" s="2"/>
      <c r="K111" s="2"/>
      <c r="M111">
        <v>110</v>
      </c>
    </row>
    <row r="112" spans="1:13" ht="14.45">
      <c r="A112" s="25" t="str">
        <f>IF(Table1[[#This Row],[Part]]&lt;&gt; "", COUNTA(C$3:C112), "")</f>
        <v/>
      </c>
      <c r="B112" s="9" t="s">
        <v>249</v>
      </c>
      <c r="D112" s="28"/>
      <c r="E112" s="1">
        <f>SUM(H113:H113)</f>
        <v>17.940000000000001</v>
      </c>
      <c r="G112" s="1"/>
      <c r="H112" s="1"/>
      <c r="I112"/>
      <c r="J112" s="2"/>
      <c r="K112" s="2"/>
      <c r="L112" s="3"/>
      <c r="M112">
        <v>111</v>
      </c>
    </row>
    <row r="113" spans="1:13" ht="14.45">
      <c r="A113" s="25">
        <f>IF(Table1[[#This Row],[Part]]&lt;&gt; "", COUNTA(C$3:C113), "")</f>
        <v>80</v>
      </c>
      <c r="B113" s="19"/>
      <c r="C113" t="s">
        <v>250</v>
      </c>
      <c r="D113" s="28" t="s">
        <v>251</v>
      </c>
      <c r="E113">
        <v>2</v>
      </c>
      <c r="F113"/>
      <c r="G113" s="1">
        <v>8.9700000000000006</v>
      </c>
      <c r="H113" s="1">
        <f>E113*G113</f>
        <v>17.940000000000001</v>
      </c>
      <c r="I113" t="s">
        <v>252</v>
      </c>
      <c r="J113" s="2">
        <v>45742</v>
      </c>
      <c r="K113" s="2">
        <v>45750</v>
      </c>
      <c r="L113" s="3" t="s">
        <v>253</v>
      </c>
      <c r="M113">
        <v>112</v>
      </c>
    </row>
    <row r="114" spans="1:13" ht="14.45">
      <c r="A114" s="25" t="str">
        <f>IF(Table1[[#This Row],[Part]]&lt;&gt; "", COUNTA(C$3:C114), "")</f>
        <v/>
      </c>
      <c r="B114" s="19"/>
      <c r="D114" s="28"/>
      <c r="E114"/>
      <c r="F114"/>
      <c r="G114" s="1"/>
      <c r="H114" s="1"/>
      <c r="I114"/>
      <c r="J114" s="2"/>
      <c r="K114" s="2"/>
      <c r="L114" s="3"/>
      <c r="M114">
        <v>113</v>
      </c>
    </row>
    <row r="115" spans="1:13" ht="14.45">
      <c r="A115" s="25" t="str">
        <f>IF(Table1[[#This Row],[Part]]&lt;&gt; "", COUNTA(C$3:C115), "")</f>
        <v/>
      </c>
      <c r="B115" s="9" t="s">
        <v>254</v>
      </c>
      <c r="D115" s="28"/>
      <c r="E115" s="1">
        <f>SUM(H115:H119)</f>
        <v>67.45</v>
      </c>
      <c r="G115" s="1"/>
      <c r="H115" s="1"/>
      <c r="I115"/>
      <c r="J115" s="2"/>
      <c r="K115" s="2"/>
      <c r="L115" s="3"/>
      <c r="M115">
        <v>114</v>
      </c>
    </row>
    <row r="116" spans="1:13" ht="14.45">
      <c r="A116" s="25">
        <f>IF(Table1[[#This Row],[Part]]&lt;&gt; "", COUNTA(C$3:C116), "")</f>
        <v>81</v>
      </c>
      <c r="B116" s="19"/>
      <c r="C116" t="s">
        <v>255</v>
      </c>
      <c r="D116" s="28" t="s">
        <v>256</v>
      </c>
      <c r="E116">
        <v>1</v>
      </c>
      <c r="F116"/>
      <c r="G116" s="1">
        <v>40.49</v>
      </c>
      <c r="H116" s="1">
        <f>E116*G116</f>
        <v>40.49</v>
      </c>
      <c r="I116" t="s">
        <v>26</v>
      </c>
      <c r="J116" s="2">
        <v>45742</v>
      </c>
      <c r="K116" s="2">
        <v>45757</v>
      </c>
      <c r="L116" s="3" t="s">
        <v>257</v>
      </c>
      <c r="M116">
        <v>115</v>
      </c>
    </row>
    <row r="117" spans="1:13" ht="14.45">
      <c r="A117" s="25">
        <f>IF(Table1[[#This Row],[Part]]&lt;&gt; "", COUNTA(C$3:C117), "")</f>
        <v>82</v>
      </c>
      <c r="B117" s="19"/>
      <c r="C117" t="s">
        <v>258</v>
      </c>
      <c r="D117" s="28" t="s">
        <v>259</v>
      </c>
      <c r="E117">
        <v>1</v>
      </c>
      <c r="F117"/>
      <c r="G117" s="1">
        <v>24.74</v>
      </c>
      <c r="H117" s="1">
        <f>E117*G117</f>
        <v>24.74</v>
      </c>
      <c r="I117" t="s">
        <v>26</v>
      </c>
      <c r="J117" s="2">
        <v>45742</v>
      </c>
      <c r="K117" s="2">
        <v>45757</v>
      </c>
      <c r="L117" s="3" t="s">
        <v>260</v>
      </c>
      <c r="M117">
        <v>116</v>
      </c>
    </row>
    <row r="118" spans="1:13" ht="14.45">
      <c r="A118" s="25">
        <f>IF(Table1[[#This Row],[Part]]&lt;&gt; "", COUNTA(C$3:C118), "")</f>
        <v>83</v>
      </c>
      <c r="B118" s="19"/>
      <c r="C118" t="s">
        <v>261</v>
      </c>
      <c r="D118" s="28" t="s">
        <v>262</v>
      </c>
      <c r="E118">
        <v>6</v>
      </c>
      <c r="F118"/>
      <c r="G118" s="1">
        <v>0.37</v>
      </c>
      <c r="H118" s="1">
        <f>E118*G118</f>
        <v>2.2199999999999998</v>
      </c>
      <c r="I118" t="s">
        <v>167</v>
      </c>
      <c r="J118" s="2">
        <v>45742</v>
      </c>
      <c r="K118" s="2">
        <v>45769</v>
      </c>
      <c r="L118" s="3" t="s">
        <v>263</v>
      </c>
      <c r="M118">
        <v>117</v>
      </c>
    </row>
    <row r="119" spans="1:13" ht="14.65" customHeight="1">
      <c r="A119" s="25" t="str">
        <f>IF(Table1[[#This Row],[Part]]&lt;&gt; "", COUNTA(C$3:C119), "")</f>
        <v/>
      </c>
      <c r="B119" s="19"/>
      <c r="D119" s="28"/>
      <c r="E119"/>
      <c r="F119"/>
      <c r="G119" s="1"/>
      <c r="H119" s="1"/>
      <c r="I119"/>
      <c r="J119" s="2"/>
      <c r="K119" s="2"/>
      <c r="M119">
        <v>118</v>
      </c>
    </row>
    <row r="120" spans="1:13" ht="14.65" customHeight="1">
      <c r="A120" s="25" t="str">
        <f>IF(Table1[[#This Row],[Part]]&lt;&gt; "", COUNTA(C$3:C120), "")</f>
        <v/>
      </c>
      <c r="B120" s="9" t="s">
        <v>264</v>
      </c>
      <c r="D120" s="27"/>
      <c r="E120" s="1">
        <f>SUM(H121:H153)</f>
        <v>73.440000000000026</v>
      </c>
      <c r="G120" s="1"/>
      <c r="H120" s="1"/>
      <c r="I120"/>
      <c r="J120" s="2"/>
      <c r="K120" s="2"/>
      <c r="L120" s="3"/>
      <c r="M120">
        <v>119</v>
      </c>
    </row>
    <row r="121" spans="1:13" ht="14.45">
      <c r="A121" s="25">
        <f>IF(Table1[[#This Row],[Part]]&lt;&gt; "", COUNTA(C$3:C121), "")</f>
        <v>84</v>
      </c>
      <c r="B121" s="19"/>
      <c r="C121" t="s">
        <v>265</v>
      </c>
      <c r="D121" s="28" t="s">
        <v>266</v>
      </c>
      <c r="E121">
        <v>35</v>
      </c>
      <c r="F121">
        <v>32</v>
      </c>
      <c r="G121" s="1">
        <v>0.12</v>
      </c>
      <c r="H121" s="1">
        <f t="shared" ref="H121:H132" si="7">E121*G121</f>
        <v>4.2</v>
      </c>
      <c r="I121" t="s">
        <v>146</v>
      </c>
      <c r="J121" s="2">
        <v>45742</v>
      </c>
      <c r="K121" s="2">
        <v>45750</v>
      </c>
      <c r="L121" s="3" t="s">
        <v>267</v>
      </c>
      <c r="M121">
        <v>120</v>
      </c>
    </row>
    <row r="122" spans="1:13" ht="14.45">
      <c r="A122" s="25">
        <f>IF(Table1[[#This Row],[Part]]&lt;&gt; "", COUNTA(C$3:C122), "")</f>
        <v>85</v>
      </c>
      <c r="B122" s="19"/>
      <c r="C122" t="s">
        <v>268</v>
      </c>
      <c r="D122" s="28" t="s">
        <v>269</v>
      </c>
      <c r="E122">
        <v>10</v>
      </c>
      <c r="F122">
        <v>2</v>
      </c>
      <c r="G122" s="1">
        <v>0.3</v>
      </c>
      <c r="H122" s="1">
        <f t="shared" si="7"/>
        <v>3</v>
      </c>
      <c r="I122" t="s">
        <v>167</v>
      </c>
      <c r="J122" s="2">
        <v>45742</v>
      </c>
      <c r="K122" s="2">
        <v>45769</v>
      </c>
      <c r="L122" s="3" t="s">
        <v>270</v>
      </c>
      <c r="M122">
        <v>121</v>
      </c>
    </row>
    <row r="123" spans="1:13" ht="14.45">
      <c r="A123" s="25">
        <f>IF(Table1[[#This Row],[Part]]&lt;&gt; "", COUNTA(C$3:C123), "")</f>
        <v>86</v>
      </c>
      <c r="B123" s="19"/>
      <c r="C123" t="s">
        <v>271</v>
      </c>
      <c r="D123" s="28" t="s">
        <v>272</v>
      </c>
      <c r="E123">
        <v>85</v>
      </c>
      <c r="F123">
        <v>81</v>
      </c>
      <c r="G123" s="1">
        <v>7.0000000000000007E-2</v>
      </c>
      <c r="H123" s="1">
        <f t="shared" si="7"/>
        <v>5.95</v>
      </c>
      <c r="I123" t="s">
        <v>167</v>
      </c>
      <c r="J123" s="2">
        <v>45742</v>
      </c>
      <c r="K123" s="2">
        <v>45769</v>
      </c>
      <c r="L123" s="3" t="s">
        <v>270</v>
      </c>
      <c r="M123">
        <v>122</v>
      </c>
    </row>
    <row r="124" spans="1:13" ht="14.45">
      <c r="A124" s="25">
        <f>IF(Table1[[#This Row],[Part]]&lt;&gt; "", COUNTA(C$3:C124), "")</f>
        <v>87</v>
      </c>
      <c r="B124" s="19"/>
      <c r="C124" t="s">
        <v>273</v>
      </c>
      <c r="D124" s="28" t="s">
        <v>274</v>
      </c>
      <c r="E124">
        <v>10</v>
      </c>
      <c r="F124">
        <v>4</v>
      </c>
      <c r="G124" s="1">
        <v>0.24</v>
      </c>
      <c r="H124" s="1">
        <f t="shared" si="7"/>
        <v>2.4</v>
      </c>
      <c r="I124" t="s">
        <v>167</v>
      </c>
      <c r="J124" s="2">
        <v>45742</v>
      </c>
      <c r="K124" s="2">
        <v>45769</v>
      </c>
      <c r="L124" s="3" t="s">
        <v>275</v>
      </c>
      <c r="M124">
        <v>123</v>
      </c>
    </row>
    <row r="125" spans="1:13" ht="14.45">
      <c r="A125" s="25">
        <f>IF(Table1[[#This Row],[Part]]&lt;&gt; "", COUNTA(C$3:C125), "")</f>
        <v>88</v>
      </c>
      <c r="B125" s="19"/>
      <c r="C125" t="s">
        <v>276</v>
      </c>
      <c r="D125" s="28" t="s">
        <v>277</v>
      </c>
      <c r="E125">
        <v>10</v>
      </c>
      <c r="F125">
        <v>6</v>
      </c>
      <c r="G125" s="1">
        <v>0.24</v>
      </c>
      <c r="H125" s="1">
        <f t="shared" si="7"/>
        <v>2.4</v>
      </c>
      <c r="I125" t="s">
        <v>167</v>
      </c>
      <c r="J125" s="2">
        <v>45742</v>
      </c>
      <c r="K125" s="2">
        <v>45769</v>
      </c>
      <c r="L125" s="3" t="s">
        <v>275</v>
      </c>
      <c r="M125">
        <v>124</v>
      </c>
    </row>
    <row r="126" spans="1:13" ht="14.45">
      <c r="A126" s="25">
        <f>IF(Table1[[#This Row],[Part]]&lt;&gt; "", COUNTA(C$3:C126), "")</f>
        <v>89</v>
      </c>
      <c r="B126" s="19"/>
      <c r="C126" t="s">
        <v>278</v>
      </c>
      <c r="D126" s="28" t="s">
        <v>279</v>
      </c>
      <c r="E126">
        <v>10</v>
      </c>
      <c r="F126">
        <v>6</v>
      </c>
      <c r="G126" s="1">
        <v>0.37</v>
      </c>
      <c r="H126" s="1">
        <f t="shared" si="7"/>
        <v>3.7</v>
      </c>
      <c r="I126" t="s">
        <v>167</v>
      </c>
      <c r="J126" s="2">
        <v>45742</v>
      </c>
      <c r="K126" s="2">
        <v>45769</v>
      </c>
      <c r="L126" s="3" t="s">
        <v>280</v>
      </c>
      <c r="M126">
        <v>125</v>
      </c>
    </row>
    <row r="127" spans="1:13" ht="14.45">
      <c r="A127" s="25">
        <f>IF(Table1[[#This Row],[Part]]&lt;&gt; "", COUNTA(C$3:C127), "")</f>
        <v>90</v>
      </c>
      <c r="B127" s="19"/>
      <c r="C127" t="s">
        <v>281</v>
      </c>
      <c r="D127" s="28" t="s">
        <v>282</v>
      </c>
      <c r="E127">
        <v>4</v>
      </c>
      <c r="F127">
        <v>4</v>
      </c>
      <c r="G127" s="1">
        <v>0.04</v>
      </c>
      <c r="H127" s="1">
        <f t="shared" si="7"/>
        <v>0.16</v>
      </c>
      <c r="I127" t="s">
        <v>167</v>
      </c>
      <c r="J127" s="2">
        <v>45742</v>
      </c>
      <c r="K127" s="2">
        <v>45769</v>
      </c>
      <c r="L127" s="3" t="s">
        <v>283</v>
      </c>
      <c r="M127">
        <v>126</v>
      </c>
    </row>
    <row r="128" spans="1:13" ht="14.45">
      <c r="A128" s="25">
        <f>IF(Table1[[#This Row],[Part]]&lt;&gt; "", COUNTA(C$3:C128), "")</f>
        <v>91</v>
      </c>
      <c r="B128" s="19"/>
      <c r="C128" t="s">
        <v>284</v>
      </c>
      <c r="D128" s="28" t="s">
        <v>285</v>
      </c>
      <c r="E128">
        <v>13</v>
      </c>
      <c r="F128">
        <v>13</v>
      </c>
      <c r="G128" s="1">
        <v>0.18</v>
      </c>
      <c r="H128" s="1">
        <f t="shared" si="7"/>
        <v>2.34</v>
      </c>
      <c r="I128" t="s">
        <v>167</v>
      </c>
      <c r="J128" s="2">
        <v>45742</v>
      </c>
      <c r="K128" s="2">
        <v>45769</v>
      </c>
      <c r="L128" s="3" t="s">
        <v>283</v>
      </c>
      <c r="M128">
        <v>127</v>
      </c>
    </row>
    <row r="129" spans="1:13" ht="14.45">
      <c r="A129" s="25">
        <f>IF(Table1[[#This Row],[Part]]&lt;&gt; "", COUNTA(C$3:C129), "")</f>
        <v>92</v>
      </c>
      <c r="B129" s="19"/>
      <c r="C129" t="s">
        <v>286</v>
      </c>
      <c r="D129" s="28" t="s">
        <v>287</v>
      </c>
      <c r="E129">
        <v>4</v>
      </c>
      <c r="F129">
        <v>4</v>
      </c>
      <c r="G129" s="1">
        <v>0.36</v>
      </c>
      <c r="H129" s="1">
        <f t="shared" si="7"/>
        <v>1.44</v>
      </c>
      <c r="I129" t="s">
        <v>167</v>
      </c>
      <c r="J129" s="2">
        <v>45742</v>
      </c>
      <c r="K129" s="2">
        <v>45769</v>
      </c>
      <c r="L129" s="3" t="s">
        <v>283</v>
      </c>
      <c r="M129">
        <v>128</v>
      </c>
    </row>
    <row r="130" spans="1:13" ht="14.45">
      <c r="A130" s="25">
        <f>IF(Table1[[#This Row],[Part]]&lt;&gt; "", COUNTA(C$3:C130), "")</f>
        <v>93</v>
      </c>
      <c r="B130" s="19"/>
      <c r="C130" t="s">
        <v>288</v>
      </c>
      <c r="D130" s="28" t="s">
        <v>289</v>
      </c>
      <c r="E130">
        <v>25</v>
      </c>
      <c r="F130">
        <v>12</v>
      </c>
      <c r="G130" s="1">
        <v>0.2</v>
      </c>
      <c r="H130" s="1">
        <f t="shared" si="7"/>
        <v>5</v>
      </c>
      <c r="I130" t="s">
        <v>167</v>
      </c>
      <c r="J130" s="2">
        <v>45742</v>
      </c>
      <c r="K130" s="2">
        <v>45769</v>
      </c>
      <c r="L130" s="3" t="s">
        <v>283</v>
      </c>
      <c r="M130">
        <v>129</v>
      </c>
    </row>
    <row r="131" spans="1:13" ht="14.45">
      <c r="A131" s="25">
        <f>IF(Table1[[#This Row],[Part]]&lt;&gt; "", COUNTA(C$3:C131), "")</f>
        <v>94</v>
      </c>
      <c r="B131" s="19"/>
      <c r="C131" t="s">
        <v>290</v>
      </c>
      <c r="D131" s="28" t="s">
        <v>291</v>
      </c>
      <c r="E131">
        <v>12</v>
      </c>
      <c r="F131">
        <v>10</v>
      </c>
      <c r="G131" s="1">
        <v>0.1</v>
      </c>
      <c r="H131" s="1">
        <f t="shared" si="7"/>
        <v>1.2000000000000002</v>
      </c>
      <c r="I131" t="s">
        <v>167</v>
      </c>
      <c r="J131" s="2">
        <v>45742</v>
      </c>
      <c r="K131" s="2">
        <v>45769</v>
      </c>
      <c r="L131" s="3" t="s">
        <v>292</v>
      </c>
      <c r="M131">
        <v>130</v>
      </c>
    </row>
    <row r="132" spans="1:13" ht="14.45">
      <c r="A132" s="25">
        <f>IF(Table1[[#This Row],[Part]]&lt;&gt; "", COUNTA(C$3:C132), "")</f>
        <v>95</v>
      </c>
      <c r="B132" s="19"/>
      <c r="C132" t="s">
        <v>293</v>
      </c>
      <c r="D132" s="28" t="s">
        <v>294</v>
      </c>
      <c r="E132">
        <v>10</v>
      </c>
      <c r="F132">
        <v>4</v>
      </c>
      <c r="G132" s="1">
        <v>0.32</v>
      </c>
      <c r="H132" s="1">
        <f t="shared" si="7"/>
        <v>3.2</v>
      </c>
      <c r="I132" t="s">
        <v>167</v>
      </c>
      <c r="J132" s="2">
        <v>45742</v>
      </c>
      <c r="K132" s="2">
        <v>45769</v>
      </c>
      <c r="L132" s="3" t="s">
        <v>280</v>
      </c>
      <c r="M132">
        <v>131</v>
      </c>
    </row>
    <row r="133" spans="1:13" ht="14.45">
      <c r="A133" s="25" t="str">
        <f>IF(Table1[[#This Row],[Part]]&lt;&gt; "", COUNTA(C$3:C133), "")</f>
        <v/>
      </c>
      <c r="B133" s="19"/>
      <c r="D133" s="28"/>
      <c r="E133"/>
      <c r="F133"/>
      <c r="G133" s="1"/>
      <c r="H133" s="1"/>
      <c r="I133"/>
      <c r="J133" s="2"/>
      <c r="K133" s="2"/>
      <c r="L133" s="3"/>
      <c r="M133">
        <v>132</v>
      </c>
    </row>
    <row r="134" spans="1:13" ht="14.45">
      <c r="A134" s="25">
        <f>IF(Table1[[#This Row],[Part]]&lt;&gt; "", COUNTA(C$3:C134), "")</f>
        <v>96</v>
      </c>
      <c r="B134" s="19"/>
      <c r="C134" t="s">
        <v>295</v>
      </c>
      <c r="D134" s="28" t="s">
        <v>296</v>
      </c>
      <c r="E134">
        <v>1</v>
      </c>
      <c r="F134">
        <v>1</v>
      </c>
      <c r="G134" s="1">
        <v>0.7</v>
      </c>
      <c r="H134" s="1">
        <f>E134*G134</f>
        <v>0.7</v>
      </c>
      <c r="I134" t="s">
        <v>167</v>
      </c>
      <c r="J134" s="2">
        <v>45742</v>
      </c>
      <c r="K134" s="2">
        <v>45769</v>
      </c>
      <c r="L134" s="3" t="s">
        <v>297</v>
      </c>
      <c r="M134">
        <v>133</v>
      </c>
    </row>
    <row r="135" spans="1:13" ht="14.45">
      <c r="A135" s="25">
        <f>IF(Table1[[#This Row],[Part]]&lt;&gt; "", COUNTA(C$3:C135), "")</f>
        <v>97</v>
      </c>
      <c r="B135" s="19"/>
      <c r="C135" t="s">
        <v>298</v>
      </c>
      <c r="D135" s="28">
        <v>91210.942500000005</v>
      </c>
      <c r="E135">
        <v>3</v>
      </c>
      <c r="F135">
        <v>3</v>
      </c>
      <c r="G135" s="1">
        <v>0.05</v>
      </c>
      <c r="H135" s="1">
        <f>E135*G135</f>
        <v>0.15000000000000002</v>
      </c>
      <c r="I135" t="s">
        <v>167</v>
      </c>
      <c r="J135" s="2">
        <v>45742</v>
      </c>
      <c r="K135" s="2">
        <v>45769</v>
      </c>
      <c r="L135" s="3" t="s">
        <v>299</v>
      </c>
      <c r="M135">
        <v>134</v>
      </c>
    </row>
    <row r="136" spans="1:13" ht="14.45">
      <c r="A136" s="25">
        <f>IF(Table1[[#This Row],[Part]]&lt;&gt; "", COUNTA(C$3:C136), "")</f>
        <v>98</v>
      </c>
      <c r="B136" s="19"/>
      <c r="C136" t="s">
        <v>300</v>
      </c>
      <c r="D136" s="28" t="s">
        <v>301</v>
      </c>
      <c r="E136">
        <v>2</v>
      </c>
      <c r="F136">
        <v>2</v>
      </c>
      <c r="G136" s="1">
        <v>0.39</v>
      </c>
      <c r="H136" s="1">
        <f>E136*G136</f>
        <v>0.78</v>
      </c>
      <c r="I136" t="s">
        <v>167</v>
      </c>
      <c r="J136" s="2">
        <v>45742</v>
      </c>
      <c r="K136" s="2">
        <v>45769</v>
      </c>
      <c r="L136" s="3" t="s">
        <v>297</v>
      </c>
      <c r="M136">
        <v>135</v>
      </c>
    </row>
    <row r="137" spans="1:13" ht="14.45">
      <c r="A137" s="25">
        <f>IF(Table1[[#This Row],[Part]]&lt;&gt; "", COUNTA(C$3:C137), "")</f>
        <v>99</v>
      </c>
      <c r="B137" s="19"/>
      <c r="C137" t="s">
        <v>302</v>
      </c>
      <c r="D137" s="28" t="s">
        <v>303</v>
      </c>
      <c r="E137">
        <v>4</v>
      </c>
      <c r="F137">
        <v>4</v>
      </c>
      <c r="G137" s="1">
        <v>0.3</v>
      </c>
      <c r="H137" s="1">
        <f>E137*G137</f>
        <v>1.2</v>
      </c>
      <c r="I137" t="s">
        <v>167</v>
      </c>
      <c r="J137" s="2">
        <v>45742</v>
      </c>
      <c r="K137" s="2">
        <v>45769</v>
      </c>
      <c r="L137" s="3" t="s">
        <v>304</v>
      </c>
      <c r="M137">
        <v>136</v>
      </c>
    </row>
    <row r="138" spans="1:13" ht="14.45">
      <c r="A138" s="25" t="str">
        <f>IF(Table1[[#This Row],[Part]]&lt;&gt; "", COUNTA(C$3:C138), "")</f>
        <v/>
      </c>
      <c r="B138" s="19"/>
      <c r="E138"/>
      <c r="F138"/>
      <c r="G138" s="1"/>
      <c r="H138" s="1"/>
      <c r="I138"/>
      <c r="J138" s="2"/>
      <c r="K138" s="2"/>
      <c r="L138" s="3"/>
      <c r="M138">
        <v>137</v>
      </c>
    </row>
    <row r="139" spans="1:13" ht="14.45">
      <c r="A139" s="25">
        <f>IF(Table1[[#This Row],[Part]]&lt;&gt; "", COUNTA(C$3:C139), "")</f>
        <v>100</v>
      </c>
      <c r="B139" s="19"/>
      <c r="C139" t="s">
        <v>305</v>
      </c>
      <c r="D139" s="28" t="s">
        <v>306</v>
      </c>
      <c r="E139">
        <v>4</v>
      </c>
      <c r="F139">
        <v>4</v>
      </c>
      <c r="G139" s="1">
        <v>0.39</v>
      </c>
      <c r="H139" s="1">
        <f>E139*G139</f>
        <v>1.56</v>
      </c>
      <c r="I139" t="s">
        <v>167</v>
      </c>
      <c r="J139" s="2">
        <v>45742</v>
      </c>
      <c r="K139" s="2">
        <v>45769</v>
      </c>
      <c r="L139" s="3" t="s">
        <v>307</v>
      </c>
      <c r="M139">
        <v>138</v>
      </c>
    </row>
    <row r="140" spans="1:13" ht="15" customHeight="1">
      <c r="A140" s="25">
        <f>IF(Table1[[#This Row],[Part]]&lt;&gt; "", COUNTA(C$3:C140), "")</f>
        <v>101</v>
      </c>
      <c r="B140" s="19"/>
      <c r="C140" t="s">
        <v>308</v>
      </c>
      <c r="D140" s="28" t="s">
        <v>309</v>
      </c>
      <c r="E140">
        <v>4</v>
      </c>
      <c r="F140">
        <v>4</v>
      </c>
      <c r="G140" s="1">
        <v>0.25</v>
      </c>
      <c r="H140" s="1">
        <f>E140*G140</f>
        <v>1</v>
      </c>
      <c r="I140" t="s">
        <v>167</v>
      </c>
      <c r="J140" s="2">
        <v>45742</v>
      </c>
      <c r="K140" s="2">
        <v>45769</v>
      </c>
      <c r="L140" s="3" t="s">
        <v>307</v>
      </c>
      <c r="M140">
        <v>139</v>
      </c>
    </row>
    <row r="141" spans="1:13" ht="15" customHeight="1">
      <c r="A141" s="25">
        <f>IF(Table1[[#This Row],[Part]]&lt;&gt; "", COUNTA(C$3:C141), "")</f>
        <v>102</v>
      </c>
      <c r="B141" s="19"/>
      <c r="C141" t="s">
        <v>310</v>
      </c>
      <c r="D141" s="28" t="s">
        <v>311</v>
      </c>
      <c r="E141">
        <v>4</v>
      </c>
      <c r="F141">
        <v>4</v>
      </c>
      <c r="G141" s="1">
        <v>0.28999999999999998</v>
      </c>
      <c r="H141" s="1">
        <f>E141*G141</f>
        <v>1.1599999999999999</v>
      </c>
      <c r="I141" t="s">
        <v>167</v>
      </c>
      <c r="J141" s="2">
        <v>45742</v>
      </c>
      <c r="K141" s="2">
        <v>45769</v>
      </c>
      <c r="L141" s="3" t="s">
        <v>307</v>
      </c>
      <c r="M141">
        <v>140</v>
      </c>
    </row>
    <row r="142" spans="1:13" ht="15" customHeight="1">
      <c r="A142" s="25" t="str">
        <f>IF(Table1[[#This Row],[Part]]&lt;&gt; "", COUNTA(C$3:C142), "")</f>
        <v/>
      </c>
      <c r="B142" s="19"/>
      <c r="E142"/>
      <c r="F142"/>
      <c r="G142" s="1"/>
      <c r="H142" s="1"/>
      <c r="I142"/>
      <c r="J142" s="2"/>
      <c r="K142" s="2"/>
      <c r="L142" s="3"/>
      <c r="M142">
        <v>141</v>
      </c>
    </row>
    <row r="143" spans="1:13" ht="15" customHeight="1">
      <c r="A143" s="25">
        <f>IF(Table1[[#This Row],[Part]]&lt;&gt; "", COUNTA(C$3:C143), "")</f>
        <v>103</v>
      </c>
      <c r="B143" s="19"/>
      <c r="C143" t="s">
        <v>312</v>
      </c>
      <c r="D143" s="28" t="s">
        <v>313</v>
      </c>
      <c r="E143">
        <v>3</v>
      </c>
      <c r="F143">
        <v>3</v>
      </c>
      <c r="G143" s="1">
        <v>0.39</v>
      </c>
      <c r="H143" s="1">
        <f t="shared" ref="H143:H152" si="8">E143*G143</f>
        <v>1.17</v>
      </c>
      <c r="I143" t="s">
        <v>167</v>
      </c>
      <c r="J143" s="2">
        <v>45742</v>
      </c>
      <c r="K143" s="2">
        <v>45769</v>
      </c>
      <c r="L143" s="3" t="s">
        <v>314</v>
      </c>
      <c r="M143">
        <v>142</v>
      </c>
    </row>
    <row r="144" spans="1:13" ht="15" customHeight="1">
      <c r="A144" s="25">
        <f>IF(Table1[[#This Row],[Part]]&lt;&gt; "", COUNTA(C$3:C144), "")</f>
        <v>104</v>
      </c>
      <c r="B144" s="19"/>
      <c r="C144" t="s">
        <v>315</v>
      </c>
      <c r="D144" s="34" t="s">
        <v>316</v>
      </c>
      <c r="E144">
        <v>100</v>
      </c>
      <c r="F144">
        <v>8</v>
      </c>
      <c r="G144" s="1">
        <v>0.03</v>
      </c>
      <c r="H144" s="1">
        <f t="shared" si="8"/>
        <v>3</v>
      </c>
      <c r="I144" t="s">
        <v>167</v>
      </c>
      <c r="J144" s="2">
        <v>45742</v>
      </c>
      <c r="K144" s="2">
        <v>45769</v>
      </c>
      <c r="L144" s="3" t="s">
        <v>317</v>
      </c>
      <c r="M144">
        <v>143</v>
      </c>
    </row>
    <row r="145" spans="1:13" ht="15" customHeight="1">
      <c r="A145" s="25">
        <f>IF(Table1[[#This Row],[Part]]&lt;&gt; "", COUNTA(C$3:C145), "")</f>
        <v>105</v>
      </c>
      <c r="B145" s="19"/>
      <c r="C145" t="s">
        <v>318</v>
      </c>
      <c r="D145" t="s">
        <v>319</v>
      </c>
      <c r="E145">
        <v>4</v>
      </c>
      <c r="F145">
        <v>4</v>
      </c>
      <c r="G145" s="1">
        <v>0.01</v>
      </c>
      <c r="H145" s="1">
        <f t="shared" si="8"/>
        <v>0.04</v>
      </c>
      <c r="I145" t="s">
        <v>167</v>
      </c>
      <c r="J145" s="2">
        <v>45742</v>
      </c>
      <c r="K145" s="2">
        <v>45769</v>
      </c>
      <c r="L145" s="3" t="s">
        <v>320</v>
      </c>
      <c r="M145">
        <v>144</v>
      </c>
    </row>
    <row r="146" spans="1:13" ht="15" customHeight="1">
      <c r="A146" s="25">
        <f>IF(Table1[[#This Row],[Part]]&lt;&gt; "", COUNTA(C$3:C146), "")</f>
        <v>106</v>
      </c>
      <c r="B146" s="19"/>
      <c r="C146" t="s">
        <v>321</v>
      </c>
      <c r="D146" t="s">
        <v>322</v>
      </c>
      <c r="E146">
        <v>9</v>
      </c>
      <c r="F146">
        <v>9</v>
      </c>
      <c r="G146" s="1">
        <v>0.37</v>
      </c>
      <c r="H146" s="1">
        <f t="shared" si="8"/>
        <v>3.33</v>
      </c>
      <c r="I146" t="s">
        <v>167</v>
      </c>
      <c r="J146" s="2">
        <v>45742</v>
      </c>
      <c r="K146" s="2">
        <v>45769</v>
      </c>
      <c r="L146" s="3" t="s">
        <v>323</v>
      </c>
      <c r="M146">
        <v>145</v>
      </c>
    </row>
    <row r="147" spans="1:13" ht="15" customHeight="1">
      <c r="A147" s="25">
        <f>IF(Table1[[#This Row],[Part]]&lt;&gt; "", COUNTA(C$3:C147), "")</f>
        <v>107</v>
      </c>
      <c r="B147" s="19"/>
      <c r="C147" t="s">
        <v>324</v>
      </c>
      <c r="D147" t="s">
        <v>325</v>
      </c>
      <c r="E147">
        <v>2</v>
      </c>
      <c r="F147">
        <v>2</v>
      </c>
      <c r="G147" s="1">
        <v>0.28000000000000003</v>
      </c>
      <c r="H147" s="1">
        <f t="shared" si="8"/>
        <v>0.56000000000000005</v>
      </c>
      <c r="I147" t="s">
        <v>146</v>
      </c>
      <c r="J147" s="2">
        <v>45742</v>
      </c>
      <c r="K147" s="2">
        <v>45750</v>
      </c>
      <c r="L147" s="3" t="s">
        <v>326</v>
      </c>
      <c r="M147">
        <v>146</v>
      </c>
    </row>
    <row r="148" spans="1:13" ht="15" customHeight="1">
      <c r="A148" s="25">
        <f>IF(Table1[[#This Row],[Part]]&lt;&gt; "", COUNTA(C$3:C148), "")</f>
        <v>108</v>
      </c>
      <c r="B148" s="19"/>
      <c r="C148" t="s">
        <v>327</v>
      </c>
      <c r="D148" t="s">
        <v>328</v>
      </c>
      <c r="E148">
        <v>2</v>
      </c>
      <c r="F148">
        <v>2</v>
      </c>
      <c r="G148" s="1">
        <v>0.28000000000000003</v>
      </c>
      <c r="H148" s="1">
        <f t="shared" si="8"/>
        <v>0.56000000000000005</v>
      </c>
      <c r="I148" t="s">
        <v>146</v>
      </c>
      <c r="J148" s="2">
        <v>45742</v>
      </c>
      <c r="K148" s="2">
        <v>45750</v>
      </c>
      <c r="L148" s="3" t="s">
        <v>329</v>
      </c>
      <c r="M148">
        <v>147</v>
      </c>
    </row>
    <row r="149" spans="1:13" ht="15" customHeight="1">
      <c r="A149" s="25">
        <f>IF(Table1[[#This Row],[Part]]&lt;&gt; "", COUNTA(C$3:C149), "")</f>
        <v>109</v>
      </c>
      <c r="B149" s="19"/>
      <c r="C149" t="s">
        <v>330</v>
      </c>
      <c r="D149" t="s">
        <v>331</v>
      </c>
      <c r="E149">
        <v>95</v>
      </c>
      <c r="F149">
        <v>91</v>
      </c>
      <c r="G149" s="1">
        <v>0.17</v>
      </c>
      <c r="H149" s="1">
        <f t="shared" si="8"/>
        <v>16.150000000000002</v>
      </c>
      <c r="I149" t="s">
        <v>146</v>
      </c>
      <c r="J149" s="2">
        <v>45742</v>
      </c>
      <c r="K149" s="2">
        <v>45750</v>
      </c>
      <c r="L149" s="3" t="s">
        <v>332</v>
      </c>
      <c r="M149">
        <v>148</v>
      </c>
    </row>
    <row r="150" spans="1:13" ht="15" customHeight="1">
      <c r="A150" s="25">
        <f>IF(Table1[[#This Row],[Part]]&lt;&gt; "", COUNTA(C$3:C150), "")</f>
        <v>110</v>
      </c>
      <c r="B150" s="19"/>
      <c r="C150" t="s">
        <v>333</v>
      </c>
      <c r="D150" t="s">
        <v>334</v>
      </c>
      <c r="E150">
        <v>4</v>
      </c>
      <c r="F150">
        <v>4</v>
      </c>
      <c r="G150" s="1">
        <v>0.17</v>
      </c>
      <c r="H150" s="1">
        <f t="shared" si="8"/>
        <v>0.68</v>
      </c>
      <c r="I150" t="s">
        <v>146</v>
      </c>
      <c r="J150" s="2">
        <v>45742</v>
      </c>
      <c r="K150" s="2">
        <v>45750</v>
      </c>
      <c r="L150" s="3" t="s">
        <v>335</v>
      </c>
      <c r="M150">
        <v>149</v>
      </c>
    </row>
    <row r="151" spans="1:13" ht="15" customHeight="1">
      <c r="A151" s="25">
        <f>IF(Table1[[#This Row],[Part]]&lt;&gt; "", COUNTA(C$3:C151), "")</f>
        <v>111</v>
      </c>
      <c r="B151" s="19"/>
      <c r="C151" t="s">
        <v>336</v>
      </c>
      <c r="D151" t="s">
        <v>337</v>
      </c>
      <c r="E151">
        <v>4</v>
      </c>
      <c r="F151">
        <v>4</v>
      </c>
      <c r="G151" s="1">
        <v>0.17</v>
      </c>
      <c r="H151" s="1">
        <f t="shared" si="8"/>
        <v>0.68</v>
      </c>
      <c r="I151" t="s">
        <v>146</v>
      </c>
      <c r="J151" s="2">
        <v>45742</v>
      </c>
      <c r="K151" s="38"/>
      <c r="L151" s="3" t="s">
        <v>338</v>
      </c>
      <c r="M151">
        <v>150</v>
      </c>
    </row>
    <row r="152" spans="1:13" ht="15" customHeight="1">
      <c r="A152" s="25">
        <f>IF(Table1[[#This Row],[Part]]&lt;&gt; "", COUNTA(C$3:C152), "")</f>
        <v>112</v>
      </c>
      <c r="B152" s="19"/>
      <c r="C152" t="s">
        <v>339</v>
      </c>
      <c r="D152" t="s">
        <v>340</v>
      </c>
      <c r="E152">
        <v>1</v>
      </c>
      <c r="F152">
        <v>1</v>
      </c>
      <c r="G152" s="1">
        <v>4.95</v>
      </c>
      <c r="H152" s="1">
        <f t="shared" si="8"/>
        <v>4.95</v>
      </c>
      <c r="I152" t="s">
        <v>26</v>
      </c>
      <c r="J152" s="2"/>
      <c r="K152" s="2">
        <v>45769</v>
      </c>
      <c r="L152" s="3" t="s">
        <v>341</v>
      </c>
      <c r="M152">
        <v>151</v>
      </c>
    </row>
    <row r="153" spans="1:13" ht="15" customHeight="1">
      <c r="A153" s="25">
        <f>IF(Table1[[#This Row],[Part]]&lt;&gt; "", COUNTA(C$3:C153), "")</f>
        <v>113</v>
      </c>
      <c r="B153" s="19"/>
      <c r="C153" t="s">
        <v>342</v>
      </c>
      <c r="D153" t="s">
        <v>343</v>
      </c>
      <c r="E153">
        <v>6</v>
      </c>
      <c r="F153">
        <v>6</v>
      </c>
      <c r="G153" s="1">
        <v>0.13</v>
      </c>
      <c r="H153" s="1">
        <f t="shared" ref="H153" si="9">E153*G153</f>
        <v>0.78</v>
      </c>
      <c r="I153" t="s">
        <v>167</v>
      </c>
      <c r="J153" s="2">
        <v>45742</v>
      </c>
      <c r="K153" s="2">
        <v>45769</v>
      </c>
      <c r="L153" s="3" t="s">
        <v>344</v>
      </c>
      <c r="M153">
        <v>152</v>
      </c>
    </row>
    <row r="154" spans="1:13" ht="15" customHeight="1">
      <c r="A154" s="25" t="str">
        <f>IF(Table1[[#This Row],[Part]]&lt;&gt; "", COUNTA(C$3:C154), "")</f>
        <v/>
      </c>
      <c r="B154" s="19"/>
      <c r="D154"/>
      <c r="E154"/>
      <c r="F154"/>
      <c r="G154" s="1"/>
      <c r="H154" s="1"/>
      <c r="I154"/>
      <c r="J154" s="2"/>
      <c r="K154" s="2"/>
      <c r="L154" s="3"/>
      <c r="M154">
        <v>153</v>
      </c>
    </row>
    <row r="155" spans="1:13" ht="15" customHeight="1">
      <c r="A155" s="25" t="str">
        <f>IF(Table1[[#This Row],[Part]]&lt;&gt; "", COUNTA(C$3:C155), "")</f>
        <v/>
      </c>
      <c r="B155" s="40" t="s">
        <v>142</v>
      </c>
      <c r="D155" s="27"/>
      <c r="E155" s="19"/>
      <c r="F155" s="19"/>
      <c r="G155" s="19"/>
      <c r="H155" s="1">
        <f>SUM(H59:H154)</f>
        <v>584.81000000000006</v>
      </c>
      <c r="I155" s="1">
        <f>0.79*Table1[[#This Row],[Total cost]]</f>
        <v>461.99990000000008</v>
      </c>
      <c r="J155" s="2"/>
      <c r="K155" s="2"/>
      <c r="M155">
        <v>154</v>
      </c>
    </row>
    <row r="156" spans="1:13" ht="15" customHeight="1">
      <c r="A156" s="25" t="str">
        <f>IF(Table1[[#This Row],[Part]]&lt;&gt; "", COUNTA(C$3:C156), "")</f>
        <v/>
      </c>
      <c r="D156" s="28"/>
      <c r="E156"/>
      <c r="F156"/>
      <c r="G156" s="1"/>
      <c r="H156" s="1"/>
      <c r="I156"/>
      <c r="J156" s="2"/>
      <c r="K156" s="2"/>
      <c r="M156">
        <v>155</v>
      </c>
    </row>
    <row r="157" spans="1:13" ht="15" customHeight="1">
      <c r="A157" s="53"/>
      <c r="B157" s="56" t="s">
        <v>345</v>
      </c>
      <c r="C157" s="59"/>
      <c r="D157" s="63"/>
      <c r="E157" s="56"/>
      <c r="F157" s="56"/>
      <c r="G157" s="56"/>
      <c r="H157" s="69">
        <f>SUM(H57,H155)</f>
        <v>803.70500000000004</v>
      </c>
      <c r="I157" s="59"/>
      <c r="J157" s="71"/>
      <c r="K157" s="71"/>
      <c r="L157" s="59"/>
      <c r="M157">
        <v>156</v>
      </c>
    </row>
    <row r="158" spans="1:13" ht="15" customHeight="1">
      <c r="A158" s="52"/>
      <c r="B158" s="55" t="s">
        <v>346</v>
      </c>
      <c r="C158" s="58"/>
      <c r="D158" s="62"/>
      <c r="E158" s="55"/>
      <c r="F158" s="55"/>
      <c r="G158" s="55"/>
      <c r="H158" s="68">
        <f>0.79*H157</f>
        <v>634.92695000000003</v>
      </c>
      <c r="I158" s="58"/>
      <c r="J158" s="70"/>
      <c r="K158" s="70"/>
      <c r="L158" s="58"/>
      <c r="M158">
        <v>157</v>
      </c>
    </row>
    <row r="165" spans="6:8" ht="15" customHeight="1">
      <c r="H165" s="1"/>
    </row>
    <row r="175" spans="6:8" ht="15" customHeight="1">
      <c r="F175" s="22"/>
    </row>
  </sheetData>
  <phoneticPr fontId="6" type="noConversion"/>
  <hyperlinks>
    <hyperlink ref="L79" r:id="rId1" xr:uid="{FE52AA35-70D6-462A-A2DF-DF0C5165C217}"/>
    <hyperlink ref="L30" r:id="rId2" xr:uid="{7DEA07B3-BB97-470F-8190-1A2A7180382B}"/>
    <hyperlink ref="L43" r:id="rId3" xr:uid="{4C6CEB9E-9E67-4F1C-8E17-FEB12DBDD493}"/>
    <hyperlink ref="L44" r:id="rId4" xr:uid="{490B8AE5-B333-4FD2-9C8F-3E70E0EC9193}"/>
    <hyperlink ref="L85" r:id="rId5" xr:uid="{4F30F4DF-0C1E-4C20-A985-47FC8A0CC3CC}"/>
    <hyperlink ref="L9" r:id="rId6" xr:uid="{94C22AF8-E875-4E5E-84EC-21FDE6FAC0BE}"/>
    <hyperlink ref="N9" r:id="rId7" xr:uid="{733AC29F-AC08-45C9-B78B-1EF1A3740810}"/>
    <hyperlink ref="L25" r:id="rId8" xr:uid="{FC71A885-0CA5-4C2C-BF26-828EF729BCD3}"/>
    <hyperlink ref="N23" r:id="rId9" xr:uid="{4D7DEFD7-C763-4DB6-9CA9-06465BD2F8BF}"/>
    <hyperlink ref="L113" r:id="rId10" xr:uid="{4B1B86E1-2D4F-49FA-A341-0CF683D89AE8}"/>
    <hyperlink ref="L10" r:id="rId11" xr:uid="{10583F26-7362-439E-A66C-9E6AF58D9471}"/>
    <hyperlink ref="L17" r:id="rId12" display="https://www.amazon.nl/-/en/Nikou-Air-Heater-Constant-Temperature/dp/B07Y24KVPQ?crid=4JLGL1OCQXKD&amp;dib=eyJ2IjoiMSJ9.FiSzxBpGQBklIg2Avakz1OP02Se7gb2uhsYmCDr18csqUoxhH1QcxSn3pSdOyqsdYou0yy7h07vIx-CyTUZgzzVxnvTqkx8cWCne9JtUONHykYyTpi3wQJCsr_K40qQLr5VQPzvNMg7csfJFIK7W3jU3obvxQWgJpfSOtyXBYK2p2uxa146b_kWPcG_6jtrtVR1NRhSgl0RTToy4VL7uSl3qO0gqTnQQ39M3OQpCc8mRBdId4KhIv-4vQCXUl7LWpuJ3ZI9MbJr6XlKzbPMcSem5gKJv61VlgfXuw1sKWWqmxhumMAZFgUaJ6EwW86kBIiH4mn3rLnUaHX5qH4q0UnUGj4jPM9eEqYdF_7BG7DivK3DFNdByzk5tYQWLmcR5fgSgFETADikn62xKau4PAyFAdrlLGtcrL5Qnr8EfE-jidRuZwg9OYVdjZpFhW4Vq.iHIQ3hvM-KLm4KaP8aDpeme2dVAkua2IK5Sxct8puFA&amp;dib_tag=se&amp;keywords=ptc+24v&amp;qid=1741711778&amp;sprefix=ptc+24v%2Caps%2C84&amp;sr=8-7" xr:uid="{B2A41EDC-9355-4BBB-B814-1E3CC1BFAAE9}"/>
    <hyperlink ref="L95" r:id="rId13" xr:uid="{990A0720-ED30-487F-A351-0A0C55C915EE}"/>
    <hyperlink ref="L94" r:id="rId14" xr:uid="{667D60B2-31ED-4FAA-AE66-A1C8DD39F858}"/>
    <hyperlink ref="L107" r:id="rId15" xr:uid="{02E864DF-C301-48FD-992B-399B771D1315}"/>
    <hyperlink ref="L84" r:id="rId16" xr:uid="{F5FAD81D-52C5-4E20-980D-44BC86B88922}"/>
    <hyperlink ref="L86" r:id="rId17" xr:uid="{B3652E0B-B941-42B7-999E-A30C51680697}"/>
    <hyperlink ref="L108" r:id="rId18" xr:uid="{BC5AA97E-154C-47D3-888D-F4502E44953B}"/>
    <hyperlink ref="L35" r:id="rId19" xr:uid="{24ED3C12-0A76-4E67-8456-D829604BF6C7}"/>
    <hyperlink ref="L109" r:id="rId20" xr:uid="{D2D41E53-9CB6-4E80-B192-579A6EB1076C}"/>
    <hyperlink ref="L18" r:id="rId21" xr:uid="{5C3F119D-A157-4F24-AF8B-ECD764826969}"/>
    <hyperlink ref="L6" r:id="rId22" xr:uid="{6BAED111-3CA1-40B5-943C-08C9F3D00E63}"/>
    <hyperlink ref="L26" r:id="rId23" xr:uid="{E1D3A9E6-F821-4C2F-B340-366E289ADFE3}"/>
    <hyperlink ref="L100" r:id="rId24" xr:uid="{3D67CB6B-71FD-4A54-B84B-03514D0DC14A}"/>
    <hyperlink ref="L21" r:id="rId25" xr:uid="{F06616CE-DDCF-4D73-BC64-75788F4D8EEF}"/>
    <hyperlink ref="L4" r:id="rId26" xr:uid="{F8A5B248-FE2F-46FD-A3E8-60C10BBF1342}"/>
    <hyperlink ref="L31" r:id="rId27" xr:uid="{C9DD8A7A-29C4-4652-9796-229D8C52D287}"/>
    <hyperlink ref="L45" r:id="rId28" xr:uid="{69D4E121-E656-41C6-87EF-1E5B5BD89AA8}"/>
    <hyperlink ref="L46" r:id="rId29" xr:uid="{53B25353-50BA-4744-A8B9-44BEB45AFDC8}"/>
    <hyperlink ref="L53" r:id="rId30" xr:uid="{F01E9582-4423-4413-A7FC-5688BC386CDF}"/>
    <hyperlink ref="L47" r:id="rId31" xr:uid="{A6A19F93-B79F-4978-AF2C-3050744109E2}"/>
    <hyperlink ref="L48" r:id="rId32" xr:uid="{A3561A4F-0639-47B6-85A3-1AFB2B38E95B}"/>
    <hyperlink ref="L50" r:id="rId33" xr:uid="{481993F9-97B0-4B43-8780-7DF9A83ABB94}"/>
    <hyperlink ref="L49" r:id="rId34" xr:uid="{AEB086A0-CBB6-472B-8B19-34E5B169CB3C}"/>
    <hyperlink ref="L32" r:id="rId35" xr:uid="{3A66FAE7-B78B-4B74-86D7-D154FE141F69}"/>
    <hyperlink ref="L38" r:id="rId36" xr:uid="{03D8400F-24B6-45F0-97DB-F2FEF2E6F3D5}"/>
    <hyperlink ref="L19" r:id="rId37" xr:uid="{2D838982-F639-4043-9D95-FB77AECEFF18}"/>
    <hyperlink ref="L61" r:id="rId38" xr:uid="{EDD733C8-5354-4DEE-858E-013B551E12F7}"/>
    <hyperlink ref="L62" r:id="rId39" display="https://www.aluxprofile.com/aluminium-slot-profile-2020-v-slot/a3663?filter=38 " xr:uid="{4A11D661-C8AA-45CB-985F-D1FB96871D07}"/>
    <hyperlink ref="L63" r:id="rId40" display="https://www.aluxprofile.com/aluminium-slot-profile-2020-v-slot/a3663?filter=38 " xr:uid="{7E51D89F-F5DC-4F97-B9AF-43C888918C61}"/>
    <hyperlink ref="L64" r:id="rId41" display="https://www.aluxprofile.com/aluminium-slot-profile-2020-v-slot/a3663?filter=38 " xr:uid="{9EFED4EA-3FF9-472A-9332-A55275FE4924}"/>
    <hyperlink ref="L65" r:id="rId42" display="https://www.aluxprofile.com/aluminium-slot-profile-2020-v-slot/a3663?filter=38 " xr:uid="{B5FE2BC7-8D76-498D-A27B-2F11E760DE3A}"/>
    <hyperlink ref="L66" r:id="rId43" display="https://www.aluxprofile.com/aluminium-slot-profile-2020-v-slot/a3663?filter=38 " xr:uid="{4518E6C6-260A-4690-92B2-33C07D433BF5}"/>
    <hyperlink ref="L67" r:id="rId44" display="https://www.aluxprofile.com/aluminium-slot-profile-2020-v-slot/a3663?filter=38 " xr:uid="{C51C4E1C-7129-4F8A-B38F-EEDB5E75088C}"/>
    <hyperlink ref="L68" r:id="rId45" display="https://www.aluxprofile.com/aluminium-slot-profile-2020-v-slot/a3663?filter=38 " xr:uid="{824F1EDF-9AE6-4B7D-BA19-498A7CEB37E2}"/>
    <hyperlink ref="L51" r:id="rId46" xr:uid="{9934724C-556F-4C20-A401-2E427F1AEDD8}"/>
    <hyperlink ref="L69" r:id="rId47" xr:uid="{47AD998E-0B82-4F98-8BC6-3853F1C0F0F4}"/>
    <hyperlink ref="L70" r:id="rId48" xr:uid="{6002B2C1-1FED-4D97-96CD-29AA758E513F}"/>
    <hyperlink ref="L75" r:id="rId49" xr:uid="{A771609C-0E13-418C-BBB9-1A233D2332D4}"/>
    <hyperlink ref="L82" r:id="rId50" xr:uid="{CF17543F-A20C-4EED-BCBC-E6F231D9BA0B}"/>
    <hyperlink ref="L39" r:id="rId51" xr:uid="{4CE76CBA-2F62-4FC1-ADBE-DB5FF73AB031}"/>
    <hyperlink ref="L20" r:id="rId52" xr:uid="{782EE2FB-F27D-41E6-B8E1-8EE70BE76603}"/>
    <hyperlink ref="L12" r:id="rId53" xr:uid="{084E78BC-8E9C-402B-9E4C-A26EC9E54737}"/>
    <hyperlink ref="L83" r:id="rId54" xr:uid="{1D7145B8-5B1B-4F55-92A1-861281EA870B}"/>
    <hyperlink ref="L88" r:id="rId55" xr:uid="{686B87A1-9DD9-410A-A05D-EB36DFD7285F}"/>
    <hyperlink ref="L89" r:id="rId56" xr:uid="{E8A7A910-F83D-418F-BE13-E9C474CB42E7}"/>
    <hyperlink ref="L92" r:id="rId57" xr:uid="{4869033C-8EA1-4511-8D85-BB3E84CCB4C7}"/>
    <hyperlink ref="L93" r:id="rId58" xr:uid="{B6FBA7CA-7883-4EF8-B266-E473CEA67FE3}"/>
    <hyperlink ref="L105:L107" r:id="rId59" display="https://kunststofplaten.be/product/hdpe-zwart-3-mm/ " xr:uid="{627E1564-D374-47F5-B2A6-49A30686C5BF}"/>
    <hyperlink ref="L108:L109" r:id="rId60" display="https://kunststofplaten.be/product/hdpe-zwart-3-mm/ " xr:uid="{09AFB4FD-F789-45B8-925C-FF6912EB26C7}"/>
    <hyperlink ref="L110" r:id="rId61" xr:uid="{3A6F6A10-DDD3-4FD6-98A1-0024B00DFFE3}"/>
    <hyperlink ref="L116" r:id="rId62" xr:uid="{CB718934-12A3-41CE-9509-B065A58BB552}"/>
    <hyperlink ref="L117" r:id="rId63" xr:uid="{583F3AC9-2C90-4EB3-B503-10D137E2590D}"/>
    <hyperlink ref="L118" r:id="rId64" xr:uid="{57D5B020-4CE0-44C9-8E05-7C11E809E368}"/>
    <hyperlink ref="L123" r:id="rId65" xr:uid="{7BE02D86-4BF9-4EFB-86E7-93EE9EFB800E}"/>
    <hyperlink ref="L122" r:id="rId66" xr:uid="{5EC42C5A-14BA-488A-B146-E834428732BC}"/>
    <hyperlink ref="L125" r:id="rId67" xr:uid="{33365F70-4EA3-44E7-B03F-765DFFF970E4}"/>
    <hyperlink ref="L36" r:id="rId68" xr:uid="{59D145E8-6938-4426-904D-6D1339A80841}"/>
    <hyperlink ref="L126" r:id="rId69" xr:uid="{16BA5D0E-BD0E-48DE-9669-AB02CFC6E4DC}"/>
    <hyperlink ref="L127" r:id="rId70" xr:uid="{D1FC8C0B-2875-4E1B-948A-EC1D4B1690C4}"/>
    <hyperlink ref="L128" r:id="rId71" xr:uid="{2B2772AF-9C01-4119-A73F-FF63A3259253}"/>
    <hyperlink ref="L129" r:id="rId72" xr:uid="{F013D9DF-0E61-4787-87A5-0021739E283B}"/>
    <hyperlink ref="L130" r:id="rId73" xr:uid="{9ACA5EEB-5DA7-4D6D-84C6-7AA0DBAFBBE8}"/>
    <hyperlink ref="L132" r:id="rId74" xr:uid="{06313BEA-C804-4917-8A5C-5DB6525B781C}"/>
    <hyperlink ref="L137" r:id="rId75" xr:uid="{CCBAADDA-E872-4093-8CFE-BF6E4CF16A3F}"/>
    <hyperlink ref="L134" r:id="rId76" xr:uid="{8C496FA4-D0A0-4363-B0FA-FBE7A93CCB3E}"/>
    <hyperlink ref="L135" r:id="rId77" xr:uid="{682A31AE-16CD-4BE8-B3F4-B0D0F4257DF2}"/>
    <hyperlink ref="L136" r:id="rId78" xr:uid="{78106A12-B848-4BBE-81B3-ED3844D7814B}"/>
    <hyperlink ref="L139" r:id="rId79" xr:uid="{15FE7FA2-C967-43AD-8C58-D0C00E0A8B14}"/>
    <hyperlink ref="L140" r:id="rId80" xr:uid="{13429339-1FA7-4E89-8ABC-165962DD6D76}"/>
    <hyperlink ref="L141" r:id="rId81" xr:uid="{AC7ED8D0-2D18-48FA-A08B-209D0F065ED5}"/>
    <hyperlink ref="L143" r:id="rId82" xr:uid="{70F4F293-FDB5-400D-9156-A9C11A542C9B}"/>
    <hyperlink ref="L55" r:id="rId83" xr:uid="{FA94D8F5-175F-47E9-ADB9-D0034206DF09}"/>
    <hyperlink ref="L144" r:id="rId84" xr:uid="{E2CD377C-595B-4075-A25C-236483817CA9}"/>
    <hyperlink ref="L146" r:id="rId85" xr:uid="{53C77068-F9A7-47A6-A332-DEBB423C3F32}"/>
    <hyperlink ref="L145" r:id="rId86" xr:uid="{ED04907F-67DC-4607-A1CB-80BF53A27FDB}"/>
    <hyperlink ref="L147" r:id="rId87" xr:uid="{9ACB56C2-BF6D-402D-AABC-46BA4504236E}"/>
    <hyperlink ref="L149" r:id="rId88" xr:uid="{861F3676-5BD3-496A-AC60-B06547C9FCFA}"/>
    <hyperlink ref="L148" r:id="rId89" xr:uid="{04AB0AE0-90EE-4C85-87BA-EE88CE9953E6}"/>
    <hyperlink ref="L150" r:id="rId90" xr:uid="{4535FF20-2FAB-4EA5-B7AC-ED57CE1D2EC7}"/>
    <hyperlink ref="L151" r:id="rId91" xr:uid="{4DD3FA4F-035F-41CD-8C39-43499F10ABBA}"/>
    <hyperlink ref="L71" r:id="rId92" xr:uid="{04F60454-3DF3-4956-8AA3-94D20475B362}"/>
    <hyperlink ref="L76" r:id="rId93" xr:uid="{3A456DF6-FE09-448A-A72F-8B94F6F803C3}"/>
    <hyperlink ref="L96" r:id="rId94" xr:uid="{377EA159-F004-4DF3-8EF8-3514BD0114E3}"/>
    <hyperlink ref="L40" r:id="rId95" display="https://www.aliexpress.com/item/1005005576519990.html?spm=a2g0o.cart.0.0.152e378diVtk2s&amp;mp=1&amp;pdp_npi=5%40dis%21EUR%21EUR+4.14%21EUR+3.91%21%21%21%21%21%40210388c917429871288342292ef046%2112000033613706291%21ct%21BE%213556074561%21%211%210&amp;gatewayAdapt=glo2fra" xr:uid="{82582DF9-AA87-47D1-BE20-705B765238F8}"/>
    <hyperlink ref="L14" r:id="rId96" xr:uid="{814AE740-5C97-4B9D-BCA7-18F9E1C6F79C}"/>
    <hyperlink ref="L13" r:id="rId97" xr:uid="{2B3BC431-193A-4ED6-A48B-4CADBE985637}"/>
    <hyperlink ref="L22" r:id="rId98" xr:uid="{2DB1F2A3-983E-4DF6-9D5C-896944C4F9E9}"/>
    <hyperlink ref="L11" r:id="rId99" xr:uid="{CFC59843-3BEE-4491-A611-E1DBABDC7F72}"/>
    <hyperlink ref="L152" r:id="rId100" xr:uid="{B452E305-0815-4D82-A3A6-13E692E33E06}"/>
    <hyperlink ref="L37" r:id="rId101" display="https://www.conrad.be/nl/p/infineon-technologies-irlb3034pbf-mosfet-1-n-kanaal-375-w-to-220ab-161162.html?utm_source=google&amp;utm_medium=cpc&amp;utm_campaign=BE+-+PMAX+-+Brand&amp;utm_id=21358191538&amp;gad_source=1&amp;gclid=CjwKCAjwzMi_BhACEiwAX4YZUAXjmhocT1ogGrx9d_yzuMkfIC158Jcr6PK4UiWBwvKE5F8Pl62NrRoCGgIQAvD_BwE" xr:uid="{1FAD97BA-439A-47A1-931F-3ACEEF121718}"/>
  </hyperlinks>
  <pageMargins left="0.7" right="0.7" top="0.75" bottom="0.75" header="0.3" footer="0.3"/>
  <pageSetup orientation="portrait" horizontalDpi="4294967293" r:id="rId102"/>
  <legacyDrawing r:id="rId103"/>
  <tableParts count="1">
    <tablePart r:id="rId10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30F9-24CA-4E57-96BC-52656C632507}">
  <dimension ref="A1:C16"/>
  <sheetViews>
    <sheetView workbookViewId="0">
      <selection activeCell="G15" sqref="G15"/>
    </sheetView>
  </sheetViews>
  <sheetFormatPr defaultRowHeight="14.45"/>
  <cols>
    <col min="1" max="1" width="18.7109375" customWidth="1"/>
  </cols>
  <sheetData>
    <row r="1" spans="1:3">
      <c r="A1" t="s">
        <v>347</v>
      </c>
      <c r="B1" t="s">
        <v>348</v>
      </c>
      <c r="C1" t="s">
        <v>349</v>
      </c>
    </row>
    <row r="2" spans="1:3">
      <c r="A2">
        <v>1</v>
      </c>
      <c r="B2">
        <v>4</v>
      </c>
      <c r="C2">
        <v>575</v>
      </c>
    </row>
    <row r="3" spans="1:3">
      <c r="A3">
        <v>2</v>
      </c>
      <c r="B3">
        <v>4</v>
      </c>
      <c r="C3">
        <v>630</v>
      </c>
    </row>
    <row r="4" spans="1:3">
      <c r="A4">
        <v>3</v>
      </c>
      <c r="B4">
        <v>4</v>
      </c>
      <c r="C4">
        <v>510</v>
      </c>
    </row>
    <row r="5" spans="1:3">
      <c r="A5">
        <v>4</v>
      </c>
      <c r="B5">
        <v>2</v>
      </c>
      <c r="C5">
        <v>530</v>
      </c>
    </row>
    <row r="6" spans="1:3">
      <c r="A6">
        <v>5</v>
      </c>
      <c r="B6">
        <v>2</v>
      </c>
      <c r="C6">
        <v>313</v>
      </c>
    </row>
    <row r="7" spans="1:3">
      <c r="A7">
        <v>6</v>
      </c>
      <c r="B7">
        <v>2</v>
      </c>
      <c r="C7">
        <v>365</v>
      </c>
    </row>
    <row r="8" spans="1:3">
      <c r="A8">
        <v>7</v>
      </c>
      <c r="B8">
        <v>2</v>
      </c>
      <c r="C8">
        <v>501</v>
      </c>
    </row>
    <row r="9" spans="1:3">
      <c r="A9">
        <v>8</v>
      </c>
      <c r="B9">
        <v>2</v>
      </c>
      <c r="C9">
        <v>383</v>
      </c>
    </row>
    <row r="10" spans="1:3">
      <c r="C10" cm="1">
        <f t="array" ref="C10">SUM(B2:B9*C2:C9)</f>
        <v>11044</v>
      </c>
    </row>
    <row r="12" spans="1:3">
      <c r="A12" t="s">
        <v>350</v>
      </c>
      <c r="B12" t="s">
        <v>351</v>
      </c>
    </row>
    <row r="13" spans="1:3">
      <c r="A13" t="s">
        <v>352</v>
      </c>
      <c r="B13">
        <v>110</v>
      </c>
    </row>
    <row r="14" spans="1:3">
      <c r="A14" t="s">
        <v>353</v>
      </c>
      <c r="B14">
        <v>86</v>
      </c>
    </row>
    <row r="15" spans="1:3">
      <c r="A15" t="s">
        <v>354</v>
      </c>
      <c r="B15">
        <v>66</v>
      </c>
    </row>
    <row r="16" spans="1:3">
      <c r="A16" t="s">
        <v>355</v>
      </c>
      <c r="B1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194-19A1-4C9E-AA67-C8F95054825F}">
  <dimension ref="A1:L28"/>
  <sheetViews>
    <sheetView workbookViewId="0">
      <pane xSplit="5" topLeftCell="F1" activePane="topRight" state="frozen"/>
      <selection pane="topRight" activeCell="G24" sqref="G24"/>
    </sheetView>
  </sheetViews>
  <sheetFormatPr defaultRowHeight="14.45"/>
  <cols>
    <col min="1" max="1" width="13.7109375" customWidth="1"/>
    <col min="2" max="2" width="40.140625" customWidth="1"/>
    <col min="3" max="3" width="7.28515625" customWidth="1"/>
    <col min="4" max="4" width="8.42578125" customWidth="1"/>
    <col min="5" max="5" width="7.140625" style="76" customWidth="1"/>
    <col min="6" max="6" width="16.28515625" bestFit="1" customWidth="1"/>
    <col min="7" max="7" width="9.85546875" customWidth="1"/>
    <col min="8" max="8" width="16.28515625" customWidth="1"/>
    <col min="9" max="9" width="15.5703125" bestFit="1" customWidth="1"/>
  </cols>
  <sheetData>
    <row r="1" spans="1:12" s="8" customFormat="1" ht="47.25" customHeight="1">
      <c r="A1" s="8" t="s">
        <v>356</v>
      </c>
      <c r="B1" s="8" t="s">
        <v>347</v>
      </c>
      <c r="C1" s="8" t="s">
        <v>357</v>
      </c>
      <c r="D1" s="8" t="s">
        <v>358</v>
      </c>
      <c r="E1" s="8" t="s">
        <v>359</v>
      </c>
      <c r="F1" s="8" t="s">
        <v>360</v>
      </c>
      <c r="G1" s="8" t="s">
        <v>361</v>
      </c>
      <c r="H1" s="8" t="s">
        <v>362</v>
      </c>
      <c r="I1" s="8" t="s">
        <v>363</v>
      </c>
      <c r="J1" s="77" t="s">
        <v>364</v>
      </c>
      <c r="L1" s="8" t="s">
        <v>365</v>
      </c>
    </row>
    <row r="2" spans="1:12">
      <c r="A2" t="s">
        <v>366</v>
      </c>
      <c r="B2" t="s">
        <v>367</v>
      </c>
      <c r="C2">
        <v>600</v>
      </c>
      <c r="D2">
        <v>220</v>
      </c>
      <c r="E2" s="76">
        <f>C2/D2</f>
        <v>2.7272727272727271</v>
      </c>
      <c r="F2">
        <f xml:space="preserve"> 1000 + 500</f>
        <v>1500</v>
      </c>
      <c r="G2">
        <v>1</v>
      </c>
      <c r="H2">
        <v>1.5</v>
      </c>
      <c r="I2">
        <f>H2*F2</f>
        <v>2250</v>
      </c>
      <c r="L2">
        <v>2.5</v>
      </c>
    </row>
    <row r="3" spans="1:12">
      <c r="A3" t="s">
        <v>368</v>
      </c>
      <c r="B3" t="s">
        <v>369</v>
      </c>
      <c r="C3">
        <v>600</v>
      </c>
      <c r="D3">
        <v>220</v>
      </c>
      <c r="E3" s="76">
        <f>C3/D3</f>
        <v>2.7272727272727271</v>
      </c>
      <c r="F3">
        <v>800</v>
      </c>
      <c r="G3">
        <v>1</v>
      </c>
      <c r="H3">
        <v>1.5</v>
      </c>
      <c r="I3">
        <f>H3*F3</f>
        <v>1200</v>
      </c>
      <c r="L3">
        <v>0.75</v>
      </c>
    </row>
    <row r="4" spans="1:12">
      <c r="A4" t="s">
        <v>370</v>
      </c>
      <c r="B4" t="s">
        <v>371</v>
      </c>
      <c r="C4">
        <v>600</v>
      </c>
      <c r="D4">
        <v>220</v>
      </c>
      <c r="E4" s="76">
        <f>C4/D4</f>
        <v>2.7272727272727271</v>
      </c>
      <c r="F4">
        <v>800</v>
      </c>
      <c r="G4">
        <v>1</v>
      </c>
      <c r="H4">
        <v>1.5</v>
      </c>
      <c r="I4">
        <f>H4*F4</f>
        <v>1200</v>
      </c>
      <c r="L4">
        <v>2.5</v>
      </c>
    </row>
    <row r="6" spans="1:12" ht="12" customHeight="1">
      <c r="A6" t="s">
        <v>372</v>
      </c>
      <c r="B6" s="8" t="s">
        <v>373</v>
      </c>
      <c r="C6">
        <v>350</v>
      </c>
      <c r="D6">
        <v>24</v>
      </c>
      <c r="E6" s="76">
        <f>C6/D6</f>
        <v>14.583333333333334</v>
      </c>
      <c r="F6">
        <v>200</v>
      </c>
      <c r="G6">
        <v>3</v>
      </c>
      <c r="H6">
        <v>1.5</v>
      </c>
      <c r="I6">
        <f>H6*F6*G6</f>
        <v>900</v>
      </c>
      <c r="L6">
        <v>2.5</v>
      </c>
    </row>
    <row r="7" spans="1:12" ht="12" customHeight="1">
      <c r="A7" t="s">
        <v>374</v>
      </c>
      <c r="B7" s="8" t="s">
        <v>373</v>
      </c>
      <c r="C7">
        <v>350</v>
      </c>
      <c r="D7">
        <v>24</v>
      </c>
      <c r="E7" s="76">
        <f>C7/D7</f>
        <v>14.583333333333334</v>
      </c>
      <c r="F7">
        <v>200</v>
      </c>
      <c r="G7">
        <v>3</v>
      </c>
      <c r="H7">
        <v>1.5</v>
      </c>
      <c r="I7">
        <f>H7*F7*G7</f>
        <v>900</v>
      </c>
      <c r="L7">
        <v>2.5</v>
      </c>
    </row>
    <row r="9" spans="1:12">
      <c r="A9" t="s">
        <v>372</v>
      </c>
      <c r="B9" s="8" t="s">
        <v>375</v>
      </c>
      <c r="C9">
        <v>350</v>
      </c>
      <c r="D9">
        <v>24</v>
      </c>
      <c r="E9" s="76">
        <f>C9/D9</f>
        <v>14.583333333333334</v>
      </c>
      <c r="F9">
        <v>350</v>
      </c>
      <c r="G9">
        <v>1</v>
      </c>
      <c r="H9">
        <v>1.5</v>
      </c>
      <c r="I9">
        <f>H9*F9*G9</f>
        <v>525</v>
      </c>
      <c r="L9">
        <v>2.5</v>
      </c>
    </row>
    <row r="10" spans="1:12">
      <c r="A10" t="s">
        <v>374</v>
      </c>
      <c r="B10" s="8" t="s">
        <v>376</v>
      </c>
      <c r="C10">
        <v>350</v>
      </c>
      <c r="D10">
        <v>24</v>
      </c>
      <c r="E10" s="76">
        <f>C10/D10</f>
        <v>14.583333333333334</v>
      </c>
      <c r="F10">
        <v>350</v>
      </c>
      <c r="G10">
        <v>1</v>
      </c>
      <c r="H10">
        <v>1.5</v>
      </c>
      <c r="I10">
        <f>H10*F10*G10</f>
        <v>525</v>
      </c>
      <c r="L10">
        <v>2.5</v>
      </c>
    </row>
    <row r="12" spans="1:12">
      <c r="A12" t="s">
        <v>377</v>
      </c>
      <c r="B12" t="s">
        <v>378</v>
      </c>
      <c r="C12">
        <v>3</v>
      </c>
      <c r="D12">
        <v>24</v>
      </c>
      <c r="E12" s="76">
        <f>C12/D12</f>
        <v>0.125</v>
      </c>
      <c r="F12">
        <v>350</v>
      </c>
      <c r="G12">
        <v>1</v>
      </c>
      <c r="H12">
        <v>1.5</v>
      </c>
      <c r="I12">
        <f>H12*F12*G12</f>
        <v>525</v>
      </c>
      <c r="L12">
        <v>0.2</v>
      </c>
    </row>
    <row r="13" spans="1:12">
      <c r="A13" t="s">
        <v>379</v>
      </c>
      <c r="B13" t="s">
        <v>380</v>
      </c>
      <c r="C13">
        <v>3</v>
      </c>
      <c r="D13">
        <v>24</v>
      </c>
      <c r="E13" s="76">
        <f>C13/D13</f>
        <v>0.125</v>
      </c>
      <c r="F13">
        <v>350</v>
      </c>
      <c r="G13">
        <v>1</v>
      </c>
      <c r="H13">
        <v>1.5</v>
      </c>
      <c r="I13">
        <f>H13*F13*G13</f>
        <v>525</v>
      </c>
      <c r="L13">
        <v>0.2</v>
      </c>
    </row>
    <row r="15" spans="1:12">
      <c r="A15" t="s">
        <v>381</v>
      </c>
      <c r="B15" t="s">
        <v>382</v>
      </c>
      <c r="C15" t="s">
        <v>383</v>
      </c>
      <c r="D15">
        <v>3</v>
      </c>
      <c r="E15" s="76" t="s">
        <v>384</v>
      </c>
      <c r="F15">
        <v>350</v>
      </c>
      <c r="G15">
        <v>1</v>
      </c>
      <c r="H15">
        <v>1.5</v>
      </c>
      <c r="I15">
        <f>H15*F15*G15</f>
        <v>525</v>
      </c>
      <c r="L15">
        <v>0.2</v>
      </c>
    </row>
    <row r="16" spans="1:12">
      <c r="A16" t="s">
        <v>385</v>
      </c>
      <c r="B16" t="s">
        <v>386</v>
      </c>
      <c r="C16" t="s">
        <v>383</v>
      </c>
      <c r="D16">
        <v>3</v>
      </c>
      <c r="E16" s="76" t="s">
        <v>384</v>
      </c>
      <c r="F16">
        <v>350</v>
      </c>
      <c r="G16">
        <v>1</v>
      </c>
      <c r="H16">
        <v>1.5</v>
      </c>
      <c r="I16">
        <f>H16*F16*G16</f>
        <v>525</v>
      </c>
      <c r="L16">
        <v>0.2</v>
      </c>
    </row>
    <row r="18" spans="1:12">
      <c r="A18" t="s">
        <v>379</v>
      </c>
      <c r="B18" t="s">
        <v>387</v>
      </c>
      <c r="C18">
        <v>8</v>
      </c>
      <c r="D18">
        <v>24</v>
      </c>
      <c r="E18" s="76">
        <f>C18/D18</f>
        <v>0.33333333333333331</v>
      </c>
      <c r="F18">
        <f>520+600+600</f>
        <v>1720</v>
      </c>
      <c r="G18">
        <v>1</v>
      </c>
      <c r="H18">
        <v>1.5</v>
      </c>
      <c r="I18">
        <f>H18*F18*G18</f>
        <v>2580</v>
      </c>
      <c r="L18">
        <v>0.2</v>
      </c>
    </row>
    <row r="19" spans="1:12">
      <c r="A19" t="s">
        <v>377</v>
      </c>
      <c r="B19" t="s">
        <v>388</v>
      </c>
      <c r="C19">
        <v>8</v>
      </c>
      <c r="D19">
        <v>24</v>
      </c>
      <c r="E19" s="76">
        <f>C19/D19</f>
        <v>0.33333333333333331</v>
      </c>
      <c r="F19">
        <f>520+600+600</f>
        <v>1720</v>
      </c>
      <c r="G19">
        <v>1</v>
      </c>
      <c r="H19">
        <v>1.5</v>
      </c>
      <c r="I19">
        <f>H19*F19*G19</f>
        <v>2580</v>
      </c>
      <c r="L19">
        <v>0.2</v>
      </c>
    </row>
    <row r="21" spans="1:12">
      <c r="B21" t="s">
        <v>389</v>
      </c>
      <c r="C21" t="s">
        <v>383</v>
      </c>
      <c r="D21" t="s">
        <v>390</v>
      </c>
      <c r="E21" s="76" t="s">
        <v>384</v>
      </c>
      <c r="F21">
        <v>200</v>
      </c>
      <c r="G21">
        <v>2</v>
      </c>
      <c r="H21">
        <v>1.5</v>
      </c>
      <c r="I21">
        <f>H21*F21*G21</f>
        <v>600</v>
      </c>
      <c r="K21">
        <v>1</v>
      </c>
    </row>
    <row r="22" spans="1:12">
      <c r="B22" t="s">
        <v>391</v>
      </c>
      <c r="C22" t="s">
        <v>383</v>
      </c>
      <c r="D22" t="s">
        <v>390</v>
      </c>
      <c r="E22" s="76" t="s">
        <v>384</v>
      </c>
      <c r="F22">
        <v>200</v>
      </c>
      <c r="G22">
        <v>1</v>
      </c>
      <c r="H22">
        <v>1.5</v>
      </c>
      <c r="I22">
        <f>H22*F22*G22</f>
        <v>300</v>
      </c>
      <c r="K22">
        <v>1</v>
      </c>
    </row>
    <row r="26" spans="1:12">
      <c r="A26" s="74" t="s">
        <v>392</v>
      </c>
    </row>
    <row r="27" spans="1:12">
      <c r="A27" t="s">
        <v>393</v>
      </c>
    </row>
    <row r="28" spans="1:12">
      <c r="A28" t="s">
        <v>394</v>
      </c>
    </row>
  </sheetData>
  <hyperlinks>
    <hyperlink ref="J1" r:id="rId1" xr:uid="{5E6BB67D-4C58-4E89-A9C2-FA953BE77D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51C-B521-43DB-B4F3-E4B3CB408C9D}">
  <dimension ref="A1:H4"/>
  <sheetViews>
    <sheetView tabSelected="1" workbookViewId="0">
      <selection activeCell="C5" sqref="C5"/>
    </sheetView>
  </sheetViews>
  <sheetFormatPr defaultRowHeight="14.45"/>
  <sheetData>
    <row r="1" spans="1:8"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</row>
    <row r="2" spans="1:8">
      <c r="A2" t="s">
        <v>401</v>
      </c>
      <c r="B2" t="s">
        <v>402</v>
      </c>
      <c r="D2">
        <v>3</v>
      </c>
    </row>
    <row r="3" spans="1:8">
      <c r="A3" t="s">
        <v>403</v>
      </c>
      <c r="B3" t="s">
        <v>404</v>
      </c>
      <c r="E3">
        <v>4</v>
      </c>
    </row>
    <row r="4" spans="1:8">
      <c r="A4" t="s">
        <v>405</v>
      </c>
      <c r="C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E3A8-4886-4949-BD32-E0DF67434D27}">
  <dimension ref="A1:D37"/>
  <sheetViews>
    <sheetView workbookViewId="0">
      <selection activeCell="C5" sqref="C5"/>
    </sheetView>
  </sheetViews>
  <sheetFormatPr defaultRowHeight="14.45"/>
  <cols>
    <col min="1" max="1" width="36.5703125" bestFit="1" customWidth="1"/>
  </cols>
  <sheetData>
    <row r="1" spans="1:4" ht="29.1">
      <c r="A1" s="11" t="s">
        <v>406</v>
      </c>
    </row>
    <row r="2" spans="1:4">
      <c r="A2" s="8"/>
    </row>
    <row r="3" spans="1:4">
      <c r="A3" s="8" t="s">
        <v>407</v>
      </c>
    </row>
    <row r="4" spans="1:4">
      <c r="A4" s="8" t="s">
        <v>87</v>
      </c>
      <c r="B4">
        <v>1</v>
      </c>
      <c r="D4">
        <v>1</v>
      </c>
    </row>
    <row r="5" spans="1:4">
      <c r="A5" s="8" t="s">
        <v>408</v>
      </c>
      <c r="B5" t="s">
        <v>409</v>
      </c>
      <c r="D5">
        <v>1</v>
      </c>
    </row>
    <row r="6" spans="1:4">
      <c r="A6" s="8" t="s">
        <v>410</v>
      </c>
      <c r="B6" t="s">
        <v>409</v>
      </c>
      <c r="D6">
        <v>1</v>
      </c>
    </row>
    <row r="7" spans="1:4">
      <c r="A7" s="8" t="s">
        <v>411</v>
      </c>
      <c r="B7">
        <v>2</v>
      </c>
      <c r="D7">
        <v>1</v>
      </c>
    </row>
    <row r="8" spans="1:4">
      <c r="A8" s="8" t="s">
        <v>412</v>
      </c>
      <c r="B8">
        <v>4</v>
      </c>
      <c r="D8">
        <v>1</v>
      </c>
    </row>
    <row r="9" spans="1:4">
      <c r="A9" s="8" t="s">
        <v>413</v>
      </c>
      <c r="B9">
        <v>1</v>
      </c>
      <c r="D9">
        <v>1</v>
      </c>
    </row>
    <row r="10" spans="1:4">
      <c r="A10" s="8" t="s">
        <v>414</v>
      </c>
      <c r="B10">
        <v>6</v>
      </c>
      <c r="D10">
        <v>1</v>
      </c>
    </row>
    <row r="11" spans="1:4">
      <c r="A11" s="8" t="s">
        <v>415</v>
      </c>
      <c r="B11">
        <v>1</v>
      </c>
      <c r="D11">
        <v>1</v>
      </c>
    </row>
    <row r="12" spans="1:4">
      <c r="A12" s="8" t="s">
        <v>416</v>
      </c>
      <c r="B12">
        <v>1</v>
      </c>
      <c r="D12">
        <v>1</v>
      </c>
    </row>
    <row r="13" spans="1:4">
      <c r="A13" s="8" t="s">
        <v>417</v>
      </c>
      <c r="B13">
        <v>1</v>
      </c>
      <c r="D13">
        <v>1</v>
      </c>
    </row>
    <row r="14" spans="1:4">
      <c r="A14" s="75" t="s">
        <v>88</v>
      </c>
      <c r="B14">
        <v>3</v>
      </c>
      <c r="D14">
        <v>1</v>
      </c>
    </row>
    <row r="15" spans="1:4">
      <c r="A15" s="75" t="s">
        <v>94</v>
      </c>
      <c r="B15">
        <v>1</v>
      </c>
      <c r="D15">
        <v>1</v>
      </c>
    </row>
    <row r="16" spans="1:4">
      <c r="A16" t="s">
        <v>418</v>
      </c>
      <c r="B16">
        <v>2</v>
      </c>
      <c r="D16">
        <v>1</v>
      </c>
    </row>
    <row r="17" spans="1:4">
      <c r="A17" t="s">
        <v>419</v>
      </c>
      <c r="B17">
        <v>1</v>
      </c>
      <c r="D17">
        <v>1</v>
      </c>
    </row>
    <row r="18" spans="1:4">
      <c r="A18" t="s">
        <v>420</v>
      </c>
      <c r="B18">
        <v>1</v>
      </c>
      <c r="D18">
        <v>1</v>
      </c>
    </row>
    <row r="19" spans="1:4">
      <c r="A19" t="s">
        <v>421</v>
      </c>
      <c r="B19" t="s">
        <v>409</v>
      </c>
      <c r="D19">
        <v>1</v>
      </c>
    </row>
    <row r="20" spans="1:4">
      <c r="A20" t="s">
        <v>422</v>
      </c>
      <c r="B20" t="s">
        <v>409</v>
      </c>
      <c r="D20">
        <v>1</v>
      </c>
    </row>
    <row r="21" spans="1:4">
      <c r="A21" t="s">
        <v>423</v>
      </c>
      <c r="B21">
        <v>1</v>
      </c>
    </row>
    <row r="22" spans="1:4">
      <c r="A22" t="s">
        <v>424</v>
      </c>
      <c r="B22">
        <v>1</v>
      </c>
      <c r="D22">
        <v>1</v>
      </c>
    </row>
    <row r="23" spans="1:4">
      <c r="A23" t="s">
        <v>425</v>
      </c>
      <c r="B23">
        <v>2</v>
      </c>
      <c r="D23">
        <v>1</v>
      </c>
    </row>
    <row r="24" spans="1:4">
      <c r="A24" t="s">
        <v>426</v>
      </c>
      <c r="B24">
        <v>1</v>
      </c>
      <c r="D24">
        <v>1</v>
      </c>
    </row>
    <row r="25" spans="1:4">
      <c r="A25" t="s">
        <v>427</v>
      </c>
      <c r="B25">
        <v>1</v>
      </c>
      <c r="D25">
        <v>1</v>
      </c>
    </row>
    <row r="27" spans="1:4">
      <c r="A27" s="9" t="s">
        <v>428</v>
      </c>
    </row>
    <row r="28" spans="1:4">
      <c r="A28" t="s">
        <v>429</v>
      </c>
      <c r="B28">
        <v>3</v>
      </c>
    </row>
    <row r="29" spans="1:4">
      <c r="A29" t="s">
        <v>430</v>
      </c>
      <c r="B29" t="s">
        <v>431</v>
      </c>
    </row>
    <row r="30" spans="1:4">
      <c r="A30" t="s">
        <v>432</v>
      </c>
      <c r="B30">
        <v>1</v>
      </c>
    </row>
    <row r="31" spans="1:4">
      <c r="A31" t="s">
        <v>433</v>
      </c>
      <c r="B31">
        <v>4</v>
      </c>
    </row>
    <row r="32" spans="1:4">
      <c r="A32" t="s">
        <v>434</v>
      </c>
    </row>
    <row r="33" spans="1:1" ht="29.1">
      <c r="A33" s="8" t="s">
        <v>435</v>
      </c>
    </row>
    <row r="34" spans="1:1">
      <c r="A34" t="s">
        <v>436</v>
      </c>
    </row>
    <row r="35" spans="1:1">
      <c r="A35" t="s">
        <v>437</v>
      </c>
    </row>
    <row r="36" spans="1:1">
      <c r="A36" t="s">
        <v>438</v>
      </c>
    </row>
    <row r="37" spans="1:1">
      <c r="A3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Thewis</dc:creator>
  <cp:keywords/>
  <dc:description/>
  <cp:lastModifiedBy/>
  <cp:revision/>
  <dcterms:created xsi:type="dcterms:W3CDTF">2025-03-06T13:16:48Z</dcterms:created>
  <dcterms:modified xsi:type="dcterms:W3CDTF">2025-05-22T09:45:38Z</dcterms:modified>
  <cp:category/>
  <cp:contentStatus/>
</cp:coreProperties>
</file>