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hi\OneDrive\Documenti\Lectures\Lab elettronica\Amplificatore\"/>
    </mc:Choice>
  </mc:AlternateContent>
  <xr:revisionPtr revIDLastSave="0" documentId="13_ncr:1_{15A17504-00A1-4416-9EAB-9B04404FA49F}" xr6:coauthVersionLast="47" xr6:coauthVersionMax="47" xr10:uidLastSave="{00000000-0000-0000-0000-000000000000}"/>
  <bookViews>
    <workbookView xWindow="-120" yWindow="-120" windowWidth="29040" windowHeight="15840" activeTab="9" xr2:uid="{1748DFF2-25E1-45C8-9E48-946719D1D616}"/>
  </bookViews>
  <sheets>
    <sheet name="Non invertente" sheetId="1" r:id="rId1"/>
    <sheet name="Invertente 1" sheetId="2" r:id="rId2"/>
    <sheet name="Invertente 10" sheetId="3" r:id="rId3"/>
    <sheet name="Integratore" sheetId="4" r:id="rId4"/>
    <sheet name="Logaritmico" sheetId="6" r:id="rId5"/>
    <sheet name="Derivatore" sheetId="5" r:id="rId6"/>
    <sheet name="differenza" sheetId="7" r:id="rId7"/>
    <sheet name="Foglio2" sheetId="8" r:id="rId8"/>
    <sheet name="Foglio3" sheetId="9" r:id="rId9"/>
    <sheet name="Sipm 1mm" sheetId="10" r:id="rId10"/>
    <sheet name="Foglio5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9" l="1"/>
  <c r="D29" i="9"/>
  <c r="K12" i="9"/>
  <c r="E22" i="9"/>
  <c r="D22" i="9"/>
  <c r="E14" i="9"/>
  <c r="D14" i="9"/>
  <c r="E5" i="9"/>
  <c r="D5" i="9"/>
  <c r="E29" i="2"/>
  <c r="N26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10" i="2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9" i="3"/>
  <c r="E29" i="3"/>
  <c r="L30" i="4"/>
  <c r="M30" i="4" s="1"/>
  <c r="L22" i="4"/>
  <c r="M22" i="4" s="1"/>
  <c r="L17" i="4"/>
  <c r="M17" i="4" s="1"/>
  <c r="L16" i="4"/>
  <c r="M16" i="4" s="1"/>
  <c r="L15" i="4"/>
  <c r="M15" i="4" s="1"/>
  <c r="L14" i="4"/>
  <c r="M14" i="4" s="1"/>
  <c r="I28" i="4"/>
  <c r="I29" i="4"/>
  <c r="I30" i="4"/>
  <c r="I31" i="4"/>
  <c r="I32" i="4"/>
  <c r="I33" i="4"/>
  <c r="I34" i="4"/>
  <c r="I35" i="4"/>
  <c r="I36" i="4"/>
  <c r="I37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4" i="4"/>
  <c r="E2" i="4"/>
  <c r="D7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9" i="3"/>
  <c r="L9" i="3"/>
  <c r="M9" i="3" s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9" i="3"/>
  <c r="H8" i="5"/>
  <c r="E5" i="5"/>
  <c r="B7" i="5"/>
  <c r="L37" i="4"/>
  <c r="M37" i="4" s="1"/>
  <c r="L36" i="4"/>
  <c r="M36" i="4" s="1"/>
  <c r="L35" i="4"/>
  <c r="M35" i="4" s="1"/>
  <c r="L34" i="4"/>
  <c r="M34" i="4" s="1"/>
  <c r="L33" i="4"/>
  <c r="M33" i="4" s="1"/>
  <c r="L32" i="4"/>
  <c r="M32" i="4" s="1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L31" i="4"/>
  <c r="M31" i="4" s="1"/>
  <c r="C14" i="4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1" i="4"/>
  <c r="M21" i="4" s="1"/>
  <c r="L20" i="4"/>
  <c r="M20" i="4" s="1"/>
  <c r="L19" i="4"/>
  <c r="M19" i="4" s="1"/>
  <c r="L18" i="4"/>
  <c r="M18" i="4" s="1"/>
  <c r="B7" i="4"/>
  <c r="G7" i="4"/>
  <c r="A7" i="4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26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10" i="2"/>
  <c r="M10" i="2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10" i="1"/>
</calcChain>
</file>

<file path=xl/sharedStrings.xml><?xml version="1.0" encoding="utf-8"?>
<sst xmlns="http://schemas.openxmlformats.org/spreadsheetml/2006/main" count="137" uniqueCount="72">
  <si>
    <t>rf</t>
  </si>
  <si>
    <t>kohm</t>
  </si>
  <si>
    <t>R</t>
  </si>
  <si>
    <t>invertente</t>
  </si>
  <si>
    <t>guadagno</t>
  </si>
  <si>
    <t>freq (Kh)</t>
  </si>
  <si>
    <t>vin (mV)</t>
  </si>
  <si>
    <t>vin/div (mV)</t>
  </si>
  <si>
    <t>err vin (mV)</t>
  </si>
  <si>
    <t>vout (mV)</t>
  </si>
  <si>
    <t>vout/div (mV)</t>
  </si>
  <si>
    <t>err vout (mV)</t>
  </si>
  <si>
    <t>t/div (ns)</t>
  </si>
  <si>
    <t>errf (kH)</t>
  </si>
  <si>
    <t>errt (ns)</t>
  </si>
  <si>
    <t>Rf</t>
  </si>
  <si>
    <t>r</t>
  </si>
  <si>
    <t>C</t>
  </si>
  <si>
    <t>nF</t>
  </si>
  <si>
    <t>R'</t>
  </si>
  <si>
    <t>IDM 103N</t>
  </si>
  <si>
    <t>rs pro</t>
  </si>
  <si>
    <t>vout 1.59 a 0.220 a 12.89959471</t>
  </si>
  <si>
    <t>freq (hz)</t>
  </si>
  <si>
    <t>guadagno aspettato a fhf</t>
  </si>
  <si>
    <t>R''</t>
  </si>
  <si>
    <t>a 400 khz non funziona</t>
  </si>
  <si>
    <t>Logaritmico</t>
  </si>
  <si>
    <t>V out (V)</t>
  </si>
  <si>
    <t>V in (V)</t>
  </si>
  <si>
    <t>vout (V)</t>
  </si>
  <si>
    <t>vout/div (V)</t>
  </si>
  <si>
    <t>err vout (V)</t>
  </si>
  <si>
    <t>t/div (ms)</t>
  </si>
  <si>
    <t>errg</t>
  </si>
  <si>
    <t>dati</t>
  </si>
  <si>
    <t>numero</t>
  </si>
  <si>
    <t>R1</t>
  </si>
  <si>
    <t>R2</t>
  </si>
  <si>
    <t>R3</t>
  </si>
  <si>
    <t>R4</t>
  </si>
  <si>
    <t>utilizzando 100 hz e 90 hz la frequenza di battimento è 10 hz corretta</t>
  </si>
  <si>
    <t>(in realtà viene 9.901 hz)</t>
  </si>
  <si>
    <t>differenza tempo</t>
  </si>
  <si>
    <t>138 ns</t>
  </si>
  <si>
    <t>133ns</t>
  </si>
  <si>
    <t>sul massimo</t>
  </si>
  <si>
    <t xml:space="preserve">sull'inizio </t>
  </si>
  <si>
    <t>50 ohm</t>
  </si>
  <si>
    <t>circuito aperto</t>
  </si>
  <si>
    <t>139 ns</t>
  </si>
  <si>
    <t>sull'inizio</t>
  </si>
  <si>
    <t>131 ns</t>
  </si>
  <si>
    <t>circuito chiuso</t>
  </si>
  <si>
    <t xml:space="preserve">media </t>
  </si>
  <si>
    <t>minimo segnale</t>
  </si>
  <si>
    <t>267.90 ns</t>
  </si>
  <si>
    <t>L=</t>
  </si>
  <si>
    <t>da sx a dx</t>
  </si>
  <si>
    <t>C1</t>
  </si>
  <si>
    <t>rosso</t>
  </si>
  <si>
    <t>C2</t>
  </si>
  <si>
    <t>C3</t>
  </si>
  <si>
    <t>kOhm</t>
  </si>
  <si>
    <t>C4</t>
  </si>
  <si>
    <t>meterman 35xp</t>
  </si>
  <si>
    <t>giallo</t>
  </si>
  <si>
    <t>Satura a 3V</t>
  </si>
  <si>
    <t>saved 04</t>
  </si>
  <si>
    <t>1mm</t>
  </si>
  <si>
    <t>saved 07</t>
  </si>
  <si>
    <t>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</si>
</sst>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1" xfId="0" applyBorder="1"/>
    <xf numFmtId="0" fontId="1" fillId="2" borderId="1" xfId="1" applyBorder="1"/>
    <xf numFmtId="0" fontId="0" fillId="0" borderId="3" xfId="0" applyBorder="1"/>
    <xf numFmtId="0" fontId="0" fillId="0" borderId="1" xfId="0" applyFill="1" applyBorder="1"/>
    <xf numFmtId="0" fontId="2" fillId="3" borderId="0" xfId="2"/>
    <xf numFmtId="0" fontId="0" fillId="0" borderId="4" xfId="0" applyBorder="1"/>
    <xf numFmtId="0" fontId="0" fillId="0" borderId="5" xfId="0" applyBorder="1"/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1" fontId="0" fillId="0" borderId="1" xfId="0" applyNumberFormat="1" applyBorder="1"/>
    <xf numFmtId="11" fontId="0" fillId="0" borderId="1" xfId="0" applyNumberFormat="1" applyFill="1" applyBorder="1"/>
    <xf numFmtId="164" fontId="0" fillId="0" borderId="1" xfId="0" applyNumberFormat="1" applyBorder="1"/>
    <xf numFmtId="0" fontId="1" fillId="2" borderId="6" xfId="1" applyBorder="1"/>
    <xf numFmtId="0" fontId="0" fillId="0" borderId="6" xfId="0" applyBorder="1"/>
    <xf numFmtId="0" fontId="0" fillId="0" borderId="6" xfId="0" applyFill="1" applyBorder="1"/>
    <xf numFmtId="164" fontId="0" fillId="0" borderId="1" xfId="0" applyNumberFormat="1" applyFont="1" applyBorder="1"/>
    <xf numFmtId="164" fontId="0" fillId="0" borderId="3" xfId="0" applyNumberFormat="1" applyFont="1" applyBorder="1"/>
    <xf numFmtId="0" fontId="0" fillId="0" borderId="0" xfId="0" applyFont="1"/>
    <xf numFmtId="0" fontId="0" fillId="0" borderId="0" xfId="0" applyAlignment="1">
      <alignment horizontal="center" vertical="center"/>
    </xf>
  </cellXfs>
  <cellStyles count="3">
    <cellStyle name="Neutrale" xfId="2" builtinId="28"/>
    <cellStyle name="Normale" xfId="0" builtinId="0"/>
    <cellStyle name="Valore non valido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invertente'!$J$10:$J$23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150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350</c:v>
                </c:pt>
                <c:pt idx="13">
                  <c:v>250</c:v>
                </c:pt>
              </c:numCache>
            </c:numRef>
          </c:xVal>
          <c:yVal>
            <c:numRef>
              <c:f>'Non invertente'!$I$10:$I$23</c:f>
              <c:numCache>
                <c:formatCode>General</c:formatCode>
                <c:ptCount val="14"/>
                <c:pt idx="0">
                  <c:v>1.9805194805194806</c:v>
                </c:pt>
                <c:pt idx="1">
                  <c:v>1.921875</c:v>
                </c:pt>
                <c:pt idx="2">
                  <c:v>1.9076923076923078</c:v>
                </c:pt>
                <c:pt idx="3">
                  <c:v>1.875</c:v>
                </c:pt>
                <c:pt idx="4">
                  <c:v>1.8601190476190477</c:v>
                </c:pt>
                <c:pt idx="5">
                  <c:v>1.695906432748538</c:v>
                </c:pt>
                <c:pt idx="6">
                  <c:v>1.3808139534883721</c:v>
                </c:pt>
                <c:pt idx="7">
                  <c:v>1.0628571428571429</c:v>
                </c:pt>
                <c:pt idx="8">
                  <c:v>1.7836257309941521</c:v>
                </c:pt>
                <c:pt idx="9">
                  <c:v>0.88372093023255816</c:v>
                </c:pt>
                <c:pt idx="10">
                  <c:v>0.4264705882352941</c:v>
                </c:pt>
                <c:pt idx="11">
                  <c:v>0.22093023255813954</c:v>
                </c:pt>
                <c:pt idx="12">
                  <c:v>1.1954022988505748</c:v>
                </c:pt>
                <c:pt idx="13">
                  <c:v>1.5406976744186047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9-43DF-ADF2-D3972B2B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12368"/>
        <c:axId val="452809416"/>
      </c:scatterChart>
      <c:valAx>
        <c:axId val="452812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809416"/>
        <c:crosses val="autoZero"/>
        <c:crossBetween val="midCat"/>
      </c:valAx>
      <c:valAx>
        <c:axId val="452809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8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Integratore!$J$14:$J$45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14.3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31</c:v>
                </c:pt>
                <c:pt idx="15">
                  <c:v>40</c:v>
                </c:pt>
                <c:pt idx="16">
                  <c:v>50</c:v>
                </c:pt>
                <c:pt idx="17">
                  <c:v>75</c:v>
                </c:pt>
                <c:pt idx="18">
                  <c:v>100</c:v>
                </c:pt>
                <c:pt idx="19">
                  <c:v>150</c:v>
                </c:pt>
                <c:pt idx="20">
                  <c:v>300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xVal>
          <c:yVal>
            <c:numRef>
              <c:f>Integratore!$I$14:$I$44</c:f>
              <c:numCache>
                <c:formatCode>General</c:formatCode>
                <c:ptCount val="31"/>
                <c:pt idx="0">
                  <c:v>9.3693693693693696</c:v>
                </c:pt>
                <c:pt idx="1">
                  <c:v>9.2727272727272734</c:v>
                </c:pt>
                <c:pt idx="2">
                  <c:v>8.9189189189189175</c:v>
                </c:pt>
                <c:pt idx="3">
                  <c:v>8.468468468468469</c:v>
                </c:pt>
                <c:pt idx="4">
                  <c:v>8.1531531531531538</c:v>
                </c:pt>
                <c:pt idx="5">
                  <c:v>7.9279279279279287</c:v>
                </c:pt>
                <c:pt idx="6">
                  <c:v>7.7027027027027026</c:v>
                </c:pt>
                <c:pt idx="7">
                  <c:v>7.4324324324324316</c:v>
                </c:pt>
                <c:pt idx="8">
                  <c:v>7.2522522522522523</c:v>
                </c:pt>
                <c:pt idx="9">
                  <c:v>7.0270270270270272</c:v>
                </c:pt>
                <c:pt idx="10">
                  <c:v>6.8918918918918921</c:v>
                </c:pt>
                <c:pt idx="11">
                  <c:v>6.756756756756757</c:v>
                </c:pt>
                <c:pt idx="12">
                  <c:v>6.576576576576576</c:v>
                </c:pt>
                <c:pt idx="13">
                  <c:v>5.8108108108108114</c:v>
                </c:pt>
                <c:pt idx="14">
                  <c:v>4.3243243243243246</c:v>
                </c:pt>
                <c:pt idx="15">
                  <c:v>3.4594594594594592</c:v>
                </c:pt>
                <c:pt idx="16">
                  <c:v>3.0769230769230771</c:v>
                </c:pt>
                <c:pt idx="17">
                  <c:v>2.1346153846153846</c:v>
                </c:pt>
                <c:pt idx="18">
                  <c:v>1.6250000000000002</c:v>
                </c:pt>
                <c:pt idx="19">
                  <c:v>1.096153846153846</c:v>
                </c:pt>
                <c:pt idx="20">
                  <c:v>0.56730769230769229</c:v>
                </c:pt>
                <c:pt idx="21">
                  <c:v>0.33333333333333337</c:v>
                </c:pt>
                <c:pt idx="22">
                  <c:v>0.17254901960784316</c:v>
                </c:pt>
                <c:pt idx="23">
                  <c:v>8.8461538461538466E-2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A-44A9-A59A-3F912EE6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32584"/>
        <c:axId val="507935536"/>
      </c:scatterChart>
      <c:valAx>
        <c:axId val="507932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35536"/>
        <c:crosses val="autoZero"/>
        <c:crossBetween val="midCat"/>
      </c:valAx>
      <c:valAx>
        <c:axId val="50793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4762</xdr:rowOff>
    </xdr:from>
    <xdr:to>
      <xdr:col>24</xdr:col>
      <xdr:colOff>304800</xdr:colOff>
      <xdr:row>23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E9D5D30-0003-4332-B2FE-CE37250A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174719</xdr:colOff>
      <xdr:row>7</xdr:row>
      <xdr:rowOff>148828</xdr:rowOff>
    </xdr:from>
    <xdr:to>
      <xdr:col>28</xdr:col>
      <xdr:colOff>422836</xdr:colOff>
      <xdr:row>29</xdr:row>
      <xdr:rowOff>23547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B578E94-1C8F-4051-AA7B-4BA67EEBE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7766" y="1498203"/>
          <a:ext cx="8116164" cy="42105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583277</xdr:colOff>
      <xdr:row>7</xdr:row>
      <xdr:rowOff>104775</xdr:rowOff>
    </xdr:from>
    <xdr:to>
      <xdr:col>27</xdr:col>
      <xdr:colOff>412124</xdr:colOff>
      <xdr:row>25</xdr:row>
      <xdr:rowOff>191815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2976D55-4FCD-4497-BED1-49FE0F524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9702" y="1447800"/>
          <a:ext cx="7144047" cy="36874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433387</xdr:colOff>
      <xdr:row>12</xdr:row>
      <xdr:rowOff>195262</xdr:rowOff>
    </xdr:from>
    <xdr:to>
      <xdr:col>21</xdr:col>
      <xdr:colOff>128587</xdr:colOff>
      <xdr:row>26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5D01C6-A0F3-48AA-BA28-81E363EAD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C5F6-160F-4DA0-A565-13F91B3DDBA7}">
  <dimension ref="A1:M23"/>
  <sheetViews>
    <sheetView topLeftCell="B3" zoomScale="112" workbookViewId="0">
      <selection activeCell="N9" sqref="N9"/>
    </sheetView>
  </sheetViews>
  <sheetFormatPr defaultRowHeight="15" x14ac:dyDescent="0.25"/>
  <cols>
    <col min="2" max="2" width="11.5703125" customWidth="1"/>
    <col min="3" max="3" width="11.7109375" customWidth="1"/>
    <col min="5" max="5" width="9.28515625" customWidth="1"/>
    <col min="6" max="6" width="12.85546875" customWidth="1"/>
    <col min="7" max="7" width="13.28515625" customWidth="1"/>
    <col min="9" max="9" width="9.5703125" customWidth="1"/>
    <col min="11" max="11" width="9.5703125" customWidth="1"/>
    <col min="13" max="13" width="11" bestFit="1" customWidth="1"/>
  </cols>
  <sheetData>
    <row r="1" spans="1:13" x14ac:dyDescent="0.25">
      <c r="A1" t="s">
        <v>20</v>
      </c>
      <c r="B1" t="s">
        <v>21</v>
      </c>
    </row>
    <row r="2" spans="1:13" ht="15.75" thickBot="1" x14ac:dyDescent="0.3">
      <c r="A2" s="1"/>
      <c r="B2" s="1"/>
      <c r="C2" s="1"/>
      <c r="I2" s="21" t="s">
        <v>3</v>
      </c>
      <c r="J2" s="21"/>
    </row>
    <row r="3" spans="1:13" ht="15.75" thickBot="1" x14ac:dyDescent="0.3">
      <c r="A3" s="4" t="s">
        <v>0</v>
      </c>
      <c r="B3" s="4">
        <v>0.98899999999999999</v>
      </c>
      <c r="C3" s="4" t="s">
        <v>1</v>
      </c>
      <c r="I3" s="21"/>
      <c r="J3" s="21"/>
    </row>
    <row r="4" spans="1:13" ht="15.75" thickBot="1" x14ac:dyDescent="0.3">
      <c r="A4" s="2" t="s">
        <v>2</v>
      </c>
      <c r="B4" s="2">
        <v>0.98499999999999999</v>
      </c>
      <c r="C4" s="2" t="s">
        <v>1</v>
      </c>
      <c r="I4" s="21"/>
      <c r="J4" s="21"/>
    </row>
    <row r="8" spans="1:13" ht="15.75" thickBot="1" x14ac:dyDescent="0.3"/>
    <row r="9" spans="1:13" ht="15.75" thickBot="1" x14ac:dyDescent="0.3">
      <c r="A9" s="3" t="s">
        <v>6</v>
      </c>
      <c r="B9" s="3" t="s">
        <v>7</v>
      </c>
      <c r="C9" s="3" t="s">
        <v>8</v>
      </c>
      <c r="E9" s="3" t="s">
        <v>9</v>
      </c>
      <c r="F9" s="3" t="s">
        <v>10</v>
      </c>
      <c r="G9" s="3" t="s">
        <v>11</v>
      </c>
      <c r="I9" s="3" t="s">
        <v>4</v>
      </c>
      <c r="J9" s="3" t="s">
        <v>5</v>
      </c>
      <c r="K9" s="3" t="s">
        <v>12</v>
      </c>
      <c r="L9" s="3" t="s">
        <v>14</v>
      </c>
      <c r="M9" s="3" t="s">
        <v>13</v>
      </c>
    </row>
    <row r="10" spans="1:13" ht="15.75" thickBot="1" x14ac:dyDescent="0.3">
      <c r="A10" s="2">
        <v>616</v>
      </c>
      <c r="B10" s="2">
        <v>200</v>
      </c>
      <c r="C10" s="2">
        <f>B10/5</f>
        <v>40</v>
      </c>
      <c r="E10" s="2">
        <v>1220</v>
      </c>
      <c r="F10" s="2">
        <v>500</v>
      </c>
      <c r="G10" s="2">
        <f>F10/5</f>
        <v>100</v>
      </c>
      <c r="I10" s="2">
        <f t="shared" ref="I10:I23" si="0">E10/A10</f>
        <v>1.9805194805194806</v>
      </c>
      <c r="J10" s="2">
        <v>1</v>
      </c>
      <c r="K10" s="2">
        <v>250000</v>
      </c>
      <c r="L10" s="2">
        <f>K10/5</f>
        <v>50000</v>
      </c>
      <c r="M10" s="2">
        <f>J10^2*L10*10^-6</f>
        <v>4.9999999999999996E-2</v>
      </c>
    </row>
    <row r="11" spans="1:13" ht="15.75" thickBot="1" x14ac:dyDescent="0.3">
      <c r="A11" s="2">
        <v>640</v>
      </c>
      <c r="B11" s="2">
        <v>100</v>
      </c>
      <c r="C11" s="2">
        <f t="shared" ref="C11:C23" si="1">B11/5</f>
        <v>20</v>
      </c>
      <c r="E11" s="2">
        <v>1230</v>
      </c>
      <c r="F11" s="2">
        <v>200</v>
      </c>
      <c r="G11" s="2">
        <f t="shared" ref="G11:G23" si="2">F11/5</f>
        <v>40</v>
      </c>
      <c r="I11" s="2">
        <f t="shared" si="0"/>
        <v>1.921875</v>
      </c>
      <c r="J11" s="2">
        <v>5</v>
      </c>
      <c r="K11" s="2">
        <v>50000</v>
      </c>
      <c r="L11" s="2">
        <f t="shared" ref="L11:L23" si="3">K11/5</f>
        <v>10000</v>
      </c>
      <c r="M11" s="2">
        <f t="shared" ref="M11:M23" si="4">J11^2*L11*10^-6</f>
        <v>0.25</v>
      </c>
    </row>
    <row r="12" spans="1:13" ht="15.75" thickBot="1" x14ac:dyDescent="0.3">
      <c r="A12" s="2">
        <v>650</v>
      </c>
      <c r="B12" s="2">
        <v>100</v>
      </c>
      <c r="C12" s="2">
        <f t="shared" si="1"/>
        <v>20</v>
      </c>
      <c r="E12" s="2">
        <v>1240</v>
      </c>
      <c r="F12" s="2">
        <v>200</v>
      </c>
      <c r="G12" s="2">
        <f t="shared" si="2"/>
        <v>40</v>
      </c>
      <c r="I12" s="2">
        <f t="shared" si="0"/>
        <v>1.9076923076923078</v>
      </c>
      <c r="J12" s="2">
        <v>10</v>
      </c>
      <c r="K12" s="2">
        <v>25000</v>
      </c>
      <c r="L12" s="2">
        <f t="shared" si="3"/>
        <v>5000</v>
      </c>
      <c r="M12" s="2">
        <f t="shared" si="4"/>
        <v>0.5</v>
      </c>
    </row>
    <row r="13" spans="1:13" ht="15.75" thickBot="1" x14ac:dyDescent="0.3">
      <c r="A13" s="2">
        <v>672</v>
      </c>
      <c r="B13" s="2">
        <v>100</v>
      </c>
      <c r="C13" s="2">
        <f t="shared" si="1"/>
        <v>20</v>
      </c>
      <c r="E13" s="2">
        <v>1260</v>
      </c>
      <c r="F13" s="2">
        <v>200</v>
      </c>
      <c r="G13" s="2">
        <f t="shared" si="2"/>
        <v>40</v>
      </c>
      <c r="I13" s="2">
        <f t="shared" si="0"/>
        <v>1.875</v>
      </c>
      <c r="J13" s="2">
        <v>50</v>
      </c>
      <c r="K13" s="2">
        <v>2500</v>
      </c>
      <c r="L13" s="2">
        <f t="shared" si="3"/>
        <v>500</v>
      </c>
      <c r="M13" s="2">
        <f t="shared" si="4"/>
        <v>1.25</v>
      </c>
    </row>
    <row r="14" spans="1:13" ht="15.75" thickBot="1" x14ac:dyDescent="0.3">
      <c r="A14" s="2">
        <v>672</v>
      </c>
      <c r="B14" s="2">
        <v>100</v>
      </c>
      <c r="C14" s="2">
        <f t="shared" si="1"/>
        <v>20</v>
      </c>
      <c r="E14" s="2">
        <v>1250</v>
      </c>
      <c r="F14" s="2">
        <v>200</v>
      </c>
      <c r="G14" s="2">
        <f t="shared" si="2"/>
        <v>40</v>
      </c>
      <c r="I14" s="2">
        <f t="shared" si="0"/>
        <v>1.8601190476190477</v>
      </c>
      <c r="J14" s="2">
        <v>100</v>
      </c>
      <c r="K14" s="2">
        <v>2500</v>
      </c>
      <c r="L14" s="2">
        <f t="shared" si="3"/>
        <v>500</v>
      </c>
      <c r="M14" s="2">
        <f t="shared" si="4"/>
        <v>5</v>
      </c>
    </row>
    <row r="15" spans="1:13" ht="15.75" thickBot="1" x14ac:dyDescent="0.3">
      <c r="A15" s="2">
        <v>684</v>
      </c>
      <c r="B15" s="2">
        <v>100</v>
      </c>
      <c r="C15" s="2">
        <f t="shared" si="1"/>
        <v>20</v>
      </c>
      <c r="E15" s="2">
        <v>1160</v>
      </c>
      <c r="F15" s="2">
        <v>200</v>
      </c>
      <c r="G15" s="2">
        <f t="shared" si="2"/>
        <v>40</v>
      </c>
      <c r="I15" s="2">
        <f t="shared" si="0"/>
        <v>1.695906432748538</v>
      </c>
      <c r="J15" s="2">
        <v>200</v>
      </c>
      <c r="K15" s="2">
        <v>1000</v>
      </c>
      <c r="L15" s="2">
        <f t="shared" si="3"/>
        <v>200</v>
      </c>
      <c r="M15" s="2">
        <f t="shared" si="4"/>
        <v>8</v>
      </c>
    </row>
    <row r="16" spans="1:13" ht="15.75" thickBot="1" x14ac:dyDescent="0.3">
      <c r="A16" s="2">
        <v>688</v>
      </c>
      <c r="B16" s="2">
        <v>100</v>
      </c>
      <c r="C16" s="2">
        <f t="shared" si="1"/>
        <v>20</v>
      </c>
      <c r="E16" s="2">
        <v>950</v>
      </c>
      <c r="F16" s="2">
        <v>200</v>
      </c>
      <c r="G16" s="2">
        <f t="shared" si="2"/>
        <v>40</v>
      </c>
      <c r="I16" s="2">
        <f t="shared" si="0"/>
        <v>1.3808139534883721</v>
      </c>
      <c r="J16" s="2">
        <v>300</v>
      </c>
      <c r="K16" s="2">
        <v>1000</v>
      </c>
      <c r="L16" s="2">
        <f t="shared" si="3"/>
        <v>200</v>
      </c>
      <c r="M16" s="2">
        <f t="shared" si="4"/>
        <v>18</v>
      </c>
    </row>
    <row r="17" spans="1:13" ht="15.75" thickBot="1" x14ac:dyDescent="0.3">
      <c r="A17" s="2">
        <v>700</v>
      </c>
      <c r="B17" s="2">
        <v>100</v>
      </c>
      <c r="C17" s="2">
        <f t="shared" si="1"/>
        <v>20</v>
      </c>
      <c r="E17" s="2">
        <v>744</v>
      </c>
      <c r="F17" s="2">
        <v>200</v>
      </c>
      <c r="G17" s="2">
        <f t="shared" si="2"/>
        <v>40</v>
      </c>
      <c r="I17" s="2">
        <f t="shared" si="0"/>
        <v>1.0628571428571429</v>
      </c>
      <c r="J17" s="2">
        <v>400</v>
      </c>
      <c r="K17" s="2">
        <v>1000</v>
      </c>
      <c r="L17" s="2">
        <f t="shared" si="3"/>
        <v>200</v>
      </c>
      <c r="M17" s="2">
        <f t="shared" si="4"/>
        <v>32</v>
      </c>
    </row>
    <row r="18" spans="1:13" ht="15.75" thickBot="1" x14ac:dyDescent="0.3">
      <c r="A18" s="2">
        <v>684</v>
      </c>
      <c r="B18" s="2">
        <v>100</v>
      </c>
      <c r="C18" s="2">
        <f t="shared" si="1"/>
        <v>20</v>
      </c>
      <c r="E18" s="2">
        <v>1220</v>
      </c>
      <c r="F18" s="2">
        <v>200</v>
      </c>
      <c r="G18" s="2">
        <f t="shared" si="2"/>
        <v>40</v>
      </c>
      <c r="I18" s="2">
        <f t="shared" si="0"/>
        <v>1.7836257309941521</v>
      </c>
      <c r="J18" s="2">
        <v>150</v>
      </c>
      <c r="K18" s="2">
        <v>1000</v>
      </c>
      <c r="L18" s="2">
        <f t="shared" si="3"/>
        <v>200</v>
      </c>
      <c r="M18" s="2">
        <f t="shared" si="4"/>
        <v>4.5</v>
      </c>
    </row>
    <row r="19" spans="1:13" ht="15.75" thickBot="1" x14ac:dyDescent="0.3">
      <c r="A19" s="2">
        <v>688</v>
      </c>
      <c r="B19" s="2">
        <v>100</v>
      </c>
      <c r="C19" s="2">
        <f t="shared" si="1"/>
        <v>20</v>
      </c>
      <c r="E19" s="2">
        <v>608</v>
      </c>
      <c r="F19" s="2">
        <v>200</v>
      </c>
      <c r="G19" s="2">
        <f t="shared" si="2"/>
        <v>40</v>
      </c>
      <c r="I19" s="2">
        <f t="shared" si="0"/>
        <v>0.88372093023255816</v>
      </c>
      <c r="J19" s="2">
        <v>500</v>
      </c>
      <c r="K19" s="2">
        <v>500</v>
      </c>
      <c r="L19" s="2">
        <f t="shared" si="3"/>
        <v>100</v>
      </c>
      <c r="M19" s="2">
        <f t="shared" si="4"/>
        <v>25</v>
      </c>
    </row>
    <row r="20" spans="1:13" ht="15.75" thickBot="1" x14ac:dyDescent="0.3">
      <c r="A20" s="2">
        <v>680</v>
      </c>
      <c r="B20" s="2">
        <v>100</v>
      </c>
      <c r="C20" s="2">
        <f t="shared" si="1"/>
        <v>20</v>
      </c>
      <c r="E20" s="2">
        <v>290</v>
      </c>
      <c r="F20" s="2">
        <v>50</v>
      </c>
      <c r="G20" s="2">
        <f t="shared" si="2"/>
        <v>10</v>
      </c>
      <c r="I20" s="2">
        <f t="shared" si="0"/>
        <v>0.4264705882352941</v>
      </c>
      <c r="J20" s="2">
        <v>1000</v>
      </c>
      <c r="K20" s="2">
        <v>250</v>
      </c>
      <c r="L20" s="2">
        <f t="shared" si="3"/>
        <v>50</v>
      </c>
      <c r="M20" s="2">
        <f t="shared" si="4"/>
        <v>50</v>
      </c>
    </row>
    <row r="21" spans="1:13" ht="15.75" thickBot="1" x14ac:dyDescent="0.3">
      <c r="A21" s="2">
        <v>688</v>
      </c>
      <c r="B21" s="2">
        <v>100</v>
      </c>
      <c r="C21" s="2">
        <f t="shared" si="1"/>
        <v>20</v>
      </c>
      <c r="E21" s="2">
        <v>152</v>
      </c>
      <c r="F21" s="2">
        <v>100</v>
      </c>
      <c r="G21" s="2">
        <f t="shared" si="2"/>
        <v>20</v>
      </c>
      <c r="I21" s="2">
        <f t="shared" si="0"/>
        <v>0.22093023255813954</v>
      </c>
      <c r="J21" s="2">
        <v>2000</v>
      </c>
      <c r="K21" s="2">
        <v>250</v>
      </c>
      <c r="L21" s="2">
        <f t="shared" si="3"/>
        <v>50</v>
      </c>
      <c r="M21" s="2">
        <f t="shared" si="4"/>
        <v>200</v>
      </c>
    </row>
    <row r="22" spans="1:13" ht="15.75" thickBot="1" x14ac:dyDescent="0.3">
      <c r="A22" s="2">
        <v>696</v>
      </c>
      <c r="B22" s="2">
        <v>100</v>
      </c>
      <c r="C22" s="2">
        <f t="shared" si="1"/>
        <v>20</v>
      </c>
      <c r="E22" s="2">
        <v>832</v>
      </c>
      <c r="F22" s="2">
        <v>200</v>
      </c>
      <c r="G22" s="2">
        <f t="shared" si="2"/>
        <v>40</v>
      </c>
      <c r="I22" s="2">
        <f t="shared" si="0"/>
        <v>1.1954022988505748</v>
      </c>
      <c r="J22" s="2">
        <v>350</v>
      </c>
      <c r="K22" s="2">
        <v>500</v>
      </c>
      <c r="L22" s="2">
        <f t="shared" si="3"/>
        <v>100</v>
      </c>
      <c r="M22" s="2">
        <f t="shared" si="4"/>
        <v>12.25</v>
      </c>
    </row>
    <row r="23" spans="1:13" ht="15.75" thickBot="1" x14ac:dyDescent="0.3">
      <c r="A23" s="2">
        <v>688</v>
      </c>
      <c r="B23" s="2">
        <v>100</v>
      </c>
      <c r="C23" s="2">
        <f t="shared" si="1"/>
        <v>20</v>
      </c>
      <c r="E23" s="2">
        <v>1060</v>
      </c>
      <c r="F23" s="2">
        <v>200</v>
      </c>
      <c r="G23" s="2">
        <f t="shared" si="2"/>
        <v>40</v>
      </c>
      <c r="I23" s="2">
        <f t="shared" si="0"/>
        <v>1.5406976744186047</v>
      </c>
      <c r="J23" s="2">
        <v>250</v>
      </c>
      <c r="K23" s="2">
        <v>1000</v>
      </c>
      <c r="L23" s="2">
        <f t="shared" si="3"/>
        <v>200</v>
      </c>
      <c r="M23" s="2">
        <f t="shared" si="4"/>
        <v>12.5</v>
      </c>
    </row>
  </sheetData>
  <mergeCells count="1">
    <mergeCell ref="I2:J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9409-BFC6-4100-8C0B-559A31A7DE9F}">
  <dimension ref="A1:G12"/>
  <sheetViews>
    <sheetView tabSelected="1" workbookViewId="0">
      <selection activeCell="F12" sqref="F12"/>
    </sheetView>
  </sheetViews>
  <sheetFormatPr defaultRowHeight="15" x14ac:dyDescent="0.25"/>
  <sheetData>
    <row r="1" spans="1:7" x14ac:dyDescent="0.25">
      <c r="A1" t="s">
        <v>58</v>
      </c>
      <c r="G1" t="s">
        <v>65</v>
      </c>
    </row>
    <row r="2" spans="1:7" x14ac:dyDescent="0.25">
      <c r="A2" t="s">
        <v>59</v>
      </c>
      <c r="B2">
        <v>91.4</v>
      </c>
      <c r="C2" t="s">
        <v>18</v>
      </c>
      <c r="D2" t="s">
        <v>60</v>
      </c>
    </row>
    <row r="3" spans="1:7" x14ac:dyDescent="0.25">
      <c r="A3" t="s">
        <v>61</v>
      </c>
      <c r="B3">
        <v>101.7</v>
      </c>
      <c r="C3" t="s">
        <v>18</v>
      </c>
      <c r="D3" t="s">
        <v>60</v>
      </c>
    </row>
    <row r="4" spans="1:7" x14ac:dyDescent="0.25">
      <c r="A4" t="s">
        <v>62</v>
      </c>
      <c r="B4">
        <v>93.9</v>
      </c>
      <c r="C4" t="s">
        <v>18</v>
      </c>
      <c r="D4" t="s">
        <v>60</v>
      </c>
    </row>
    <row r="5" spans="1:7" x14ac:dyDescent="0.25">
      <c r="A5" t="s">
        <v>64</v>
      </c>
      <c r="B5">
        <v>0.44</v>
      </c>
      <c r="C5" t="s">
        <v>18</v>
      </c>
      <c r="D5" t="s">
        <v>66</v>
      </c>
    </row>
    <row r="6" spans="1:7" x14ac:dyDescent="0.25">
      <c r="A6" t="s">
        <v>37</v>
      </c>
      <c r="B6">
        <v>9.92</v>
      </c>
      <c r="C6" t="s">
        <v>63</v>
      </c>
    </row>
    <row r="7" spans="1:7" x14ac:dyDescent="0.25">
      <c r="A7" t="s">
        <v>38</v>
      </c>
      <c r="B7">
        <v>0.51100000000000001</v>
      </c>
      <c r="C7" t="s">
        <v>63</v>
      </c>
    </row>
    <row r="8" spans="1:7" x14ac:dyDescent="0.25">
      <c r="A8" t="s">
        <v>39</v>
      </c>
      <c r="B8">
        <v>0.50900000000000001</v>
      </c>
      <c r="C8" t="s">
        <v>63</v>
      </c>
    </row>
    <row r="11" spans="1:7" x14ac:dyDescent="0.25">
      <c r="A11" t="s">
        <v>67</v>
      </c>
      <c r="C11" t="s">
        <v>68</v>
      </c>
      <c r="D11" t="s">
        <v>69</v>
      </c>
    </row>
    <row r="12" spans="1:7" x14ac:dyDescent="0.25">
      <c r="A12" t="s">
        <v>67</v>
      </c>
      <c r="C12" t="s">
        <v>70</v>
      </c>
      <c r="D12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37B6-AE7D-4B8C-99CB-0F6AAEFA1C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ECE5-048D-44FB-B1ED-7C6073261122}">
  <dimension ref="A2:N46"/>
  <sheetViews>
    <sheetView zoomScale="96" zoomScaleNormal="96" workbookViewId="0">
      <selection activeCell="M42" sqref="M42"/>
    </sheetView>
  </sheetViews>
  <sheetFormatPr defaultRowHeight="15" x14ac:dyDescent="0.25"/>
  <cols>
    <col min="2" max="2" width="10.7109375" customWidth="1"/>
    <col min="3" max="3" width="10.42578125" customWidth="1"/>
    <col min="6" max="6" width="12" customWidth="1"/>
    <col min="7" max="7" width="12.140625" customWidth="1"/>
    <col min="11" max="11" width="10.42578125" bestFit="1" customWidth="1"/>
  </cols>
  <sheetData>
    <row r="2" spans="1:14" ht="15.75" thickBot="1" x14ac:dyDescent="0.3">
      <c r="A2" s="1"/>
      <c r="B2" s="1"/>
      <c r="C2" s="1"/>
    </row>
    <row r="3" spans="1:14" ht="15.75" thickBot="1" x14ac:dyDescent="0.3">
      <c r="A3" s="4" t="s">
        <v>0</v>
      </c>
      <c r="B3" s="4">
        <v>0.98899999999999999</v>
      </c>
      <c r="C3" s="4" t="s">
        <v>1</v>
      </c>
    </row>
    <row r="4" spans="1:14" ht="15.75" thickBot="1" x14ac:dyDescent="0.3">
      <c r="A4" s="2" t="s">
        <v>2</v>
      </c>
      <c r="B4" s="2">
        <v>0.98499999999999999</v>
      </c>
      <c r="C4" s="2" t="s">
        <v>1</v>
      </c>
    </row>
    <row r="8" spans="1:14" ht="15.75" thickBot="1" x14ac:dyDescent="0.3">
      <c r="N8" s="1"/>
    </row>
    <row r="9" spans="1:14" ht="15.75" thickBot="1" x14ac:dyDescent="0.3">
      <c r="A9" s="3" t="s">
        <v>6</v>
      </c>
      <c r="B9" s="3" t="s">
        <v>7</v>
      </c>
      <c r="C9" s="3" t="s">
        <v>8</v>
      </c>
      <c r="E9" s="3" t="s">
        <v>9</v>
      </c>
      <c r="F9" s="3" t="s">
        <v>10</v>
      </c>
      <c r="G9" s="3" t="s">
        <v>11</v>
      </c>
      <c r="I9" s="3" t="s">
        <v>4</v>
      </c>
      <c r="J9" s="3" t="s">
        <v>5</v>
      </c>
      <c r="K9" s="3" t="s">
        <v>12</v>
      </c>
      <c r="L9" s="3" t="s">
        <v>14</v>
      </c>
      <c r="M9" s="15" t="s">
        <v>13</v>
      </c>
      <c r="N9" s="3" t="s">
        <v>34</v>
      </c>
    </row>
    <row r="10" spans="1:14" ht="15.75" thickBot="1" x14ac:dyDescent="0.3">
      <c r="A10" s="2">
        <v>624</v>
      </c>
      <c r="B10" s="2">
        <v>200</v>
      </c>
      <c r="C10" s="2">
        <v>40</v>
      </c>
      <c r="E10" s="2">
        <v>640</v>
      </c>
      <c r="F10" s="2">
        <v>200</v>
      </c>
      <c r="G10" s="2">
        <v>40</v>
      </c>
      <c r="I10" s="2">
        <v>1.0256410256410255</v>
      </c>
      <c r="J10" s="2">
        <v>1E-3</v>
      </c>
      <c r="K10" s="2">
        <v>100000000</v>
      </c>
      <c r="L10" s="2">
        <f>K10/5</f>
        <v>20000000</v>
      </c>
      <c r="M10" s="2">
        <f>J10^2*L10*10^-6</f>
        <v>1.9999999999999998E-5</v>
      </c>
      <c r="N10" s="19">
        <f>1/A10*G10+E10/A10^2*C10</f>
        <v>0.12984878369493752</v>
      </c>
    </row>
    <row r="11" spans="1:14" ht="15.75" thickBot="1" x14ac:dyDescent="0.3">
      <c r="A11" s="2">
        <v>640</v>
      </c>
      <c r="B11" s="2">
        <v>200</v>
      </c>
      <c r="C11" s="2">
        <v>40</v>
      </c>
      <c r="E11" s="2">
        <v>640</v>
      </c>
      <c r="F11" s="2">
        <v>200</v>
      </c>
      <c r="G11" s="2">
        <v>40</v>
      </c>
      <c r="I11" s="2">
        <v>1</v>
      </c>
      <c r="J11" s="2">
        <v>0.05</v>
      </c>
      <c r="K11" s="2">
        <v>2500000</v>
      </c>
      <c r="L11" s="2">
        <f t="shared" ref="L11:L25" si="0">K11/5</f>
        <v>500000</v>
      </c>
      <c r="M11" s="2">
        <f t="shared" ref="M11:M26" si="1">J11^2*L11*10^-6</f>
        <v>1.2500000000000002E-3</v>
      </c>
      <c r="N11" s="18">
        <f t="shared" ref="N11:N25" si="2">1/A11*G11+E11/A11^2*C11</f>
        <v>0.125</v>
      </c>
    </row>
    <row r="12" spans="1:14" ht="15.75" thickBot="1" x14ac:dyDescent="0.3">
      <c r="A12" s="2">
        <v>640</v>
      </c>
      <c r="B12" s="2">
        <v>200</v>
      </c>
      <c r="C12" s="2">
        <v>40</v>
      </c>
      <c r="E12" s="2">
        <v>632</v>
      </c>
      <c r="F12" s="2">
        <v>200</v>
      </c>
      <c r="G12" s="2">
        <v>40</v>
      </c>
      <c r="I12" s="2">
        <v>0.98750000000000004</v>
      </c>
      <c r="J12" s="2">
        <v>1</v>
      </c>
      <c r="K12" s="2">
        <v>100000</v>
      </c>
      <c r="L12" s="2">
        <f t="shared" si="0"/>
        <v>20000</v>
      </c>
      <c r="M12" s="2">
        <f t="shared" si="1"/>
        <v>0.02</v>
      </c>
      <c r="N12" s="18">
        <f t="shared" si="2"/>
        <v>0.12421875</v>
      </c>
    </row>
    <row r="13" spans="1:14" ht="15.75" thickBot="1" x14ac:dyDescent="0.3">
      <c r="A13" s="2">
        <v>656</v>
      </c>
      <c r="B13" s="2">
        <v>200</v>
      </c>
      <c r="C13" s="2">
        <v>40</v>
      </c>
      <c r="E13" s="2">
        <v>624</v>
      </c>
      <c r="F13" s="2">
        <v>200</v>
      </c>
      <c r="G13" s="2">
        <v>40</v>
      </c>
      <c r="I13" s="2">
        <v>0.95121951219512191</v>
      </c>
      <c r="J13" s="2">
        <v>50</v>
      </c>
      <c r="K13" s="2">
        <v>2500</v>
      </c>
      <c r="L13" s="2">
        <f t="shared" si="0"/>
        <v>500</v>
      </c>
      <c r="M13" s="2">
        <f t="shared" si="1"/>
        <v>1.25</v>
      </c>
      <c r="N13" s="18">
        <f t="shared" si="2"/>
        <v>0.11897679952409279</v>
      </c>
    </row>
    <row r="14" spans="1:14" ht="15.75" thickBot="1" x14ac:dyDescent="0.3">
      <c r="A14" s="2">
        <v>624</v>
      </c>
      <c r="B14" s="2">
        <v>200</v>
      </c>
      <c r="C14" s="2">
        <v>40</v>
      </c>
      <c r="E14" s="2">
        <v>600</v>
      </c>
      <c r="F14" s="2">
        <v>200</v>
      </c>
      <c r="G14" s="2">
        <v>40</v>
      </c>
      <c r="I14" s="2">
        <v>0.96153846153846156</v>
      </c>
      <c r="J14" s="2">
        <v>50</v>
      </c>
      <c r="K14" s="2">
        <v>2500</v>
      </c>
      <c r="L14" s="2">
        <f t="shared" si="0"/>
        <v>500</v>
      </c>
      <c r="M14" s="2">
        <f t="shared" si="1"/>
        <v>1.25</v>
      </c>
      <c r="N14" s="18">
        <f t="shared" si="2"/>
        <v>0.1257396449704142</v>
      </c>
    </row>
    <row r="15" spans="1:14" ht="15.75" thickBot="1" x14ac:dyDescent="0.3">
      <c r="A15" s="2">
        <v>624</v>
      </c>
      <c r="B15" s="2">
        <v>200</v>
      </c>
      <c r="C15" s="2">
        <v>40</v>
      </c>
      <c r="E15" s="2">
        <v>592</v>
      </c>
      <c r="F15" s="2">
        <v>200</v>
      </c>
      <c r="G15" s="2">
        <v>40</v>
      </c>
      <c r="I15" s="2">
        <v>0.94871794871794868</v>
      </c>
      <c r="J15" s="2">
        <v>100</v>
      </c>
      <c r="K15" s="2">
        <v>1000</v>
      </c>
      <c r="L15" s="2">
        <f t="shared" si="0"/>
        <v>200</v>
      </c>
      <c r="M15" s="2">
        <f t="shared" si="1"/>
        <v>2</v>
      </c>
      <c r="N15" s="18">
        <f t="shared" si="2"/>
        <v>0.12491781722550953</v>
      </c>
    </row>
    <row r="16" spans="1:14" ht="15.75" thickBot="1" x14ac:dyDescent="0.3">
      <c r="A16" s="2">
        <v>632</v>
      </c>
      <c r="B16" s="2">
        <v>200</v>
      </c>
      <c r="C16" s="2">
        <v>40</v>
      </c>
      <c r="E16" s="2">
        <v>596</v>
      </c>
      <c r="F16" s="2">
        <v>200</v>
      </c>
      <c r="G16" s="2">
        <v>40</v>
      </c>
      <c r="I16" s="2">
        <v>0.94303797468354433</v>
      </c>
      <c r="J16" s="2">
        <v>150</v>
      </c>
      <c r="K16" s="2">
        <v>1000</v>
      </c>
      <c r="L16" s="2">
        <f t="shared" si="0"/>
        <v>200</v>
      </c>
      <c r="M16" s="2">
        <f t="shared" si="1"/>
        <v>4.5</v>
      </c>
      <c r="N16" s="18">
        <f t="shared" si="2"/>
        <v>0.12297708700528762</v>
      </c>
    </row>
    <row r="17" spans="1:14" ht="15.75" thickBot="1" x14ac:dyDescent="0.3">
      <c r="A17" s="2">
        <v>632</v>
      </c>
      <c r="B17" s="2">
        <v>200</v>
      </c>
      <c r="C17" s="2">
        <v>40</v>
      </c>
      <c r="E17" s="2">
        <v>544</v>
      </c>
      <c r="F17" s="2">
        <v>200</v>
      </c>
      <c r="G17" s="2">
        <v>40</v>
      </c>
      <c r="I17" s="2">
        <v>0.86075949367088611</v>
      </c>
      <c r="J17" s="2">
        <v>300</v>
      </c>
      <c r="K17" s="2">
        <v>500</v>
      </c>
      <c r="L17" s="2">
        <f t="shared" si="0"/>
        <v>100</v>
      </c>
      <c r="M17" s="2">
        <f t="shared" si="1"/>
        <v>9</v>
      </c>
      <c r="N17" s="18">
        <f t="shared" si="2"/>
        <v>0.11776958820701811</v>
      </c>
    </row>
    <row r="18" spans="1:14" ht="15.75" thickBot="1" x14ac:dyDescent="0.3">
      <c r="A18" s="2">
        <v>648</v>
      </c>
      <c r="B18" s="2">
        <v>200</v>
      </c>
      <c r="C18" s="2">
        <v>40</v>
      </c>
      <c r="E18" s="2">
        <v>432</v>
      </c>
      <c r="F18" s="2">
        <v>200</v>
      </c>
      <c r="G18" s="2">
        <v>40</v>
      </c>
      <c r="I18" s="2">
        <v>0.66666666666666663</v>
      </c>
      <c r="J18" s="2">
        <v>500</v>
      </c>
      <c r="K18" s="2">
        <v>250</v>
      </c>
      <c r="L18" s="2">
        <f t="shared" si="0"/>
        <v>50</v>
      </c>
      <c r="M18" s="2">
        <f t="shared" si="1"/>
        <v>12.5</v>
      </c>
      <c r="N18" s="18">
        <f t="shared" si="2"/>
        <v>0.102880658436214</v>
      </c>
    </row>
    <row r="19" spans="1:14" ht="15.75" thickBot="1" x14ac:dyDescent="0.3">
      <c r="A19" s="2">
        <v>648</v>
      </c>
      <c r="B19" s="2">
        <v>200</v>
      </c>
      <c r="C19" s="2">
        <v>40</v>
      </c>
      <c r="E19" s="2">
        <v>340</v>
      </c>
      <c r="F19" s="2">
        <v>100</v>
      </c>
      <c r="G19" s="2">
        <v>20</v>
      </c>
      <c r="I19" s="2">
        <v>0.52469135802469136</v>
      </c>
      <c r="J19" s="2">
        <v>600</v>
      </c>
      <c r="K19" s="2">
        <v>250</v>
      </c>
      <c r="L19" s="2">
        <f t="shared" si="0"/>
        <v>50</v>
      </c>
      <c r="M19" s="2">
        <f t="shared" si="1"/>
        <v>18</v>
      </c>
      <c r="N19" s="18">
        <f t="shared" si="2"/>
        <v>6.3252552964487119E-2</v>
      </c>
    </row>
    <row r="20" spans="1:14" ht="15.75" thickBot="1" x14ac:dyDescent="0.3">
      <c r="A20" s="2">
        <v>648</v>
      </c>
      <c r="B20" s="2">
        <v>200</v>
      </c>
      <c r="C20" s="2">
        <v>40</v>
      </c>
      <c r="E20" s="2">
        <v>280</v>
      </c>
      <c r="F20" s="2">
        <v>100</v>
      </c>
      <c r="G20" s="2">
        <v>20</v>
      </c>
      <c r="I20" s="2">
        <v>0.43209876543209874</v>
      </c>
      <c r="J20" s="2">
        <v>950</v>
      </c>
      <c r="K20" s="2">
        <v>250</v>
      </c>
      <c r="L20" s="2">
        <f t="shared" si="0"/>
        <v>50</v>
      </c>
      <c r="M20" s="2">
        <f t="shared" si="1"/>
        <v>45.125</v>
      </c>
      <c r="N20" s="18">
        <f t="shared" si="2"/>
        <v>5.7536960829141899E-2</v>
      </c>
    </row>
    <row r="21" spans="1:14" ht="15.75" thickBot="1" x14ac:dyDescent="0.3">
      <c r="A21" s="2">
        <v>648</v>
      </c>
      <c r="B21" s="2">
        <v>200</v>
      </c>
      <c r="C21" s="2">
        <v>40</v>
      </c>
      <c r="E21" s="2">
        <v>251</v>
      </c>
      <c r="F21" s="2">
        <v>100</v>
      </c>
      <c r="G21" s="2">
        <v>20</v>
      </c>
      <c r="I21" s="2">
        <v>0.38734567901234568</v>
      </c>
      <c r="J21" s="2">
        <v>1000</v>
      </c>
      <c r="K21" s="2">
        <v>250</v>
      </c>
      <c r="L21" s="2">
        <f t="shared" si="0"/>
        <v>50</v>
      </c>
      <c r="M21" s="2">
        <f t="shared" si="1"/>
        <v>50</v>
      </c>
      <c r="N21" s="18">
        <f t="shared" si="2"/>
        <v>5.4774424630391706E-2</v>
      </c>
    </row>
    <row r="22" spans="1:14" ht="15.75" thickBot="1" x14ac:dyDescent="0.3">
      <c r="A22" s="2">
        <v>648</v>
      </c>
      <c r="B22" s="2">
        <v>200</v>
      </c>
      <c r="C22" s="2">
        <v>40</v>
      </c>
      <c r="E22" s="2">
        <v>196</v>
      </c>
      <c r="F22" s="2">
        <v>50</v>
      </c>
      <c r="G22" s="2">
        <v>10</v>
      </c>
      <c r="I22" s="2">
        <v>0.30246913580246915</v>
      </c>
      <c r="J22" s="2">
        <v>1300</v>
      </c>
      <c r="K22" s="2">
        <v>100</v>
      </c>
      <c r="L22" s="2">
        <f t="shared" si="0"/>
        <v>20</v>
      </c>
      <c r="M22" s="2">
        <f t="shared" si="1"/>
        <v>33.799999999999997</v>
      </c>
      <c r="N22" s="18">
        <f t="shared" si="2"/>
        <v>3.4103033074226491E-2</v>
      </c>
    </row>
    <row r="23" spans="1:14" ht="15.75" thickBot="1" x14ac:dyDescent="0.3">
      <c r="A23" s="2">
        <v>648</v>
      </c>
      <c r="B23" s="2">
        <v>200</v>
      </c>
      <c r="C23" s="2">
        <v>40</v>
      </c>
      <c r="E23" s="2">
        <v>172</v>
      </c>
      <c r="F23" s="2">
        <v>50</v>
      </c>
      <c r="G23" s="2">
        <v>10</v>
      </c>
      <c r="I23" s="2">
        <v>0.26543209876543211</v>
      </c>
      <c r="J23" s="2">
        <v>1500</v>
      </c>
      <c r="K23" s="2">
        <v>100</v>
      </c>
      <c r="L23" s="2">
        <f t="shared" si="0"/>
        <v>20</v>
      </c>
      <c r="M23" s="2">
        <f t="shared" si="1"/>
        <v>45</v>
      </c>
      <c r="N23" s="18">
        <f t="shared" si="2"/>
        <v>3.18167962200884E-2</v>
      </c>
    </row>
    <row r="24" spans="1:14" ht="15.75" thickBot="1" x14ac:dyDescent="0.3">
      <c r="A24" s="2">
        <v>648</v>
      </c>
      <c r="B24" s="2">
        <v>200</v>
      </c>
      <c r="C24" s="2">
        <v>40</v>
      </c>
      <c r="E24" s="2">
        <v>142</v>
      </c>
      <c r="F24" s="2">
        <v>50</v>
      </c>
      <c r="G24" s="2">
        <v>10</v>
      </c>
      <c r="I24" s="2">
        <v>0.2191358024691358</v>
      </c>
      <c r="J24" s="2">
        <v>2000</v>
      </c>
      <c r="K24" s="2">
        <v>100</v>
      </c>
      <c r="L24" s="2">
        <f t="shared" si="0"/>
        <v>20</v>
      </c>
      <c r="M24" s="2">
        <f t="shared" si="1"/>
        <v>80</v>
      </c>
      <c r="N24" s="18">
        <f t="shared" si="2"/>
        <v>2.8959000152415787E-2</v>
      </c>
    </row>
    <row r="25" spans="1:14" ht="15.75" thickBot="1" x14ac:dyDescent="0.3">
      <c r="A25" s="2">
        <v>648</v>
      </c>
      <c r="B25" s="2">
        <v>200</v>
      </c>
      <c r="C25" s="2">
        <v>40</v>
      </c>
      <c r="E25" s="2">
        <v>94</v>
      </c>
      <c r="F25" s="2">
        <v>50</v>
      </c>
      <c r="G25" s="2">
        <v>10</v>
      </c>
      <c r="I25" s="2">
        <v>0.14506172839506173</v>
      </c>
      <c r="J25" s="2">
        <v>4000</v>
      </c>
      <c r="K25" s="2">
        <v>50</v>
      </c>
      <c r="L25" s="2">
        <f t="shared" si="0"/>
        <v>10</v>
      </c>
      <c r="M25" s="2">
        <f t="shared" si="1"/>
        <v>160</v>
      </c>
      <c r="N25" s="18">
        <f t="shared" si="2"/>
        <v>2.4386526444139613E-2</v>
      </c>
    </row>
    <row r="26" spans="1:14" ht="15.75" thickBot="1" x14ac:dyDescent="0.3">
      <c r="A26" s="2">
        <v>642</v>
      </c>
      <c r="B26" s="2">
        <v>100</v>
      </c>
      <c r="C26" s="2">
        <v>20</v>
      </c>
      <c r="E26" s="2">
        <v>488</v>
      </c>
      <c r="F26" s="2">
        <v>100</v>
      </c>
      <c r="G26" s="2">
        <v>20</v>
      </c>
      <c r="I26" s="2">
        <v>0.76012461059190028</v>
      </c>
      <c r="J26" s="2">
        <v>400</v>
      </c>
      <c r="K26" s="2">
        <v>500</v>
      </c>
      <c r="L26" s="2">
        <f>K26/5</f>
        <v>100</v>
      </c>
      <c r="M26" s="2">
        <f t="shared" si="1"/>
        <v>16</v>
      </c>
      <c r="N26" s="18">
        <f>1/A26*G26+E26/A26^2*C26</f>
        <v>5.483254238604051E-2</v>
      </c>
    </row>
    <row r="29" spans="1:14" x14ac:dyDescent="0.25">
      <c r="C29" t="s">
        <v>36</v>
      </c>
      <c r="D29" t="s">
        <v>35</v>
      </c>
      <c r="E29">
        <f>COUNT(E10:E26)</f>
        <v>17</v>
      </c>
    </row>
    <row r="30" spans="1:14" x14ac:dyDescent="0.25">
      <c r="H30" s="10"/>
      <c r="I30" s="10"/>
      <c r="J30" s="10"/>
      <c r="K30" s="10"/>
    </row>
    <row r="31" spans="1:14" x14ac:dyDescent="0.25">
      <c r="H31" s="10"/>
      <c r="I31" s="10"/>
      <c r="J31" s="10"/>
      <c r="K31" s="10"/>
    </row>
    <row r="32" spans="1:14" x14ac:dyDescent="0.25">
      <c r="H32" s="10"/>
      <c r="I32" s="10"/>
      <c r="J32" s="10"/>
      <c r="K32" s="10"/>
    </row>
    <row r="33" spans="8:13" x14ac:dyDescent="0.25">
      <c r="H33" s="10"/>
      <c r="I33" s="10"/>
      <c r="J33" s="10"/>
      <c r="K33" s="10"/>
    </row>
    <row r="34" spans="8:13" x14ac:dyDescent="0.25">
      <c r="H34" s="10"/>
      <c r="I34" s="10"/>
      <c r="J34" s="10"/>
      <c r="K34" s="10"/>
    </row>
    <row r="35" spans="8:13" x14ac:dyDescent="0.25">
      <c r="H35" s="10"/>
      <c r="I35" s="10"/>
      <c r="J35" s="10"/>
      <c r="K35" s="10"/>
    </row>
    <row r="36" spans="8:13" x14ac:dyDescent="0.25">
      <c r="H36" s="10"/>
      <c r="I36" s="10"/>
      <c r="J36" s="10"/>
      <c r="K36" s="10"/>
    </row>
    <row r="37" spans="8:13" x14ac:dyDescent="0.25">
      <c r="H37" s="10"/>
      <c r="I37" s="10"/>
      <c r="J37" s="10"/>
      <c r="K37" s="10"/>
    </row>
    <row r="38" spans="8:13" x14ac:dyDescent="0.25">
      <c r="H38" s="10"/>
      <c r="I38" s="10"/>
      <c r="J38" s="10"/>
      <c r="K38" s="10"/>
    </row>
    <row r="39" spans="8:13" x14ac:dyDescent="0.25">
      <c r="H39" s="10"/>
      <c r="I39" s="10"/>
      <c r="J39" s="10"/>
      <c r="K39" s="10"/>
    </row>
    <row r="40" spans="8:13" x14ac:dyDescent="0.25">
      <c r="H40" s="10"/>
      <c r="I40" s="10"/>
      <c r="J40" s="10"/>
      <c r="K40" s="10"/>
    </row>
    <row r="41" spans="8:13" x14ac:dyDescent="0.25">
      <c r="H41" s="10"/>
      <c r="I41" s="10"/>
      <c r="J41" s="10"/>
      <c r="K41" s="10"/>
    </row>
    <row r="42" spans="8:13" x14ac:dyDescent="0.25">
      <c r="H42" s="10"/>
      <c r="I42" s="10"/>
      <c r="J42" s="10"/>
      <c r="K42" s="10"/>
      <c r="M42" s="20"/>
    </row>
    <row r="43" spans="8:13" x14ac:dyDescent="0.25">
      <c r="H43" s="10"/>
      <c r="I43" s="10"/>
      <c r="J43" s="10"/>
      <c r="K43" s="10"/>
    </row>
    <row r="44" spans="8:13" x14ac:dyDescent="0.25">
      <c r="H44" s="10"/>
      <c r="I44" s="10"/>
      <c r="J44" s="10"/>
      <c r="K44" s="10"/>
    </row>
    <row r="45" spans="8:13" x14ac:dyDescent="0.25">
      <c r="H45" s="10"/>
      <c r="I45" s="10"/>
      <c r="J45" s="10"/>
      <c r="K45" s="10"/>
    </row>
    <row r="46" spans="8:13" x14ac:dyDescent="0.25">
      <c r="H46" s="10"/>
      <c r="I46" s="10"/>
      <c r="J46" s="10"/>
      <c r="K46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8092-FBF0-4B0A-9B08-F3B77FB1574B}">
  <dimension ref="A3:O52"/>
  <sheetViews>
    <sheetView workbookViewId="0">
      <selection activeCell="J32" sqref="J32"/>
    </sheetView>
  </sheetViews>
  <sheetFormatPr defaultRowHeight="15" x14ac:dyDescent="0.25"/>
  <cols>
    <col min="6" max="6" width="11.5703125" customWidth="1"/>
    <col min="7" max="7" width="10.5703125" customWidth="1"/>
    <col min="9" max="9" width="9.7109375" bestFit="1" customWidth="1"/>
    <col min="12" max="12" width="10" bestFit="1" customWidth="1"/>
  </cols>
  <sheetData>
    <row r="3" spans="1:14" x14ac:dyDescent="0.25">
      <c r="A3" t="s">
        <v>15</v>
      </c>
      <c r="B3">
        <v>9.91</v>
      </c>
      <c r="C3" t="s">
        <v>1</v>
      </c>
    </row>
    <row r="4" spans="1:14" x14ac:dyDescent="0.25">
      <c r="A4" t="s">
        <v>16</v>
      </c>
      <c r="B4">
        <v>0.99</v>
      </c>
      <c r="C4" t="s">
        <v>1</v>
      </c>
    </row>
    <row r="7" spans="1:14" ht="15.75" thickBot="1" x14ac:dyDescent="0.3"/>
    <row r="8" spans="1:14" ht="15.75" thickBot="1" x14ac:dyDescent="0.3">
      <c r="A8" s="3" t="s">
        <v>6</v>
      </c>
      <c r="B8" s="3" t="s">
        <v>7</v>
      </c>
      <c r="C8" s="3" t="s">
        <v>8</v>
      </c>
      <c r="E8" s="3" t="s">
        <v>30</v>
      </c>
      <c r="F8" s="3" t="s">
        <v>31</v>
      </c>
      <c r="G8" s="3" t="s">
        <v>32</v>
      </c>
      <c r="I8" s="3" t="s">
        <v>4</v>
      </c>
      <c r="J8" s="3" t="s">
        <v>5</v>
      </c>
      <c r="K8" s="3" t="s">
        <v>12</v>
      </c>
      <c r="L8" s="3" t="s">
        <v>14</v>
      </c>
      <c r="M8" s="15" t="s">
        <v>13</v>
      </c>
      <c r="N8" s="3" t="s">
        <v>34</v>
      </c>
    </row>
    <row r="9" spans="1:14" ht="15.75" thickBot="1" x14ac:dyDescent="0.3">
      <c r="A9" s="2">
        <v>200</v>
      </c>
      <c r="B9" s="2">
        <v>50</v>
      </c>
      <c r="C9" s="2">
        <f>B9/5</f>
        <v>10</v>
      </c>
      <c r="E9" s="2">
        <v>1.88</v>
      </c>
      <c r="F9" s="2">
        <v>0.5</v>
      </c>
      <c r="G9" s="2">
        <f>F9/5</f>
        <v>0.1</v>
      </c>
      <c r="I9" s="14">
        <f>E9/A9*1000</f>
        <v>9.3999999999999986</v>
      </c>
      <c r="J9" s="2">
        <v>1E-3</v>
      </c>
      <c r="K9" s="2">
        <v>100000000</v>
      </c>
      <c r="L9" s="2">
        <f>K9/5</f>
        <v>20000000</v>
      </c>
      <c r="M9" s="16">
        <f>J9^2*L9*10^-6</f>
        <v>1.9999999999999998E-5</v>
      </c>
      <c r="N9" s="18">
        <f>1/A9*G9*1000+E9*1000/A9^2*C9</f>
        <v>0.97</v>
      </c>
    </row>
    <row r="10" spans="1:14" ht="15.75" thickBot="1" x14ac:dyDescent="0.3">
      <c r="A10" s="2">
        <v>200</v>
      </c>
      <c r="B10" s="2">
        <v>50</v>
      </c>
      <c r="C10" s="2">
        <f t="shared" ref="C10:C27" si="0">B10/5</f>
        <v>10</v>
      </c>
      <c r="E10" s="2">
        <v>1.96</v>
      </c>
      <c r="F10" s="2">
        <v>0.5</v>
      </c>
      <c r="G10" s="2">
        <f t="shared" ref="G10:G27" si="1">F10/5</f>
        <v>0.1</v>
      </c>
      <c r="I10" s="14">
        <f t="shared" ref="I10:I27" si="2">E10/A10*1000</f>
        <v>9.7999999999999989</v>
      </c>
      <c r="J10" s="2">
        <v>5.0000000000000001E-3</v>
      </c>
      <c r="K10" s="2">
        <v>25000000</v>
      </c>
      <c r="L10" s="2">
        <f t="shared" ref="L10:L24" si="3">K10/5</f>
        <v>5000000</v>
      </c>
      <c r="M10" s="16">
        <f t="shared" ref="M10:M27" si="4">J10^2*L10*10^-6</f>
        <v>1.25E-4</v>
      </c>
      <c r="N10" s="18">
        <f t="shared" ref="N10:N27" si="5">1/A10*G10*1000+E10*1000/A10^2*C10</f>
        <v>0.99</v>
      </c>
    </row>
    <row r="11" spans="1:14" ht="15.75" thickBot="1" x14ac:dyDescent="0.3">
      <c r="A11" s="2">
        <v>200</v>
      </c>
      <c r="B11" s="2">
        <v>50</v>
      </c>
      <c r="C11" s="2">
        <f t="shared" si="0"/>
        <v>10</v>
      </c>
      <c r="E11" s="2">
        <v>1.96</v>
      </c>
      <c r="F11" s="2">
        <v>0.5</v>
      </c>
      <c r="G11" s="2">
        <f t="shared" si="1"/>
        <v>0.1</v>
      </c>
      <c r="I11" s="14">
        <f t="shared" si="2"/>
        <v>9.7999999999999989</v>
      </c>
      <c r="J11" s="2">
        <v>0.01</v>
      </c>
      <c r="K11" s="2">
        <v>10000000</v>
      </c>
      <c r="L11" s="2">
        <f t="shared" si="3"/>
        <v>2000000</v>
      </c>
      <c r="M11" s="16">
        <f t="shared" si="4"/>
        <v>1.9999999999999998E-4</v>
      </c>
      <c r="N11" s="18">
        <f t="shared" si="5"/>
        <v>0.99</v>
      </c>
    </row>
    <row r="12" spans="1:14" ht="15.75" thickBot="1" x14ac:dyDescent="0.3">
      <c r="A12" s="2">
        <v>200</v>
      </c>
      <c r="B12" s="2">
        <v>50</v>
      </c>
      <c r="C12" s="2">
        <f t="shared" si="0"/>
        <v>10</v>
      </c>
      <c r="E12" s="2">
        <v>1.96</v>
      </c>
      <c r="F12" s="2">
        <v>0.5</v>
      </c>
      <c r="G12" s="2">
        <f t="shared" si="1"/>
        <v>0.1</v>
      </c>
      <c r="I12" s="14">
        <f t="shared" si="2"/>
        <v>9.7999999999999989</v>
      </c>
      <c r="J12" s="2">
        <v>0.05</v>
      </c>
      <c r="K12" s="2">
        <v>2500000</v>
      </c>
      <c r="L12" s="2">
        <f t="shared" si="3"/>
        <v>500000</v>
      </c>
      <c r="M12" s="16">
        <f t="shared" si="4"/>
        <v>1.2500000000000002E-3</v>
      </c>
      <c r="N12" s="18">
        <f t="shared" si="5"/>
        <v>0.99</v>
      </c>
    </row>
    <row r="13" spans="1:14" ht="15.75" thickBot="1" x14ac:dyDescent="0.3">
      <c r="A13" s="2">
        <v>200</v>
      </c>
      <c r="B13" s="2">
        <v>50</v>
      </c>
      <c r="C13" s="2">
        <f t="shared" si="0"/>
        <v>10</v>
      </c>
      <c r="E13" s="9">
        <v>1.96</v>
      </c>
      <c r="F13" s="2">
        <v>0.5</v>
      </c>
      <c r="G13" s="2">
        <f t="shared" si="1"/>
        <v>0.1</v>
      </c>
      <c r="I13" s="14">
        <f t="shared" si="2"/>
        <v>9.7999999999999989</v>
      </c>
      <c r="J13" s="2">
        <v>0.1</v>
      </c>
      <c r="K13" s="2">
        <v>1000000</v>
      </c>
      <c r="L13" s="2">
        <f t="shared" si="3"/>
        <v>200000</v>
      </c>
      <c r="M13" s="16">
        <f t="shared" si="4"/>
        <v>2.0000000000000005E-3</v>
      </c>
      <c r="N13" s="18">
        <f t="shared" si="5"/>
        <v>0.99</v>
      </c>
    </row>
    <row r="14" spans="1:14" ht="15.75" thickBot="1" x14ac:dyDescent="0.3">
      <c r="A14" s="2">
        <v>200</v>
      </c>
      <c r="B14" s="2">
        <v>50</v>
      </c>
      <c r="C14" s="2">
        <f t="shared" si="0"/>
        <v>10</v>
      </c>
      <c r="E14" s="2">
        <v>1.96</v>
      </c>
      <c r="F14" s="2">
        <v>0.5</v>
      </c>
      <c r="G14" s="2">
        <f t="shared" si="1"/>
        <v>0.1</v>
      </c>
      <c r="I14" s="14">
        <f t="shared" si="2"/>
        <v>9.7999999999999989</v>
      </c>
      <c r="J14" s="2">
        <v>0.5</v>
      </c>
      <c r="K14" s="2">
        <v>250000</v>
      </c>
      <c r="L14" s="2">
        <f t="shared" si="3"/>
        <v>50000</v>
      </c>
      <c r="M14" s="16">
        <f t="shared" si="4"/>
        <v>1.2499999999999999E-2</v>
      </c>
      <c r="N14" s="18">
        <f t="shared" si="5"/>
        <v>0.99</v>
      </c>
    </row>
    <row r="15" spans="1:14" ht="15.75" thickBot="1" x14ac:dyDescent="0.3">
      <c r="A15" s="2">
        <v>200</v>
      </c>
      <c r="B15" s="2">
        <v>50</v>
      </c>
      <c r="C15" s="2">
        <f t="shared" si="0"/>
        <v>10</v>
      </c>
      <c r="E15" s="2">
        <v>1.96</v>
      </c>
      <c r="F15" s="2">
        <v>0.5</v>
      </c>
      <c r="G15" s="2">
        <f t="shared" si="1"/>
        <v>0.1</v>
      </c>
      <c r="I15" s="14">
        <f t="shared" si="2"/>
        <v>9.7999999999999989</v>
      </c>
      <c r="J15" s="2">
        <v>1</v>
      </c>
      <c r="K15" s="2">
        <v>100000</v>
      </c>
      <c r="L15" s="2">
        <f t="shared" si="3"/>
        <v>20000</v>
      </c>
      <c r="M15" s="16">
        <f t="shared" si="4"/>
        <v>0.02</v>
      </c>
      <c r="N15" s="18">
        <f t="shared" si="5"/>
        <v>0.99</v>
      </c>
    </row>
    <row r="16" spans="1:14" ht="15.75" thickBot="1" x14ac:dyDescent="0.3">
      <c r="A16" s="2">
        <v>208</v>
      </c>
      <c r="B16" s="2">
        <v>50</v>
      </c>
      <c r="C16" s="2">
        <f t="shared" si="0"/>
        <v>10</v>
      </c>
      <c r="E16" s="2">
        <v>1.96</v>
      </c>
      <c r="F16" s="2">
        <v>0.5</v>
      </c>
      <c r="G16" s="2">
        <f t="shared" si="1"/>
        <v>0.1</v>
      </c>
      <c r="I16" s="14">
        <f t="shared" si="2"/>
        <v>9.4230769230769234</v>
      </c>
      <c r="J16" s="2">
        <v>5</v>
      </c>
      <c r="K16" s="2">
        <v>25000</v>
      </c>
      <c r="L16" s="2">
        <f t="shared" si="3"/>
        <v>5000</v>
      </c>
      <c r="M16" s="16">
        <f t="shared" si="4"/>
        <v>0.125</v>
      </c>
      <c r="N16" s="18">
        <f t="shared" si="5"/>
        <v>0.93380177514792906</v>
      </c>
    </row>
    <row r="17" spans="1:15" ht="15.75" thickBot="1" x14ac:dyDescent="0.3">
      <c r="A17" s="2">
        <v>210</v>
      </c>
      <c r="B17" s="2">
        <v>50</v>
      </c>
      <c r="C17" s="2">
        <f t="shared" si="0"/>
        <v>10</v>
      </c>
      <c r="E17" s="2">
        <v>1.96</v>
      </c>
      <c r="F17" s="2">
        <v>0.5</v>
      </c>
      <c r="G17" s="2">
        <f t="shared" si="1"/>
        <v>0.1</v>
      </c>
      <c r="I17" s="14">
        <f t="shared" si="2"/>
        <v>9.3333333333333321</v>
      </c>
      <c r="J17" s="2">
        <v>10</v>
      </c>
      <c r="K17" s="2">
        <v>10000</v>
      </c>
      <c r="L17" s="2">
        <f t="shared" si="3"/>
        <v>2000</v>
      </c>
      <c r="M17" s="16">
        <f t="shared" si="4"/>
        <v>0.19999999999999998</v>
      </c>
      <c r="N17" s="18">
        <f t="shared" si="5"/>
        <v>0.92063492063492069</v>
      </c>
    </row>
    <row r="18" spans="1:15" ht="15.75" thickBot="1" x14ac:dyDescent="0.3">
      <c r="A18" s="2">
        <v>212</v>
      </c>
      <c r="B18" s="2">
        <v>50</v>
      </c>
      <c r="C18" s="2">
        <f t="shared" si="0"/>
        <v>10</v>
      </c>
      <c r="E18" s="2">
        <v>1.73</v>
      </c>
      <c r="F18" s="2">
        <v>0.5</v>
      </c>
      <c r="G18" s="2">
        <f t="shared" si="1"/>
        <v>0.1</v>
      </c>
      <c r="I18" s="14">
        <f t="shared" si="2"/>
        <v>8.1603773584905657</v>
      </c>
      <c r="J18" s="2">
        <v>50</v>
      </c>
      <c r="K18" s="2">
        <v>5000</v>
      </c>
      <c r="L18" s="2">
        <f t="shared" si="3"/>
        <v>1000</v>
      </c>
      <c r="M18" s="16">
        <f t="shared" si="4"/>
        <v>2.5</v>
      </c>
      <c r="N18" s="18">
        <f t="shared" si="5"/>
        <v>0.85662157351370594</v>
      </c>
    </row>
    <row r="19" spans="1:15" ht="15.75" thickBot="1" x14ac:dyDescent="0.3">
      <c r="A19" s="2">
        <v>214</v>
      </c>
      <c r="B19" s="2">
        <v>50</v>
      </c>
      <c r="C19" s="2">
        <f t="shared" si="0"/>
        <v>10</v>
      </c>
      <c r="E19" s="2">
        <v>1.52</v>
      </c>
      <c r="F19" s="2">
        <v>0.2</v>
      </c>
      <c r="G19" s="2">
        <f t="shared" si="1"/>
        <v>0.04</v>
      </c>
      <c r="I19" s="14">
        <f t="shared" si="2"/>
        <v>7.1028037383177569</v>
      </c>
      <c r="J19" s="2">
        <v>75</v>
      </c>
      <c r="K19" s="2">
        <v>5000</v>
      </c>
      <c r="L19" s="2">
        <f t="shared" si="3"/>
        <v>1000</v>
      </c>
      <c r="M19" s="16">
        <f t="shared" si="4"/>
        <v>5.625</v>
      </c>
      <c r="N19" s="18">
        <f t="shared" si="5"/>
        <v>0.51882260459428775</v>
      </c>
    </row>
    <row r="20" spans="1:15" ht="15.75" thickBot="1" x14ac:dyDescent="0.3">
      <c r="A20" s="2">
        <v>216</v>
      </c>
      <c r="B20" s="2">
        <v>50</v>
      </c>
      <c r="C20" s="2">
        <f t="shared" si="0"/>
        <v>10</v>
      </c>
      <c r="E20" s="2">
        <v>1.32</v>
      </c>
      <c r="F20" s="2">
        <v>0.2</v>
      </c>
      <c r="G20" s="2">
        <f t="shared" si="1"/>
        <v>0.04</v>
      </c>
      <c r="I20" s="14">
        <f t="shared" si="2"/>
        <v>6.1111111111111116</v>
      </c>
      <c r="J20" s="2">
        <v>100</v>
      </c>
      <c r="K20" s="2">
        <v>2500</v>
      </c>
      <c r="L20" s="2">
        <f t="shared" si="3"/>
        <v>500</v>
      </c>
      <c r="M20" s="16">
        <f t="shared" si="4"/>
        <v>5</v>
      </c>
      <c r="N20" s="18">
        <f t="shared" si="5"/>
        <v>0.46810699588477367</v>
      </c>
    </row>
    <row r="21" spans="1:15" ht="15.75" thickBot="1" x14ac:dyDescent="0.3">
      <c r="A21" s="2">
        <v>222</v>
      </c>
      <c r="B21" s="2">
        <v>50</v>
      </c>
      <c r="C21" s="2">
        <f t="shared" si="0"/>
        <v>10</v>
      </c>
      <c r="E21" s="2">
        <v>0.65600000000000003</v>
      </c>
      <c r="F21" s="2">
        <v>0.2</v>
      </c>
      <c r="G21" s="2">
        <f t="shared" si="1"/>
        <v>0.04</v>
      </c>
      <c r="I21" s="14">
        <f t="shared" si="2"/>
        <v>2.954954954954955</v>
      </c>
      <c r="J21" s="2">
        <v>250</v>
      </c>
      <c r="K21" s="2">
        <v>1000</v>
      </c>
      <c r="L21" s="2">
        <f t="shared" si="3"/>
        <v>200</v>
      </c>
      <c r="M21" s="16">
        <f t="shared" si="4"/>
        <v>12.5</v>
      </c>
      <c r="N21" s="18">
        <f t="shared" si="5"/>
        <v>0.31328625923220521</v>
      </c>
    </row>
    <row r="22" spans="1:15" ht="15.75" thickBot="1" x14ac:dyDescent="0.3">
      <c r="A22" s="2">
        <v>220</v>
      </c>
      <c r="B22" s="2">
        <v>50</v>
      </c>
      <c r="C22" s="2">
        <f t="shared" si="0"/>
        <v>10</v>
      </c>
      <c r="E22" s="2">
        <v>1</v>
      </c>
      <c r="F22" s="2">
        <v>0.2</v>
      </c>
      <c r="G22" s="2">
        <f t="shared" si="1"/>
        <v>0.04</v>
      </c>
      <c r="I22" s="14">
        <f t="shared" si="2"/>
        <v>4.545454545454545</v>
      </c>
      <c r="J22" s="2">
        <v>150</v>
      </c>
      <c r="K22" s="2">
        <v>1000</v>
      </c>
      <c r="L22" s="2">
        <f t="shared" si="3"/>
        <v>200</v>
      </c>
      <c r="M22" s="16">
        <f t="shared" si="4"/>
        <v>4.5</v>
      </c>
      <c r="N22" s="18">
        <f t="shared" si="5"/>
        <v>0.38842975206611569</v>
      </c>
    </row>
    <row r="23" spans="1:15" ht="15.75" thickBot="1" x14ac:dyDescent="0.3">
      <c r="A23" s="2">
        <v>220</v>
      </c>
      <c r="B23" s="2">
        <v>50</v>
      </c>
      <c r="C23" s="2">
        <f t="shared" si="0"/>
        <v>10</v>
      </c>
      <c r="E23" s="2">
        <v>0.8</v>
      </c>
      <c r="F23" s="2">
        <v>0.2</v>
      </c>
      <c r="G23" s="2">
        <f t="shared" si="1"/>
        <v>0.04</v>
      </c>
      <c r="I23" s="14">
        <f t="shared" si="2"/>
        <v>3.6363636363636362</v>
      </c>
      <c r="J23" s="2">
        <v>200</v>
      </c>
      <c r="K23" s="2">
        <v>1000</v>
      </c>
      <c r="L23" s="2">
        <f t="shared" si="3"/>
        <v>200</v>
      </c>
      <c r="M23" s="16">
        <f t="shared" si="4"/>
        <v>8</v>
      </c>
      <c r="N23" s="18">
        <f t="shared" si="5"/>
        <v>0.34710743801652888</v>
      </c>
    </row>
    <row r="24" spans="1:15" ht="15.75" thickBot="1" x14ac:dyDescent="0.3">
      <c r="A24" s="2">
        <v>222</v>
      </c>
      <c r="B24" s="2">
        <v>50</v>
      </c>
      <c r="C24" s="2">
        <f t="shared" si="0"/>
        <v>10</v>
      </c>
      <c r="E24" s="2">
        <v>0.42399999999999999</v>
      </c>
      <c r="F24" s="2">
        <v>0.1</v>
      </c>
      <c r="G24" s="2">
        <f t="shared" si="1"/>
        <v>0.02</v>
      </c>
      <c r="I24" s="14">
        <f t="shared" si="2"/>
        <v>1.9099099099099097</v>
      </c>
      <c r="J24" s="2">
        <v>400</v>
      </c>
      <c r="K24" s="2">
        <v>500</v>
      </c>
      <c r="L24" s="2">
        <f t="shared" si="3"/>
        <v>100</v>
      </c>
      <c r="M24" s="16">
        <f t="shared" si="4"/>
        <v>16</v>
      </c>
      <c r="N24" s="18">
        <f t="shared" si="5"/>
        <v>0.17612206801395991</v>
      </c>
    </row>
    <row r="25" spans="1:15" ht="15.75" thickBot="1" x14ac:dyDescent="0.3">
      <c r="A25" s="8">
        <v>222</v>
      </c>
      <c r="B25" s="8">
        <v>50</v>
      </c>
      <c r="C25" s="2">
        <f t="shared" si="0"/>
        <v>10</v>
      </c>
      <c r="E25" s="2">
        <v>0.33600000000000002</v>
      </c>
      <c r="F25" s="2">
        <v>0.05</v>
      </c>
      <c r="G25" s="2">
        <f t="shared" si="1"/>
        <v>0.01</v>
      </c>
      <c r="I25" s="14">
        <f t="shared" si="2"/>
        <v>1.5135135135135136</v>
      </c>
      <c r="J25" s="2">
        <v>500</v>
      </c>
      <c r="K25" s="2">
        <v>500</v>
      </c>
      <c r="L25" s="2">
        <f>K25/5</f>
        <v>100</v>
      </c>
      <c r="M25" s="16">
        <f t="shared" si="4"/>
        <v>25</v>
      </c>
      <c r="N25" s="18">
        <f t="shared" si="5"/>
        <v>0.11322132943754565</v>
      </c>
    </row>
    <row r="26" spans="1:15" ht="15.75" thickBot="1" x14ac:dyDescent="0.3">
      <c r="A26" s="5">
        <v>224</v>
      </c>
      <c r="B26" s="5">
        <v>50</v>
      </c>
      <c r="C26" s="7">
        <f t="shared" si="0"/>
        <v>10</v>
      </c>
      <c r="E26" s="2">
        <v>0.21199999999999999</v>
      </c>
      <c r="F26" s="5">
        <v>0.05</v>
      </c>
      <c r="G26" s="2">
        <f t="shared" si="1"/>
        <v>0.01</v>
      </c>
      <c r="I26" s="14">
        <f t="shared" si="2"/>
        <v>0.9464285714285714</v>
      </c>
      <c r="J26" s="5">
        <v>800</v>
      </c>
      <c r="K26" s="2">
        <v>250</v>
      </c>
      <c r="L26" s="5">
        <f>K26/5</f>
        <v>50</v>
      </c>
      <c r="M26" s="17">
        <f t="shared" si="4"/>
        <v>32</v>
      </c>
      <c r="N26" s="18">
        <f t="shared" si="5"/>
        <v>8.6894132653061229E-2</v>
      </c>
    </row>
    <row r="27" spans="1:15" ht="15.75" thickBot="1" x14ac:dyDescent="0.3">
      <c r="A27" s="5">
        <v>222</v>
      </c>
      <c r="B27" s="5">
        <v>50</v>
      </c>
      <c r="C27" s="7">
        <f t="shared" si="0"/>
        <v>10</v>
      </c>
      <c r="E27" s="2">
        <v>0.17199999999999999</v>
      </c>
      <c r="F27" s="5">
        <v>0.05</v>
      </c>
      <c r="G27" s="2">
        <f t="shared" si="1"/>
        <v>0.01</v>
      </c>
      <c r="I27" s="14">
        <f t="shared" si="2"/>
        <v>0.77477477477477474</v>
      </c>
      <c r="J27" s="5">
        <v>1000</v>
      </c>
      <c r="K27" s="2">
        <v>250</v>
      </c>
      <c r="L27" s="5">
        <f>K27/5</f>
        <v>50</v>
      </c>
      <c r="M27" s="17">
        <f t="shared" si="4"/>
        <v>50</v>
      </c>
      <c r="N27" s="18">
        <f t="shared" si="5"/>
        <v>7.9944809674539402E-2</v>
      </c>
    </row>
    <row r="29" spans="1:15" x14ac:dyDescent="0.25">
      <c r="C29" t="s">
        <v>36</v>
      </c>
      <c r="D29" t="s">
        <v>35</v>
      </c>
      <c r="E29">
        <f>COUNT(E9:E27)</f>
        <v>19</v>
      </c>
    </row>
    <row r="30" spans="1:15" x14ac:dyDescent="0.25"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5"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25">
      <c r="G32" s="10"/>
      <c r="H32" s="10"/>
      <c r="I32" s="10"/>
      <c r="J32" s="10"/>
      <c r="K32" s="10"/>
      <c r="L32" s="10"/>
      <c r="M32" s="10"/>
      <c r="N32" s="10"/>
      <c r="O32" s="10"/>
    </row>
    <row r="33" spans="6:15" x14ac:dyDescent="0.25"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6:15" x14ac:dyDescent="0.25"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6:15" x14ac:dyDescent="0.25"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6:15" x14ac:dyDescent="0.25"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6:15" x14ac:dyDescent="0.25"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6:15" x14ac:dyDescent="0.25"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6:15" x14ac:dyDescent="0.25"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6:15" x14ac:dyDescent="0.25"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6:15" x14ac:dyDescent="0.25"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6:15" x14ac:dyDescent="0.25"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6:15" x14ac:dyDescent="0.25"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6:15" x14ac:dyDescent="0.25"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6:15" x14ac:dyDescent="0.25"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6:15" x14ac:dyDescent="0.25"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6:15" x14ac:dyDescent="0.25"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6:15" x14ac:dyDescent="0.25">
      <c r="F48" s="10"/>
      <c r="G48" s="10"/>
      <c r="H48" s="11"/>
      <c r="I48" s="10"/>
      <c r="J48" s="10"/>
      <c r="K48" s="10"/>
      <c r="L48" s="10"/>
      <c r="M48" s="10"/>
      <c r="N48" s="10"/>
      <c r="O48" s="10"/>
    </row>
    <row r="49" spans="6:15" x14ac:dyDescent="0.25">
      <c r="F49" s="10"/>
      <c r="G49" s="10"/>
      <c r="H49" s="11"/>
      <c r="I49" s="10"/>
      <c r="J49" s="10"/>
      <c r="K49" s="10"/>
      <c r="L49" s="10"/>
      <c r="M49" s="10"/>
      <c r="N49" s="10"/>
      <c r="O49" s="10"/>
    </row>
    <row r="50" spans="6:15" x14ac:dyDescent="0.25">
      <c r="F50" s="10"/>
      <c r="G50" s="10"/>
      <c r="H50" s="10"/>
      <c r="I50" s="10"/>
      <c r="J50" s="10"/>
      <c r="K50" s="10"/>
    </row>
    <row r="51" spans="6:15" x14ac:dyDescent="0.25">
      <c r="F51" s="10"/>
      <c r="G51" s="11"/>
      <c r="H51" s="10"/>
      <c r="I51" s="10"/>
      <c r="J51" s="10"/>
      <c r="K51" s="10"/>
    </row>
    <row r="52" spans="6:15" x14ac:dyDescent="0.25">
      <c r="F52" s="10"/>
      <c r="G52" s="11"/>
      <c r="H52" s="10"/>
      <c r="I52" s="10"/>
      <c r="J52" s="10"/>
      <c r="K52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6A40-A53F-450D-94F5-51593BC7A6E0}">
  <dimension ref="A2:M76"/>
  <sheetViews>
    <sheetView topLeftCell="A9" zoomScale="99" zoomScaleNormal="100" workbookViewId="0">
      <selection activeCell="K37" sqref="K37"/>
    </sheetView>
  </sheetViews>
  <sheetFormatPr defaultRowHeight="15" x14ac:dyDescent="0.25"/>
  <cols>
    <col min="2" max="2" width="12.140625" customWidth="1"/>
    <col min="3" max="3" width="11.28515625" customWidth="1"/>
    <col min="5" max="5" width="8.85546875" customWidth="1"/>
    <col min="6" max="6" width="12.85546875" customWidth="1"/>
    <col min="7" max="7" width="12.42578125" customWidth="1"/>
    <col min="11" max="11" width="9.42578125" customWidth="1"/>
  </cols>
  <sheetData>
    <row r="2" spans="1:13" x14ac:dyDescent="0.25">
      <c r="A2" t="s">
        <v>17</v>
      </c>
      <c r="B2">
        <v>100</v>
      </c>
      <c r="C2" t="s">
        <v>18</v>
      </c>
      <c r="E2">
        <f>1/(2*PI()*B2*B4*10^-6)</f>
        <v>15.899594714475059</v>
      </c>
    </row>
    <row r="3" spans="1:13" x14ac:dyDescent="0.25">
      <c r="A3" t="s">
        <v>2</v>
      </c>
      <c r="B3">
        <v>9.8800000000000008</v>
      </c>
      <c r="C3" t="s">
        <v>1</v>
      </c>
    </row>
    <row r="4" spans="1:13" x14ac:dyDescent="0.25">
      <c r="A4" t="s">
        <v>19</v>
      </c>
      <c r="B4">
        <v>100.1</v>
      </c>
      <c r="C4" t="s">
        <v>1</v>
      </c>
    </row>
    <row r="7" spans="1:13" x14ac:dyDescent="0.25">
      <c r="A7">
        <f>1.44/0.224</f>
        <v>6.4285714285714279</v>
      </c>
      <c r="B7">
        <f>1.46/0.222</f>
        <v>6.576576576576576</v>
      </c>
      <c r="D7">
        <f>1/SQRT(2)*B4/B3</f>
        <v>7.1641081778110722</v>
      </c>
      <c r="E7" t="s">
        <v>24</v>
      </c>
      <c r="G7">
        <f>D7*0.22</f>
        <v>1.5761037991184359</v>
      </c>
    </row>
    <row r="10" spans="1:13" x14ac:dyDescent="0.25">
      <c r="A10" t="s">
        <v>22</v>
      </c>
    </row>
    <row r="12" spans="1:13" ht="15.75" thickBot="1" x14ac:dyDescent="0.3"/>
    <row r="13" spans="1:13" ht="15.75" thickBot="1" x14ac:dyDescent="0.3">
      <c r="A13" s="3" t="s">
        <v>6</v>
      </c>
      <c r="B13" s="3" t="s">
        <v>7</v>
      </c>
      <c r="C13" s="3" t="s">
        <v>8</v>
      </c>
      <c r="E13" s="3" t="s">
        <v>30</v>
      </c>
      <c r="F13" s="3" t="s">
        <v>10</v>
      </c>
      <c r="G13" s="3" t="s">
        <v>11</v>
      </c>
      <c r="I13" s="3" t="s">
        <v>4</v>
      </c>
      <c r="J13" s="3" t="s">
        <v>23</v>
      </c>
      <c r="K13" s="3" t="s">
        <v>33</v>
      </c>
      <c r="L13" s="3" t="s">
        <v>14</v>
      </c>
      <c r="M13" s="3" t="s">
        <v>13</v>
      </c>
    </row>
    <row r="14" spans="1:13" ht="15.75" thickBot="1" x14ac:dyDescent="0.3">
      <c r="A14" s="2">
        <v>222</v>
      </c>
      <c r="B14" s="2">
        <v>50</v>
      </c>
      <c r="C14" s="2">
        <f>B14/5</f>
        <v>10</v>
      </c>
      <c r="E14" s="2">
        <v>2.08</v>
      </c>
      <c r="F14" s="2">
        <v>500</v>
      </c>
      <c r="G14" s="2">
        <f>F14/5</f>
        <v>100</v>
      </c>
      <c r="I14" s="2">
        <f t="shared" ref="I14:I27" si="0">E14/A14*1000</f>
        <v>9.3693693693693696</v>
      </c>
      <c r="J14" s="2">
        <v>1</v>
      </c>
      <c r="K14" s="2">
        <v>100</v>
      </c>
      <c r="L14" s="2">
        <f t="shared" ref="L14:L29" si="1">K14/5</f>
        <v>20</v>
      </c>
      <c r="M14" s="12">
        <f t="shared" ref="M14:M37" si="2">J14^2*L14*10^-6</f>
        <v>1.9999999999999998E-5</v>
      </c>
    </row>
    <row r="15" spans="1:13" ht="15.75" thickBot="1" x14ac:dyDescent="0.3">
      <c r="A15" s="2">
        <v>220</v>
      </c>
      <c r="B15" s="2">
        <v>50</v>
      </c>
      <c r="C15" s="2">
        <f t="shared" ref="C15:C37" si="3">B15/5</f>
        <v>10</v>
      </c>
      <c r="E15" s="2">
        <v>2.04</v>
      </c>
      <c r="F15" s="2">
        <v>500</v>
      </c>
      <c r="G15" s="2">
        <f t="shared" ref="G15:G37" si="4">F15/5</f>
        <v>100</v>
      </c>
      <c r="I15" s="2">
        <f t="shared" si="0"/>
        <v>9.2727272727272734</v>
      </c>
      <c r="J15" s="2">
        <v>3</v>
      </c>
      <c r="K15" s="2">
        <v>100</v>
      </c>
      <c r="L15" s="2">
        <f t="shared" si="1"/>
        <v>20</v>
      </c>
      <c r="M15" s="12">
        <f t="shared" si="2"/>
        <v>1.7999999999999998E-4</v>
      </c>
    </row>
    <row r="16" spans="1:13" ht="15.75" thickBot="1" x14ac:dyDescent="0.3">
      <c r="A16" s="2">
        <v>222</v>
      </c>
      <c r="B16" s="2">
        <v>50</v>
      </c>
      <c r="C16" s="2">
        <f t="shared" si="3"/>
        <v>10</v>
      </c>
      <c r="E16" s="2">
        <v>1.98</v>
      </c>
      <c r="F16" s="2">
        <v>500</v>
      </c>
      <c r="G16" s="2">
        <f t="shared" si="4"/>
        <v>100</v>
      </c>
      <c r="I16" s="2">
        <f t="shared" si="0"/>
        <v>8.9189189189189175</v>
      </c>
      <c r="J16" s="2">
        <v>5</v>
      </c>
      <c r="K16" s="2">
        <v>100</v>
      </c>
      <c r="L16" s="2">
        <f t="shared" si="1"/>
        <v>20</v>
      </c>
      <c r="M16" s="12">
        <f t="shared" si="2"/>
        <v>5.0000000000000001E-4</v>
      </c>
    </row>
    <row r="17" spans="1:13" ht="15.75" thickBot="1" x14ac:dyDescent="0.3">
      <c r="A17" s="2">
        <v>222</v>
      </c>
      <c r="B17" s="2">
        <v>50</v>
      </c>
      <c r="C17" s="2">
        <f t="shared" si="3"/>
        <v>10</v>
      </c>
      <c r="E17" s="2">
        <v>1.88</v>
      </c>
      <c r="F17" s="2">
        <v>500</v>
      </c>
      <c r="G17" s="2">
        <f t="shared" si="4"/>
        <v>100</v>
      </c>
      <c r="I17" s="2">
        <f t="shared" si="0"/>
        <v>8.468468468468469</v>
      </c>
      <c r="J17" s="2">
        <v>7</v>
      </c>
      <c r="K17" s="2">
        <v>100</v>
      </c>
      <c r="L17" s="2">
        <f t="shared" si="1"/>
        <v>20</v>
      </c>
      <c r="M17" s="12">
        <f t="shared" si="2"/>
        <v>9.7999999999999997E-4</v>
      </c>
    </row>
    <row r="18" spans="1:13" ht="15.75" thickBot="1" x14ac:dyDescent="0.3">
      <c r="A18" s="2">
        <v>222</v>
      </c>
      <c r="B18" s="2">
        <v>50</v>
      </c>
      <c r="C18" s="2">
        <f t="shared" si="3"/>
        <v>10</v>
      </c>
      <c r="E18" s="2">
        <v>1.81</v>
      </c>
      <c r="F18" s="2">
        <v>500</v>
      </c>
      <c r="G18" s="2">
        <f t="shared" si="4"/>
        <v>100</v>
      </c>
      <c r="I18" s="2">
        <f t="shared" si="0"/>
        <v>8.1531531531531538</v>
      </c>
      <c r="J18" s="2">
        <v>9</v>
      </c>
      <c r="K18" s="2">
        <v>100</v>
      </c>
      <c r="L18" s="2">
        <f t="shared" si="1"/>
        <v>20</v>
      </c>
      <c r="M18" s="12">
        <f t="shared" si="2"/>
        <v>1.6199999999999999E-3</v>
      </c>
    </row>
    <row r="19" spans="1:13" ht="15.75" thickBot="1" x14ac:dyDescent="0.3">
      <c r="A19" s="2">
        <v>222</v>
      </c>
      <c r="B19" s="2">
        <v>50</v>
      </c>
      <c r="C19" s="2">
        <f t="shared" si="3"/>
        <v>10</v>
      </c>
      <c r="E19" s="2">
        <v>1.76</v>
      </c>
      <c r="F19" s="2">
        <v>500</v>
      </c>
      <c r="G19" s="2">
        <f t="shared" si="4"/>
        <v>100</v>
      </c>
      <c r="I19" s="2">
        <f t="shared" si="0"/>
        <v>7.9279279279279287</v>
      </c>
      <c r="J19" s="2">
        <v>10</v>
      </c>
      <c r="K19" s="2">
        <v>50</v>
      </c>
      <c r="L19" s="2">
        <f t="shared" si="1"/>
        <v>10</v>
      </c>
      <c r="M19" s="12">
        <f t="shared" si="2"/>
        <v>1E-3</v>
      </c>
    </row>
    <row r="20" spans="1:13" ht="15.75" thickBot="1" x14ac:dyDescent="0.3">
      <c r="A20" s="2">
        <v>222</v>
      </c>
      <c r="B20" s="2">
        <v>50</v>
      </c>
      <c r="C20" s="2">
        <f t="shared" si="3"/>
        <v>10</v>
      </c>
      <c r="E20" s="2">
        <v>1.71</v>
      </c>
      <c r="F20" s="2">
        <v>500</v>
      </c>
      <c r="G20" s="2">
        <f t="shared" si="4"/>
        <v>100</v>
      </c>
      <c r="I20" s="2">
        <f t="shared" si="0"/>
        <v>7.7027027027027026</v>
      </c>
      <c r="J20" s="2">
        <v>11</v>
      </c>
      <c r="K20" s="2">
        <v>50</v>
      </c>
      <c r="L20" s="2">
        <f t="shared" si="1"/>
        <v>10</v>
      </c>
      <c r="M20" s="12">
        <f t="shared" si="2"/>
        <v>1.2099999999999999E-3</v>
      </c>
    </row>
    <row r="21" spans="1:13" ht="15.75" thickBot="1" x14ac:dyDescent="0.3">
      <c r="A21" s="2">
        <v>222</v>
      </c>
      <c r="B21" s="2">
        <v>50</v>
      </c>
      <c r="C21" s="2">
        <f t="shared" si="3"/>
        <v>10</v>
      </c>
      <c r="E21" s="2">
        <v>1.65</v>
      </c>
      <c r="F21" s="2">
        <v>500</v>
      </c>
      <c r="G21" s="2">
        <f t="shared" si="4"/>
        <v>100</v>
      </c>
      <c r="I21" s="2">
        <f t="shared" si="0"/>
        <v>7.4324324324324316</v>
      </c>
      <c r="J21" s="2">
        <v>12</v>
      </c>
      <c r="K21" s="2">
        <v>50</v>
      </c>
      <c r="L21" s="2">
        <f t="shared" si="1"/>
        <v>10</v>
      </c>
      <c r="M21" s="12">
        <f t="shared" si="2"/>
        <v>1.4399999999999999E-3</v>
      </c>
    </row>
    <row r="22" spans="1:13" ht="15.75" thickBot="1" x14ac:dyDescent="0.3">
      <c r="A22" s="2">
        <v>222</v>
      </c>
      <c r="B22" s="2">
        <v>50</v>
      </c>
      <c r="C22" s="2">
        <f t="shared" si="3"/>
        <v>10</v>
      </c>
      <c r="E22" s="2">
        <v>1.61</v>
      </c>
      <c r="F22" s="2">
        <v>500</v>
      </c>
      <c r="G22" s="2">
        <f t="shared" si="4"/>
        <v>100</v>
      </c>
      <c r="I22" s="2">
        <f t="shared" si="0"/>
        <v>7.2522522522522523</v>
      </c>
      <c r="J22" s="2">
        <v>13</v>
      </c>
      <c r="K22" s="2">
        <v>50</v>
      </c>
      <c r="L22" s="2">
        <f t="shared" si="1"/>
        <v>10</v>
      </c>
      <c r="M22" s="12">
        <f t="shared" si="2"/>
        <v>1.6899999999999999E-3</v>
      </c>
    </row>
    <row r="23" spans="1:13" ht="15.75" thickBot="1" x14ac:dyDescent="0.3">
      <c r="A23" s="2">
        <v>222</v>
      </c>
      <c r="B23" s="2">
        <v>50</v>
      </c>
      <c r="C23" s="2">
        <f t="shared" si="3"/>
        <v>10</v>
      </c>
      <c r="E23" s="2">
        <v>1.56</v>
      </c>
      <c r="F23" s="2">
        <v>500</v>
      </c>
      <c r="G23" s="2">
        <f t="shared" si="4"/>
        <v>100</v>
      </c>
      <c r="I23" s="2">
        <f t="shared" si="0"/>
        <v>7.0270270270270272</v>
      </c>
      <c r="J23" s="2">
        <v>14</v>
      </c>
      <c r="K23" s="2">
        <v>50</v>
      </c>
      <c r="L23" s="2">
        <f t="shared" si="1"/>
        <v>10</v>
      </c>
      <c r="M23" s="12">
        <f t="shared" si="2"/>
        <v>1.9599999999999999E-3</v>
      </c>
    </row>
    <row r="24" spans="1:13" ht="15.75" thickBot="1" x14ac:dyDescent="0.3">
      <c r="A24" s="2">
        <v>222</v>
      </c>
      <c r="B24" s="2">
        <v>50</v>
      </c>
      <c r="C24" s="2">
        <f t="shared" si="3"/>
        <v>10</v>
      </c>
      <c r="E24" s="2">
        <v>1.53</v>
      </c>
      <c r="F24" s="2">
        <v>200</v>
      </c>
      <c r="G24" s="2">
        <f t="shared" si="4"/>
        <v>40</v>
      </c>
      <c r="I24" s="2">
        <f t="shared" si="0"/>
        <v>6.8918918918918921</v>
      </c>
      <c r="J24" s="2">
        <v>14.3</v>
      </c>
      <c r="K24" s="2">
        <v>50</v>
      </c>
      <c r="L24" s="2">
        <f t="shared" si="1"/>
        <v>10</v>
      </c>
      <c r="M24" s="12">
        <f t="shared" si="2"/>
        <v>2.0449000000000001E-3</v>
      </c>
    </row>
    <row r="25" spans="1:13" ht="15.75" thickBot="1" x14ac:dyDescent="0.3">
      <c r="A25" s="2">
        <v>222</v>
      </c>
      <c r="B25" s="2">
        <v>50</v>
      </c>
      <c r="C25" s="2">
        <f t="shared" si="3"/>
        <v>10</v>
      </c>
      <c r="E25" s="2">
        <v>1.5</v>
      </c>
      <c r="F25" s="2">
        <v>200</v>
      </c>
      <c r="G25" s="2">
        <f t="shared" si="4"/>
        <v>40</v>
      </c>
      <c r="I25" s="2">
        <f t="shared" si="0"/>
        <v>6.756756756756757</v>
      </c>
      <c r="J25" s="2">
        <v>15</v>
      </c>
      <c r="K25" s="2">
        <v>50</v>
      </c>
      <c r="L25" s="2">
        <f t="shared" si="1"/>
        <v>10</v>
      </c>
      <c r="M25" s="12">
        <f t="shared" si="2"/>
        <v>2.2499999999999998E-3</v>
      </c>
    </row>
    <row r="26" spans="1:13" ht="15.75" thickBot="1" x14ac:dyDescent="0.3">
      <c r="A26" s="2">
        <v>222</v>
      </c>
      <c r="B26" s="2">
        <v>50</v>
      </c>
      <c r="C26" s="2">
        <f t="shared" si="3"/>
        <v>10</v>
      </c>
      <c r="E26" s="2">
        <v>1.46</v>
      </c>
      <c r="F26" s="2">
        <v>200</v>
      </c>
      <c r="G26" s="2">
        <f t="shared" si="4"/>
        <v>40</v>
      </c>
      <c r="I26" s="2">
        <f t="shared" si="0"/>
        <v>6.576576576576576</v>
      </c>
      <c r="J26" s="2">
        <v>16</v>
      </c>
      <c r="K26" s="2">
        <v>50</v>
      </c>
      <c r="L26" s="2">
        <f t="shared" si="1"/>
        <v>10</v>
      </c>
      <c r="M26" s="12">
        <f t="shared" si="2"/>
        <v>2.5599999999999998E-3</v>
      </c>
    </row>
    <row r="27" spans="1:13" ht="15.75" thickBot="1" x14ac:dyDescent="0.3">
      <c r="A27" s="2">
        <v>222</v>
      </c>
      <c r="B27" s="2">
        <v>50</v>
      </c>
      <c r="C27" s="2">
        <f t="shared" si="3"/>
        <v>10</v>
      </c>
      <c r="E27" s="2">
        <v>1.29</v>
      </c>
      <c r="F27" s="2">
        <v>200</v>
      </c>
      <c r="G27" s="2">
        <f t="shared" si="4"/>
        <v>40</v>
      </c>
      <c r="I27" s="2">
        <f t="shared" si="0"/>
        <v>5.8108108108108114</v>
      </c>
      <c r="J27" s="2">
        <v>20</v>
      </c>
      <c r="K27" s="2">
        <v>50</v>
      </c>
      <c r="L27" s="2">
        <f t="shared" si="1"/>
        <v>10</v>
      </c>
      <c r="M27" s="12">
        <f t="shared" si="2"/>
        <v>4.0000000000000001E-3</v>
      </c>
    </row>
    <row r="28" spans="1:13" ht="15.75" thickBot="1" x14ac:dyDescent="0.3">
      <c r="A28" s="2">
        <v>222</v>
      </c>
      <c r="B28" s="2">
        <v>50</v>
      </c>
      <c r="C28" s="2">
        <f t="shared" si="3"/>
        <v>10</v>
      </c>
      <c r="E28" s="2">
        <v>0.96</v>
      </c>
      <c r="F28" s="2">
        <v>200</v>
      </c>
      <c r="G28" s="2">
        <f t="shared" si="4"/>
        <v>40</v>
      </c>
      <c r="I28" s="2">
        <f t="shared" ref="I28:I37" si="5">E28/A28*1000</f>
        <v>4.3243243243243246</v>
      </c>
      <c r="J28" s="2">
        <v>31</v>
      </c>
      <c r="K28" s="2">
        <v>50</v>
      </c>
      <c r="L28" s="2">
        <f t="shared" si="1"/>
        <v>10</v>
      </c>
      <c r="M28" s="12">
        <f t="shared" si="2"/>
        <v>9.6099999999999988E-3</v>
      </c>
    </row>
    <row r="29" spans="1:13" ht="15.75" thickBot="1" x14ac:dyDescent="0.3">
      <c r="A29" s="2">
        <v>222</v>
      </c>
      <c r="B29" s="2">
        <v>50</v>
      </c>
      <c r="C29" s="2">
        <f t="shared" si="3"/>
        <v>10</v>
      </c>
      <c r="E29" s="2">
        <v>0.76800000000000002</v>
      </c>
      <c r="F29" s="2">
        <v>200</v>
      </c>
      <c r="G29" s="2">
        <f t="shared" si="4"/>
        <v>40</v>
      </c>
      <c r="I29" s="2">
        <f t="shared" si="5"/>
        <v>3.4594594594594592</v>
      </c>
      <c r="J29" s="2">
        <v>40</v>
      </c>
      <c r="K29" s="2">
        <v>25</v>
      </c>
      <c r="L29" s="2">
        <f t="shared" si="1"/>
        <v>5</v>
      </c>
      <c r="M29" s="12">
        <f t="shared" si="2"/>
        <v>8.0000000000000002E-3</v>
      </c>
    </row>
    <row r="30" spans="1:13" ht="15.75" thickBot="1" x14ac:dyDescent="0.3">
      <c r="A30" s="2">
        <v>208</v>
      </c>
      <c r="B30" s="2">
        <v>50</v>
      </c>
      <c r="C30" s="2">
        <f t="shared" si="3"/>
        <v>10</v>
      </c>
      <c r="E30" s="2">
        <v>0.64</v>
      </c>
      <c r="F30" s="2">
        <v>200</v>
      </c>
      <c r="G30" s="2">
        <f t="shared" si="4"/>
        <v>40</v>
      </c>
      <c r="I30" s="2">
        <f t="shared" si="5"/>
        <v>3.0769230769230771</v>
      </c>
      <c r="J30" s="2">
        <v>50</v>
      </c>
      <c r="K30" s="2">
        <v>25</v>
      </c>
      <c r="L30" s="2">
        <f t="shared" ref="L30:L37" si="6">K30/5</f>
        <v>5</v>
      </c>
      <c r="M30" s="12">
        <f t="shared" si="2"/>
        <v>1.2499999999999999E-2</v>
      </c>
    </row>
    <row r="31" spans="1:13" ht="15.75" thickBot="1" x14ac:dyDescent="0.3">
      <c r="A31" s="5">
        <v>208</v>
      </c>
      <c r="B31" s="5">
        <v>50</v>
      </c>
      <c r="C31" s="2">
        <f t="shared" si="3"/>
        <v>10</v>
      </c>
      <c r="E31" s="5">
        <v>0.44400000000000001</v>
      </c>
      <c r="F31" s="5">
        <v>100</v>
      </c>
      <c r="G31" s="2">
        <f t="shared" si="4"/>
        <v>20</v>
      </c>
      <c r="I31" s="2">
        <f t="shared" si="5"/>
        <v>2.1346153846153846</v>
      </c>
      <c r="J31" s="5">
        <v>75</v>
      </c>
      <c r="K31" s="2">
        <v>25</v>
      </c>
      <c r="L31" s="5">
        <f t="shared" si="6"/>
        <v>5</v>
      </c>
      <c r="M31" s="13">
        <f t="shared" si="2"/>
        <v>2.8124999999999997E-2</v>
      </c>
    </row>
    <row r="32" spans="1:13" ht="15.75" thickBot="1" x14ac:dyDescent="0.3">
      <c r="A32" s="5">
        <v>208</v>
      </c>
      <c r="B32" s="5">
        <v>50</v>
      </c>
      <c r="C32" s="2">
        <f t="shared" si="3"/>
        <v>10</v>
      </c>
      <c r="E32" s="5">
        <v>0.33800000000000002</v>
      </c>
      <c r="F32" s="5">
        <v>100</v>
      </c>
      <c r="G32" s="2">
        <f t="shared" si="4"/>
        <v>20</v>
      </c>
      <c r="I32" s="2">
        <f t="shared" si="5"/>
        <v>1.6250000000000002</v>
      </c>
      <c r="J32" s="5">
        <v>100</v>
      </c>
      <c r="K32" s="2">
        <v>25</v>
      </c>
      <c r="L32" s="5">
        <f t="shared" si="6"/>
        <v>5</v>
      </c>
      <c r="M32" s="13">
        <f t="shared" si="2"/>
        <v>4.9999999999999996E-2</v>
      </c>
    </row>
    <row r="33" spans="1:13" ht="15.75" thickBot="1" x14ac:dyDescent="0.3">
      <c r="A33" s="5">
        <v>208</v>
      </c>
      <c r="B33" s="5">
        <v>50</v>
      </c>
      <c r="C33" s="2">
        <f t="shared" si="3"/>
        <v>10</v>
      </c>
      <c r="E33" s="5">
        <v>0.22800000000000001</v>
      </c>
      <c r="F33" s="5">
        <v>50</v>
      </c>
      <c r="G33" s="2">
        <f t="shared" si="4"/>
        <v>10</v>
      </c>
      <c r="I33" s="2">
        <f t="shared" si="5"/>
        <v>1.096153846153846</v>
      </c>
      <c r="J33" s="5">
        <v>150</v>
      </c>
      <c r="K33" s="2">
        <v>10</v>
      </c>
      <c r="L33" s="5">
        <f t="shared" si="6"/>
        <v>2</v>
      </c>
      <c r="M33" s="13">
        <f t="shared" si="2"/>
        <v>4.4999999999999998E-2</v>
      </c>
    </row>
    <row r="34" spans="1:13" ht="15.75" thickBot="1" x14ac:dyDescent="0.3">
      <c r="A34" s="5">
        <v>208</v>
      </c>
      <c r="B34" s="5">
        <v>50</v>
      </c>
      <c r="C34" s="2">
        <f t="shared" si="3"/>
        <v>10</v>
      </c>
      <c r="E34" s="5">
        <v>0.11799999999999999</v>
      </c>
      <c r="F34" s="5">
        <v>50</v>
      </c>
      <c r="G34" s="2">
        <f t="shared" si="4"/>
        <v>10</v>
      </c>
      <c r="I34" s="2">
        <f t="shared" si="5"/>
        <v>0.56730769230769229</v>
      </c>
      <c r="J34" s="5">
        <v>300</v>
      </c>
      <c r="K34" s="2">
        <v>10</v>
      </c>
      <c r="L34" s="5">
        <f t="shared" si="6"/>
        <v>2</v>
      </c>
      <c r="M34" s="13">
        <f t="shared" si="2"/>
        <v>0.18</v>
      </c>
    </row>
    <row r="35" spans="1:13" ht="15.75" thickBot="1" x14ac:dyDescent="0.3">
      <c r="A35" s="5">
        <v>204</v>
      </c>
      <c r="B35" s="5">
        <v>50</v>
      </c>
      <c r="C35" s="2">
        <f t="shared" si="3"/>
        <v>10</v>
      </c>
      <c r="E35" s="5">
        <v>6.8000000000000005E-2</v>
      </c>
      <c r="F35" s="5">
        <v>20</v>
      </c>
      <c r="G35" s="2">
        <f t="shared" si="4"/>
        <v>4</v>
      </c>
      <c r="I35" s="2">
        <f t="shared" si="5"/>
        <v>0.33333333333333337</v>
      </c>
      <c r="J35" s="5">
        <v>500</v>
      </c>
      <c r="K35" s="2">
        <v>1</v>
      </c>
      <c r="L35" s="5">
        <f t="shared" si="6"/>
        <v>0.2</v>
      </c>
      <c r="M35" s="13">
        <f t="shared" si="2"/>
        <v>4.9999999999999996E-2</v>
      </c>
    </row>
    <row r="36" spans="1:13" ht="15.75" thickBot="1" x14ac:dyDescent="0.3">
      <c r="A36" s="5">
        <v>204</v>
      </c>
      <c r="B36" s="5">
        <v>50</v>
      </c>
      <c r="C36" s="2">
        <f t="shared" si="3"/>
        <v>10</v>
      </c>
      <c r="E36" s="5">
        <v>3.5200000000000002E-2</v>
      </c>
      <c r="F36" s="5">
        <v>20</v>
      </c>
      <c r="G36" s="2">
        <f t="shared" si="4"/>
        <v>4</v>
      </c>
      <c r="I36" s="2">
        <f t="shared" si="5"/>
        <v>0.17254901960784316</v>
      </c>
      <c r="J36" s="5">
        <v>1000</v>
      </c>
      <c r="K36" s="2">
        <v>0.1</v>
      </c>
      <c r="L36" s="5">
        <f t="shared" si="6"/>
        <v>0.02</v>
      </c>
      <c r="M36" s="13">
        <f t="shared" si="2"/>
        <v>0.02</v>
      </c>
    </row>
    <row r="37" spans="1:13" ht="15.75" thickBot="1" x14ac:dyDescent="0.3">
      <c r="A37" s="5">
        <v>208</v>
      </c>
      <c r="B37" s="5">
        <v>50</v>
      </c>
      <c r="C37" s="2">
        <f t="shared" si="3"/>
        <v>10</v>
      </c>
      <c r="E37" s="5">
        <v>1.84E-2</v>
      </c>
      <c r="F37" s="5">
        <v>20</v>
      </c>
      <c r="G37" s="2">
        <f t="shared" si="4"/>
        <v>4</v>
      </c>
      <c r="I37" s="2">
        <f t="shared" si="5"/>
        <v>8.8461538461538466E-2</v>
      </c>
      <c r="J37" s="5">
        <v>2000</v>
      </c>
      <c r="K37" s="2">
        <v>0.1</v>
      </c>
      <c r="L37" s="5">
        <f t="shared" si="6"/>
        <v>0.02</v>
      </c>
      <c r="M37" s="13">
        <f t="shared" si="2"/>
        <v>0.08</v>
      </c>
    </row>
    <row r="49" spans="3:9" x14ac:dyDescent="0.25">
      <c r="C49" s="10"/>
      <c r="D49" s="10"/>
      <c r="E49" s="10"/>
      <c r="F49" s="10"/>
      <c r="G49" s="10"/>
      <c r="H49" s="10"/>
      <c r="I49" s="10"/>
    </row>
    <row r="50" spans="3:9" x14ac:dyDescent="0.25">
      <c r="C50" s="10"/>
      <c r="D50" s="10"/>
      <c r="E50" s="10"/>
      <c r="F50" s="10"/>
      <c r="G50" s="10"/>
      <c r="H50" s="10"/>
      <c r="I50" s="10"/>
    </row>
    <row r="51" spans="3:9" x14ac:dyDescent="0.25">
      <c r="C51" s="10"/>
      <c r="D51" s="10"/>
      <c r="E51" s="10"/>
      <c r="F51" s="10"/>
      <c r="G51" s="10"/>
      <c r="H51" s="10"/>
      <c r="I51" s="10"/>
    </row>
    <row r="52" spans="3:9" x14ac:dyDescent="0.25">
      <c r="C52" s="10"/>
      <c r="D52" s="10"/>
      <c r="E52" s="10"/>
      <c r="F52" s="10"/>
      <c r="G52" s="10"/>
      <c r="H52" s="10"/>
      <c r="I52" s="10"/>
    </row>
    <row r="53" spans="3:9" x14ac:dyDescent="0.25">
      <c r="C53" s="10"/>
      <c r="D53" s="10"/>
      <c r="E53" s="10"/>
      <c r="F53" s="10"/>
      <c r="G53" s="10"/>
      <c r="H53" s="10"/>
      <c r="I53" s="10"/>
    </row>
    <row r="54" spans="3:9" x14ac:dyDescent="0.25">
      <c r="C54" s="10"/>
      <c r="D54" s="10"/>
      <c r="E54" s="10"/>
      <c r="F54" s="10"/>
      <c r="G54" s="10"/>
      <c r="H54" s="10"/>
      <c r="I54" s="10"/>
    </row>
    <row r="55" spans="3:9" x14ac:dyDescent="0.25">
      <c r="C55" s="10"/>
      <c r="D55" s="10"/>
      <c r="E55" s="10"/>
      <c r="F55" s="10"/>
      <c r="G55" s="10"/>
      <c r="H55" s="10"/>
      <c r="I55" s="10"/>
    </row>
    <row r="56" spans="3:9" x14ac:dyDescent="0.25">
      <c r="C56" s="10"/>
      <c r="D56" s="10"/>
      <c r="E56" s="10"/>
      <c r="F56" s="10"/>
      <c r="G56" s="10"/>
      <c r="H56" s="10"/>
      <c r="I56" s="10"/>
    </row>
    <row r="57" spans="3:9" x14ac:dyDescent="0.25">
      <c r="C57" s="10"/>
      <c r="D57" s="10"/>
      <c r="E57" s="10"/>
      <c r="F57" s="10"/>
      <c r="G57" s="10"/>
      <c r="H57" s="10"/>
      <c r="I57" s="10"/>
    </row>
    <row r="58" spans="3:9" x14ac:dyDescent="0.25">
      <c r="C58" s="10"/>
      <c r="D58" s="10"/>
      <c r="E58" s="10"/>
      <c r="F58" s="10"/>
      <c r="G58" s="10"/>
      <c r="H58" s="10"/>
      <c r="I58" s="10"/>
    </row>
    <row r="59" spans="3:9" x14ac:dyDescent="0.25">
      <c r="C59" s="10"/>
      <c r="D59" s="10"/>
      <c r="E59" s="10"/>
      <c r="F59" s="10"/>
      <c r="G59" s="10"/>
      <c r="H59" s="10"/>
      <c r="I59" s="10"/>
    </row>
    <row r="60" spans="3:9" x14ac:dyDescent="0.25">
      <c r="C60" s="10"/>
      <c r="D60" s="10"/>
      <c r="E60" s="10"/>
      <c r="F60" s="10"/>
      <c r="G60" s="10"/>
      <c r="H60" s="10"/>
      <c r="I60" s="10"/>
    </row>
    <row r="61" spans="3:9" x14ac:dyDescent="0.25">
      <c r="C61" s="10"/>
      <c r="D61" s="10"/>
      <c r="E61" s="10"/>
      <c r="F61" s="10"/>
      <c r="G61" s="10"/>
      <c r="H61" s="10"/>
      <c r="I61" s="10"/>
    </row>
    <row r="62" spans="3:9" x14ac:dyDescent="0.25">
      <c r="C62" s="10"/>
      <c r="D62" s="10"/>
      <c r="E62" s="10"/>
      <c r="F62" s="10"/>
      <c r="G62" s="10"/>
      <c r="H62" s="10"/>
      <c r="I62" s="10"/>
    </row>
    <row r="63" spans="3:9" x14ac:dyDescent="0.25">
      <c r="C63" s="10"/>
      <c r="D63" s="10"/>
      <c r="E63" s="10"/>
      <c r="F63" s="10"/>
      <c r="G63" s="10"/>
      <c r="H63" s="10"/>
      <c r="I63" s="10"/>
    </row>
    <row r="64" spans="3:9" x14ac:dyDescent="0.25">
      <c r="C64" s="10"/>
      <c r="D64" s="10"/>
      <c r="E64" s="10"/>
      <c r="F64" s="10"/>
      <c r="G64" s="10"/>
      <c r="H64" s="10"/>
      <c r="I64" s="10"/>
    </row>
    <row r="65" spans="3:9" x14ac:dyDescent="0.25">
      <c r="C65" s="10"/>
      <c r="D65" s="10"/>
      <c r="E65" s="10"/>
      <c r="F65" s="10"/>
      <c r="G65" s="10"/>
      <c r="H65" s="10"/>
      <c r="I65" s="10"/>
    </row>
    <row r="66" spans="3:9" x14ac:dyDescent="0.25">
      <c r="C66" s="10"/>
      <c r="D66" s="10"/>
      <c r="E66" s="10"/>
      <c r="F66" s="10"/>
      <c r="G66" s="10"/>
      <c r="H66" s="10"/>
      <c r="I66" s="10"/>
    </row>
    <row r="67" spans="3:9" x14ac:dyDescent="0.25">
      <c r="C67" s="10"/>
      <c r="D67" s="10"/>
      <c r="E67" s="10"/>
      <c r="F67" s="10"/>
      <c r="G67" s="10"/>
      <c r="H67" s="10"/>
      <c r="I67" s="10"/>
    </row>
    <row r="68" spans="3:9" x14ac:dyDescent="0.25">
      <c r="C68" s="10"/>
      <c r="D68" s="10"/>
      <c r="E68" s="11"/>
      <c r="F68" s="10"/>
      <c r="G68" s="10"/>
      <c r="H68" s="10"/>
      <c r="I68" s="10"/>
    </row>
    <row r="69" spans="3:9" x14ac:dyDescent="0.25">
      <c r="C69" s="10"/>
      <c r="D69" s="10"/>
      <c r="E69" s="11"/>
      <c r="F69" s="10"/>
      <c r="G69" s="10"/>
      <c r="H69" s="10"/>
      <c r="I69" s="10"/>
    </row>
    <row r="70" spans="3:9" x14ac:dyDescent="0.25">
      <c r="C70" s="10"/>
      <c r="D70" s="10"/>
      <c r="E70" s="11"/>
      <c r="F70" s="10"/>
      <c r="G70" s="10"/>
      <c r="H70" s="10"/>
      <c r="I70" s="10"/>
    </row>
    <row r="71" spans="3:9" x14ac:dyDescent="0.25">
      <c r="C71" s="10"/>
      <c r="D71" s="10"/>
      <c r="E71" s="11"/>
      <c r="F71" s="10"/>
      <c r="G71" s="10"/>
      <c r="H71" s="10"/>
      <c r="I71" s="10"/>
    </row>
    <row r="72" spans="3:9" x14ac:dyDescent="0.25">
      <c r="C72" s="10"/>
      <c r="D72" s="10"/>
      <c r="E72" s="11"/>
      <c r="F72" s="10"/>
      <c r="G72" s="10"/>
      <c r="H72" s="10"/>
      <c r="I72" s="10"/>
    </row>
    <row r="73" spans="3:9" x14ac:dyDescent="0.25">
      <c r="C73" s="10"/>
      <c r="D73" s="10"/>
      <c r="E73" s="11"/>
      <c r="F73" s="10"/>
      <c r="G73" s="10"/>
      <c r="H73" s="10"/>
      <c r="I73" s="10"/>
    </row>
    <row r="74" spans="3:9" x14ac:dyDescent="0.25">
      <c r="C74" s="10"/>
      <c r="D74" s="10"/>
      <c r="E74" s="11"/>
      <c r="F74" s="10"/>
      <c r="G74" s="10"/>
      <c r="H74" s="10"/>
      <c r="I74" s="10"/>
    </row>
    <row r="75" spans="3:9" x14ac:dyDescent="0.25">
      <c r="C75" s="10"/>
      <c r="D75" s="10"/>
      <c r="E75" s="10"/>
      <c r="F75" s="10"/>
      <c r="G75" s="10"/>
      <c r="H75" s="10"/>
      <c r="I75" s="10"/>
    </row>
    <row r="76" spans="3:9" x14ac:dyDescent="0.25">
      <c r="C76" s="10"/>
      <c r="D76" s="10"/>
      <c r="E76" s="10"/>
      <c r="F76" s="10"/>
      <c r="G76" s="10"/>
      <c r="H76" s="10"/>
      <c r="I76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1CDB-46D0-468A-BDAD-BD6BE7EF1865}">
  <dimension ref="C2:J23"/>
  <sheetViews>
    <sheetView workbookViewId="0">
      <selection activeCell="D23" sqref="D23"/>
    </sheetView>
  </sheetViews>
  <sheetFormatPr defaultRowHeight="15" x14ac:dyDescent="0.25"/>
  <sheetData>
    <row r="2" spans="3:10" x14ac:dyDescent="0.25">
      <c r="C2" t="s">
        <v>27</v>
      </c>
      <c r="H2" t="s">
        <v>2</v>
      </c>
      <c r="I2">
        <v>0.98699999999999999</v>
      </c>
      <c r="J2" t="s">
        <v>1</v>
      </c>
    </row>
    <row r="5" spans="3:10" x14ac:dyDescent="0.25">
      <c r="C5" t="s">
        <v>29</v>
      </c>
      <c r="E5" t="s">
        <v>28</v>
      </c>
    </row>
    <row r="6" spans="3:10" x14ac:dyDescent="0.25">
      <c r="C6" s="6">
        <v>0</v>
      </c>
      <c r="E6" s="6">
        <v>14.82</v>
      </c>
    </row>
    <row r="7" spans="3:10" x14ac:dyDescent="0.25">
      <c r="C7">
        <v>0.7</v>
      </c>
      <c r="E7">
        <v>-0.59</v>
      </c>
    </row>
    <row r="8" spans="3:10" x14ac:dyDescent="0.25">
      <c r="C8">
        <v>1.488</v>
      </c>
      <c r="E8">
        <v>-0.629</v>
      </c>
    </row>
    <row r="9" spans="3:10" x14ac:dyDescent="0.25">
      <c r="C9">
        <v>2.3340000000000001</v>
      </c>
      <c r="E9">
        <v>-0.65200000000000002</v>
      </c>
    </row>
    <row r="10" spans="3:10" x14ac:dyDescent="0.25">
      <c r="C10">
        <v>3.0390000000000001</v>
      </c>
      <c r="E10">
        <v>-0.66500000000000004</v>
      </c>
    </row>
    <row r="11" spans="3:10" x14ac:dyDescent="0.25">
      <c r="C11">
        <v>4</v>
      </c>
      <c r="E11">
        <v>-0.68</v>
      </c>
    </row>
    <row r="12" spans="3:10" x14ac:dyDescent="0.25">
      <c r="C12">
        <v>4.42</v>
      </c>
      <c r="E12">
        <v>-0.68500000000000005</v>
      </c>
    </row>
    <row r="13" spans="3:10" x14ac:dyDescent="0.25">
      <c r="C13">
        <v>5.05</v>
      </c>
      <c r="E13">
        <v>-0.69099999999999995</v>
      </c>
    </row>
    <row r="14" spans="3:10" x14ac:dyDescent="0.25">
      <c r="C14">
        <v>6.01</v>
      </c>
      <c r="E14">
        <v>-0.7</v>
      </c>
    </row>
    <row r="15" spans="3:10" x14ac:dyDescent="0.25">
      <c r="C15">
        <v>7.04</v>
      </c>
      <c r="E15">
        <v>-0.70899999999999996</v>
      </c>
    </row>
    <row r="16" spans="3:10" x14ac:dyDescent="0.25">
      <c r="C16">
        <v>8.1300000000000008</v>
      </c>
      <c r="E16">
        <v>-0.71799999999999997</v>
      </c>
    </row>
    <row r="17" spans="3:5" x14ac:dyDescent="0.25">
      <c r="C17">
        <v>9.09</v>
      </c>
      <c r="E17">
        <v>-0.72399999999999998</v>
      </c>
    </row>
    <row r="18" spans="3:5" x14ac:dyDescent="0.25">
      <c r="C18">
        <v>10.64</v>
      </c>
      <c r="E18">
        <v>-0.73299999999999998</v>
      </c>
    </row>
    <row r="19" spans="3:5" x14ac:dyDescent="0.25">
      <c r="C19">
        <v>12.01</v>
      </c>
      <c r="E19">
        <v>-0.74</v>
      </c>
    </row>
    <row r="20" spans="3:5" x14ac:dyDescent="0.25">
      <c r="C20">
        <v>13.09</v>
      </c>
      <c r="E20">
        <v>-0.745</v>
      </c>
    </row>
    <row r="21" spans="3:5" x14ac:dyDescent="0.25">
      <c r="C21">
        <v>14.1</v>
      </c>
      <c r="E21">
        <v>-0.749</v>
      </c>
    </row>
    <row r="22" spans="3:5" x14ac:dyDescent="0.25">
      <c r="C22">
        <v>15.07</v>
      </c>
      <c r="E22">
        <v>-0.752</v>
      </c>
    </row>
    <row r="23" spans="3:5" x14ac:dyDescent="0.25">
      <c r="C23">
        <v>1.069</v>
      </c>
      <c r="E23">
        <v>-0.61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8BA2-A37E-4443-B49B-2F2AF41589F3}">
  <dimension ref="A3:H11"/>
  <sheetViews>
    <sheetView workbookViewId="0">
      <selection activeCell="B14" sqref="B14"/>
    </sheetView>
  </sheetViews>
  <sheetFormatPr defaultRowHeight="15" x14ac:dyDescent="0.25"/>
  <sheetData>
    <row r="3" spans="1:8" x14ac:dyDescent="0.25">
      <c r="A3" t="s">
        <v>25</v>
      </c>
      <c r="B3">
        <v>0.98699999999999999</v>
      </c>
      <c r="C3" t="s">
        <v>1</v>
      </c>
    </row>
    <row r="4" spans="1:8" x14ac:dyDescent="0.25">
      <c r="A4" t="s">
        <v>2</v>
      </c>
      <c r="B4">
        <v>1.9910000000000001</v>
      </c>
      <c r="C4" t="s">
        <v>1</v>
      </c>
    </row>
    <row r="5" spans="1:8" x14ac:dyDescent="0.25">
      <c r="E5" t="e">
        <f ca="1">1/(2*PI.GRECO()*B3*Integratore!B2*10^-6)</f>
        <v>#NAME?</v>
      </c>
    </row>
    <row r="7" spans="1:8" x14ac:dyDescent="0.25">
      <c r="B7">
        <f>1/RADQ(2)*B4/B3</f>
        <v>1.4263927065272706</v>
      </c>
    </row>
    <row r="8" spans="1:8" x14ac:dyDescent="0.25">
      <c r="H8">
        <f>576/424</f>
        <v>1.3584905660377358</v>
      </c>
    </row>
    <row r="11" spans="1:8" x14ac:dyDescent="0.25">
      <c r="B11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36CE-5AD6-46AA-A514-76D6E756C639}">
  <dimension ref="A2:C5"/>
  <sheetViews>
    <sheetView workbookViewId="0">
      <selection activeCell="A10" sqref="A10"/>
    </sheetView>
  </sheetViews>
  <sheetFormatPr defaultRowHeight="15" x14ac:dyDescent="0.25"/>
  <sheetData>
    <row r="2" spans="1:3" x14ac:dyDescent="0.25">
      <c r="A2" t="s">
        <v>37</v>
      </c>
      <c r="B2">
        <v>0.98</v>
      </c>
      <c r="C2" t="s">
        <v>1</v>
      </c>
    </row>
    <row r="3" spans="1:3" x14ac:dyDescent="0.25">
      <c r="A3" t="s">
        <v>38</v>
      </c>
      <c r="B3">
        <v>9.9009999999999998</v>
      </c>
      <c r="C3" t="s">
        <v>1</v>
      </c>
    </row>
    <row r="4" spans="1:3" x14ac:dyDescent="0.25">
      <c r="A4" t="s">
        <v>39</v>
      </c>
      <c r="B4">
        <v>0.99399999999999999</v>
      </c>
      <c r="C4" t="s">
        <v>1</v>
      </c>
    </row>
    <row r="5" spans="1:3" x14ac:dyDescent="0.25">
      <c r="A5" t="s">
        <v>40</v>
      </c>
      <c r="B5">
        <v>0.98099999999999998</v>
      </c>
      <c r="C5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6771-474E-4BD4-AC6E-28E1CD967CAC}">
  <dimension ref="A2:H2"/>
  <sheetViews>
    <sheetView workbookViewId="0">
      <selection activeCell="H3" sqref="H3"/>
    </sheetView>
  </sheetViews>
  <sheetFormatPr defaultRowHeight="15" x14ac:dyDescent="0.25"/>
  <sheetData>
    <row r="2" spans="1:8" x14ac:dyDescent="0.25">
      <c r="A2" t="s">
        <v>41</v>
      </c>
      <c r="H2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8C53-F499-453C-99C2-29AAFAA430D0}">
  <dimension ref="A1:K29"/>
  <sheetViews>
    <sheetView workbookViewId="0">
      <selection activeCell="E30" sqref="E30"/>
    </sheetView>
  </sheetViews>
  <sheetFormatPr defaultRowHeight="15" x14ac:dyDescent="0.25"/>
  <cols>
    <col min="4" max="4" width="9.7109375" bestFit="1" customWidth="1"/>
  </cols>
  <sheetData>
    <row r="1" spans="1:11" x14ac:dyDescent="0.25">
      <c r="A1" t="s">
        <v>43</v>
      </c>
      <c r="D1" t="s">
        <v>44</v>
      </c>
      <c r="E1" t="s">
        <v>45</v>
      </c>
    </row>
    <row r="2" spans="1:11" x14ac:dyDescent="0.25">
      <c r="A2" t="s">
        <v>48</v>
      </c>
      <c r="D2" t="s">
        <v>46</v>
      </c>
      <c r="E2" t="s">
        <v>47</v>
      </c>
    </row>
    <row r="5" spans="1:11" x14ac:dyDescent="0.25">
      <c r="D5">
        <f>138/5</f>
        <v>27.6</v>
      </c>
      <c r="E5">
        <f>133/5</f>
        <v>26.6</v>
      </c>
    </row>
    <row r="10" spans="1:11" x14ac:dyDescent="0.25">
      <c r="A10" t="s">
        <v>49</v>
      </c>
      <c r="D10" t="s">
        <v>50</v>
      </c>
      <c r="E10" t="s">
        <v>52</v>
      </c>
    </row>
    <row r="11" spans="1:11" x14ac:dyDescent="0.25">
      <c r="D11" t="s">
        <v>46</v>
      </c>
      <c r="E11" t="s">
        <v>51</v>
      </c>
    </row>
    <row r="12" spans="1:11" x14ac:dyDescent="0.25">
      <c r="J12" t="s">
        <v>54</v>
      </c>
      <c r="K12">
        <f>AVERAGE(D14:E14,D5:E5,D22:E22)</f>
        <v>27.033333333333331</v>
      </c>
    </row>
    <row r="14" spans="1:11" x14ac:dyDescent="0.25">
      <c r="D14">
        <f>139/5</f>
        <v>27.8</v>
      </c>
      <c r="E14">
        <f>131/5</f>
        <v>26.2</v>
      </c>
    </row>
    <row r="18" spans="1:5" x14ac:dyDescent="0.25">
      <c r="A18" t="s">
        <v>53</v>
      </c>
      <c r="D18">
        <v>268</v>
      </c>
      <c r="E18">
        <v>272</v>
      </c>
    </row>
    <row r="19" spans="1:5" x14ac:dyDescent="0.25">
      <c r="D19" t="s">
        <v>46</v>
      </c>
      <c r="E19" t="s">
        <v>51</v>
      </c>
    </row>
    <row r="22" spans="1:5" x14ac:dyDescent="0.25">
      <c r="D22">
        <f>268/10</f>
        <v>26.8</v>
      </c>
      <c r="E22">
        <f>272/10</f>
        <v>27.2</v>
      </c>
    </row>
    <row r="27" spans="1:5" x14ac:dyDescent="0.25">
      <c r="A27" t="s">
        <v>55</v>
      </c>
      <c r="D27" t="s">
        <v>56</v>
      </c>
      <c r="E27" t="s">
        <v>57</v>
      </c>
    </row>
    <row r="29" spans="1:5" x14ac:dyDescent="0.25">
      <c r="D29">
        <f>267.9*2</f>
        <v>535.79999999999995</v>
      </c>
      <c r="E29">
        <f>267.9/2</f>
        <v>133.94999999999999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Non invertente</vt:lpstr>
      <vt:lpstr>Invertente 1</vt:lpstr>
      <vt:lpstr>Invertente 10</vt:lpstr>
      <vt:lpstr>Integratore</vt:lpstr>
      <vt:lpstr>Logaritmico</vt:lpstr>
      <vt:lpstr>Derivatore</vt:lpstr>
      <vt:lpstr>differenza</vt:lpstr>
      <vt:lpstr>Foglio2</vt:lpstr>
      <vt:lpstr>Foglio3</vt:lpstr>
      <vt:lpstr>Sipm 1mm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</dc:creator>
  <cp:lastModifiedBy>Fabrizio</cp:lastModifiedBy>
  <dcterms:created xsi:type="dcterms:W3CDTF">2021-10-04T11:56:17Z</dcterms:created>
  <dcterms:modified xsi:type="dcterms:W3CDTF">2021-10-11T21:10:48Z</dcterms:modified>
</cp:coreProperties>
</file>