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588b552f918fe/Documenti/Lectures/Lab elettronica/Amplificatore/"/>
    </mc:Choice>
  </mc:AlternateContent>
  <xr:revisionPtr revIDLastSave="3" documentId="13_ncr:1_{15A17504-00A1-4416-9EAB-9B04404FA49F}" xr6:coauthVersionLast="47" xr6:coauthVersionMax="47" xr10:uidLastSave="{AF7EF021-8FC1-4E13-B459-0889F86F9354}"/>
  <bookViews>
    <workbookView xWindow="-120" yWindow="-120" windowWidth="29040" windowHeight="15840" firstSheet="1" activeTab="3" xr2:uid="{1748DFF2-25E1-45C8-9E48-946719D1D616}"/>
  </bookViews>
  <sheets>
    <sheet name="Non invertente" sheetId="12" r:id="rId1"/>
    <sheet name="Invertente 1" sheetId="13" r:id="rId2"/>
    <sheet name="Invertente 10" sheetId="14" r:id="rId3"/>
    <sheet name="Integratore" sheetId="15" r:id="rId4"/>
    <sheet name="Logaritmico" sheetId="16" r:id="rId5"/>
    <sheet name="Derivatore" sheetId="17" r:id="rId6"/>
    <sheet name="differenza" sheetId="7" r:id="rId7"/>
    <sheet name="Foglio2" sheetId="8" r:id="rId8"/>
    <sheet name="Foglio3" sheetId="9" r:id="rId9"/>
    <sheet name="Sipm 1mm" sheetId="10" r:id="rId10"/>
    <sheet name="Foglio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2" l="1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H3" i="13"/>
  <c r="H4" i="14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14" i="15"/>
  <c r="I14" i="15"/>
  <c r="L2" i="16"/>
  <c r="K4" i="15"/>
  <c r="E4" i="15"/>
  <c r="D7" i="15"/>
  <c r="G7" i="15" s="1"/>
  <c r="M3" i="15"/>
  <c r="K3" i="15"/>
  <c r="E2" i="15"/>
  <c r="E3" i="15"/>
  <c r="M4" i="15" s="1"/>
  <c r="E5" i="17"/>
  <c r="B7" i="17"/>
  <c r="H8" i="17"/>
  <c r="A7" i="15"/>
  <c r="B7" i="15"/>
  <c r="C14" i="15"/>
  <c r="G14" i="15"/>
  <c r="L14" i="15"/>
  <c r="C15" i="15"/>
  <c r="G15" i="15"/>
  <c r="I15" i="15"/>
  <c r="L15" i="15"/>
  <c r="C16" i="15"/>
  <c r="G16" i="15"/>
  <c r="I16" i="15"/>
  <c r="L16" i="15"/>
  <c r="C17" i="15"/>
  <c r="G17" i="15"/>
  <c r="I17" i="15"/>
  <c r="L17" i="15"/>
  <c r="C18" i="15"/>
  <c r="G18" i="15"/>
  <c r="I18" i="15"/>
  <c r="L18" i="15"/>
  <c r="C19" i="15"/>
  <c r="G19" i="15"/>
  <c r="I19" i="15"/>
  <c r="L19" i="15"/>
  <c r="C20" i="15"/>
  <c r="G20" i="15"/>
  <c r="I20" i="15"/>
  <c r="L20" i="15"/>
  <c r="C21" i="15"/>
  <c r="G21" i="15"/>
  <c r="I21" i="15"/>
  <c r="L21" i="15"/>
  <c r="C22" i="15"/>
  <c r="G22" i="15"/>
  <c r="I22" i="15"/>
  <c r="L22" i="15"/>
  <c r="C23" i="15"/>
  <c r="G23" i="15"/>
  <c r="I23" i="15"/>
  <c r="L23" i="15"/>
  <c r="C24" i="15"/>
  <c r="G24" i="15"/>
  <c r="I24" i="15"/>
  <c r="L24" i="15"/>
  <c r="C25" i="15"/>
  <c r="G25" i="15"/>
  <c r="I25" i="15"/>
  <c r="L25" i="15"/>
  <c r="C26" i="15"/>
  <c r="G26" i="15"/>
  <c r="I26" i="15"/>
  <c r="L26" i="15"/>
  <c r="C27" i="15"/>
  <c r="G27" i="15"/>
  <c r="I27" i="15"/>
  <c r="L27" i="15"/>
  <c r="C28" i="15"/>
  <c r="G28" i="15"/>
  <c r="I28" i="15"/>
  <c r="L28" i="15"/>
  <c r="C29" i="15"/>
  <c r="G29" i="15"/>
  <c r="I29" i="15"/>
  <c r="L29" i="15"/>
  <c r="C30" i="15"/>
  <c r="G30" i="15"/>
  <c r="I30" i="15"/>
  <c r="L30" i="15"/>
  <c r="C31" i="15"/>
  <c r="G31" i="15"/>
  <c r="I31" i="15"/>
  <c r="L31" i="15"/>
  <c r="C32" i="15"/>
  <c r="G32" i="15"/>
  <c r="I32" i="15"/>
  <c r="L32" i="15"/>
  <c r="C33" i="15"/>
  <c r="G33" i="15"/>
  <c r="I33" i="15"/>
  <c r="L33" i="15"/>
  <c r="C34" i="15"/>
  <c r="G34" i="15"/>
  <c r="I34" i="15"/>
  <c r="L34" i="15"/>
  <c r="C35" i="15"/>
  <c r="G35" i="15"/>
  <c r="I35" i="15"/>
  <c r="L35" i="15"/>
  <c r="C36" i="15"/>
  <c r="G36" i="15"/>
  <c r="I36" i="15"/>
  <c r="L36" i="15"/>
  <c r="C37" i="15"/>
  <c r="G37" i="15"/>
  <c r="I37" i="15"/>
  <c r="L37" i="15"/>
  <c r="E3" i="14"/>
  <c r="O4" i="14" s="1"/>
  <c r="E4" i="14"/>
  <c r="M4" i="14"/>
  <c r="C9" i="14"/>
  <c r="G9" i="14"/>
  <c r="N9" i="14" s="1"/>
  <c r="I9" i="14"/>
  <c r="L9" i="14"/>
  <c r="M9" i="14" s="1"/>
  <c r="C10" i="14"/>
  <c r="G10" i="14"/>
  <c r="N10" i="14" s="1"/>
  <c r="I10" i="14"/>
  <c r="L10" i="14"/>
  <c r="M10" i="14" s="1"/>
  <c r="C11" i="14"/>
  <c r="G11" i="14"/>
  <c r="I11" i="14"/>
  <c r="L11" i="14"/>
  <c r="M11" i="14" s="1"/>
  <c r="N11" i="14"/>
  <c r="C12" i="14"/>
  <c r="G12" i="14"/>
  <c r="N12" i="14" s="1"/>
  <c r="I12" i="14"/>
  <c r="L12" i="14"/>
  <c r="M12" i="14" s="1"/>
  <c r="C13" i="14"/>
  <c r="G13" i="14"/>
  <c r="N13" i="14" s="1"/>
  <c r="I13" i="14"/>
  <c r="L13" i="14"/>
  <c r="M13" i="14" s="1"/>
  <c r="C14" i="14"/>
  <c r="G14" i="14"/>
  <c r="N14" i="14" s="1"/>
  <c r="I14" i="14"/>
  <c r="L14" i="14"/>
  <c r="M14" i="14" s="1"/>
  <c r="C15" i="14"/>
  <c r="G15" i="14"/>
  <c r="N15" i="14" s="1"/>
  <c r="I15" i="14"/>
  <c r="L15" i="14"/>
  <c r="M15" i="14" s="1"/>
  <c r="C16" i="14"/>
  <c r="G16" i="14"/>
  <c r="N16" i="14" s="1"/>
  <c r="I16" i="14"/>
  <c r="L16" i="14"/>
  <c r="M16" i="14" s="1"/>
  <c r="C17" i="14"/>
  <c r="G17" i="14"/>
  <c r="N17" i="14" s="1"/>
  <c r="I17" i="14"/>
  <c r="L17" i="14"/>
  <c r="M17" i="14" s="1"/>
  <c r="C18" i="14"/>
  <c r="G18" i="14"/>
  <c r="N18" i="14" s="1"/>
  <c r="I18" i="14"/>
  <c r="L18" i="14"/>
  <c r="M18" i="14" s="1"/>
  <c r="C19" i="14"/>
  <c r="G19" i="14"/>
  <c r="I19" i="14"/>
  <c r="L19" i="14"/>
  <c r="M19" i="14" s="1"/>
  <c r="N19" i="14"/>
  <c r="C20" i="14"/>
  <c r="G20" i="14"/>
  <c r="N20" i="14" s="1"/>
  <c r="I20" i="14"/>
  <c r="L20" i="14"/>
  <c r="M20" i="14" s="1"/>
  <c r="C21" i="14"/>
  <c r="G21" i="14"/>
  <c r="N21" i="14" s="1"/>
  <c r="I21" i="14"/>
  <c r="L21" i="14"/>
  <c r="M21" i="14" s="1"/>
  <c r="C22" i="14"/>
  <c r="G22" i="14"/>
  <c r="N22" i="14" s="1"/>
  <c r="I22" i="14"/>
  <c r="L22" i="14"/>
  <c r="M22" i="14" s="1"/>
  <c r="C23" i="14"/>
  <c r="G23" i="14"/>
  <c r="N23" i="14" s="1"/>
  <c r="I23" i="14"/>
  <c r="L23" i="14"/>
  <c r="M23" i="14" s="1"/>
  <c r="C24" i="14"/>
  <c r="G24" i="14"/>
  <c r="N24" i="14" s="1"/>
  <c r="I24" i="14"/>
  <c r="L24" i="14"/>
  <c r="M24" i="14" s="1"/>
  <c r="C25" i="14"/>
  <c r="G25" i="14"/>
  <c r="N25" i="14" s="1"/>
  <c r="I25" i="14"/>
  <c r="L25" i="14"/>
  <c r="M25" i="14" s="1"/>
  <c r="C26" i="14"/>
  <c r="G26" i="14"/>
  <c r="N26" i="14" s="1"/>
  <c r="I26" i="14"/>
  <c r="L26" i="14"/>
  <c r="M26" i="14" s="1"/>
  <c r="C27" i="14"/>
  <c r="G27" i="14"/>
  <c r="I27" i="14"/>
  <c r="L27" i="14"/>
  <c r="M27" i="14" s="1"/>
  <c r="N27" i="14"/>
  <c r="E29" i="14"/>
  <c r="E3" i="13"/>
  <c r="E4" i="13"/>
  <c r="M4" i="13"/>
  <c r="L10" i="13"/>
  <c r="M10" i="13" s="1"/>
  <c r="N10" i="13"/>
  <c r="L11" i="13"/>
  <c r="M11" i="13"/>
  <c r="N11" i="13"/>
  <c r="L12" i="13"/>
  <c r="M12" i="13" s="1"/>
  <c r="N12" i="13"/>
  <c r="L13" i="13"/>
  <c r="M13" i="13"/>
  <c r="N13" i="13"/>
  <c r="L14" i="13"/>
  <c r="M14" i="13" s="1"/>
  <c r="N14" i="13"/>
  <c r="L15" i="13"/>
  <c r="M15" i="13" s="1"/>
  <c r="N15" i="13"/>
  <c r="L16" i="13"/>
  <c r="M16" i="13"/>
  <c r="N16" i="13"/>
  <c r="L17" i="13"/>
  <c r="M17" i="13" s="1"/>
  <c r="N17" i="13"/>
  <c r="L18" i="13"/>
  <c r="M18" i="13" s="1"/>
  <c r="N18" i="13"/>
  <c r="L19" i="13"/>
  <c r="M19" i="13"/>
  <c r="N19" i="13"/>
  <c r="L20" i="13"/>
  <c r="M20" i="13"/>
  <c r="N20" i="13"/>
  <c r="L21" i="13"/>
  <c r="M21" i="13" s="1"/>
  <c r="N21" i="13"/>
  <c r="L22" i="13"/>
  <c r="M22" i="13" s="1"/>
  <c r="N22" i="13"/>
  <c r="L23" i="13"/>
  <c r="M23" i="13"/>
  <c r="N23" i="13"/>
  <c r="L24" i="13"/>
  <c r="M24" i="13" s="1"/>
  <c r="N24" i="13"/>
  <c r="L25" i="13"/>
  <c r="M25" i="13" s="1"/>
  <c r="N25" i="13"/>
  <c r="L26" i="13"/>
  <c r="M26" i="13" s="1"/>
  <c r="N26" i="13"/>
  <c r="E29" i="13"/>
  <c r="E3" i="12"/>
  <c r="O4" i="12" s="1"/>
  <c r="E4" i="12"/>
  <c r="M4" i="12"/>
  <c r="C10" i="12"/>
  <c r="G10" i="12"/>
  <c r="I10" i="12"/>
  <c r="L10" i="12"/>
  <c r="M10" i="12"/>
  <c r="C11" i="12"/>
  <c r="G11" i="12"/>
  <c r="I11" i="12"/>
  <c r="L11" i="12"/>
  <c r="M11" i="12" s="1"/>
  <c r="C12" i="12"/>
  <c r="G12" i="12"/>
  <c r="I12" i="12"/>
  <c r="L12" i="12"/>
  <c r="M12" i="12" s="1"/>
  <c r="C13" i="12"/>
  <c r="G13" i="12"/>
  <c r="I13" i="12"/>
  <c r="L13" i="12"/>
  <c r="M13" i="12"/>
  <c r="C14" i="12"/>
  <c r="G14" i="12"/>
  <c r="I14" i="12"/>
  <c r="L14" i="12"/>
  <c r="M14" i="12" s="1"/>
  <c r="C15" i="12"/>
  <c r="G15" i="12"/>
  <c r="I15" i="12"/>
  <c r="L15" i="12"/>
  <c r="M15" i="12" s="1"/>
  <c r="C16" i="12"/>
  <c r="G16" i="12"/>
  <c r="I16" i="12"/>
  <c r="L16" i="12"/>
  <c r="M16" i="12"/>
  <c r="C17" i="12"/>
  <c r="G17" i="12"/>
  <c r="I17" i="12"/>
  <c r="L17" i="12"/>
  <c r="M17" i="12"/>
  <c r="C18" i="12"/>
  <c r="G18" i="12"/>
  <c r="I18" i="12"/>
  <c r="L18" i="12"/>
  <c r="M18" i="12"/>
  <c r="C19" i="12"/>
  <c r="G19" i="12"/>
  <c r="I19" i="12"/>
  <c r="L19" i="12"/>
  <c r="M19" i="12" s="1"/>
  <c r="C20" i="12"/>
  <c r="G20" i="12"/>
  <c r="I20" i="12"/>
  <c r="L20" i="12"/>
  <c r="M20" i="12" s="1"/>
  <c r="C21" i="12"/>
  <c r="G21" i="12"/>
  <c r="I21" i="12"/>
  <c r="L21" i="12"/>
  <c r="M21" i="12" s="1"/>
  <c r="C22" i="12"/>
  <c r="G22" i="12"/>
  <c r="I22" i="12"/>
  <c r="L22" i="12"/>
  <c r="M22" i="12"/>
  <c r="C23" i="12"/>
  <c r="G23" i="12"/>
  <c r="I23" i="12"/>
  <c r="L23" i="12"/>
  <c r="M23" i="12" s="1"/>
  <c r="E29" i="9"/>
  <c r="D29" i="9"/>
  <c r="E22" i="9"/>
  <c r="D22" i="9"/>
  <c r="E14" i="9"/>
  <c r="D14" i="9"/>
  <c r="K12" i="9" s="1"/>
  <c r="E5" i="9"/>
  <c r="D5" i="9"/>
  <c r="O4" i="13" l="1"/>
</calcChain>
</file>

<file path=xl/sharedStrings.xml><?xml version="1.0" encoding="utf-8"?>
<sst xmlns="http://schemas.openxmlformats.org/spreadsheetml/2006/main" count="172" uniqueCount="77">
  <si>
    <t>rf</t>
  </si>
  <si>
    <t>kohm</t>
  </si>
  <si>
    <t>R</t>
  </si>
  <si>
    <t>invertente</t>
  </si>
  <si>
    <t>guadagno</t>
  </si>
  <si>
    <t>freq (Kh)</t>
  </si>
  <si>
    <t>vin (mV)</t>
  </si>
  <si>
    <t>vin/div (mV)</t>
  </si>
  <si>
    <t>err vin (mV)</t>
  </si>
  <si>
    <t>vout (mV)</t>
  </si>
  <si>
    <t>vout/div (mV)</t>
  </si>
  <si>
    <t>err vout (mV)</t>
  </si>
  <si>
    <t>t/div (ns)</t>
  </si>
  <si>
    <t>errf (kH)</t>
  </si>
  <si>
    <t>errt (ns)</t>
  </si>
  <si>
    <t>Rf</t>
  </si>
  <si>
    <t>r</t>
  </si>
  <si>
    <t>C</t>
  </si>
  <si>
    <t>nF</t>
  </si>
  <si>
    <t>R'</t>
  </si>
  <si>
    <t>IDM 103N</t>
  </si>
  <si>
    <t>rs pro</t>
  </si>
  <si>
    <t>vout 1.59 a 0.220 a 12.89959471</t>
  </si>
  <si>
    <t>freq (hz)</t>
  </si>
  <si>
    <t>guadagno aspettato a fhf</t>
  </si>
  <si>
    <t>R''</t>
  </si>
  <si>
    <t>a 400 khz non funziona</t>
  </si>
  <si>
    <t>Logaritmico</t>
  </si>
  <si>
    <t>V out (V)</t>
  </si>
  <si>
    <t>V in (V)</t>
  </si>
  <si>
    <t>vout (V)</t>
  </si>
  <si>
    <t>vout/div (V)</t>
  </si>
  <si>
    <t>err vout (V)</t>
  </si>
  <si>
    <t>t/div (ms)</t>
  </si>
  <si>
    <t>errg</t>
  </si>
  <si>
    <t>dati</t>
  </si>
  <si>
    <t>numero</t>
  </si>
  <si>
    <t>R1</t>
  </si>
  <si>
    <t>R2</t>
  </si>
  <si>
    <t>R3</t>
  </si>
  <si>
    <t>R4</t>
  </si>
  <si>
    <t>utilizzando 100 hz e 90 hz la frequenza di battimento è 10 hz corretta</t>
  </si>
  <si>
    <t>(in realtà viene 9.901 hz)</t>
  </si>
  <si>
    <t>differenza tempo</t>
  </si>
  <si>
    <t>138 ns</t>
  </si>
  <si>
    <t>133ns</t>
  </si>
  <si>
    <t>sul massimo</t>
  </si>
  <si>
    <t xml:space="preserve">sull'inizio </t>
  </si>
  <si>
    <t>50 ohm</t>
  </si>
  <si>
    <t>circuito aperto</t>
  </si>
  <si>
    <t>139 ns</t>
  </si>
  <si>
    <t>sull'inizio</t>
  </si>
  <si>
    <t>131 ns</t>
  </si>
  <si>
    <t>circuito chiuso</t>
  </si>
  <si>
    <t xml:space="preserve">media </t>
  </si>
  <si>
    <t>minimo segnale</t>
  </si>
  <si>
    <t>267.90 ns</t>
  </si>
  <si>
    <t>L=</t>
  </si>
  <si>
    <t>da sx a dx</t>
  </si>
  <si>
    <t>C1</t>
  </si>
  <si>
    <t>rosso</t>
  </si>
  <si>
    <t>C2</t>
  </si>
  <si>
    <t>C3</t>
  </si>
  <si>
    <t>kOhm</t>
  </si>
  <si>
    <t>C4</t>
  </si>
  <si>
    <t>meterman 35xp</t>
  </si>
  <si>
    <t>giallo</t>
  </si>
  <si>
    <t>Satura a 3V</t>
  </si>
  <si>
    <t>saved 04</t>
  </si>
  <si>
    <t>1mm</t>
  </si>
  <si>
    <t>saved 07</t>
  </si>
  <si>
    <t>3mm</t>
  </si>
  <si>
    <t>+-</t>
  </si>
  <si>
    <t>guadagno aspettato</t>
  </si>
  <si>
    <t>fhf</t>
  </si>
  <si>
    <t>vout alla frequenza di taglio ipotetica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</si>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</sst>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"/>
    <numFmt numFmtId="167" formatCode="0.0E+00"/>
    <numFmt numFmtId="168" formatCode="0E+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1" xfId="1" applyBorder="1"/>
    <xf numFmtId="0" fontId="0" fillId="0" borderId="3" xfId="0" applyBorder="1"/>
    <xf numFmtId="0" fontId="2" fillId="3" borderId="0" xfId="2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0" fontId="1" fillId="2" borderId="6" xfId="1" applyBorder="1"/>
    <xf numFmtId="0" fontId="0" fillId="0" borderId="6" xfId="0" applyBorder="1"/>
    <xf numFmtId="0" fontId="0" fillId="0" borderId="0" xfId="0" quotePrefix="1"/>
    <xf numFmtId="164" fontId="0" fillId="0" borderId="3" xfId="0" applyNumberFormat="1" applyBorder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5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1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invertente'!$J$10:$J$23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150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350</c:v>
                </c:pt>
                <c:pt idx="13">
                  <c:v>250</c:v>
                </c:pt>
              </c:numCache>
            </c:numRef>
          </c:xVal>
          <c:yVal>
            <c:numRef>
              <c:f>'Non invertente'!$I$10:$I$23</c:f>
              <c:numCache>
                <c:formatCode>General</c:formatCode>
                <c:ptCount val="14"/>
                <c:pt idx="0">
                  <c:v>1.9805194805194806</c:v>
                </c:pt>
                <c:pt idx="1">
                  <c:v>1.921875</c:v>
                </c:pt>
                <c:pt idx="2">
                  <c:v>1.9076923076923078</c:v>
                </c:pt>
                <c:pt idx="3">
                  <c:v>1.875</c:v>
                </c:pt>
                <c:pt idx="4">
                  <c:v>1.8601190476190477</c:v>
                </c:pt>
                <c:pt idx="5">
                  <c:v>1.695906432748538</c:v>
                </c:pt>
                <c:pt idx="6">
                  <c:v>1.3808139534883721</c:v>
                </c:pt>
                <c:pt idx="7">
                  <c:v>1.0628571428571429</c:v>
                </c:pt>
                <c:pt idx="8">
                  <c:v>1.7836257309941521</c:v>
                </c:pt>
                <c:pt idx="9">
                  <c:v>0.88372093023255816</c:v>
                </c:pt>
                <c:pt idx="10">
                  <c:v>0.4264705882352941</c:v>
                </c:pt>
                <c:pt idx="11">
                  <c:v>0.22093023255813954</c:v>
                </c:pt>
                <c:pt idx="12">
                  <c:v>1.1954022988505748</c:v>
                </c:pt>
                <c:pt idx="13">
                  <c:v>1.5406976744186047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0-41EB-B33A-F297EB87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2368"/>
        <c:axId val="452809416"/>
      </c:scatterChart>
      <c:valAx>
        <c:axId val="45281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09416"/>
        <c:crosses val="autoZero"/>
        <c:crossBetween val="midCat"/>
      </c:valAx>
      <c:valAx>
        <c:axId val="452809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Integratore!$J$14:$J$45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300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Integratore!$I$14:$I$44</c:f>
              <c:numCache>
                <c:formatCode>General</c:formatCode>
                <c:ptCount val="31"/>
                <c:pt idx="0">
                  <c:v>9.3693693693693696</c:v>
                </c:pt>
                <c:pt idx="1">
                  <c:v>9.2727272727272734</c:v>
                </c:pt>
                <c:pt idx="2">
                  <c:v>8.9189189189189175</c:v>
                </c:pt>
                <c:pt idx="3">
                  <c:v>8.468468468468469</c:v>
                </c:pt>
                <c:pt idx="4">
                  <c:v>8.1531531531531538</c:v>
                </c:pt>
                <c:pt idx="5">
                  <c:v>7.9279279279279287</c:v>
                </c:pt>
                <c:pt idx="6">
                  <c:v>7.7027027027027026</c:v>
                </c:pt>
                <c:pt idx="7">
                  <c:v>7.4324324324324316</c:v>
                </c:pt>
                <c:pt idx="8">
                  <c:v>7.2522522522522523</c:v>
                </c:pt>
                <c:pt idx="9">
                  <c:v>7.0270270270270272</c:v>
                </c:pt>
                <c:pt idx="10">
                  <c:v>6.8918918918918921</c:v>
                </c:pt>
                <c:pt idx="11">
                  <c:v>6.756756756756757</c:v>
                </c:pt>
                <c:pt idx="12">
                  <c:v>6.576576576576576</c:v>
                </c:pt>
                <c:pt idx="13">
                  <c:v>5.8108108108108114</c:v>
                </c:pt>
                <c:pt idx="14">
                  <c:v>4.3243243243243246</c:v>
                </c:pt>
                <c:pt idx="15">
                  <c:v>3.4594594594594592</c:v>
                </c:pt>
                <c:pt idx="16">
                  <c:v>3.0769230769230771</c:v>
                </c:pt>
                <c:pt idx="17">
                  <c:v>2.1346153846153846</c:v>
                </c:pt>
                <c:pt idx="18">
                  <c:v>1.6250000000000002</c:v>
                </c:pt>
                <c:pt idx="19">
                  <c:v>1.096153846153846</c:v>
                </c:pt>
                <c:pt idx="20">
                  <c:v>0.56730769230769229</c:v>
                </c:pt>
                <c:pt idx="21">
                  <c:v>0.33333333333333337</c:v>
                </c:pt>
                <c:pt idx="22">
                  <c:v>0.17254901960784316</c:v>
                </c:pt>
                <c:pt idx="23">
                  <c:v>8.8461538461538466E-2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F-44E5-A97E-6F7EC0EC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2584"/>
        <c:axId val="507935536"/>
      </c:scatterChart>
      <c:valAx>
        <c:axId val="507932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5536"/>
        <c:crosses val="autoZero"/>
        <c:crossBetween val="midCat"/>
      </c:valAx>
      <c:valAx>
        <c:axId val="50793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4762</xdr:rowOff>
    </xdr:from>
    <xdr:to>
      <xdr:col>24</xdr:col>
      <xdr:colOff>304800</xdr:colOff>
      <xdr:row>23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384FF3-FD91-4DD9-8E5A-8020BF4B2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174719</xdr:colOff>
      <xdr:row>7</xdr:row>
      <xdr:rowOff>148828</xdr:rowOff>
    </xdr:from>
    <xdr:ext cx="8172917" cy="4246694"/>
    <xdr:pic>
      <xdr:nvPicPr>
        <xdr:cNvPr id="2" name="Immagine 1">
          <a:extLst>
            <a:ext uri="{FF2B5EF4-FFF2-40B4-BE49-F238E27FC236}">
              <a16:creationId xmlns:a16="http://schemas.microsoft.com/office/drawing/2014/main" id="{5DFFD625-0307-477D-9DF5-5A4F8A092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8719" y="1482328"/>
          <a:ext cx="8172917" cy="42466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583277</xdr:colOff>
      <xdr:row>7</xdr:row>
      <xdr:rowOff>104775</xdr:rowOff>
    </xdr:from>
    <xdr:ext cx="7144047" cy="3687490"/>
    <xdr:pic>
      <xdr:nvPicPr>
        <xdr:cNvPr id="2" name="Immagine 1">
          <a:extLst>
            <a:ext uri="{FF2B5EF4-FFF2-40B4-BE49-F238E27FC236}">
              <a16:creationId xmlns:a16="http://schemas.microsoft.com/office/drawing/2014/main" id="{D2107452-5C41-4559-AFC5-AF85D80A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7277" y="1438275"/>
          <a:ext cx="7144047" cy="36874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48538</xdr:colOff>
      <xdr:row>12</xdr:row>
      <xdr:rowOff>195262</xdr:rowOff>
    </xdr:from>
    <xdr:to>
      <xdr:col>23</xdr:col>
      <xdr:colOff>349875</xdr:colOff>
      <xdr:row>26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D0AC96-0A38-4D47-9C0E-704582D1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8679-B0D4-4D0A-8E33-1BDA7A7F29E4}">
  <dimension ref="A1:O44"/>
  <sheetViews>
    <sheetView topLeftCell="A4" zoomScaleNormal="100" workbookViewId="0">
      <selection activeCell="O28" sqref="O28"/>
    </sheetView>
  </sheetViews>
  <sheetFormatPr defaultRowHeight="15" x14ac:dyDescent="0.25"/>
  <cols>
    <col min="2" max="2" width="11.5703125" customWidth="1"/>
    <col min="3" max="3" width="11.7109375" customWidth="1"/>
    <col min="5" max="5" width="9.28515625" customWidth="1"/>
    <col min="6" max="6" width="12.85546875" customWidth="1"/>
    <col min="7" max="7" width="13.28515625" customWidth="1"/>
    <col min="9" max="9" width="9.5703125" customWidth="1"/>
    <col min="10" max="10" width="13.28515625" bestFit="1" customWidth="1"/>
    <col min="11" max="11" width="9.5703125" customWidth="1"/>
    <col min="13" max="13" width="11" bestFit="1" customWidth="1"/>
  </cols>
  <sheetData>
    <row r="1" spans="1:15" x14ac:dyDescent="0.25">
      <c r="A1" t="s">
        <v>20</v>
      </c>
      <c r="B1" t="s">
        <v>21</v>
      </c>
    </row>
    <row r="2" spans="1:15" ht="15.75" thickBot="1" x14ac:dyDescent="0.3">
      <c r="A2" s="1"/>
      <c r="B2" s="1"/>
      <c r="C2" s="1"/>
      <c r="I2" s="16" t="s">
        <v>3</v>
      </c>
      <c r="J2" s="16"/>
    </row>
    <row r="3" spans="1:15" ht="15.75" thickBot="1" x14ac:dyDescent="0.3">
      <c r="A3" s="4" t="s">
        <v>0</v>
      </c>
      <c r="B3" s="4">
        <v>0.98899999999999999</v>
      </c>
      <c r="C3" s="4" t="s">
        <v>1</v>
      </c>
      <c r="D3" s="13" t="s">
        <v>72</v>
      </c>
      <c r="E3">
        <f>0.006*B3+0.003</f>
        <v>8.934000000000001E-3</v>
      </c>
      <c r="F3" t="s">
        <v>1</v>
      </c>
      <c r="I3" s="16"/>
      <c r="J3" s="16"/>
      <c r="M3" t="s">
        <v>73</v>
      </c>
    </row>
    <row r="4" spans="1:15" ht="15.75" thickBot="1" x14ac:dyDescent="0.3">
      <c r="A4" s="2" t="s">
        <v>2</v>
      </c>
      <c r="B4" s="2">
        <v>0.98499999999999999</v>
      </c>
      <c r="C4" s="2" t="s">
        <v>1</v>
      </c>
      <c r="D4" s="13" t="s">
        <v>72</v>
      </c>
      <c r="E4">
        <f>0.006*B4+0.003</f>
        <v>8.9100000000000013E-3</v>
      </c>
      <c r="F4" t="s">
        <v>1</v>
      </c>
      <c r="I4" s="16"/>
      <c r="J4" s="16"/>
      <c r="M4">
        <f>1+B3/B4</f>
        <v>2.004060913705584</v>
      </c>
      <c r="N4" s="13" t="s">
        <v>72</v>
      </c>
      <c r="O4">
        <f>1/B4*E3+B3/B4^2*E4</f>
        <v>1.815246978793579E-2</v>
      </c>
    </row>
    <row r="8" spans="1:15" ht="15.75" thickBot="1" x14ac:dyDescent="0.3"/>
    <row r="9" spans="1:15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3" t="s">
        <v>13</v>
      </c>
      <c r="N9" s="3" t="s">
        <v>34</v>
      </c>
    </row>
    <row r="10" spans="1:15" ht="15.75" thickBot="1" x14ac:dyDescent="0.3">
      <c r="A10" s="2">
        <v>616</v>
      </c>
      <c r="B10" s="2">
        <v>200</v>
      </c>
      <c r="C10" s="2">
        <f t="shared" ref="C10:C23" si="0">B10/5</f>
        <v>40</v>
      </c>
      <c r="E10" s="2">
        <v>1220</v>
      </c>
      <c r="F10" s="2">
        <v>500</v>
      </c>
      <c r="G10" s="2">
        <f t="shared" ref="G10:G23" si="1">F10/5</f>
        <v>100</v>
      </c>
      <c r="I10" s="2">
        <f t="shared" ref="I10:I23" si="2">E10/A10</f>
        <v>1.9805194805194806</v>
      </c>
      <c r="J10" s="2">
        <v>1</v>
      </c>
      <c r="K10" s="2">
        <v>250000</v>
      </c>
      <c r="L10" s="2">
        <f t="shared" ref="L10:L23" si="3">K10/5</f>
        <v>50000</v>
      </c>
      <c r="M10" s="2">
        <f t="shared" ref="M10:M23" si="4">J10^2*L10*10^-6</f>
        <v>4.9999999999999996E-2</v>
      </c>
      <c r="N10" s="14">
        <f t="shared" ref="N10:N26" si="5">1/A10*G10+E10/A10^2*C10</f>
        <v>0.29094282341035588</v>
      </c>
    </row>
    <row r="11" spans="1:15" ht="15.75" thickBot="1" x14ac:dyDescent="0.3">
      <c r="A11" s="2">
        <v>640</v>
      </c>
      <c r="B11" s="2">
        <v>100</v>
      </c>
      <c r="C11" s="2">
        <f t="shared" si="0"/>
        <v>20</v>
      </c>
      <c r="E11" s="2">
        <v>1230</v>
      </c>
      <c r="F11" s="2">
        <v>200</v>
      </c>
      <c r="G11" s="2">
        <f t="shared" si="1"/>
        <v>40</v>
      </c>
      <c r="I11" s="2">
        <f t="shared" si="2"/>
        <v>1.921875</v>
      </c>
      <c r="J11" s="2">
        <v>5</v>
      </c>
      <c r="K11" s="2">
        <v>50000</v>
      </c>
      <c r="L11" s="2">
        <f t="shared" si="3"/>
        <v>10000</v>
      </c>
      <c r="M11" s="2">
        <f t="shared" si="4"/>
        <v>0.25</v>
      </c>
      <c r="N11" s="10">
        <f t="shared" si="5"/>
        <v>0.12255859375</v>
      </c>
    </row>
    <row r="12" spans="1:15" ht="15.75" thickBot="1" x14ac:dyDescent="0.3">
      <c r="A12" s="2">
        <v>650</v>
      </c>
      <c r="B12" s="2">
        <v>100</v>
      </c>
      <c r="C12" s="2">
        <f t="shared" si="0"/>
        <v>20</v>
      </c>
      <c r="E12" s="2">
        <v>1240</v>
      </c>
      <c r="F12" s="2">
        <v>200</v>
      </c>
      <c r="G12" s="2">
        <f t="shared" si="1"/>
        <v>40</v>
      </c>
      <c r="I12" s="2">
        <f t="shared" si="2"/>
        <v>1.9076923076923078</v>
      </c>
      <c r="J12" s="2">
        <v>10</v>
      </c>
      <c r="K12" s="2">
        <v>25000</v>
      </c>
      <c r="L12" s="2">
        <f t="shared" si="3"/>
        <v>5000</v>
      </c>
      <c r="M12" s="2">
        <f t="shared" si="4"/>
        <v>0.5</v>
      </c>
      <c r="N12" s="10">
        <f t="shared" si="5"/>
        <v>0.12023668639053255</v>
      </c>
    </row>
    <row r="13" spans="1:15" ht="15.75" thickBot="1" x14ac:dyDescent="0.3">
      <c r="A13" s="2">
        <v>672</v>
      </c>
      <c r="B13" s="2">
        <v>100</v>
      </c>
      <c r="C13" s="2">
        <f t="shared" si="0"/>
        <v>20</v>
      </c>
      <c r="E13" s="2">
        <v>1260</v>
      </c>
      <c r="F13" s="2">
        <v>200</v>
      </c>
      <c r="G13" s="2">
        <f t="shared" si="1"/>
        <v>40</v>
      </c>
      <c r="I13" s="2">
        <f t="shared" si="2"/>
        <v>1.875</v>
      </c>
      <c r="J13" s="2">
        <v>50</v>
      </c>
      <c r="K13" s="2">
        <v>2500</v>
      </c>
      <c r="L13" s="2">
        <f t="shared" si="3"/>
        <v>500</v>
      </c>
      <c r="M13" s="2">
        <f t="shared" si="4"/>
        <v>1.25</v>
      </c>
      <c r="N13" s="10">
        <f t="shared" si="5"/>
        <v>0.11532738095238096</v>
      </c>
    </row>
    <row r="14" spans="1:15" ht="15.75" thickBot="1" x14ac:dyDescent="0.3">
      <c r="A14" s="2">
        <v>672</v>
      </c>
      <c r="B14" s="2">
        <v>100</v>
      </c>
      <c r="C14" s="2">
        <f t="shared" si="0"/>
        <v>20</v>
      </c>
      <c r="E14" s="2">
        <v>1250</v>
      </c>
      <c r="F14" s="2">
        <v>200</v>
      </c>
      <c r="G14" s="2">
        <f t="shared" si="1"/>
        <v>40</v>
      </c>
      <c r="I14" s="2">
        <f t="shared" si="2"/>
        <v>1.8601190476190477</v>
      </c>
      <c r="J14" s="2">
        <v>100</v>
      </c>
      <c r="K14" s="2">
        <v>2500</v>
      </c>
      <c r="L14" s="2">
        <f t="shared" si="3"/>
        <v>500</v>
      </c>
      <c r="M14" s="2">
        <f t="shared" si="4"/>
        <v>5</v>
      </c>
      <c r="N14" s="10">
        <f t="shared" si="5"/>
        <v>0.1148844954648526</v>
      </c>
    </row>
    <row r="15" spans="1:15" ht="15.75" thickBot="1" x14ac:dyDescent="0.3">
      <c r="A15" s="2">
        <v>684</v>
      </c>
      <c r="B15" s="2">
        <v>100</v>
      </c>
      <c r="C15" s="2">
        <f t="shared" si="0"/>
        <v>20</v>
      </c>
      <c r="E15" s="2">
        <v>1160</v>
      </c>
      <c r="F15" s="2">
        <v>200</v>
      </c>
      <c r="G15" s="2">
        <f t="shared" si="1"/>
        <v>40</v>
      </c>
      <c r="I15" s="2">
        <f t="shared" si="2"/>
        <v>1.695906432748538</v>
      </c>
      <c r="J15" s="2">
        <v>200</v>
      </c>
      <c r="K15" s="2">
        <v>1000</v>
      </c>
      <c r="L15" s="2">
        <f t="shared" si="3"/>
        <v>200</v>
      </c>
      <c r="M15" s="2">
        <f t="shared" si="4"/>
        <v>8</v>
      </c>
      <c r="N15" s="10">
        <f t="shared" si="5"/>
        <v>0.10806743955405082</v>
      </c>
    </row>
    <row r="16" spans="1:15" ht="15.75" thickBot="1" x14ac:dyDescent="0.3">
      <c r="A16" s="2">
        <v>688</v>
      </c>
      <c r="B16" s="2">
        <v>100</v>
      </c>
      <c r="C16" s="2">
        <f t="shared" si="0"/>
        <v>20</v>
      </c>
      <c r="E16" s="2">
        <v>950</v>
      </c>
      <c r="F16" s="2">
        <v>200</v>
      </c>
      <c r="G16" s="2">
        <f t="shared" si="1"/>
        <v>40</v>
      </c>
      <c r="I16" s="2">
        <f t="shared" si="2"/>
        <v>1.3808139534883721</v>
      </c>
      <c r="J16" s="2">
        <v>300</v>
      </c>
      <c r="K16" s="2">
        <v>1000</v>
      </c>
      <c r="L16" s="2">
        <f t="shared" si="3"/>
        <v>200</v>
      </c>
      <c r="M16" s="2">
        <f t="shared" si="4"/>
        <v>18</v>
      </c>
      <c r="N16" s="10">
        <f t="shared" si="5"/>
        <v>9.8279475392103841E-2</v>
      </c>
    </row>
    <row r="17" spans="1:14" ht="15.75" thickBot="1" x14ac:dyDescent="0.3">
      <c r="A17" s="2">
        <v>700</v>
      </c>
      <c r="B17" s="2">
        <v>100</v>
      </c>
      <c r="C17" s="2">
        <f t="shared" si="0"/>
        <v>20</v>
      </c>
      <c r="E17" s="2">
        <v>744</v>
      </c>
      <c r="F17" s="2">
        <v>200</v>
      </c>
      <c r="G17" s="2">
        <f t="shared" si="1"/>
        <v>40</v>
      </c>
      <c r="I17" s="2">
        <f t="shared" si="2"/>
        <v>1.0628571428571429</v>
      </c>
      <c r="J17" s="2">
        <v>400</v>
      </c>
      <c r="K17" s="2">
        <v>1000</v>
      </c>
      <c r="L17" s="2">
        <f t="shared" si="3"/>
        <v>200</v>
      </c>
      <c r="M17" s="2">
        <f t="shared" si="4"/>
        <v>32</v>
      </c>
      <c r="N17" s="10">
        <f t="shared" si="5"/>
        <v>8.7510204081632653E-2</v>
      </c>
    </row>
    <row r="18" spans="1:14" ht="15.75" thickBot="1" x14ac:dyDescent="0.3">
      <c r="A18" s="2">
        <v>684</v>
      </c>
      <c r="B18" s="2">
        <v>100</v>
      </c>
      <c r="C18" s="2">
        <f t="shared" si="0"/>
        <v>20</v>
      </c>
      <c r="E18" s="2">
        <v>1220</v>
      </c>
      <c r="F18" s="2">
        <v>200</v>
      </c>
      <c r="G18" s="2">
        <f t="shared" si="1"/>
        <v>40</v>
      </c>
      <c r="I18" s="2">
        <f t="shared" si="2"/>
        <v>1.7836257309941521</v>
      </c>
      <c r="J18" s="2">
        <v>150</v>
      </c>
      <c r="K18" s="2">
        <v>1000</v>
      </c>
      <c r="L18" s="2">
        <f t="shared" si="3"/>
        <v>200</v>
      </c>
      <c r="M18" s="2">
        <f t="shared" si="4"/>
        <v>4.5</v>
      </c>
      <c r="N18" s="10">
        <f t="shared" si="5"/>
        <v>0.11063233131561848</v>
      </c>
    </row>
    <row r="19" spans="1:14" ht="15.75" thickBot="1" x14ac:dyDescent="0.3">
      <c r="A19" s="2">
        <v>688</v>
      </c>
      <c r="B19" s="2">
        <v>100</v>
      </c>
      <c r="C19" s="2">
        <f t="shared" si="0"/>
        <v>20</v>
      </c>
      <c r="E19" s="2">
        <v>608</v>
      </c>
      <c r="F19" s="2">
        <v>200</v>
      </c>
      <c r="G19" s="2">
        <f t="shared" si="1"/>
        <v>40</v>
      </c>
      <c r="I19" s="2">
        <f t="shared" si="2"/>
        <v>0.88372093023255816</v>
      </c>
      <c r="J19" s="2">
        <v>500</v>
      </c>
      <c r="K19" s="2">
        <v>500</v>
      </c>
      <c r="L19" s="2">
        <f t="shared" si="3"/>
        <v>100</v>
      </c>
      <c r="M19" s="2">
        <f t="shared" si="4"/>
        <v>25</v>
      </c>
      <c r="N19" s="10">
        <f t="shared" si="5"/>
        <v>8.3829096809085984E-2</v>
      </c>
    </row>
    <row r="20" spans="1:14" ht="15.75" thickBot="1" x14ac:dyDescent="0.3">
      <c r="A20" s="2">
        <v>680</v>
      </c>
      <c r="B20" s="2">
        <v>100</v>
      </c>
      <c r="C20" s="2">
        <f t="shared" si="0"/>
        <v>20</v>
      </c>
      <c r="E20" s="2">
        <v>290</v>
      </c>
      <c r="F20" s="2">
        <v>50</v>
      </c>
      <c r="G20" s="2">
        <f t="shared" si="1"/>
        <v>10</v>
      </c>
      <c r="I20" s="2">
        <f t="shared" si="2"/>
        <v>0.4264705882352941</v>
      </c>
      <c r="J20" s="2">
        <v>1000</v>
      </c>
      <c r="K20" s="2">
        <v>250</v>
      </c>
      <c r="L20" s="2">
        <f t="shared" si="3"/>
        <v>50</v>
      </c>
      <c r="M20" s="2">
        <f t="shared" si="4"/>
        <v>50</v>
      </c>
      <c r="N20" s="10">
        <f t="shared" si="5"/>
        <v>2.7249134948096887E-2</v>
      </c>
    </row>
    <row r="21" spans="1:14" ht="15.75" thickBot="1" x14ac:dyDescent="0.3">
      <c r="A21" s="2">
        <v>688</v>
      </c>
      <c r="B21" s="2">
        <v>100</v>
      </c>
      <c r="C21" s="2">
        <f t="shared" si="0"/>
        <v>20</v>
      </c>
      <c r="E21" s="2">
        <v>152</v>
      </c>
      <c r="F21" s="2">
        <v>100</v>
      </c>
      <c r="G21" s="2">
        <f t="shared" si="1"/>
        <v>20</v>
      </c>
      <c r="I21" s="2">
        <f t="shared" si="2"/>
        <v>0.22093023255813954</v>
      </c>
      <c r="J21" s="2">
        <v>2000</v>
      </c>
      <c r="K21" s="2">
        <v>250</v>
      </c>
      <c r="L21" s="2">
        <f t="shared" si="3"/>
        <v>50</v>
      </c>
      <c r="M21" s="2">
        <f t="shared" si="4"/>
        <v>200</v>
      </c>
      <c r="N21" s="10">
        <f t="shared" si="5"/>
        <v>3.5492157923201734E-2</v>
      </c>
    </row>
    <row r="22" spans="1:14" ht="15.75" thickBot="1" x14ac:dyDescent="0.3">
      <c r="A22" s="2">
        <v>696</v>
      </c>
      <c r="B22" s="2">
        <v>100</v>
      </c>
      <c r="C22" s="2">
        <f t="shared" si="0"/>
        <v>20</v>
      </c>
      <c r="E22" s="2">
        <v>832</v>
      </c>
      <c r="F22" s="2">
        <v>200</v>
      </c>
      <c r="G22" s="2">
        <f t="shared" si="1"/>
        <v>40</v>
      </c>
      <c r="I22" s="2">
        <f t="shared" si="2"/>
        <v>1.1954022988505748</v>
      </c>
      <c r="J22" s="2">
        <v>350</v>
      </c>
      <c r="K22" s="2">
        <v>500</v>
      </c>
      <c r="L22" s="2">
        <f t="shared" si="3"/>
        <v>100</v>
      </c>
      <c r="M22" s="2">
        <f t="shared" si="4"/>
        <v>12.25</v>
      </c>
      <c r="N22" s="10">
        <f t="shared" si="5"/>
        <v>9.1821905139384319E-2</v>
      </c>
    </row>
    <row r="23" spans="1:14" x14ac:dyDescent="0.25">
      <c r="A23" s="7">
        <v>688</v>
      </c>
      <c r="B23" s="7">
        <v>100</v>
      </c>
      <c r="C23" s="7">
        <f t="shared" si="0"/>
        <v>20</v>
      </c>
      <c r="E23" s="7">
        <v>1060</v>
      </c>
      <c r="F23" s="7">
        <v>200</v>
      </c>
      <c r="G23" s="7">
        <f t="shared" si="1"/>
        <v>40</v>
      </c>
      <c r="I23" s="7">
        <f t="shared" si="2"/>
        <v>1.5406976744186047</v>
      </c>
      <c r="J23" s="7">
        <v>250</v>
      </c>
      <c r="K23" s="7">
        <v>1000</v>
      </c>
      <c r="L23" s="7">
        <f t="shared" si="3"/>
        <v>200</v>
      </c>
      <c r="M23" s="7">
        <f t="shared" si="4"/>
        <v>12.5</v>
      </c>
      <c r="N23" s="17">
        <f t="shared" si="5"/>
        <v>0.10292725797728502</v>
      </c>
    </row>
    <row r="24" spans="1:14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</row>
    <row r="25" spans="1:14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</row>
    <row r="26" spans="1:14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1:14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8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18"/>
    </row>
    <row r="29" spans="1:14" x14ac:dyDescent="0.25">
      <c r="A29" s="18"/>
      <c r="B29" s="21"/>
      <c r="C29" s="18"/>
      <c r="D29" s="22"/>
      <c r="E29" s="23"/>
      <c r="F29" s="18"/>
      <c r="G29" s="22"/>
      <c r="H29" s="24"/>
      <c r="I29" s="24"/>
      <c r="J29" s="21"/>
      <c r="K29" s="22"/>
      <c r="L29" s="24"/>
      <c r="M29" s="24"/>
      <c r="N29" s="18"/>
    </row>
    <row r="30" spans="1:14" x14ac:dyDescent="0.25">
      <c r="A30" s="18"/>
      <c r="B30" s="21"/>
      <c r="C30" s="18"/>
      <c r="D30" s="22"/>
      <c r="E30" s="23"/>
      <c r="F30" s="18"/>
      <c r="G30" s="22"/>
      <c r="H30" s="24"/>
      <c r="I30" s="24"/>
      <c r="J30" s="21"/>
      <c r="K30" s="22"/>
      <c r="L30" s="24"/>
      <c r="M30" s="24"/>
      <c r="N30" s="18"/>
    </row>
    <row r="31" spans="1:14" x14ac:dyDescent="0.25">
      <c r="A31" s="18"/>
      <c r="B31" s="21"/>
      <c r="C31" s="18"/>
      <c r="D31" s="22"/>
      <c r="E31" s="23"/>
      <c r="F31" s="18"/>
      <c r="G31" s="22"/>
      <c r="H31" s="24"/>
      <c r="I31" s="24"/>
      <c r="J31" s="21"/>
      <c r="K31" s="22"/>
      <c r="L31" s="24"/>
      <c r="M31" s="24"/>
      <c r="N31" s="18"/>
    </row>
    <row r="32" spans="1:14" x14ac:dyDescent="0.25">
      <c r="A32" s="18"/>
      <c r="B32" s="21"/>
      <c r="C32" s="18"/>
      <c r="D32" s="22"/>
      <c r="E32" s="23"/>
      <c r="F32" s="18"/>
      <c r="G32" s="22"/>
      <c r="H32" s="24"/>
      <c r="I32" s="25"/>
      <c r="J32" s="21"/>
      <c r="K32" s="22"/>
      <c r="L32" s="25"/>
      <c r="M32" s="24"/>
      <c r="N32" s="18"/>
    </row>
    <row r="33" spans="1:14" x14ac:dyDescent="0.25">
      <c r="A33" s="18"/>
      <c r="B33" s="21"/>
      <c r="C33" s="18"/>
      <c r="D33" s="22"/>
      <c r="E33" s="23"/>
      <c r="F33" s="18"/>
      <c r="G33" s="22"/>
      <c r="H33" s="24"/>
      <c r="I33" s="25"/>
      <c r="J33" s="21"/>
      <c r="K33" s="22"/>
      <c r="L33" s="25"/>
      <c r="M33" s="24"/>
      <c r="N33" s="18"/>
    </row>
    <row r="34" spans="1:14" x14ac:dyDescent="0.25">
      <c r="A34" s="18"/>
      <c r="B34" s="21"/>
      <c r="C34" s="18"/>
      <c r="D34" s="22"/>
      <c r="E34" s="23"/>
      <c r="F34" s="18"/>
      <c r="G34" s="22"/>
      <c r="H34" s="24"/>
      <c r="I34" s="25"/>
      <c r="J34" s="21"/>
      <c r="K34" s="22"/>
      <c r="L34" s="25"/>
      <c r="M34" s="24"/>
      <c r="N34" s="18"/>
    </row>
    <row r="35" spans="1:14" x14ac:dyDescent="0.25">
      <c r="A35" s="18"/>
      <c r="B35" s="21"/>
      <c r="C35" s="18"/>
      <c r="D35" s="22"/>
      <c r="E35" s="23"/>
      <c r="F35" s="18"/>
      <c r="G35" s="22"/>
      <c r="H35" s="24"/>
      <c r="I35" s="21"/>
      <c r="J35" s="21"/>
      <c r="K35" s="22"/>
      <c r="L35" s="25"/>
      <c r="M35" s="24"/>
      <c r="N35" s="18"/>
    </row>
    <row r="36" spans="1:14" x14ac:dyDescent="0.25">
      <c r="A36" s="18"/>
      <c r="B36" s="21"/>
      <c r="C36" s="18"/>
      <c r="D36" s="22"/>
      <c r="E36" s="23"/>
      <c r="F36" s="18"/>
      <c r="G36" s="22"/>
      <c r="H36" s="26"/>
      <c r="I36" s="21"/>
      <c r="J36" s="21"/>
      <c r="K36" s="22"/>
      <c r="L36" s="25"/>
      <c r="M36" s="26"/>
      <c r="N36" s="18"/>
    </row>
    <row r="37" spans="1:14" x14ac:dyDescent="0.25">
      <c r="A37" s="18"/>
      <c r="B37" s="21"/>
      <c r="C37" s="18"/>
      <c r="D37" s="22"/>
      <c r="E37" s="23"/>
      <c r="F37" s="18"/>
      <c r="G37" s="22"/>
      <c r="H37" s="24"/>
      <c r="I37" s="25"/>
      <c r="J37" s="21"/>
      <c r="K37" s="22"/>
      <c r="L37" s="25"/>
      <c r="M37" s="24"/>
      <c r="N37" s="18"/>
    </row>
    <row r="38" spans="1:14" x14ac:dyDescent="0.25">
      <c r="A38" s="18"/>
      <c r="B38" s="21"/>
      <c r="C38" s="18"/>
      <c r="D38" s="22"/>
      <c r="E38" s="23"/>
      <c r="F38" s="18"/>
      <c r="G38" s="22"/>
      <c r="H38" s="26"/>
      <c r="I38" s="26"/>
      <c r="J38" s="21"/>
      <c r="K38" s="22"/>
      <c r="L38" s="22"/>
      <c r="M38" s="26"/>
      <c r="N38" s="18"/>
    </row>
    <row r="39" spans="1:14" x14ac:dyDescent="0.25">
      <c r="A39" s="18"/>
      <c r="B39" s="21"/>
      <c r="C39" s="18"/>
      <c r="D39" s="22"/>
      <c r="E39" s="23"/>
      <c r="F39" s="18"/>
      <c r="G39" s="22"/>
      <c r="H39" s="26"/>
      <c r="I39" s="26"/>
      <c r="J39" s="21"/>
      <c r="K39" s="22"/>
      <c r="L39" s="22"/>
      <c r="M39" s="26"/>
      <c r="N39" s="18"/>
    </row>
    <row r="40" spans="1:14" x14ac:dyDescent="0.25">
      <c r="A40" s="18"/>
      <c r="B40" s="21"/>
      <c r="C40" s="18"/>
      <c r="D40" s="22"/>
      <c r="E40" s="23"/>
      <c r="F40" s="18"/>
      <c r="G40" s="22"/>
      <c r="H40" s="26"/>
      <c r="I40" s="26"/>
      <c r="J40" s="21"/>
      <c r="K40" s="22"/>
      <c r="L40" s="22"/>
      <c r="M40" s="26"/>
      <c r="N40" s="18"/>
    </row>
    <row r="41" spans="1:14" x14ac:dyDescent="0.25">
      <c r="A41" s="18"/>
      <c r="B41" s="21"/>
      <c r="C41" s="18"/>
      <c r="D41" s="22"/>
      <c r="E41" s="23"/>
      <c r="F41" s="18"/>
      <c r="G41" s="22"/>
      <c r="H41" s="26"/>
      <c r="I41" s="26"/>
      <c r="J41" s="21"/>
      <c r="K41" s="22"/>
      <c r="L41" s="22"/>
      <c r="M41" s="26"/>
      <c r="N41" s="18"/>
    </row>
    <row r="42" spans="1:14" x14ac:dyDescent="0.25">
      <c r="A42" s="18"/>
      <c r="B42" s="21"/>
      <c r="C42" s="18"/>
      <c r="D42" s="22"/>
      <c r="E42" s="23"/>
      <c r="F42" s="18"/>
      <c r="G42" s="22"/>
      <c r="H42" s="24"/>
      <c r="I42" s="24"/>
      <c r="J42" s="21"/>
      <c r="K42" s="22"/>
      <c r="L42" s="22"/>
      <c r="M42" s="24"/>
      <c r="N42" s="18"/>
    </row>
    <row r="43" spans="1:14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</sheetData>
  <mergeCells count="1">
    <mergeCell ref="I2:J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9409-BFC6-4100-8C0B-559A31A7DE9F}">
  <dimension ref="A1:G12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58</v>
      </c>
      <c r="G1" t="s">
        <v>65</v>
      </c>
    </row>
    <row r="2" spans="1:7" x14ac:dyDescent="0.25">
      <c r="A2" t="s">
        <v>59</v>
      </c>
      <c r="B2">
        <v>91.4</v>
      </c>
      <c r="C2" t="s">
        <v>18</v>
      </c>
      <c r="D2" t="s">
        <v>60</v>
      </c>
    </row>
    <row r="3" spans="1:7" x14ac:dyDescent="0.25">
      <c r="A3" t="s">
        <v>61</v>
      </c>
      <c r="B3">
        <v>101.7</v>
      </c>
      <c r="C3" t="s">
        <v>18</v>
      </c>
      <c r="D3" t="s">
        <v>60</v>
      </c>
    </row>
    <row r="4" spans="1:7" x14ac:dyDescent="0.25">
      <c r="A4" t="s">
        <v>62</v>
      </c>
      <c r="B4">
        <v>93.9</v>
      </c>
      <c r="C4" t="s">
        <v>18</v>
      </c>
      <c r="D4" t="s">
        <v>60</v>
      </c>
    </row>
    <row r="5" spans="1:7" x14ac:dyDescent="0.25">
      <c r="A5" t="s">
        <v>64</v>
      </c>
      <c r="B5">
        <v>0.44</v>
      </c>
      <c r="C5" t="s">
        <v>18</v>
      </c>
      <c r="D5" t="s">
        <v>66</v>
      </c>
    </row>
    <row r="6" spans="1:7" x14ac:dyDescent="0.25">
      <c r="A6" t="s">
        <v>37</v>
      </c>
      <c r="B6">
        <v>9.92</v>
      </c>
      <c r="C6" t="s">
        <v>63</v>
      </c>
    </row>
    <row r="7" spans="1:7" x14ac:dyDescent="0.25">
      <c r="A7" t="s">
        <v>38</v>
      </c>
      <c r="B7">
        <v>0.51100000000000001</v>
      </c>
      <c r="C7" t="s">
        <v>63</v>
      </c>
    </row>
    <row r="8" spans="1:7" x14ac:dyDescent="0.25">
      <c r="A8" t="s">
        <v>39</v>
      </c>
      <c r="B8">
        <v>0.50900000000000001</v>
      </c>
      <c r="C8" t="s">
        <v>63</v>
      </c>
    </row>
    <row r="11" spans="1:7" x14ac:dyDescent="0.25">
      <c r="A11" t="s">
        <v>67</v>
      </c>
      <c r="C11" t="s">
        <v>68</v>
      </c>
      <c r="D11" t="s">
        <v>69</v>
      </c>
    </row>
    <row r="12" spans="1:7" x14ac:dyDescent="0.25">
      <c r="A12" t="s">
        <v>67</v>
      </c>
      <c r="C12" t="s">
        <v>70</v>
      </c>
      <c r="D1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7B6-AE7D-4B8C-99CB-0F6AAEFA1C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5FD7-56CE-4D82-A07E-C65C103A8A14}">
  <dimension ref="A2:O29"/>
  <sheetViews>
    <sheetView zoomScaleNormal="100" workbookViewId="0">
      <selection activeCell="N9" sqref="N9:N26"/>
    </sheetView>
  </sheetViews>
  <sheetFormatPr defaultRowHeight="15" x14ac:dyDescent="0.25"/>
  <cols>
    <col min="2" max="2" width="10.7109375" customWidth="1"/>
    <col min="3" max="3" width="10.42578125" customWidth="1"/>
    <col min="6" max="6" width="12" customWidth="1"/>
    <col min="7" max="7" width="12.140625" customWidth="1"/>
    <col min="11" max="11" width="10.42578125" bestFit="1" customWidth="1"/>
  </cols>
  <sheetData>
    <row r="2" spans="1:15" ht="15.75" thickBot="1" x14ac:dyDescent="0.3">
      <c r="A2" s="1"/>
      <c r="B2" s="1"/>
      <c r="C2" s="1"/>
      <c r="H2" t="s">
        <v>76</v>
      </c>
    </row>
    <row r="3" spans="1:15" ht="15.75" thickBot="1" x14ac:dyDescent="0.3">
      <c r="A3" s="4" t="s">
        <v>0</v>
      </c>
      <c r="B3" s="4">
        <v>0.98899999999999999</v>
      </c>
      <c r="C3" s="4" t="s">
        <v>1</v>
      </c>
      <c r="D3" s="13" t="s">
        <v>72</v>
      </c>
      <c r="E3">
        <f>0.006*B3+0.003</f>
        <v>8.934000000000001E-3</v>
      </c>
      <c r="F3" t="s">
        <v>1</v>
      </c>
      <c r="H3">
        <f>E3/B4+E4*B3/B4^2</f>
        <v>1.815246978793579E-2</v>
      </c>
      <c r="M3" t="s">
        <v>73</v>
      </c>
    </row>
    <row r="4" spans="1:15" ht="15.75" thickBot="1" x14ac:dyDescent="0.3">
      <c r="A4" s="2" t="s">
        <v>2</v>
      </c>
      <c r="B4" s="2">
        <v>0.98499999999999999</v>
      </c>
      <c r="C4" s="2" t="s">
        <v>1</v>
      </c>
      <c r="D4" s="13" t="s">
        <v>72</v>
      </c>
      <c r="E4">
        <f>0.006*B4+0.003</f>
        <v>8.9100000000000013E-3</v>
      </c>
      <c r="F4" t="s">
        <v>1</v>
      </c>
      <c r="M4">
        <f>B3/B4</f>
        <v>1.0040609137055838</v>
      </c>
      <c r="N4" s="13" t="s">
        <v>72</v>
      </c>
      <c r="O4">
        <f>1/B4*E3+B3/B4^2*E4</f>
        <v>1.815246978793579E-2</v>
      </c>
    </row>
    <row r="8" spans="1:15" ht="15.75" thickBot="1" x14ac:dyDescent="0.3">
      <c r="N8" s="1"/>
    </row>
    <row r="9" spans="1:15" ht="15.75" thickBot="1" x14ac:dyDescent="0.3">
      <c r="A9" s="3" t="s">
        <v>6</v>
      </c>
      <c r="B9" s="3" t="s">
        <v>7</v>
      </c>
      <c r="C9" s="3" t="s">
        <v>8</v>
      </c>
      <c r="E9" s="3" t="s">
        <v>9</v>
      </c>
      <c r="F9" s="3" t="s">
        <v>10</v>
      </c>
      <c r="G9" s="3" t="s">
        <v>11</v>
      </c>
      <c r="I9" s="3" t="s">
        <v>4</v>
      </c>
      <c r="J9" s="3" t="s">
        <v>5</v>
      </c>
      <c r="K9" s="3" t="s">
        <v>12</v>
      </c>
      <c r="L9" s="3" t="s">
        <v>14</v>
      </c>
      <c r="M9" s="11" t="s">
        <v>13</v>
      </c>
      <c r="N9" s="3" t="s">
        <v>34</v>
      </c>
    </row>
    <row r="10" spans="1:15" ht="15.75" thickBot="1" x14ac:dyDescent="0.3">
      <c r="A10" s="2">
        <v>624</v>
      </c>
      <c r="B10" s="2">
        <v>200</v>
      </c>
      <c r="C10" s="2">
        <v>40</v>
      </c>
      <c r="E10" s="2">
        <v>640</v>
      </c>
      <c r="F10" s="2">
        <v>200</v>
      </c>
      <c r="G10" s="2">
        <v>40</v>
      </c>
      <c r="I10" s="2">
        <v>1.0256410256410255</v>
      </c>
      <c r="J10" s="2">
        <v>1E-3</v>
      </c>
      <c r="K10" s="2">
        <v>100000000</v>
      </c>
      <c r="L10" s="2">
        <f t="shared" ref="L10:L26" si="0">K10/5</f>
        <v>20000000</v>
      </c>
      <c r="M10" s="2">
        <f t="shared" ref="M10:M26" si="1">J10^2*L10*10^-6</f>
        <v>1.9999999999999998E-5</v>
      </c>
      <c r="N10" s="14">
        <f t="shared" ref="N10:N26" si="2">1/A10*G10+E10/A10^2*C10</f>
        <v>0.12984878369493752</v>
      </c>
    </row>
    <row r="11" spans="1:15" ht="15.75" thickBot="1" x14ac:dyDescent="0.3">
      <c r="A11" s="2">
        <v>640</v>
      </c>
      <c r="B11" s="2">
        <v>200</v>
      </c>
      <c r="C11" s="2">
        <v>40</v>
      </c>
      <c r="E11" s="2">
        <v>640</v>
      </c>
      <c r="F11" s="2">
        <v>200</v>
      </c>
      <c r="G11" s="2">
        <v>40</v>
      </c>
      <c r="I11" s="2">
        <v>1</v>
      </c>
      <c r="J11" s="2">
        <v>0.05</v>
      </c>
      <c r="K11" s="2">
        <v>2500000</v>
      </c>
      <c r="L11" s="2">
        <f t="shared" si="0"/>
        <v>500000</v>
      </c>
      <c r="M11" s="2">
        <f t="shared" si="1"/>
        <v>1.2500000000000002E-3</v>
      </c>
      <c r="N11" s="10">
        <f t="shared" si="2"/>
        <v>0.125</v>
      </c>
    </row>
    <row r="12" spans="1:15" ht="15.75" thickBot="1" x14ac:dyDescent="0.3">
      <c r="A12" s="2">
        <v>640</v>
      </c>
      <c r="B12" s="2">
        <v>200</v>
      </c>
      <c r="C12" s="2">
        <v>40</v>
      </c>
      <c r="E12" s="2">
        <v>632</v>
      </c>
      <c r="F12" s="2">
        <v>200</v>
      </c>
      <c r="G12" s="2">
        <v>40</v>
      </c>
      <c r="I12" s="2">
        <v>0.98750000000000004</v>
      </c>
      <c r="J12" s="2">
        <v>1</v>
      </c>
      <c r="K12" s="2">
        <v>100000</v>
      </c>
      <c r="L12" s="2">
        <f t="shared" si="0"/>
        <v>20000</v>
      </c>
      <c r="M12" s="2">
        <f t="shared" si="1"/>
        <v>0.02</v>
      </c>
      <c r="N12" s="10">
        <f t="shared" si="2"/>
        <v>0.12421875</v>
      </c>
    </row>
    <row r="13" spans="1:15" ht="15.75" thickBot="1" x14ac:dyDescent="0.3">
      <c r="A13" s="2">
        <v>656</v>
      </c>
      <c r="B13" s="2">
        <v>200</v>
      </c>
      <c r="C13" s="2">
        <v>40</v>
      </c>
      <c r="E13" s="2">
        <v>624</v>
      </c>
      <c r="F13" s="2">
        <v>200</v>
      </c>
      <c r="G13" s="2">
        <v>40</v>
      </c>
      <c r="I13" s="2">
        <v>0.95121951219512191</v>
      </c>
      <c r="J13" s="2">
        <v>50</v>
      </c>
      <c r="K13" s="2">
        <v>2500</v>
      </c>
      <c r="L13" s="2">
        <f t="shared" si="0"/>
        <v>500</v>
      </c>
      <c r="M13" s="2">
        <f t="shared" si="1"/>
        <v>1.25</v>
      </c>
      <c r="N13" s="10">
        <f t="shared" si="2"/>
        <v>0.11897679952409279</v>
      </c>
    </row>
    <row r="14" spans="1:15" ht="15.75" thickBot="1" x14ac:dyDescent="0.3">
      <c r="A14" s="2">
        <v>624</v>
      </c>
      <c r="B14" s="2">
        <v>200</v>
      </c>
      <c r="C14" s="2">
        <v>40</v>
      </c>
      <c r="E14" s="2">
        <v>600</v>
      </c>
      <c r="F14" s="2">
        <v>200</v>
      </c>
      <c r="G14" s="2">
        <v>40</v>
      </c>
      <c r="I14" s="2">
        <v>0.96153846153846156</v>
      </c>
      <c r="J14" s="2">
        <v>50</v>
      </c>
      <c r="K14" s="2">
        <v>2500</v>
      </c>
      <c r="L14" s="2">
        <f t="shared" si="0"/>
        <v>500</v>
      </c>
      <c r="M14" s="2">
        <f t="shared" si="1"/>
        <v>1.25</v>
      </c>
      <c r="N14" s="10">
        <f t="shared" si="2"/>
        <v>0.1257396449704142</v>
      </c>
    </row>
    <row r="15" spans="1:15" ht="15.75" thickBot="1" x14ac:dyDescent="0.3">
      <c r="A15" s="2">
        <v>624</v>
      </c>
      <c r="B15" s="2">
        <v>200</v>
      </c>
      <c r="C15" s="2">
        <v>40</v>
      </c>
      <c r="E15" s="2">
        <v>592</v>
      </c>
      <c r="F15" s="2">
        <v>200</v>
      </c>
      <c r="G15" s="2">
        <v>40</v>
      </c>
      <c r="I15" s="2">
        <v>0.94871794871794868</v>
      </c>
      <c r="J15" s="2">
        <v>100</v>
      </c>
      <c r="K15" s="2">
        <v>1000</v>
      </c>
      <c r="L15" s="2">
        <f t="shared" si="0"/>
        <v>200</v>
      </c>
      <c r="M15" s="2">
        <f t="shared" si="1"/>
        <v>2</v>
      </c>
      <c r="N15" s="10">
        <f t="shared" si="2"/>
        <v>0.12491781722550953</v>
      </c>
    </row>
    <row r="16" spans="1:15" ht="15.75" thickBot="1" x14ac:dyDescent="0.3">
      <c r="A16" s="2">
        <v>632</v>
      </c>
      <c r="B16" s="2">
        <v>200</v>
      </c>
      <c r="C16" s="2">
        <v>40</v>
      </c>
      <c r="E16" s="2">
        <v>596</v>
      </c>
      <c r="F16" s="2">
        <v>200</v>
      </c>
      <c r="G16" s="2">
        <v>40</v>
      </c>
      <c r="I16" s="2">
        <v>0.94303797468354433</v>
      </c>
      <c r="J16" s="2">
        <v>150</v>
      </c>
      <c r="K16" s="2">
        <v>1000</v>
      </c>
      <c r="L16" s="2">
        <f t="shared" si="0"/>
        <v>200</v>
      </c>
      <c r="M16" s="2">
        <f t="shared" si="1"/>
        <v>4.5</v>
      </c>
      <c r="N16" s="10">
        <f t="shared" si="2"/>
        <v>0.12297708700528762</v>
      </c>
    </row>
    <row r="17" spans="1:14" ht="15.75" thickBot="1" x14ac:dyDescent="0.3">
      <c r="A17" s="2">
        <v>632</v>
      </c>
      <c r="B17" s="2">
        <v>200</v>
      </c>
      <c r="C17" s="2">
        <v>40</v>
      </c>
      <c r="E17" s="2">
        <v>544</v>
      </c>
      <c r="F17" s="2">
        <v>200</v>
      </c>
      <c r="G17" s="2">
        <v>40</v>
      </c>
      <c r="I17" s="2">
        <v>0.86075949367088611</v>
      </c>
      <c r="J17" s="2">
        <v>300</v>
      </c>
      <c r="K17" s="2">
        <v>500</v>
      </c>
      <c r="L17" s="2">
        <f t="shared" si="0"/>
        <v>100</v>
      </c>
      <c r="M17" s="2">
        <f t="shared" si="1"/>
        <v>9</v>
      </c>
      <c r="N17" s="10">
        <f t="shared" si="2"/>
        <v>0.11776958820701811</v>
      </c>
    </row>
    <row r="18" spans="1:14" ht="15.75" thickBot="1" x14ac:dyDescent="0.3">
      <c r="A18" s="2">
        <v>648</v>
      </c>
      <c r="B18" s="2">
        <v>200</v>
      </c>
      <c r="C18" s="2">
        <v>40</v>
      </c>
      <c r="E18" s="2">
        <v>432</v>
      </c>
      <c r="F18" s="2">
        <v>200</v>
      </c>
      <c r="G18" s="2">
        <v>40</v>
      </c>
      <c r="I18" s="2">
        <v>0.66666666666666663</v>
      </c>
      <c r="J18" s="2">
        <v>500</v>
      </c>
      <c r="K18" s="2">
        <v>250</v>
      </c>
      <c r="L18" s="2">
        <f t="shared" si="0"/>
        <v>50</v>
      </c>
      <c r="M18" s="2">
        <f t="shared" si="1"/>
        <v>12.5</v>
      </c>
      <c r="N18" s="10">
        <f t="shared" si="2"/>
        <v>0.102880658436214</v>
      </c>
    </row>
    <row r="19" spans="1:14" ht="15.75" thickBot="1" x14ac:dyDescent="0.3">
      <c r="A19" s="2">
        <v>648</v>
      </c>
      <c r="B19" s="2">
        <v>200</v>
      </c>
      <c r="C19" s="2">
        <v>40</v>
      </c>
      <c r="E19" s="2">
        <v>340</v>
      </c>
      <c r="F19" s="2">
        <v>100</v>
      </c>
      <c r="G19" s="2">
        <v>20</v>
      </c>
      <c r="I19" s="2">
        <v>0.52469135802469136</v>
      </c>
      <c r="J19" s="2">
        <v>600</v>
      </c>
      <c r="K19" s="2">
        <v>250</v>
      </c>
      <c r="L19" s="2">
        <f t="shared" si="0"/>
        <v>50</v>
      </c>
      <c r="M19" s="2">
        <f t="shared" si="1"/>
        <v>18</v>
      </c>
      <c r="N19" s="10">
        <f t="shared" si="2"/>
        <v>6.3252552964487119E-2</v>
      </c>
    </row>
    <row r="20" spans="1:14" ht="15.75" thickBot="1" x14ac:dyDescent="0.3">
      <c r="A20" s="2">
        <v>648</v>
      </c>
      <c r="B20" s="2">
        <v>200</v>
      </c>
      <c r="C20" s="2">
        <v>40</v>
      </c>
      <c r="E20" s="2">
        <v>280</v>
      </c>
      <c r="F20" s="2">
        <v>100</v>
      </c>
      <c r="G20" s="2">
        <v>20</v>
      </c>
      <c r="I20" s="2">
        <v>0.43209876543209874</v>
      </c>
      <c r="J20" s="2">
        <v>950</v>
      </c>
      <c r="K20" s="2">
        <v>250</v>
      </c>
      <c r="L20" s="2">
        <f t="shared" si="0"/>
        <v>50</v>
      </c>
      <c r="M20" s="2">
        <f t="shared" si="1"/>
        <v>45.125</v>
      </c>
      <c r="N20" s="10">
        <f t="shared" si="2"/>
        <v>5.7536960829141899E-2</v>
      </c>
    </row>
    <row r="21" spans="1:14" ht="15.75" thickBot="1" x14ac:dyDescent="0.3">
      <c r="A21" s="2">
        <v>648</v>
      </c>
      <c r="B21" s="2">
        <v>200</v>
      </c>
      <c r="C21" s="2">
        <v>40</v>
      </c>
      <c r="E21" s="2">
        <v>251</v>
      </c>
      <c r="F21" s="2">
        <v>100</v>
      </c>
      <c r="G21" s="2">
        <v>20</v>
      </c>
      <c r="I21" s="2">
        <v>0.38734567901234568</v>
      </c>
      <c r="J21" s="2">
        <v>1000</v>
      </c>
      <c r="K21" s="2">
        <v>250</v>
      </c>
      <c r="L21" s="2">
        <f t="shared" si="0"/>
        <v>50</v>
      </c>
      <c r="M21" s="2">
        <f t="shared" si="1"/>
        <v>50</v>
      </c>
      <c r="N21" s="10">
        <f t="shared" si="2"/>
        <v>5.4774424630391706E-2</v>
      </c>
    </row>
    <row r="22" spans="1:14" ht="15.75" thickBot="1" x14ac:dyDescent="0.3">
      <c r="A22" s="2">
        <v>648</v>
      </c>
      <c r="B22" s="2">
        <v>200</v>
      </c>
      <c r="C22" s="2">
        <v>40</v>
      </c>
      <c r="E22" s="2">
        <v>196</v>
      </c>
      <c r="F22" s="2">
        <v>50</v>
      </c>
      <c r="G22" s="2">
        <v>10</v>
      </c>
      <c r="I22" s="2">
        <v>0.30246913580246915</v>
      </c>
      <c r="J22" s="2">
        <v>1300</v>
      </c>
      <c r="K22" s="2">
        <v>100</v>
      </c>
      <c r="L22" s="2">
        <f t="shared" si="0"/>
        <v>20</v>
      </c>
      <c r="M22" s="2">
        <f t="shared" si="1"/>
        <v>33.799999999999997</v>
      </c>
      <c r="N22" s="10">
        <f t="shared" si="2"/>
        <v>3.4103033074226491E-2</v>
      </c>
    </row>
    <row r="23" spans="1:14" ht="15.75" thickBot="1" x14ac:dyDescent="0.3">
      <c r="A23" s="2">
        <v>648</v>
      </c>
      <c r="B23" s="2">
        <v>200</v>
      </c>
      <c r="C23" s="2">
        <v>40</v>
      </c>
      <c r="E23" s="2">
        <v>172</v>
      </c>
      <c r="F23" s="2">
        <v>50</v>
      </c>
      <c r="G23" s="2">
        <v>10</v>
      </c>
      <c r="I23" s="2">
        <v>0.26543209876543211</v>
      </c>
      <c r="J23" s="2">
        <v>1500</v>
      </c>
      <c r="K23" s="2">
        <v>100</v>
      </c>
      <c r="L23" s="2">
        <f t="shared" si="0"/>
        <v>20</v>
      </c>
      <c r="M23" s="2">
        <f t="shared" si="1"/>
        <v>45</v>
      </c>
      <c r="N23" s="10">
        <f t="shared" si="2"/>
        <v>3.18167962200884E-2</v>
      </c>
    </row>
    <row r="24" spans="1:14" ht="15.75" thickBot="1" x14ac:dyDescent="0.3">
      <c r="A24" s="2">
        <v>648</v>
      </c>
      <c r="B24" s="2">
        <v>200</v>
      </c>
      <c r="C24" s="2">
        <v>40</v>
      </c>
      <c r="E24" s="2">
        <v>142</v>
      </c>
      <c r="F24" s="2">
        <v>50</v>
      </c>
      <c r="G24" s="2">
        <v>10</v>
      </c>
      <c r="I24" s="2">
        <v>0.2191358024691358</v>
      </c>
      <c r="J24" s="2">
        <v>2000</v>
      </c>
      <c r="K24" s="2">
        <v>100</v>
      </c>
      <c r="L24" s="2">
        <f t="shared" si="0"/>
        <v>20</v>
      </c>
      <c r="M24" s="2">
        <f t="shared" si="1"/>
        <v>80</v>
      </c>
      <c r="N24" s="10">
        <f t="shared" si="2"/>
        <v>2.8959000152415787E-2</v>
      </c>
    </row>
    <row r="25" spans="1:14" ht="15.75" thickBot="1" x14ac:dyDescent="0.3">
      <c r="A25" s="2">
        <v>648</v>
      </c>
      <c r="B25" s="2">
        <v>200</v>
      </c>
      <c r="C25" s="2">
        <v>40</v>
      </c>
      <c r="E25" s="2">
        <v>94</v>
      </c>
      <c r="F25" s="2">
        <v>50</v>
      </c>
      <c r="G25" s="2">
        <v>10</v>
      </c>
      <c r="I25" s="2">
        <v>0.14506172839506173</v>
      </c>
      <c r="J25" s="2">
        <v>4000</v>
      </c>
      <c r="K25" s="2">
        <v>50</v>
      </c>
      <c r="L25" s="2">
        <f t="shared" si="0"/>
        <v>10</v>
      </c>
      <c r="M25" s="2">
        <f t="shared" si="1"/>
        <v>160</v>
      </c>
      <c r="N25" s="10">
        <f t="shared" si="2"/>
        <v>2.4386526444139613E-2</v>
      </c>
    </row>
    <row r="26" spans="1:14" ht="15.75" thickBot="1" x14ac:dyDescent="0.3">
      <c r="A26" s="2">
        <v>642</v>
      </c>
      <c r="B26" s="2">
        <v>100</v>
      </c>
      <c r="C26" s="2">
        <v>20</v>
      </c>
      <c r="E26" s="2">
        <v>488</v>
      </c>
      <c r="F26" s="2">
        <v>100</v>
      </c>
      <c r="G26" s="2">
        <v>20</v>
      </c>
      <c r="I26" s="2">
        <v>0.76012461059190028</v>
      </c>
      <c r="J26" s="2">
        <v>400</v>
      </c>
      <c r="K26" s="2">
        <v>500</v>
      </c>
      <c r="L26" s="2">
        <f t="shared" si="0"/>
        <v>100</v>
      </c>
      <c r="M26" s="2">
        <f t="shared" si="1"/>
        <v>16</v>
      </c>
      <c r="N26" s="10">
        <f t="shared" si="2"/>
        <v>5.483254238604051E-2</v>
      </c>
    </row>
    <row r="29" spans="1:14" x14ac:dyDescent="0.25">
      <c r="C29" t="s">
        <v>36</v>
      </c>
      <c r="D29" t="s">
        <v>35</v>
      </c>
      <c r="E29">
        <f>COUNT(E10:E26)</f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0BE4-2543-4B4B-95BD-A4E75C2537F5}">
  <dimension ref="A3:O29"/>
  <sheetViews>
    <sheetView workbookViewId="0">
      <selection activeCell="H5" sqref="H5"/>
    </sheetView>
  </sheetViews>
  <sheetFormatPr defaultRowHeight="15" x14ac:dyDescent="0.25"/>
  <cols>
    <col min="4" max="4" width="11.140625" customWidth="1"/>
    <col min="6" max="6" width="11.5703125" customWidth="1"/>
    <col min="7" max="7" width="10.5703125" customWidth="1"/>
    <col min="9" max="9" width="9.7109375" bestFit="1" customWidth="1"/>
    <col min="12" max="12" width="10" bestFit="1" customWidth="1"/>
  </cols>
  <sheetData>
    <row r="3" spans="1:15" x14ac:dyDescent="0.25">
      <c r="A3" t="s">
        <v>15</v>
      </c>
      <c r="B3">
        <v>9.91</v>
      </c>
      <c r="C3" t="s">
        <v>1</v>
      </c>
      <c r="D3" s="13" t="s">
        <v>72</v>
      </c>
      <c r="E3">
        <f>0.006*B3+0.003</f>
        <v>6.2460000000000002E-2</v>
      </c>
      <c r="F3" t="s">
        <v>1</v>
      </c>
      <c r="H3" t="s">
        <v>76</v>
      </c>
      <c r="M3" t="s">
        <v>73</v>
      </c>
    </row>
    <row r="4" spans="1:15" x14ac:dyDescent="0.25">
      <c r="A4" t="s">
        <v>16</v>
      </c>
      <c r="B4">
        <v>0.99</v>
      </c>
      <c r="C4" t="s">
        <v>1</v>
      </c>
      <c r="D4" s="13" t="s">
        <v>72</v>
      </c>
      <c r="E4">
        <f>0.006*B4+0.003</f>
        <v>8.94E-3</v>
      </c>
      <c r="F4" t="s">
        <v>1</v>
      </c>
      <c r="H4">
        <f>E3/B4+E4*B3/B4^2</f>
        <v>0.15348515457606365</v>
      </c>
      <c r="M4">
        <f>B3/B4</f>
        <v>10.01010101010101</v>
      </c>
      <c r="N4" s="13" t="s">
        <v>72</v>
      </c>
      <c r="O4">
        <f>1/B4*E3+B3/B4^2*E4</f>
        <v>0.15348515457606368</v>
      </c>
    </row>
    <row r="7" spans="1:15" ht="15.75" thickBot="1" x14ac:dyDescent="0.3"/>
    <row r="8" spans="1:15" ht="15.75" thickBot="1" x14ac:dyDescent="0.3">
      <c r="A8" s="3" t="s">
        <v>6</v>
      </c>
      <c r="B8" s="3" t="s">
        <v>7</v>
      </c>
      <c r="C8" s="3" t="s">
        <v>8</v>
      </c>
      <c r="E8" s="3" t="s">
        <v>30</v>
      </c>
      <c r="F8" s="3" t="s">
        <v>31</v>
      </c>
      <c r="G8" s="3" t="s">
        <v>32</v>
      </c>
      <c r="I8" s="3" t="s">
        <v>4</v>
      </c>
      <c r="J8" s="3" t="s">
        <v>5</v>
      </c>
      <c r="K8" s="3" t="s">
        <v>12</v>
      </c>
      <c r="L8" s="3" t="s">
        <v>14</v>
      </c>
      <c r="M8" s="11" t="s">
        <v>13</v>
      </c>
      <c r="N8" s="3" t="s">
        <v>34</v>
      </c>
    </row>
    <row r="9" spans="1:15" ht="15.75" thickBot="1" x14ac:dyDescent="0.3">
      <c r="A9" s="2">
        <v>200</v>
      </c>
      <c r="B9" s="2">
        <v>50</v>
      </c>
      <c r="C9" s="2">
        <f t="shared" ref="C9:C27" si="0">B9/5</f>
        <v>10</v>
      </c>
      <c r="E9" s="2">
        <v>1.88</v>
      </c>
      <c r="F9" s="2">
        <v>0.5</v>
      </c>
      <c r="G9" s="2">
        <f t="shared" ref="G9:G27" si="1">F9/5</f>
        <v>0.1</v>
      </c>
      <c r="I9" s="10">
        <f t="shared" ref="I9:I27" si="2">E9/A9*1000</f>
        <v>9.3999999999999986</v>
      </c>
      <c r="J9" s="2">
        <v>1E-3</v>
      </c>
      <c r="K9" s="2">
        <v>100000000</v>
      </c>
      <c r="L9" s="2">
        <f t="shared" ref="L9:L27" si="3">K9/5</f>
        <v>20000000</v>
      </c>
      <c r="M9" s="12">
        <f t="shared" ref="M9:M27" si="4">J9^2*L9*10^-6</f>
        <v>1.9999999999999998E-5</v>
      </c>
      <c r="N9" s="10">
        <f t="shared" ref="N9:N27" si="5">1/A9*G9*1000+E9*1000/A9^2*C9</f>
        <v>0.97</v>
      </c>
    </row>
    <row r="10" spans="1:15" ht="15.75" thickBot="1" x14ac:dyDescent="0.3">
      <c r="A10" s="2">
        <v>200</v>
      </c>
      <c r="B10" s="2">
        <v>50</v>
      </c>
      <c r="C10" s="2">
        <f t="shared" si="0"/>
        <v>10</v>
      </c>
      <c r="E10" s="2">
        <v>1.96</v>
      </c>
      <c r="F10" s="2">
        <v>0.5</v>
      </c>
      <c r="G10" s="2">
        <f t="shared" si="1"/>
        <v>0.1</v>
      </c>
      <c r="I10" s="10">
        <f t="shared" si="2"/>
        <v>9.7999999999999989</v>
      </c>
      <c r="J10" s="2">
        <v>5.0000000000000001E-3</v>
      </c>
      <c r="K10" s="2">
        <v>25000000</v>
      </c>
      <c r="L10" s="2">
        <f t="shared" si="3"/>
        <v>5000000</v>
      </c>
      <c r="M10" s="12">
        <f t="shared" si="4"/>
        <v>1.25E-4</v>
      </c>
      <c r="N10" s="10">
        <f t="shared" si="5"/>
        <v>0.99</v>
      </c>
    </row>
    <row r="11" spans="1:15" ht="15.75" thickBot="1" x14ac:dyDescent="0.3">
      <c r="A11" s="2">
        <v>200</v>
      </c>
      <c r="B11" s="2">
        <v>50</v>
      </c>
      <c r="C11" s="2">
        <f t="shared" si="0"/>
        <v>10</v>
      </c>
      <c r="E11" s="2">
        <v>1.96</v>
      </c>
      <c r="F11" s="2">
        <v>0.5</v>
      </c>
      <c r="G11" s="2">
        <f t="shared" si="1"/>
        <v>0.1</v>
      </c>
      <c r="I11" s="10">
        <f t="shared" si="2"/>
        <v>9.7999999999999989</v>
      </c>
      <c r="J11" s="2">
        <v>0.01</v>
      </c>
      <c r="K11" s="2">
        <v>10000000</v>
      </c>
      <c r="L11" s="2">
        <f t="shared" si="3"/>
        <v>2000000</v>
      </c>
      <c r="M11" s="12">
        <f t="shared" si="4"/>
        <v>1.9999999999999998E-4</v>
      </c>
      <c r="N11" s="10">
        <f t="shared" si="5"/>
        <v>0.99</v>
      </c>
    </row>
    <row r="12" spans="1:15" ht="15.75" thickBot="1" x14ac:dyDescent="0.3">
      <c r="A12" s="2">
        <v>200</v>
      </c>
      <c r="B12" s="2">
        <v>50</v>
      </c>
      <c r="C12" s="2">
        <f t="shared" si="0"/>
        <v>10</v>
      </c>
      <c r="E12" s="2">
        <v>1.96</v>
      </c>
      <c r="F12" s="2">
        <v>0.5</v>
      </c>
      <c r="G12" s="2">
        <f t="shared" si="1"/>
        <v>0.1</v>
      </c>
      <c r="I12" s="10">
        <f t="shared" si="2"/>
        <v>9.7999999999999989</v>
      </c>
      <c r="J12" s="2">
        <v>0.05</v>
      </c>
      <c r="K12" s="2">
        <v>2500000</v>
      </c>
      <c r="L12" s="2">
        <f t="shared" si="3"/>
        <v>500000</v>
      </c>
      <c r="M12" s="12">
        <f t="shared" si="4"/>
        <v>1.2500000000000002E-3</v>
      </c>
      <c r="N12" s="10">
        <f t="shared" si="5"/>
        <v>0.99</v>
      </c>
    </row>
    <row r="13" spans="1:15" ht="15.75" thickBot="1" x14ac:dyDescent="0.3">
      <c r="A13" s="2">
        <v>200</v>
      </c>
      <c r="B13" s="2">
        <v>50</v>
      </c>
      <c r="C13" s="2">
        <f t="shared" si="0"/>
        <v>10</v>
      </c>
      <c r="E13" s="8">
        <v>1.96</v>
      </c>
      <c r="F13" s="2">
        <v>0.5</v>
      </c>
      <c r="G13" s="2">
        <f t="shared" si="1"/>
        <v>0.1</v>
      </c>
      <c r="I13" s="10">
        <f t="shared" si="2"/>
        <v>9.7999999999999989</v>
      </c>
      <c r="J13" s="2">
        <v>0.1</v>
      </c>
      <c r="K13" s="2">
        <v>1000000</v>
      </c>
      <c r="L13" s="2">
        <f t="shared" si="3"/>
        <v>200000</v>
      </c>
      <c r="M13" s="12">
        <f t="shared" si="4"/>
        <v>2.0000000000000005E-3</v>
      </c>
      <c r="N13" s="10">
        <f t="shared" si="5"/>
        <v>0.99</v>
      </c>
    </row>
    <row r="14" spans="1:15" ht="15.75" thickBot="1" x14ac:dyDescent="0.3">
      <c r="A14" s="2">
        <v>200</v>
      </c>
      <c r="B14" s="2">
        <v>50</v>
      </c>
      <c r="C14" s="2">
        <f t="shared" si="0"/>
        <v>10</v>
      </c>
      <c r="E14" s="2">
        <v>1.96</v>
      </c>
      <c r="F14" s="2">
        <v>0.5</v>
      </c>
      <c r="G14" s="2">
        <f t="shared" si="1"/>
        <v>0.1</v>
      </c>
      <c r="I14" s="10">
        <f t="shared" si="2"/>
        <v>9.7999999999999989</v>
      </c>
      <c r="J14" s="2">
        <v>0.5</v>
      </c>
      <c r="K14" s="2">
        <v>250000</v>
      </c>
      <c r="L14" s="2">
        <f t="shared" si="3"/>
        <v>50000</v>
      </c>
      <c r="M14" s="12">
        <f t="shared" si="4"/>
        <v>1.2499999999999999E-2</v>
      </c>
      <c r="N14" s="10">
        <f t="shared" si="5"/>
        <v>0.99</v>
      </c>
    </row>
    <row r="15" spans="1:15" ht="15.75" thickBot="1" x14ac:dyDescent="0.3">
      <c r="A15" s="2">
        <v>200</v>
      </c>
      <c r="B15" s="2">
        <v>50</v>
      </c>
      <c r="C15" s="2">
        <f t="shared" si="0"/>
        <v>10</v>
      </c>
      <c r="E15" s="2">
        <v>1.96</v>
      </c>
      <c r="F15" s="2">
        <v>0.5</v>
      </c>
      <c r="G15" s="2">
        <f t="shared" si="1"/>
        <v>0.1</v>
      </c>
      <c r="I15" s="10">
        <f t="shared" si="2"/>
        <v>9.7999999999999989</v>
      </c>
      <c r="J15" s="2">
        <v>1</v>
      </c>
      <c r="K15" s="2">
        <v>100000</v>
      </c>
      <c r="L15" s="2">
        <f t="shared" si="3"/>
        <v>20000</v>
      </c>
      <c r="M15" s="12">
        <f t="shared" si="4"/>
        <v>0.02</v>
      </c>
      <c r="N15" s="10">
        <f t="shared" si="5"/>
        <v>0.99</v>
      </c>
    </row>
    <row r="16" spans="1:15" ht="15.75" thickBot="1" x14ac:dyDescent="0.3">
      <c r="A16" s="2">
        <v>208</v>
      </c>
      <c r="B16" s="2">
        <v>50</v>
      </c>
      <c r="C16" s="2">
        <f t="shared" si="0"/>
        <v>10</v>
      </c>
      <c r="E16" s="2">
        <v>1.96</v>
      </c>
      <c r="F16" s="2">
        <v>0.5</v>
      </c>
      <c r="G16" s="2">
        <f t="shared" si="1"/>
        <v>0.1</v>
      </c>
      <c r="I16" s="10">
        <f t="shared" si="2"/>
        <v>9.4230769230769234</v>
      </c>
      <c r="J16" s="2">
        <v>5</v>
      </c>
      <c r="K16" s="2">
        <v>25000</v>
      </c>
      <c r="L16" s="2">
        <f t="shared" si="3"/>
        <v>5000</v>
      </c>
      <c r="M16" s="12">
        <f t="shared" si="4"/>
        <v>0.125</v>
      </c>
      <c r="N16" s="10">
        <f t="shared" si="5"/>
        <v>0.93380177514792906</v>
      </c>
    </row>
    <row r="17" spans="1:14" ht="15.75" thickBot="1" x14ac:dyDescent="0.3">
      <c r="A17" s="2">
        <v>210</v>
      </c>
      <c r="B17" s="2">
        <v>50</v>
      </c>
      <c r="C17" s="2">
        <f t="shared" si="0"/>
        <v>10</v>
      </c>
      <c r="E17" s="2">
        <v>1.96</v>
      </c>
      <c r="F17" s="2">
        <v>0.5</v>
      </c>
      <c r="G17" s="2">
        <f t="shared" si="1"/>
        <v>0.1</v>
      </c>
      <c r="I17" s="10">
        <f t="shared" si="2"/>
        <v>9.3333333333333321</v>
      </c>
      <c r="J17" s="2">
        <v>10</v>
      </c>
      <c r="K17" s="2">
        <v>10000</v>
      </c>
      <c r="L17" s="2">
        <f t="shared" si="3"/>
        <v>2000</v>
      </c>
      <c r="M17" s="12">
        <f t="shared" si="4"/>
        <v>0.19999999999999998</v>
      </c>
      <c r="N17" s="10">
        <f t="shared" si="5"/>
        <v>0.92063492063492069</v>
      </c>
    </row>
    <row r="18" spans="1:14" ht="15.75" thickBot="1" x14ac:dyDescent="0.3">
      <c r="A18" s="2">
        <v>212</v>
      </c>
      <c r="B18" s="2">
        <v>50</v>
      </c>
      <c r="C18" s="2">
        <f t="shared" si="0"/>
        <v>10</v>
      </c>
      <c r="E18" s="2">
        <v>1.73</v>
      </c>
      <c r="F18" s="2">
        <v>0.5</v>
      </c>
      <c r="G18" s="2">
        <f t="shared" si="1"/>
        <v>0.1</v>
      </c>
      <c r="I18" s="10">
        <f t="shared" si="2"/>
        <v>8.1603773584905657</v>
      </c>
      <c r="J18" s="2">
        <v>50</v>
      </c>
      <c r="K18" s="2">
        <v>5000</v>
      </c>
      <c r="L18" s="2">
        <f t="shared" si="3"/>
        <v>1000</v>
      </c>
      <c r="M18" s="12">
        <f t="shared" si="4"/>
        <v>2.5</v>
      </c>
      <c r="N18" s="10">
        <f t="shared" si="5"/>
        <v>0.85662157351370594</v>
      </c>
    </row>
    <row r="19" spans="1:14" ht="15.75" thickBot="1" x14ac:dyDescent="0.3">
      <c r="A19" s="2">
        <v>214</v>
      </c>
      <c r="B19" s="2">
        <v>50</v>
      </c>
      <c r="C19" s="2">
        <f t="shared" si="0"/>
        <v>10</v>
      </c>
      <c r="E19" s="2">
        <v>1.52</v>
      </c>
      <c r="F19" s="2">
        <v>0.2</v>
      </c>
      <c r="G19" s="2">
        <f t="shared" si="1"/>
        <v>0.04</v>
      </c>
      <c r="I19" s="10">
        <f t="shared" si="2"/>
        <v>7.1028037383177569</v>
      </c>
      <c r="J19" s="2">
        <v>75</v>
      </c>
      <c r="K19" s="2">
        <v>5000</v>
      </c>
      <c r="L19" s="2">
        <f t="shared" si="3"/>
        <v>1000</v>
      </c>
      <c r="M19" s="12">
        <f t="shared" si="4"/>
        <v>5.625</v>
      </c>
      <c r="N19" s="10">
        <f t="shared" si="5"/>
        <v>0.51882260459428775</v>
      </c>
    </row>
    <row r="20" spans="1:14" ht="15.75" thickBot="1" x14ac:dyDescent="0.3">
      <c r="A20" s="2">
        <v>216</v>
      </c>
      <c r="B20" s="2">
        <v>50</v>
      </c>
      <c r="C20" s="2">
        <f t="shared" si="0"/>
        <v>10</v>
      </c>
      <c r="E20" s="2">
        <v>1.32</v>
      </c>
      <c r="F20" s="2">
        <v>0.2</v>
      </c>
      <c r="G20" s="2">
        <f t="shared" si="1"/>
        <v>0.04</v>
      </c>
      <c r="I20" s="10">
        <f t="shared" si="2"/>
        <v>6.1111111111111116</v>
      </c>
      <c r="J20" s="2">
        <v>100</v>
      </c>
      <c r="K20" s="2">
        <v>2500</v>
      </c>
      <c r="L20" s="2">
        <f t="shared" si="3"/>
        <v>500</v>
      </c>
      <c r="M20" s="12">
        <f t="shared" si="4"/>
        <v>5</v>
      </c>
      <c r="N20" s="10">
        <f t="shared" si="5"/>
        <v>0.46810699588477367</v>
      </c>
    </row>
    <row r="21" spans="1:14" ht="15.75" thickBot="1" x14ac:dyDescent="0.3">
      <c r="A21" s="2">
        <v>222</v>
      </c>
      <c r="B21" s="2">
        <v>50</v>
      </c>
      <c r="C21" s="2">
        <f t="shared" si="0"/>
        <v>10</v>
      </c>
      <c r="E21" s="2">
        <v>0.65600000000000003</v>
      </c>
      <c r="F21" s="2">
        <v>0.2</v>
      </c>
      <c r="G21" s="2">
        <f t="shared" si="1"/>
        <v>0.04</v>
      </c>
      <c r="I21" s="10">
        <f t="shared" si="2"/>
        <v>2.954954954954955</v>
      </c>
      <c r="J21" s="2">
        <v>250</v>
      </c>
      <c r="K21" s="2">
        <v>1000</v>
      </c>
      <c r="L21" s="2">
        <f t="shared" si="3"/>
        <v>200</v>
      </c>
      <c r="M21" s="12">
        <f t="shared" si="4"/>
        <v>12.5</v>
      </c>
      <c r="N21" s="10">
        <f t="shared" si="5"/>
        <v>0.31328625923220521</v>
      </c>
    </row>
    <row r="22" spans="1:14" ht="15.75" thickBot="1" x14ac:dyDescent="0.3">
      <c r="A22" s="2">
        <v>220</v>
      </c>
      <c r="B22" s="2">
        <v>50</v>
      </c>
      <c r="C22" s="2">
        <f t="shared" si="0"/>
        <v>10</v>
      </c>
      <c r="E22" s="2">
        <v>1</v>
      </c>
      <c r="F22" s="2">
        <v>0.2</v>
      </c>
      <c r="G22" s="2">
        <f t="shared" si="1"/>
        <v>0.04</v>
      </c>
      <c r="I22" s="10">
        <f t="shared" si="2"/>
        <v>4.545454545454545</v>
      </c>
      <c r="J22" s="2">
        <v>150</v>
      </c>
      <c r="K22" s="2">
        <v>1000</v>
      </c>
      <c r="L22" s="2">
        <f t="shared" si="3"/>
        <v>200</v>
      </c>
      <c r="M22" s="12">
        <f t="shared" si="4"/>
        <v>4.5</v>
      </c>
      <c r="N22" s="10">
        <f t="shared" si="5"/>
        <v>0.38842975206611569</v>
      </c>
    </row>
    <row r="23" spans="1:14" ht="15.75" thickBot="1" x14ac:dyDescent="0.3">
      <c r="A23" s="2">
        <v>220</v>
      </c>
      <c r="B23" s="2">
        <v>50</v>
      </c>
      <c r="C23" s="2">
        <f t="shared" si="0"/>
        <v>10</v>
      </c>
      <c r="E23" s="2">
        <v>0.8</v>
      </c>
      <c r="F23" s="2">
        <v>0.2</v>
      </c>
      <c r="G23" s="2">
        <f t="shared" si="1"/>
        <v>0.04</v>
      </c>
      <c r="I23" s="10">
        <f t="shared" si="2"/>
        <v>3.6363636363636362</v>
      </c>
      <c r="J23" s="2">
        <v>200</v>
      </c>
      <c r="K23" s="2">
        <v>1000</v>
      </c>
      <c r="L23" s="2">
        <f t="shared" si="3"/>
        <v>200</v>
      </c>
      <c r="M23" s="12">
        <f t="shared" si="4"/>
        <v>8</v>
      </c>
      <c r="N23" s="10">
        <f t="shared" si="5"/>
        <v>0.34710743801652888</v>
      </c>
    </row>
    <row r="24" spans="1:14" ht="15.75" thickBot="1" x14ac:dyDescent="0.3">
      <c r="A24" s="2">
        <v>222</v>
      </c>
      <c r="B24" s="2">
        <v>50</v>
      </c>
      <c r="C24" s="2">
        <f t="shared" si="0"/>
        <v>10</v>
      </c>
      <c r="E24" s="2">
        <v>0.42399999999999999</v>
      </c>
      <c r="F24" s="2">
        <v>0.1</v>
      </c>
      <c r="G24" s="2">
        <f t="shared" si="1"/>
        <v>0.02</v>
      </c>
      <c r="I24" s="10">
        <f t="shared" si="2"/>
        <v>1.9099099099099097</v>
      </c>
      <c r="J24" s="2">
        <v>400</v>
      </c>
      <c r="K24" s="2">
        <v>500</v>
      </c>
      <c r="L24" s="2">
        <f t="shared" si="3"/>
        <v>100</v>
      </c>
      <c r="M24" s="12">
        <f t="shared" si="4"/>
        <v>16</v>
      </c>
      <c r="N24" s="10">
        <f t="shared" si="5"/>
        <v>0.17612206801395991</v>
      </c>
    </row>
    <row r="25" spans="1:14" ht="15.75" thickBot="1" x14ac:dyDescent="0.3">
      <c r="A25" s="7">
        <v>222</v>
      </c>
      <c r="B25" s="7">
        <v>50</v>
      </c>
      <c r="C25" s="2">
        <f t="shared" si="0"/>
        <v>10</v>
      </c>
      <c r="E25" s="2">
        <v>0.33600000000000002</v>
      </c>
      <c r="F25" s="2">
        <v>0.05</v>
      </c>
      <c r="G25" s="2">
        <f t="shared" si="1"/>
        <v>0.01</v>
      </c>
      <c r="I25" s="10">
        <f t="shared" si="2"/>
        <v>1.5135135135135136</v>
      </c>
      <c r="J25" s="2">
        <v>500</v>
      </c>
      <c r="K25" s="2">
        <v>500</v>
      </c>
      <c r="L25" s="2">
        <f t="shared" si="3"/>
        <v>100</v>
      </c>
      <c r="M25" s="12">
        <f t="shared" si="4"/>
        <v>25</v>
      </c>
      <c r="N25" s="10">
        <f t="shared" si="5"/>
        <v>0.11322132943754565</v>
      </c>
    </row>
    <row r="26" spans="1:14" ht="15.75" thickBot="1" x14ac:dyDescent="0.3">
      <c r="A26" s="2">
        <v>224</v>
      </c>
      <c r="B26" s="2">
        <v>50</v>
      </c>
      <c r="C26" s="6">
        <f t="shared" si="0"/>
        <v>10</v>
      </c>
      <c r="E26" s="2">
        <v>0.21199999999999999</v>
      </c>
      <c r="F26" s="2">
        <v>0.05</v>
      </c>
      <c r="G26" s="2">
        <f t="shared" si="1"/>
        <v>0.01</v>
      </c>
      <c r="I26" s="10">
        <f t="shared" si="2"/>
        <v>0.9464285714285714</v>
      </c>
      <c r="J26" s="2">
        <v>800</v>
      </c>
      <c r="K26" s="2">
        <v>250</v>
      </c>
      <c r="L26" s="2">
        <f t="shared" si="3"/>
        <v>50</v>
      </c>
      <c r="M26" s="12">
        <f t="shared" si="4"/>
        <v>32</v>
      </c>
      <c r="N26" s="10">
        <f t="shared" si="5"/>
        <v>8.6894132653061229E-2</v>
      </c>
    </row>
    <row r="27" spans="1:14" ht="15.75" thickBot="1" x14ac:dyDescent="0.3">
      <c r="A27" s="2">
        <v>222</v>
      </c>
      <c r="B27" s="2">
        <v>50</v>
      </c>
      <c r="C27" s="6">
        <f t="shared" si="0"/>
        <v>10</v>
      </c>
      <c r="E27" s="2">
        <v>0.17199999999999999</v>
      </c>
      <c r="F27" s="2">
        <v>0.05</v>
      </c>
      <c r="G27" s="2">
        <f t="shared" si="1"/>
        <v>0.01</v>
      </c>
      <c r="I27" s="10">
        <f t="shared" si="2"/>
        <v>0.77477477477477474</v>
      </c>
      <c r="J27" s="2">
        <v>1000</v>
      </c>
      <c r="K27" s="2">
        <v>250</v>
      </c>
      <c r="L27" s="2">
        <f t="shared" si="3"/>
        <v>50</v>
      </c>
      <c r="M27" s="12">
        <f t="shared" si="4"/>
        <v>50</v>
      </c>
      <c r="N27" s="10">
        <f t="shared" si="5"/>
        <v>7.9944809674539402E-2</v>
      </c>
    </row>
    <row r="29" spans="1:14" x14ac:dyDescent="0.25">
      <c r="C29" t="s">
        <v>36</v>
      </c>
      <c r="D29" t="s">
        <v>35</v>
      </c>
      <c r="E29">
        <f>COUNT(E9:E27)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5D3C-2A78-46D2-9F8F-5378457AAD6F}">
  <dimension ref="A2:N37"/>
  <sheetViews>
    <sheetView tabSelected="1" zoomScale="99" zoomScaleNormal="100" workbookViewId="0">
      <selection activeCell="N11" sqref="N11"/>
    </sheetView>
  </sheetViews>
  <sheetFormatPr defaultRowHeight="15" x14ac:dyDescent="0.25"/>
  <cols>
    <col min="2" max="2" width="12.140625" customWidth="1"/>
    <col min="3" max="3" width="11.28515625" customWidth="1"/>
    <col min="5" max="5" width="8.85546875" customWidth="1"/>
    <col min="6" max="6" width="12.85546875" customWidth="1"/>
    <col min="7" max="7" width="12.42578125" customWidth="1"/>
    <col min="11" max="11" width="9.42578125" customWidth="1"/>
  </cols>
  <sheetData>
    <row r="2" spans="1:14" x14ac:dyDescent="0.25">
      <c r="A2" t="s">
        <v>17</v>
      </c>
      <c r="B2">
        <v>100</v>
      </c>
      <c r="C2" t="s">
        <v>18</v>
      </c>
      <c r="D2" s="13" t="s">
        <v>72</v>
      </c>
      <c r="E2">
        <f>B2*0.02+8</f>
        <v>10</v>
      </c>
      <c r="F2" t="s">
        <v>18</v>
      </c>
    </row>
    <row r="3" spans="1:14" x14ac:dyDescent="0.25">
      <c r="A3" t="s">
        <v>2</v>
      </c>
      <c r="B3">
        <v>9.8800000000000008</v>
      </c>
      <c r="C3" t="s">
        <v>1</v>
      </c>
      <c r="D3" s="13" t="s">
        <v>72</v>
      </c>
      <c r="E3">
        <f>0.006*B3+0.003</f>
        <v>6.2280000000000009E-2</v>
      </c>
      <c r="F3" t="s">
        <v>1</v>
      </c>
      <c r="J3" t="s">
        <v>74</v>
      </c>
      <c r="K3">
        <f>1/(2*PI()*B2*B4*10^-6)</f>
        <v>15.899594714475059</v>
      </c>
      <c r="L3" s="13" t="s">
        <v>72</v>
      </c>
      <c r="M3">
        <f>1/(2*PI())*(1/((B2*10^-9)^2*(B4*10^3))*E2*10^-9+E4*10^3/(B2*10^-9*(B4*10^3)^2))</f>
        <v>1.6858335510644604</v>
      </c>
    </row>
    <row r="4" spans="1:14" x14ac:dyDescent="0.25">
      <c r="A4" t="s">
        <v>19</v>
      </c>
      <c r="B4">
        <v>100.1</v>
      </c>
      <c r="C4" t="s">
        <v>1</v>
      </c>
      <c r="D4" s="13" t="s">
        <v>72</v>
      </c>
      <c r="E4">
        <f>0.006*B4+0.003</f>
        <v>0.60360000000000003</v>
      </c>
      <c r="F4" t="s">
        <v>1</v>
      </c>
      <c r="I4" t="s">
        <v>73</v>
      </c>
      <c r="K4">
        <f>B4/B3</f>
        <v>10.131578947368419</v>
      </c>
      <c r="L4" s="13" t="s">
        <v>72</v>
      </c>
      <c r="M4">
        <f>E4/B3+B4/B3^2*E3</f>
        <v>0.12495898146175154</v>
      </c>
    </row>
    <row r="7" spans="1:14" x14ac:dyDescent="0.25">
      <c r="A7">
        <f>1.44/0.224</f>
        <v>6.4285714285714279</v>
      </c>
      <c r="B7">
        <f>1.46/0.222</f>
        <v>6.576576576576576</v>
      </c>
      <c r="D7">
        <f>1/SQRT(2)*B4/B3</f>
        <v>7.1641081778110722</v>
      </c>
      <c r="E7" t="s">
        <v>24</v>
      </c>
      <c r="G7">
        <f>D7*0.22</f>
        <v>1.5761037991184359</v>
      </c>
      <c r="H7" t="s">
        <v>75</v>
      </c>
    </row>
    <row r="10" spans="1:14" x14ac:dyDescent="0.25">
      <c r="A10" t="s">
        <v>22</v>
      </c>
    </row>
    <row r="11" spans="1:14" x14ac:dyDescent="0.25">
      <c r="N11" s="15"/>
    </row>
    <row r="12" spans="1:14" ht="15.75" thickBot="1" x14ac:dyDescent="0.3"/>
    <row r="13" spans="1:14" ht="15.75" thickBot="1" x14ac:dyDescent="0.3">
      <c r="A13" s="3" t="s">
        <v>6</v>
      </c>
      <c r="B13" s="3" t="s">
        <v>7</v>
      </c>
      <c r="C13" s="3" t="s">
        <v>8</v>
      </c>
      <c r="E13" s="3" t="s">
        <v>30</v>
      </c>
      <c r="F13" s="3" t="s">
        <v>10</v>
      </c>
      <c r="G13" s="3" t="s">
        <v>11</v>
      </c>
      <c r="I13" s="3" t="s">
        <v>4</v>
      </c>
      <c r="J13" s="3" t="s">
        <v>23</v>
      </c>
      <c r="K13" s="3" t="s">
        <v>33</v>
      </c>
      <c r="L13" s="3" t="s">
        <v>14</v>
      </c>
      <c r="M13" s="3" t="s">
        <v>13</v>
      </c>
      <c r="N13" s="3" t="s">
        <v>34</v>
      </c>
    </row>
    <row r="14" spans="1:14" ht="15.75" thickBot="1" x14ac:dyDescent="0.3">
      <c r="A14" s="2">
        <v>222</v>
      </c>
      <c r="B14" s="2">
        <v>50</v>
      </c>
      <c r="C14" s="2">
        <f t="shared" ref="C14:C37" si="0">B14/5</f>
        <v>10</v>
      </c>
      <c r="E14" s="2">
        <v>2.08</v>
      </c>
      <c r="F14" s="2">
        <v>500</v>
      </c>
      <c r="G14" s="2">
        <f t="shared" ref="G14:G37" si="1">F14/5</f>
        <v>100</v>
      </c>
      <c r="I14" s="2">
        <f>E14/A14*1000</f>
        <v>9.3693693693693696</v>
      </c>
      <c r="J14" s="2">
        <v>1</v>
      </c>
      <c r="K14" s="2">
        <v>100</v>
      </c>
      <c r="L14" s="2">
        <f t="shared" ref="L14:L37" si="2">K14/5</f>
        <v>20</v>
      </c>
      <c r="M14" s="9">
        <f>J14^2*L14*10^-3</f>
        <v>0.02</v>
      </c>
      <c r="N14" s="10">
        <f>1/A14*G14+E14*1000/A14^2*C14</f>
        <v>0.87249411573735902</v>
      </c>
    </row>
    <row r="15" spans="1:14" ht="15.75" thickBot="1" x14ac:dyDescent="0.3">
      <c r="A15" s="2">
        <v>220</v>
      </c>
      <c r="B15" s="2">
        <v>50</v>
      </c>
      <c r="C15" s="2">
        <f t="shared" si="0"/>
        <v>10</v>
      </c>
      <c r="E15" s="2">
        <v>2.04</v>
      </c>
      <c r="F15" s="2">
        <v>500</v>
      </c>
      <c r="G15" s="2">
        <f t="shared" si="1"/>
        <v>100</v>
      </c>
      <c r="I15" s="2">
        <f t="shared" ref="I15:I37" si="3">E15/A15*1000</f>
        <v>9.2727272727272734</v>
      </c>
      <c r="J15" s="2">
        <v>3</v>
      </c>
      <c r="K15" s="2">
        <v>250</v>
      </c>
      <c r="L15" s="2">
        <f t="shared" si="2"/>
        <v>50</v>
      </c>
      <c r="M15" s="9">
        <f t="shared" ref="M15:M37" si="4">J15^2*L15*10^-3</f>
        <v>0.45</v>
      </c>
      <c r="N15" s="10">
        <f t="shared" ref="N15:N37" si="5">1/A15*G15+E15*1000/A15^2*C15</f>
        <v>0.87603305785123964</v>
      </c>
    </row>
    <row r="16" spans="1:14" ht="15.75" thickBot="1" x14ac:dyDescent="0.3">
      <c r="A16" s="2">
        <v>222</v>
      </c>
      <c r="B16" s="2">
        <v>50</v>
      </c>
      <c r="C16" s="2">
        <f t="shared" si="0"/>
        <v>10</v>
      </c>
      <c r="E16" s="2">
        <v>1.98</v>
      </c>
      <c r="F16" s="2">
        <v>500</v>
      </c>
      <c r="G16" s="2">
        <f t="shared" si="1"/>
        <v>100</v>
      </c>
      <c r="I16" s="2">
        <f t="shared" si="3"/>
        <v>8.9189189189189175</v>
      </c>
      <c r="J16" s="2">
        <v>5</v>
      </c>
      <c r="K16" s="2">
        <v>250</v>
      </c>
      <c r="L16" s="2">
        <f t="shared" si="2"/>
        <v>50</v>
      </c>
      <c r="M16" s="9">
        <f t="shared" si="4"/>
        <v>1.25</v>
      </c>
      <c r="N16" s="10">
        <f t="shared" si="5"/>
        <v>0.85220355490625765</v>
      </c>
    </row>
    <row r="17" spans="1:14" ht="15.75" thickBot="1" x14ac:dyDescent="0.3">
      <c r="A17" s="2">
        <v>222</v>
      </c>
      <c r="B17" s="2">
        <v>50</v>
      </c>
      <c r="C17" s="2">
        <f t="shared" si="0"/>
        <v>10</v>
      </c>
      <c r="E17" s="2">
        <v>1.88</v>
      </c>
      <c r="F17" s="2">
        <v>500</v>
      </c>
      <c r="G17" s="2">
        <f t="shared" si="1"/>
        <v>100</v>
      </c>
      <c r="I17" s="2">
        <f t="shared" si="3"/>
        <v>8.468468468468469</v>
      </c>
      <c r="J17" s="2">
        <v>7</v>
      </c>
      <c r="K17" s="2">
        <v>250</v>
      </c>
      <c r="L17" s="2">
        <f t="shared" si="2"/>
        <v>50</v>
      </c>
      <c r="M17" s="9">
        <f t="shared" si="4"/>
        <v>2.4500000000000002</v>
      </c>
      <c r="N17" s="10">
        <f t="shared" si="5"/>
        <v>0.83191299407515618</v>
      </c>
    </row>
    <row r="18" spans="1:14" ht="15.75" thickBot="1" x14ac:dyDescent="0.3">
      <c r="A18" s="2">
        <v>222</v>
      </c>
      <c r="B18" s="2">
        <v>50</v>
      </c>
      <c r="C18" s="2">
        <f t="shared" si="0"/>
        <v>10</v>
      </c>
      <c r="E18" s="2">
        <v>1.81</v>
      </c>
      <c r="F18" s="2">
        <v>500</v>
      </c>
      <c r="G18" s="2">
        <f t="shared" si="1"/>
        <v>100</v>
      </c>
      <c r="I18" s="2">
        <f t="shared" si="3"/>
        <v>8.1531531531531538</v>
      </c>
      <c r="J18" s="2">
        <v>9</v>
      </c>
      <c r="K18" s="2">
        <v>250</v>
      </c>
      <c r="L18" s="2">
        <f t="shared" si="2"/>
        <v>50</v>
      </c>
      <c r="M18" s="9">
        <f t="shared" si="4"/>
        <v>4.05</v>
      </c>
      <c r="N18" s="10">
        <f t="shared" si="5"/>
        <v>0.81770960149338534</v>
      </c>
    </row>
    <row r="19" spans="1:14" ht="15.75" thickBot="1" x14ac:dyDescent="0.3">
      <c r="A19" s="2">
        <v>222</v>
      </c>
      <c r="B19" s="2">
        <v>50</v>
      </c>
      <c r="C19" s="2">
        <f t="shared" si="0"/>
        <v>10</v>
      </c>
      <c r="E19" s="2">
        <v>1.76</v>
      </c>
      <c r="F19" s="2">
        <v>500</v>
      </c>
      <c r="G19" s="2">
        <f t="shared" si="1"/>
        <v>100</v>
      </c>
      <c r="I19" s="2">
        <f t="shared" si="3"/>
        <v>7.9279279279279287</v>
      </c>
      <c r="J19" s="2">
        <v>10</v>
      </c>
      <c r="K19" s="2">
        <v>10</v>
      </c>
      <c r="L19" s="2">
        <f t="shared" si="2"/>
        <v>2</v>
      </c>
      <c r="M19" s="9">
        <f t="shared" si="4"/>
        <v>0.2</v>
      </c>
      <c r="N19" s="10">
        <f t="shared" si="5"/>
        <v>0.8075643210778346</v>
      </c>
    </row>
    <row r="20" spans="1:14" ht="15.75" thickBot="1" x14ac:dyDescent="0.3">
      <c r="A20" s="2">
        <v>222</v>
      </c>
      <c r="B20" s="2">
        <v>50</v>
      </c>
      <c r="C20" s="2">
        <f t="shared" si="0"/>
        <v>10</v>
      </c>
      <c r="E20" s="2">
        <v>1.71</v>
      </c>
      <c r="F20" s="2">
        <v>500</v>
      </c>
      <c r="G20" s="2">
        <f t="shared" si="1"/>
        <v>100</v>
      </c>
      <c r="I20" s="2">
        <f t="shared" si="3"/>
        <v>7.7027027027027026</v>
      </c>
      <c r="J20" s="2">
        <v>11</v>
      </c>
      <c r="K20" s="2">
        <v>10</v>
      </c>
      <c r="L20" s="2">
        <f t="shared" si="2"/>
        <v>2</v>
      </c>
      <c r="M20" s="9">
        <f t="shared" si="4"/>
        <v>0.24199999999999999</v>
      </c>
      <c r="N20" s="10">
        <f t="shared" si="5"/>
        <v>0.79741904066228386</v>
      </c>
    </row>
    <row r="21" spans="1:14" ht="15.75" thickBot="1" x14ac:dyDescent="0.3">
      <c r="A21" s="2">
        <v>222</v>
      </c>
      <c r="B21" s="2">
        <v>50</v>
      </c>
      <c r="C21" s="2">
        <f t="shared" si="0"/>
        <v>10</v>
      </c>
      <c r="E21" s="2">
        <v>1.65</v>
      </c>
      <c r="F21" s="2">
        <v>500</v>
      </c>
      <c r="G21" s="2">
        <f t="shared" si="1"/>
        <v>100</v>
      </c>
      <c r="I21" s="2">
        <f t="shared" si="3"/>
        <v>7.4324324324324316</v>
      </c>
      <c r="J21" s="2">
        <v>12</v>
      </c>
      <c r="K21" s="2">
        <v>10</v>
      </c>
      <c r="L21" s="2">
        <f t="shared" si="2"/>
        <v>2</v>
      </c>
      <c r="M21" s="9">
        <f t="shared" si="4"/>
        <v>0.28800000000000003</v>
      </c>
      <c r="N21" s="10">
        <f t="shared" si="5"/>
        <v>0.78524470416362302</v>
      </c>
    </row>
    <row r="22" spans="1:14" ht="15.75" thickBot="1" x14ac:dyDescent="0.3">
      <c r="A22" s="2">
        <v>222</v>
      </c>
      <c r="B22" s="2">
        <v>50</v>
      </c>
      <c r="C22" s="2">
        <f t="shared" si="0"/>
        <v>10</v>
      </c>
      <c r="E22" s="2">
        <v>1.61</v>
      </c>
      <c r="F22" s="2">
        <v>500</v>
      </c>
      <c r="G22" s="2">
        <f t="shared" si="1"/>
        <v>100</v>
      </c>
      <c r="I22" s="2">
        <f t="shared" si="3"/>
        <v>7.2522522522522523</v>
      </c>
      <c r="J22" s="2">
        <v>13</v>
      </c>
      <c r="K22" s="2">
        <v>10</v>
      </c>
      <c r="L22" s="2">
        <f t="shared" si="2"/>
        <v>2</v>
      </c>
      <c r="M22" s="9">
        <f t="shared" si="4"/>
        <v>0.33800000000000002</v>
      </c>
      <c r="N22" s="10">
        <f t="shared" si="5"/>
        <v>0.77712847983118249</v>
      </c>
    </row>
    <row r="23" spans="1:14" ht="15.75" thickBot="1" x14ac:dyDescent="0.3">
      <c r="A23" s="2">
        <v>222</v>
      </c>
      <c r="B23" s="2">
        <v>50</v>
      </c>
      <c r="C23" s="2">
        <f t="shared" si="0"/>
        <v>10</v>
      </c>
      <c r="E23" s="2">
        <v>1.56</v>
      </c>
      <c r="F23" s="2">
        <v>500</v>
      </c>
      <c r="G23" s="2">
        <f t="shared" si="1"/>
        <v>100</v>
      </c>
      <c r="I23" s="2">
        <f t="shared" si="3"/>
        <v>7.0270270270270272</v>
      </c>
      <c r="J23" s="2">
        <v>14</v>
      </c>
      <c r="K23" s="2">
        <v>10</v>
      </c>
      <c r="L23" s="2">
        <f t="shared" si="2"/>
        <v>2</v>
      </c>
      <c r="M23" s="9">
        <f t="shared" si="4"/>
        <v>0.39200000000000002</v>
      </c>
      <c r="N23" s="10">
        <f t="shared" si="5"/>
        <v>0.76698319941563187</v>
      </c>
    </row>
    <row r="24" spans="1:14" ht="15.75" thickBot="1" x14ac:dyDescent="0.3">
      <c r="A24" s="2">
        <v>222</v>
      </c>
      <c r="B24" s="2">
        <v>50</v>
      </c>
      <c r="C24" s="2">
        <f t="shared" si="0"/>
        <v>10</v>
      </c>
      <c r="E24" s="2">
        <v>1.53</v>
      </c>
      <c r="F24" s="2">
        <v>200</v>
      </c>
      <c r="G24" s="2">
        <f t="shared" si="1"/>
        <v>40</v>
      </c>
      <c r="I24" s="2">
        <f t="shared" si="3"/>
        <v>6.8918918918918921</v>
      </c>
      <c r="J24" s="2">
        <v>14.3</v>
      </c>
      <c r="K24" s="2">
        <v>10</v>
      </c>
      <c r="L24" s="2">
        <f t="shared" si="2"/>
        <v>2</v>
      </c>
      <c r="M24" s="9">
        <f t="shared" si="4"/>
        <v>0.40898000000000001</v>
      </c>
      <c r="N24" s="10">
        <f t="shared" si="5"/>
        <v>0.49062576089603116</v>
      </c>
    </row>
    <row r="25" spans="1:14" ht="15.75" thickBot="1" x14ac:dyDescent="0.3">
      <c r="A25" s="2">
        <v>222</v>
      </c>
      <c r="B25" s="2">
        <v>50</v>
      </c>
      <c r="C25" s="2">
        <f t="shared" si="0"/>
        <v>10</v>
      </c>
      <c r="E25" s="2">
        <v>1.5</v>
      </c>
      <c r="F25" s="2">
        <v>200</v>
      </c>
      <c r="G25" s="2">
        <f t="shared" si="1"/>
        <v>40</v>
      </c>
      <c r="I25" s="2">
        <f t="shared" si="3"/>
        <v>6.756756756756757</v>
      </c>
      <c r="J25" s="2">
        <v>15</v>
      </c>
      <c r="K25" s="2">
        <v>10</v>
      </c>
      <c r="L25" s="2">
        <f t="shared" si="2"/>
        <v>2</v>
      </c>
      <c r="M25" s="9">
        <f t="shared" si="4"/>
        <v>0.45</v>
      </c>
      <c r="N25" s="10">
        <f t="shared" si="5"/>
        <v>0.48453859264670074</v>
      </c>
    </row>
    <row r="26" spans="1:14" ht="15.75" thickBot="1" x14ac:dyDescent="0.3">
      <c r="A26" s="2">
        <v>222</v>
      </c>
      <c r="B26" s="2">
        <v>50</v>
      </c>
      <c r="C26" s="2">
        <f t="shared" si="0"/>
        <v>10</v>
      </c>
      <c r="E26" s="2">
        <v>1.46</v>
      </c>
      <c r="F26" s="2">
        <v>200</v>
      </c>
      <c r="G26" s="2">
        <f t="shared" si="1"/>
        <v>40</v>
      </c>
      <c r="I26" s="2">
        <f t="shared" si="3"/>
        <v>6.576576576576576</v>
      </c>
      <c r="J26" s="2">
        <v>16</v>
      </c>
      <c r="K26" s="2">
        <v>10</v>
      </c>
      <c r="L26" s="2">
        <f t="shared" si="2"/>
        <v>2</v>
      </c>
      <c r="M26" s="9">
        <f t="shared" si="4"/>
        <v>0.51200000000000001</v>
      </c>
      <c r="N26" s="10">
        <f t="shared" si="5"/>
        <v>0.47642236831426016</v>
      </c>
    </row>
    <row r="27" spans="1:14" ht="15.75" thickBot="1" x14ac:dyDescent="0.3">
      <c r="A27" s="2">
        <v>222</v>
      </c>
      <c r="B27" s="2">
        <v>50</v>
      </c>
      <c r="C27" s="2">
        <f t="shared" si="0"/>
        <v>10</v>
      </c>
      <c r="E27" s="2">
        <v>1.29</v>
      </c>
      <c r="F27" s="2">
        <v>200</v>
      </c>
      <c r="G27" s="2">
        <f t="shared" si="1"/>
        <v>40</v>
      </c>
      <c r="I27" s="2">
        <f t="shared" si="3"/>
        <v>5.8108108108108114</v>
      </c>
      <c r="J27" s="2">
        <v>20</v>
      </c>
      <c r="K27" s="2">
        <v>10</v>
      </c>
      <c r="L27" s="2">
        <f t="shared" si="2"/>
        <v>2</v>
      </c>
      <c r="M27" s="9">
        <f t="shared" si="4"/>
        <v>0.8</v>
      </c>
      <c r="N27" s="10">
        <f t="shared" si="5"/>
        <v>0.44192841490138784</v>
      </c>
    </row>
    <row r="28" spans="1:14" ht="15.75" thickBot="1" x14ac:dyDescent="0.3">
      <c r="A28" s="2">
        <v>222</v>
      </c>
      <c r="B28" s="2">
        <v>50</v>
      </c>
      <c r="C28" s="2">
        <f t="shared" si="0"/>
        <v>10</v>
      </c>
      <c r="E28" s="2">
        <v>0.96</v>
      </c>
      <c r="F28" s="2">
        <v>200</v>
      </c>
      <c r="G28" s="2">
        <f t="shared" si="1"/>
        <v>40</v>
      </c>
      <c r="I28" s="2">
        <f t="shared" si="3"/>
        <v>4.3243243243243246</v>
      </c>
      <c r="J28" s="2">
        <v>31</v>
      </c>
      <c r="K28" s="2">
        <v>5</v>
      </c>
      <c r="L28" s="2">
        <f t="shared" si="2"/>
        <v>1</v>
      </c>
      <c r="M28" s="9">
        <f t="shared" si="4"/>
        <v>0.96099999999999997</v>
      </c>
      <c r="N28" s="10">
        <f t="shared" si="5"/>
        <v>0.37496956415875338</v>
      </c>
    </row>
    <row r="29" spans="1:14" ht="15.75" thickBot="1" x14ac:dyDescent="0.3">
      <c r="A29" s="2">
        <v>222</v>
      </c>
      <c r="B29" s="2">
        <v>50</v>
      </c>
      <c r="C29" s="2">
        <f t="shared" si="0"/>
        <v>10</v>
      </c>
      <c r="E29" s="2">
        <v>0.76800000000000002</v>
      </c>
      <c r="F29" s="2">
        <v>200</v>
      </c>
      <c r="G29" s="2">
        <f t="shared" si="1"/>
        <v>40</v>
      </c>
      <c r="I29" s="2">
        <f t="shared" si="3"/>
        <v>3.4594594594594592</v>
      </c>
      <c r="J29" s="2">
        <v>40</v>
      </c>
      <c r="K29" s="2">
        <v>2.5</v>
      </c>
      <c r="L29" s="2">
        <f t="shared" si="2"/>
        <v>0.5</v>
      </c>
      <c r="M29" s="9">
        <f t="shared" si="4"/>
        <v>0.8</v>
      </c>
      <c r="N29" s="10">
        <f t="shared" si="5"/>
        <v>0.33601168736303871</v>
      </c>
    </row>
    <row r="30" spans="1:14" ht="15.75" thickBot="1" x14ac:dyDescent="0.3">
      <c r="A30" s="2">
        <v>208</v>
      </c>
      <c r="B30" s="2">
        <v>50</v>
      </c>
      <c r="C30" s="2">
        <f t="shared" si="0"/>
        <v>10</v>
      </c>
      <c r="E30" s="2">
        <v>0.64</v>
      </c>
      <c r="F30" s="2">
        <v>200</v>
      </c>
      <c r="G30" s="2">
        <f t="shared" si="1"/>
        <v>40</v>
      </c>
      <c r="I30" s="2">
        <f t="shared" si="3"/>
        <v>3.0769230769230771</v>
      </c>
      <c r="J30" s="2">
        <v>50</v>
      </c>
      <c r="K30" s="2">
        <v>2.5</v>
      </c>
      <c r="L30" s="2">
        <f t="shared" si="2"/>
        <v>0.5</v>
      </c>
      <c r="M30" s="9">
        <f t="shared" si="4"/>
        <v>1.25</v>
      </c>
      <c r="N30" s="10">
        <f t="shared" si="5"/>
        <v>0.34023668639053251</v>
      </c>
    </row>
    <row r="31" spans="1:14" ht="15.75" thickBot="1" x14ac:dyDescent="0.3">
      <c r="A31" s="2">
        <v>208</v>
      </c>
      <c r="B31" s="2">
        <v>50</v>
      </c>
      <c r="C31" s="2">
        <f t="shared" si="0"/>
        <v>10</v>
      </c>
      <c r="E31" s="2">
        <v>0.44400000000000001</v>
      </c>
      <c r="F31" s="2">
        <v>100</v>
      </c>
      <c r="G31" s="2">
        <f t="shared" si="1"/>
        <v>20</v>
      </c>
      <c r="I31" s="2">
        <f t="shared" si="3"/>
        <v>2.1346153846153846</v>
      </c>
      <c r="J31" s="2">
        <v>75</v>
      </c>
      <c r="K31" s="2">
        <v>1</v>
      </c>
      <c r="L31" s="2">
        <f t="shared" si="2"/>
        <v>0.2</v>
      </c>
      <c r="M31" s="9">
        <f t="shared" si="4"/>
        <v>1.125</v>
      </c>
      <c r="N31" s="10">
        <f t="shared" si="5"/>
        <v>0.19877958579881658</v>
      </c>
    </row>
    <row r="32" spans="1:14" ht="15.75" thickBot="1" x14ac:dyDescent="0.3">
      <c r="A32" s="2">
        <v>208</v>
      </c>
      <c r="B32" s="2">
        <v>50</v>
      </c>
      <c r="C32" s="2">
        <f t="shared" si="0"/>
        <v>10</v>
      </c>
      <c r="E32" s="2">
        <v>0.33800000000000002</v>
      </c>
      <c r="F32" s="2">
        <v>100</v>
      </c>
      <c r="G32" s="2">
        <f t="shared" si="1"/>
        <v>20</v>
      </c>
      <c r="I32" s="2">
        <f t="shared" si="3"/>
        <v>1.6250000000000002</v>
      </c>
      <c r="J32" s="2">
        <v>100</v>
      </c>
      <c r="K32" s="2">
        <v>1</v>
      </c>
      <c r="L32" s="2">
        <f t="shared" si="2"/>
        <v>0.2</v>
      </c>
      <c r="M32" s="9">
        <f t="shared" si="4"/>
        <v>2</v>
      </c>
      <c r="N32" s="10">
        <f t="shared" si="5"/>
        <v>0.17427884615384615</v>
      </c>
    </row>
    <row r="33" spans="1:14" ht="15.75" thickBot="1" x14ac:dyDescent="0.3">
      <c r="A33" s="2">
        <v>208</v>
      </c>
      <c r="B33" s="2">
        <v>50</v>
      </c>
      <c r="C33" s="2">
        <f t="shared" si="0"/>
        <v>10</v>
      </c>
      <c r="E33" s="2">
        <v>0.22800000000000001</v>
      </c>
      <c r="F33" s="2">
        <v>50</v>
      </c>
      <c r="G33" s="2">
        <f t="shared" si="1"/>
        <v>10</v>
      </c>
      <c r="I33" s="2">
        <f t="shared" si="3"/>
        <v>1.096153846153846</v>
      </c>
      <c r="J33" s="2">
        <v>150</v>
      </c>
      <c r="K33" s="2">
        <v>0.5</v>
      </c>
      <c r="L33" s="2">
        <f t="shared" si="2"/>
        <v>0.1</v>
      </c>
      <c r="M33" s="9">
        <f t="shared" si="4"/>
        <v>2.25</v>
      </c>
      <c r="N33" s="10">
        <f t="shared" si="5"/>
        <v>0.10077662721893491</v>
      </c>
    </row>
    <row r="34" spans="1:14" ht="15.75" thickBot="1" x14ac:dyDescent="0.3">
      <c r="A34" s="2">
        <v>208</v>
      </c>
      <c r="B34" s="2">
        <v>50</v>
      </c>
      <c r="C34" s="2">
        <f t="shared" si="0"/>
        <v>10</v>
      </c>
      <c r="E34" s="2">
        <v>0.11799999999999999</v>
      </c>
      <c r="F34" s="2">
        <v>50</v>
      </c>
      <c r="G34" s="2">
        <f t="shared" si="1"/>
        <v>10</v>
      </c>
      <c r="I34" s="2">
        <f t="shared" si="3"/>
        <v>0.56730769230769229</v>
      </c>
      <c r="J34" s="2">
        <v>300</v>
      </c>
      <c r="K34" s="2">
        <v>0.5</v>
      </c>
      <c r="L34" s="2">
        <f t="shared" si="2"/>
        <v>0.1</v>
      </c>
      <c r="M34" s="9">
        <f t="shared" si="4"/>
        <v>9</v>
      </c>
      <c r="N34" s="10">
        <f t="shared" si="5"/>
        <v>7.5351331360946752E-2</v>
      </c>
    </row>
    <row r="35" spans="1:14" ht="15.75" thickBot="1" x14ac:dyDescent="0.3">
      <c r="A35" s="2">
        <v>204</v>
      </c>
      <c r="B35" s="2">
        <v>50</v>
      </c>
      <c r="C35" s="2">
        <f t="shared" si="0"/>
        <v>10</v>
      </c>
      <c r="E35" s="2">
        <v>6.8000000000000005E-2</v>
      </c>
      <c r="F35" s="2">
        <v>20</v>
      </c>
      <c r="G35" s="2">
        <f t="shared" si="1"/>
        <v>4</v>
      </c>
      <c r="I35" s="2">
        <f t="shared" si="3"/>
        <v>0.33333333333333337</v>
      </c>
      <c r="J35" s="2">
        <v>500</v>
      </c>
      <c r="K35" s="2">
        <v>0.25</v>
      </c>
      <c r="L35" s="2">
        <f t="shared" si="2"/>
        <v>0.05</v>
      </c>
      <c r="M35" s="9">
        <f t="shared" si="4"/>
        <v>12.5</v>
      </c>
      <c r="N35" s="10">
        <f t="shared" si="5"/>
        <v>3.5947712418300651E-2</v>
      </c>
    </row>
    <row r="36" spans="1:14" ht="15.75" thickBot="1" x14ac:dyDescent="0.3">
      <c r="A36" s="2">
        <v>204</v>
      </c>
      <c r="B36" s="2">
        <v>50</v>
      </c>
      <c r="C36" s="2">
        <f t="shared" si="0"/>
        <v>10</v>
      </c>
      <c r="E36" s="2">
        <v>3.5200000000000002E-2</v>
      </c>
      <c r="F36" s="2">
        <v>20</v>
      </c>
      <c r="G36" s="2">
        <f t="shared" si="1"/>
        <v>4</v>
      </c>
      <c r="I36" s="2">
        <f t="shared" si="3"/>
        <v>0.17254901960784316</v>
      </c>
      <c r="J36" s="2">
        <v>1000</v>
      </c>
      <c r="K36" s="2">
        <v>0.01</v>
      </c>
      <c r="L36" s="2">
        <f t="shared" si="2"/>
        <v>2E-3</v>
      </c>
      <c r="M36" s="9">
        <f t="shared" si="4"/>
        <v>2</v>
      </c>
      <c r="N36" s="10">
        <f t="shared" si="5"/>
        <v>2.8066128412149172E-2</v>
      </c>
    </row>
    <row r="37" spans="1:14" ht="15.75" thickBot="1" x14ac:dyDescent="0.3">
      <c r="A37" s="2">
        <v>208</v>
      </c>
      <c r="B37" s="2">
        <v>50</v>
      </c>
      <c r="C37" s="2">
        <f t="shared" si="0"/>
        <v>10</v>
      </c>
      <c r="E37" s="2">
        <v>1.84E-2</v>
      </c>
      <c r="F37" s="2">
        <v>20</v>
      </c>
      <c r="G37" s="2">
        <f t="shared" si="1"/>
        <v>4</v>
      </c>
      <c r="I37" s="2">
        <f t="shared" si="3"/>
        <v>8.8461538461538466E-2</v>
      </c>
      <c r="J37" s="2">
        <v>2000</v>
      </c>
      <c r="K37" s="2">
        <v>5.0000000000000001E-3</v>
      </c>
      <c r="L37" s="2">
        <f t="shared" si="2"/>
        <v>1E-3</v>
      </c>
      <c r="M37" s="9">
        <f t="shared" si="4"/>
        <v>4</v>
      </c>
      <c r="N37" s="10">
        <f t="shared" si="5"/>
        <v>2.348372781065089E-2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69AE-247B-482D-B186-CE96C6148436}">
  <dimension ref="C2:M23"/>
  <sheetViews>
    <sheetView workbookViewId="0">
      <selection activeCell="L8" sqref="L8"/>
    </sheetView>
  </sheetViews>
  <sheetFormatPr defaultRowHeight="15" x14ac:dyDescent="0.25"/>
  <sheetData>
    <row r="2" spans="3:13" x14ac:dyDescent="0.25">
      <c r="C2" t="s">
        <v>27</v>
      </c>
      <c r="H2" t="s">
        <v>2</v>
      </c>
      <c r="I2">
        <v>0.98699999999999999</v>
      </c>
      <c r="J2" t="s">
        <v>1</v>
      </c>
      <c r="K2" s="13" t="s">
        <v>72</v>
      </c>
      <c r="L2">
        <f>0.006*I2+0.003</f>
        <v>8.9219999999999994E-3</v>
      </c>
      <c r="M2" t="s">
        <v>1</v>
      </c>
    </row>
    <row r="5" spans="3:13" x14ac:dyDescent="0.25">
      <c r="C5" t="s">
        <v>29</v>
      </c>
      <c r="E5" t="s">
        <v>28</v>
      </c>
    </row>
    <row r="6" spans="3:13" x14ac:dyDescent="0.25">
      <c r="C6" s="5">
        <v>0</v>
      </c>
      <c r="E6" s="5">
        <v>14.82</v>
      </c>
    </row>
    <row r="7" spans="3:13" x14ac:dyDescent="0.25">
      <c r="C7">
        <v>0.7</v>
      </c>
      <c r="E7">
        <v>-0.59</v>
      </c>
    </row>
    <row r="8" spans="3:13" x14ac:dyDescent="0.25">
      <c r="C8">
        <v>1.488</v>
      </c>
      <c r="E8">
        <v>-0.629</v>
      </c>
    </row>
    <row r="9" spans="3:13" x14ac:dyDescent="0.25">
      <c r="C9">
        <v>2.3340000000000001</v>
      </c>
      <c r="E9">
        <v>-0.65200000000000002</v>
      </c>
    </row>
    <row r="10" spans="3:13" x14ac:dyDescent="0.25">
      <c r="C10">
        <v>3.0390000000000001</v>
      </c>
      <c r="E10">
        <v>-0.66500000000000004</v>
      </c>
    </row>
    <row r="11" spans="3:13" x14ac:dyDescent="0.25">
      <c r="C11">
        <v>4</v>
      </c>
      <c r="E11">
        <v>-0.68</v>
      </c>
    </row>
    <row r="12" spans="3:13" x14ac:dyDescent="0.25">
      <c r="C12">
        <v>4.42</v>
      </c>
      <c r="E12">
        <v>-0.68500000000000005</v>
      </c>
    </row>
    <row r="13" spans="3:13" x14ac:dyDescent="0.25">
      <c r="C13">
        <v>5.05</v>
      </c>
      <c r="E13">
        <v>-0.69099999999999995</v>
      </c>
    </row>
    <row r="14" spans="3:13" x14ac:dyDescent="0.25">
      <c r="C14">
        <v>6.01</v>
      </c>
      <c r="E14">
        <v>-0.7</v>
      </c>
    </row>
    <row r="15" spans="3:13" x14ac:dyDescent="0.25">
      <c r="C15">
        <v>7.04</v>
      </c>
      <c r="E15">
        <v>-0.70899999999999996</v>
      </c>
    </row>
    <row r="16" spans="3:13" x14ac:dyDescent="0.25">
      <c r="C16">
        <v>8.1300000000000008</v>
      </c>
      <c r="E16">
        <v>-0.71799999999999997</v>
      </c>
    </row>
    <row r="17" spans="3:5" x14ac:dyDescent="0.25">
      <c r="C17">
        <v>9.09</v>
      </c>
      <c r="E17">
        <v>-0.72399999999999998</v>
      </c>
    </row>
    <row r="18" spans="3:5" x14ac:dyDescent="0.25">
      <c r="C18">
        <v>10.64</v>
      </c>
      <c r="E18">
        <v>-0.73299999999999998</v>
      </c>
    </row>
    <row r="19" spans="3:5" x14ac:dyDescent="0.25">
      <c r="C19">
        <v>12.01</v>
      </c>
      <c r="E19">
        <v>-0.74</v>
      </c>
    </row>
    <row r="20" spans="3:5" x14ac:dyDescent="0.25">
      <c r="C20">
        <v>13.09</v>
      </c>
      <c r="E20">
        <v>-0.745</v>
      </c>
    </row>
    <row r="21" spans="3:5" x14ac:dyDescent="0.25">
      <c r="C21">
        <v>14.1</v>
      </c>
      <c r="E21">
        <v>-0.749</v>
      </c>
    </row>
    <row r="22" spans="3:5" x14ac:dyDescent="0.25">
      <c r="C22">
        <v>15.07</v>
      </c>
      <c r="E22">
        <v>-0.752</v>
      </c>
    </row>
    <row r="23" spans="3:5" x14ac:dyDescent="0.25">
      <c r="C23">
        <v>1.069</v>
      </c>
      <c r="E23">
        <v>-0.61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993E-5792-4A5B-9239-94985E7ADF65}">
  <dimension ref="A3:H11"/>
  <sheetViews>
    <sheetView workbookViewId="0">
      <selection activeCell="D3" sqref="D3:F4"/>
    </sheetView>
  </sheetViews>
  <sheetFormatPr defaultRowHeight="15" x14ac:dyDescent="0.25"/>
  <sheetData>
    <row r="3" spans="1:8" x14ac:dyDescent="0.25">
      <c r="A3" t="s">
        <v>25</v>
      </c>
      <c r="B3">
        <v>0.98699999999999999</v>
      </c>
      <c r="C3" t="s">
        <v>1</v>
      </c>
    </row>
    <row r="4" spans="1:8" x14ac:dyDescent="0.25">
      <c r="A4" t="s">
        <v>2</v>
      </c>
      <c r="B4">
        <v>1.9910000000000001</v>
      </c>
      <c r="C4" t="s">
        <v>1</v>
      </c>
    </row>
    <row r="5" spans="1:8" x14ac:dyDescent="0.25">
      <c r="E5" t="e">
        <f ca="1">1/(2*PI.GRECO()*B3*Integratore!B2*10^-6)</f>
        <v>#NAME?</v>
      </c>
    </row>
    <row r="7" spans="1:8" x14ac:dyDescent="0.25">
      <c r="B7" t="e">
        <f ca="1">1/RADQ(2)*B4/B3</f>
        <v>#NAME?</v>
      </c>
    </row>
    <row r="8" spans="1:8" x14ac:dyDescent="0.25">
      <c r="H8">
        <f>576/424</f>
        <v>1.3584905660377358</v>
      </c>
    </row>
    <row r="11" spans="1:8" x14ac:dyDescent="0.25">
      <c r="B11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36CE-5AD6-46AA-A514-76D6E756C639}">
  <dimension ref="A2:C5"/>
  <sheetViews>
    <sheetView workbookViewId="0">
      <selection activeCell="A10" sqref="A10"/>
    </sheetView>
  </sheetViews>
  <sheetFormatPr defaultRowHeight="15" x14ac:dyDescent="0.25"/>
  <sheetData>
    <row r="2" spans="1:3" x14ac:dyDescent="0.25">
      <c r="A2" t="s">
        <v>37</v>
      </c>
      <c r="B2">
        <v>0.98</v>
      </c>
      <c r="C2" t="s">
        <v>1</v>
      </c>
    </row>
    <row r="3" spans="1:3" x14ac:dyDescent="0.25">
      <c r="A3" t="s">
        <v>38</v>
      </c>
      <c r="B3">
        <v>9.9009999999999998</v>
      </c>
      <c r="C3" t="s">
        <v>1</v>
      </c>
    </row>
    <row r="4" spans="1:3" x14ac:dyDescent="0.25">
      <c r="A4" t="s">
        <v>39</v>
      </c>
      <c r="B4">
        <v>0.99399999999999999</v>
      </c>
      <c r="C4" t="s">
        <v>1</v>
      </c>
    </row>
    <row r="5" spans="1:3" x14ac:dyDescent="0.25">
      <c r="A5" t="s">
        <v>40</v>
      </c>
      <c r="B5">
        <v>0.98099999999999998</v>
      </c>
      <c r="C5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6771-474E-4BD4-AC6E-28E1CD967CAC}">
  <dimension ref="A2:H2"/>
  <sheetViews>
    <sheetView workbookViewId="0">
      <selection activeCell="H3" sqref="H3"/>
    </sheetView>
  </sheetViews>
  <sheetFormatPr defaultRowHeight="15" x14ac:dyDescent="0.25"/>
  <sheetData>
    <row r="2" spans="1:8" x14ac:dyDescent="0.25">
      <c r="A2" t="s">
        <v>41</v>
      </c>
      <c r="H2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8C53-F499-453C-99C2-29AAFAA430D0}">
  <dimension ref="A1:K29"/>
  <sheetViews>
    <sheetView workbookViewId="0">
      <selection activeCell="G25" sqref="G25"/>
    </sheetView>
  </sheetViews>
  <sheetFormatPr defaultRowHeight="15" x14ac:dyDescent="0.25"/>
  <cols>
    <col min="4" max="4" width="9.7109375" bestFit="1" customWidth="1"/>
  </cols>
  <sheetData>
    <row r="1" spans="1:11" x14ac:dyDescent="0.25">
      <c r="A1" t="s">
        <v>43</v>
      </c>
      <c r="D1" t="s">
        <v>44</v>
      </c>
      <c r="E1" t="s">
        <v>45</v>
      </c>
    </row>
    <row r="2" spans="1:11" x14ac:dyDescent="0.25">
      <c r="A2" t="s">
        <v>48</v>
      </c>
      <c r="D2" t="s">
        <v>46</v>
      </c>
      <c r="E2" t="s">
        <v>47</v>
      </c>
    </row>
    <row r="5" spans="1:11" x14ac:dyDescent="0.25">
      <c r="D5">
        <f>138/5</f>
        <v>27.6</v>
      </c>
      <c r="E5">
        <f>133/5</f>
        <v>26.6</v>
      </c>
    </row>
    <row r="10" spans="1:11" x14ac:dyDescent="0.25">
      <c r="A10" t="s">
        <v>49</v>
      </c>
      <c r="D10" t="s">
        <v>50</v>
      </c>
      <c r="E10" t="s">
        <v>52</v>
      </c>
    </row>
    <row r="11" spans="1:11" x14ac:dyDescent="0.25">
      <c r="D11" t="s">
        <v>46</v>
      </c>
      <c r="E11" t="s">
        <v>51</v>
      </c>
    </row>
    <row r="12" spans="1:11" x14ac:dyDescent="0.25">
      <c r="J12" t="s">
        <v>54</v>
      </c>
      <c r="K12">
        <f>AVERAGE(D14:E14,D5:E5,D22:E22)</f>
        <v>27.033333333333331</v>
      </c>
    </row>
    <row r="14" spans="1:11" x14ac:dyDescent="0.25">
      <c r="D14">
        <f>139/5</f>
        <v>27.8</v>
      </c>
      <c r="E14">
        <f>131/5</f>
        <v>26.2</v>
      </c>
    </row>
    <row r="18" spans="1:5" x14ac:dyDescent="0.25">
      <c r="A18" t="s">
        <v>53</v>
      </c>
      <c r="D18">
        <v>268</v>
      </c>
      <c r="E18">
        <v>272</v>
      </c>
    </row>
    <row r="19" spans="1:5" x14ac:dyDescent="0.25">
      <c r="D19" t="s">
        <v>46</v>
      </c>
      <c r="E19" t="s">
        <v>51</v>
      </c>
    </row>
    <row r="22" spans="1:5" x14ac:dyDescent="0.25">
      <c r="D22">
        <f>268/10</f>
        <v>26.8</v>
      </c>
      <c r="E22">
        <f>272/10</f>
        <v>27.2</v>
      </c>
    </row>
    <row r="27" spans="1:5" x14ac:dyDescent="0.25">
      <c r="A27" t="s">
        <v>55</v>
      </c>
      <c r="D27" t="s">
        <v>56</v>
      </c>
      <c r="E27" t="s">
        <v>57</v>
      </c>
    </row>
    <row r="29" spans="1:5" x14ac:dyDescent="0.25">
      <c r="D29">
        <f>267.9*2</f>
        <v>535.79999999999995</v>
      </c>
      <c r="E29">
        <f>267.9/2</f>
        <v>133.94999999999999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Non invertente</vt:lpstr>
      <vt:lpstr>Invertente 1</vt:lpstr>
      <vt:lpstr>Invertente 10</vt:lpstr>
      <vt:lpstr>Integratore</vt:lpstr>
      <vt:lpstr>Logaritmico</vt:lpstr>
      <vt:lpstr>Derivatore</vt:lpstr>
      <vt:lpstr>differenza</vt:lpstr>
      <vt:lpstr>Foglio2</vt:lpstr>
      <vt:lpstr>Foglio3</vt:lpstr>
      <vt:lpstr>Sipm 1mm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 Chinu</cp:lastModifiedBy>
  <dcterms:created xsi:type="dcterms:W3CDTF">2021-10-04T11:56:17Z</dcterms:created>
  <dcterms:modified xsi:type="dcterms:W3CDTF">2021-10-17T15:11:09Z</dcterms:modified>
</cp:coreProperties>
</file>