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!Varsity\!Post\Masters\"/>
    </mc:Choice>
  </mc:AlternateContent>
  <xr:revisionPtr revIDLastSave="0" documentId="13_ncr:1_{1A9F2F9D-8045-48D3-9AD5-6A432381D154}" xr6:coauthVersionLast="40" xr6:coauthVersionMax="40" xr10:uidLastSave="{00000000-0000-0000-0000-000000000000}"/>
  <bookViews>
    <workbookView xWindow="-120" yWindow="-120" windowWidth="29040" windowHeight="16440" activeTab="2" xr2:uid="{EE6D72DF-AA99-4C86-8DFD-A2AA24D252BD}"/>
  </bookViews>
  <sheets>
    <sheet name="Gas analyser" sheetId="1" r:id="rId1"/>
    <sheet name="Old pumps" sheetId="2" r:id="rId2"/>
    <sheet name="Pumps" sheetId="4" r:id="rId3"/>
    <sheet name="Brooks" sheetId="3" r:id="rId4"/>
  </sheets>
  <definedNames>
    <definedName name="solver_adj" localSheetId="2" hidden="1">Pumps!$N$28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Pumps!$Q$22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0.625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7" i="4" l="1"/>
  <c r="T18" i="4" s="1"/>
  <c r="R17" i="4"/>
  <c r="P39" i="4" l="1"/>
  <c r="P40" i="4"/>
  <c r="P41" i="4"/>
  <c r="P38" i="4"/>
  <c r="R13" i="4"/>
  <c r="N28" i="4"/>
  <c r="L27" i="4"/>
  <c r="N45" i="4"/>
  <c r="R12" i="4" l="1"/>
  <c r="Q13" i="4" l="1"/>
  <c r="N42" i="4" l="1"/>
  <c r="M42" i="4"/>
  <c r="M45" i="4"/>
  <c r="O37" i="4"/>
  <c r="N17" i="4"/>
  <c r="L30" i="4"/>
  <c r="L28" i="4"/>
  <c r="L22" i="4"/>
  <c r="N18" i="4"/>
  <c r="K9" i="4"/>
  <c r="K8" i="4"/>
  <c r="K4" i="4"/>
  <c r="K3" i="4"/>
  <c r="F11" i="4"/>
  <c r="G11" i="4" s="1"/>
  <c r="F10" i="4"/>
  <c r="G10" i="4" s="1"/>
  <c r="F9" i="4"/>
  <c r="G9" i="4" s="1"/>
  <c r="F8" i="4"/>
  <c r="G8" i="4" s="1"/>
  <c r="H18" i="4"/>
  <c r="N22" i="4"/>
  <c r="L23" i="4" s="1"/>
  <c r="F6" i="4"/>
  <c r="G6" i="4" s="1"/>
  <c r="F5" i="4"/>
  <c r="G5" i="4" s="1"/>
  <c r="F4" i="4"/>
  <c r="G4" i="4" s="1"/>
  <c r="N16" i="4"/>
  <c r="F3" i="4"/>
  <c r="G3" i="4" s="1"/>
  <c r="O2" i="4"/>
  <c r="P2" i="4" s="1"/>
  <c r="O44" i="4" l="1"/>
  <c r="O17" i="4"/>
  <c r="L24" i="4"/>
  <c r="N29" i="4"/>
  <c r="N30" i="4" s="1"/>
  <c r="K32" i="2"/>
  <c r="Q17" i="4" l="1"/>
  <c r="N3" i="4"/>
  <c r="N8" i="4" s="1"/>
  <c r="N40" i="4"/>
  <c r="N38" i="4"/>
  <c r="P22" i="4"/>
  <c r="P28" i="4"/>
  <c r="N41" i="4"/>
  <c r="N39" i="4"/>
  <c r="P17" i="4"/>
  <c r="N24" i="4"/>
  <c r="O24" i="4" s="1"/>
  <c r="O25" i="4" s="1"/>
  <c r="H47" i="2"/>
  <c r="K33" i="2"/>
  <c r="G32" i="2"/>
  <c r="G33" i="2"/>
  <c r="F32" i="2"/>
  <c r="F33" i="2"/>
  <c r="D32" i="2"/>
  <c r="O3" i="4" l="1"/>
  <c r="P3" i="4" s="1"/>
  <c r="Q22" i="4"/>
  <c r="Q24" i="4" s="1"/>
  <c r="Q28" i="4"/>
  <c r="P40" i="2"/>
  <c r="N41" i="2" s="1"/>
  <c r="P46" i="2"/>
  <c r="N46" i="2" l="1"/>
  <c r="N40" i="2"/>
  <c r="P36" i="2"/>
  <c r="P35" i="2"/>
  <c r="P31" i="2"/>
  <c r="O31" i="2"/>
  <c r="P34" i="2"/>
  <c r="G21" i="2"/>
  <c r="C21" i="2"/>
  <c r="F35" i="2"/>
  <c r="G35" i="2" s="1"/>
  <c r="F36" i="2"/>
  <c r="G36" i="2" s="1"/>
  <c r="F37" i="2"/>
  <c r="G37" i="2" s="1"/>
  <c r="F34" i="2"/>
  <c r="G34" i="2" s="1"/>
  <c r="K26" i="2"/>
  <c r="P25" i="2"/>
  <c r="P24" i="2"/>
  <c r="C22" i="2" l="1"/>
  <c r="D22" i="2"/>
  <c r="N48" i="2"/>
  <c r="P47" i="2" s="1"/>
  <c r="P48" i="2" s="1"/>
  <c r="Q35" i="2"/>
  <c r="G27" i="2"/>
  <c r="D21" i="2"/>
  <c r="D27" i="2"/>
  <c r="C27" i="2"/>
  <c r="C26" i="2"/>
  <c r="D26" i="2"/>
  <c r="D25" i="2"/>
  <c r="C25" i="2"/>
  <c r="G20" i="2"/>
  <c r="R46" i="2" l="1"/>
  <c r="N32" i="2"/>
  <c r="O32" i="2"/>
  <c r="P32" i="2" s="1"/>
  <c r="G22" i="2"/>
  <c r="R40" i="2"/>
  <c r="R35" i="2"/>
  <c r="G26" i="2"/>
  <c r="G25" i="2"/>
  <c r="D20" i="2"/>
  <c r="C20" i="2"/>
  <c r="G19" i="2"/>
  <c r="D19" i="2"/>
  <c r="C19" i="2"/>
  <c r="S40" i="2" l="1"/>
  <c r="S46" i="2"/>
  <c r="J25" i="2"/>
  <c r="N26" i="2" s="1"/>
  <c r="D15" i="3"/>
  <c r="D14" i="3"/>
  <c r="C15" i="3"/>
  <c r="C14" i="3"/>
  <c r="D8" i="1"/>
  <c r="G3" i="2"/>
  <c r="G10" i="2"/>
  <c r="G12" i="2"/>
  <c r="G2" i="2"/>
  <c r="F3" i="2"/>
  <c r="F4" i="2"/>
  <c r="G4" i="2" s="1"/>
  <c r="H4" i="2" s="1"/>
  <c r="F5" i="2"/>
  <c r="G5" i="2" s="1"/>
  <c r="F6" i="2"/>
  <c r="G6" i="2" s="1"/>
  <c r="F7" i="2"/>
  <c r="G7" i="2" s="1"/>
  <c r="F8" i="2"/>
  <c r="G8" i="2" s="1"/>
  <c r="F9" i="2"/>
  <c r="G9" i="2" s="1"/>
  <c r="H9" i="2" s="1"/>
  <c r="F10" i="2"/>
  <c r="F13" i="2"/>
  <c r="G13" i="2" s="1"/>
  <c r="F14" i="2"/>
  <c r="G14" i="2" s="1"/>
  <c r="F11" i="2"/>
  <c r="G11" i="2" s="1"/>
  <c r="H12" i="2" s="1"/>
  <c r="F12" i="2"/>
  <c r="F2" i="2"/>
  <c r="J26" i="2" l="1"/>
  <c r="J27" i="2" s="1"/>
  <c r="K25" i="2"/>
  <c r="L25" i="2" s="1"/>
  <c r="M22" i="2" s="1"/>
  <c r="H5" i="2"/>
  <c r="H13" i="2"/>
  <c r="H8" i="2"/>
  <c r="D9" i="1"/>
  <c r="C9" i="1"/>
  <c r="C8" i="1"/>
  <c r="P42" i="2"/>
  <c r="Q42" i="2" s="1"/>
  <c r="Q43" i="2" s="1"/>
  <c r="N42" i="2"/>
</calcChain>
</file>

<file path=xl/sharedStrings.xml><?xml version="1.0" encoding="utf-8"?>
<sst xmlns="http://schemas.openxmlformats.org/spreadsheetml/2006/main" count="176" uniqueCount="69">
  <si>
    <t>Gas analyser calibration</t>
  </si>
  <si>
    <t>Current (mA)</t>
  </si>
  <si>
    <t>O2 (%)</t>
  </si>
  <si>
    <t>CO2 (%)</t>
  </si>
  <si>
    <t>Equation</t>
  </si>
  <si>
    <t>=</t>
  </si>
  <si>
    <t>RPM</t>
  </si>
  <si>
    <t>Volume (mL)</t>
  </si>
  <si>
    <t>Minutes</t>
  </si>
  <si>
    <t>Seconds</t>
  </si>
  <si>
    <t>Time (min)</t>
  </si>
  <si>
    <t>Mineral</t>
  </si>
  <si>
    <t>Glucose</t>
  </si>
  <si>
    <t>NaOH</t>
  </si>
  <si>
    <t>Flow rate (mL/min)</t>
  </si>
  <si>
    <t>Average</t>
  </si>
  <si>
    <t xml:space="preserve">Mineral </t>
  </si>
  <si>
    <t>Input</t>
  </si>
  <si>
    <t>Air (mL/min)</t>
  </si>
  <si>
    <t>Output</t>
  </si>
  <si>
    <t>CO2 (mL/min)</t>
  </si>
  <si>
    <t>Air</t>
  </si>
  <si>
    <t>CO2</t>
  </si>
  <si>
    <t>Input equations</t>
  </si>
  <si>
    <t>Output equations</t>
  </si>
  <si>
    <t>Flow rate</t>
  </si>
  <si>
    <t>Equations (to RPM)</t>
  </si>
  <si>
    <t>Equations (to flow rate)</t>
  </si>
  <si>
    <t>l/h</t>
  </si>
  <si>
    <t>ml/min</t>
  </si>
  <si>
    <t>Ratio</t>
  </si>
  <si>
    <t>New</t>
  </si>
  <si>
    <t>D</t>
  </si>
  <si>
    <t>Total</t>
  </si>
  <si>
    <t>% Glucose</t>
  </si>
  <si>
    <t>D (1/h)</t>
  </si>
  <si>
    <t>ml/h</t>
  </si>
  <si>
    <t>% error</t>
  </si>
  <si>
    <t>Glucose (g/L/h)</t>
  </si>
  <si>
    <t>g/L/h</t>
  </si>
  <si>
    <t>Glucose solution (g/L)</t>
  </si>
  <si>
    <t>g/min</t>
  </si>
  <si>
    <t>g/mL</t>
  </si>
  <si>
    <t>mL/min</t>
  </si>
  <si>
    <t>Nitrogen (mg/L/h)</t>
  </si>
  <si>
    <t>mg/L/h</t>
  </si>
  <si>
    <t>mg/min</t>
  </si>
  <si>
    <t>g/L</t>
  </si>
  <si>
    <t>Check</t>
  </si>
  <si>
    <t>Actual</t>
  </si>
  <si>
    <t>C1</t>
  </si>
  <si>
    <t>C2</t>
  </si>
  <si>
    <t>V1</t>
  </si>
  <si>
    <t>V2</t>
  </si>
  <si>
    <t>Concentration IN</t>
  </si>
  <si>
    <t>g/L/h @ specified flow rates</t>
  </si>
  <si>
    <t>mg/L/h @ specified flow rates</t>
  </si>
  <si>
    <t>Salt solutions</t>
  </si>
  <si>
    <t>KH2.PO4</t>
  </si>
  <si>
    <t>MgSO4.7H2O</t>
  </si>
  <si>
    <t>ZnSO4.7H2O</t>
  </si>
  <si>
    <t>FeSO4.7H2O</t>
  </si>
  <si>
    <t>Urea</t>
  </si>
  <si>
    <t>Volume</t>
  </si>
  <si>
    <t>Hours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</si>
  <si>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</si>
  <si>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Measured weight</t>
  </si>
  <si>
    <t>L/h</t>
  </si>
  <si>
    <t>ml per 200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</si>
</sst>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1" xfId="0" applyFill="1" applyBorder="1"/>
    <xf numFmtId="164" fontId="0" fillId="2" borderId="0" xfId="0" applyNumberFormat="1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5.0925925925925923E-2"/>
          <c:w val="0.85839085739282595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'Gas analyser'!$A$2</c:f>
              <c:strCache>
                <c:ptCount val="1"/>
                <c:pt idx="0">
                  <c:v>O2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6442038495188101E-2"/>
                  <c:y val="2.60750218722659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'Gas analyser'!$B$3:$B$4</c:f>
              <c:numCache>
                <c:formatCode>General</c:formatCode>
                <c:ptCount val="2"/>
                <c:pt idx="0">
                  <c:v>4.7038000000000002E-3</c:v>
                </c:pt>
                <c:pt idx="1">
                  <c:v>2.0843400000000002E-2</c:v>
                </c:pt>
              </c:numCache>
            </c:numRef>
          </c:xVal>
          <c:yVal>
            <c:numRef>
              <c:f>'Gas analyser'!$A$3:$A$4</c:f>
              <c:numCache>
                <c:formatCode>General</c:formatCode>
                <c:ptCount val="2"/>
                <c:pt idx="0">
                  <c:v>1.8</c:v>
                </c:pt>
                <c:pt idx="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1-4CF9-B32E-246C7D47531E}"/>
            </c:ext>
          </c:extLst>
        </c:ser>
        <c:ser>
          <c:idx val="1"/>
          <c:order val="1"/>
          <c:tx>
            <c:strRef>
              <c:f>'Gas analyser'!$C$2</c:f>
              <c:strCache>
                <c:ptCount val="1"/>
                <c:pt idx="0">
                  <c:v>CO2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4459098862642167E-2"/>
                  <c:y val="0.132552857976086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'Gas analyser'!$D$3:$D$4</c:f>
              <c:numCache>
                <c:formatCode>General</c:formatCode>
                <c:ptCount val="2"/>
                <c:pt idx="0">
                  <c:v>1.1272000000000001E-2</c:v>
                </c:pt>
                <c:pt idx="1">
                  <c:v>6.0549999999999996E-3</c:v>
                </c:pt>
              </c:numCache>
            </c:numRef>
          </c:xVal>
          <c:yVal>
            <c:numRef>
              <c:f>'Gas analyser'!$C$3:$C$4</c:f>
              <c:numCache>
                <c:formatCode>General</c:formatCode>
                <c:ptCount val="2"/>
                <c:pt idx="0">
                  <c:v>21.1</c:v>
                </c:pt>
                <c:pt idx="1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F1-4CF9-B32E-246C7D475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31760"/>
        <c:axId val="519626184"/>
      </c:scatterChart>
      <c:valAx>
        <c:axId val="51963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26184"/>
        <c:crosses val="autoZero"/>
        <c:crossBetween val="midCat"/>
      </c:valAx>
      <c:valAx>
        <c:axId val="51962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3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79111986001748"/>
          <c:y val="0.51967483231262757"/>
          <c:w val="0.26876443569553804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37014168193006"/>
          <c:y val="6.7846607669616518E-2"/>
          <c:w val="0.86901156507283372"/>
          <c:h val="0.836568415673704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'Old pumps'!$A$2</c:f>
              <c:strCache>
                <c:ptCount val="1"/>
                <c:pt idx="0">
                  <c:v>Mineral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466666666666666"/>
                  <c:y val="-0.109793307086614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'Old pumps'!$B$4:$B$5</c:f>
              <c:numCache>
                <c:formatCode>General</c:formatCode>
                <c:ptCount val="2"/>
                <c:pt idx="0">
                  <c:v>1.8</c:v>
                </c:pt>
                <c:pt idx="1">
                  <c:v>4</c:v>
                </c:pt>
              </c:numCache>
            </c:numRef>
          </c:xVal>
          <c:yVal>
            <c:numRef>
              <c:f>'Old pumps'!$H$4:$H$5</c:f>
              <c:numCache>
                <c:formatCode>General</c:formatCode>
                <c:ptCount val="2"/>
                <c:pt idx="0">
                  <c:v>0.79461003916118855</c:v>
                </c:pt>
                <c:pt idx="1">
                  <c:v>1.7573336839582776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F-4A57-92FA-4BB582B61044}"/>
            </c:ext>
          </c:extLst>
        </c:ser>
        <c:ser>
          <c:idx val="1"/>
          <c:order val="1"/>
          <c:tx>
            <c:strRef>
              <c:f>'Old pumps'!$A$7</c:f>
              <c:strCache>
                <c:ptCount val="1"/>
                <c:pt idx="0">
                  <c:v>Glucose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2220702234382125"/>
                  <c:y val="3.43156109911039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'Old pumps'!$B$8:$B$9</c:f>
              <c:numCache>
                <c:formatCode>General</c:formatCode>
                <c:ptCount val="2"/>
                <c:pt idx="0">
                  <c:v>0.5</c:v>
                </c:pt>
                <c:pt idx="1">
                  <c:v>1.5</c:v>
                </c:pt>
              </c:numCache>
            </c:numRef>
          </c:xVal>
          <c:yVal>
            <c:numRef>
              <c:f>'Old pumps'!$H$8:$H$9</c:f>
              <c:numCache>
                <c:formatCode>General</c:formatCode>
                <c:ptCount val="2"/>
                <c:pt idx="0">
                  <c:v>6.406013254099012E-2</c:v>
                </c:pt>
                <c:pt idx="1">
                  <c:v>0.20484370974860616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6F-4A57-92FA-4BB582B61044}"/>
            </c:ext>
          </c:extLst>
        </c:ser>
        <c:ser>
          <c:idx val="2"/>
          <c:order val="2"/>
          <c:tx>
            <c:strRef>
              <c:f>'Old pumps'!$A$11</c:f>
              <c:strCache>
                <c:ptCount val="1"/>
                <c:pt idx="0">
                  <c:v>NaOH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5880951931368292"/>
                  <c:y val="-0.17901028964299817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'Old pumps'!$B$12:$B$13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xVal>
          <c:yVal>
            <c:numRef>
              <c:f>'Old pumps'!$H$12:$H$13</c:f>
              <c:numCache>
                <c:formatCode>General</c:formatCode>
                <c:ptCount val="2"/>
                <c:pt idx="0">
                  <c:v>9.9198236397658249E-2</c:v>
                </c:pt>
                <c:pt idx="1">
                  <c:v>0.25604698773660522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6F-4A57-92FA-4BB582B61044}"/>
            </c:ext>
          </c:extLst>
        </c:ser>
        <c:ser>
          <c:idx val="3"/>
          <c:order val="3"/>
          <c:tx>
            <c:strRef>
              <c:f>'Old pumps'!$A$32</c:f>
              <c:strCache>
                <c:ptCount val="1"/>
                <c:pt idx="0">
                  <c:v>New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6879864709113823"/>
                  <c:y val="4.8495575221238922E-2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'Old pumps'!$B$32:$B$37</c:f>
              <c:numCache>
                <c:formatCode>General</c:formatCode>
                <c:ptCount val="6"/>
                <c:pt idx="0">
                  <c:v>0.5</c:v>
                </c:pt>
                <c:pt idx="1">
                  <c:v>5</c:v>
                </c:pt>
                <c:pt idx="2">
                  <c:v>25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</c:numCache>
            </c:numRef>
          </c:xVal>
          <c:yVal>
            <c:numRef>
              <c:f>'Old pumps'!$G$32:$G$37</c:f>
              <c:numCache>
                <c:formatCode>General</c:formatCode>
                <c:ptCount val="6"/>
                <c:pt idx="0">
                  <c:v>1.0941589419045369E-2</c:v>
                </c:pt>
                <c:pt idx="1">
                  <c:v>0.10779734099892203</c:v>
                </c:pt>
                <c:pt idx="2">
                  <c:v>0.53318167276863471</c:v>
                </c:pt>
                <c:pt idx="3">
                  <c:v>1.1446886446886446</c:v>
                </c:pt>
                <c:pt idx="4">
                  <c:v>1.7087201685937234</c:v>
                </c:pt>
                <c:pt idx="5">
                  <c:v>2.2810218978102186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E7-462C-A5F8-84633D52F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233784"/>
        <c:axId val="285229848"/>
      </c:scatterChart>
      <c:valAx>
        <c:axId val="28523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29848"/>
        <c:crosses val="autoZero"/>
        <c:crossBetween val="midCat"/>
      </c:valAx>
      <c:valAx>
        <c:axId val="285229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Flow rate (mL/min)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33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8134019841227091"/>
          <c:y val="0.4496669221657027"/>
          <c:w val="0.15432491801834122"/>
          <c:h val="0.39823287575778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37014168193003"/>
          <c:y val="0.10914454277286134"/>
          <c:w val="0.86901156507283372"/>
          <c:h val="0.70836328151288785"/>
        </c:manualLayout>
      </c:layout>
      <c:scatterChart>
        <c:scatterStyle val="lineMarker"/>
        <c:varyColors val="0"/>
        <c:ser>
          <c:idx val="0"/>
          <c:order val="0"/>
          <c:tx>
            <c:strRef>
              <c:f>Pumps!$A$3</c:f>
              <c:strCache>
                <c:ptCount val="1"/>
                <c:pt idx="0">
                  <c:v>Glucose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8.9939759318993978E-2"/>
                  <c:y val="0.25087590012786865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Pumps!$B$3:$B$6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Pumps!$G$3:$G$6</c:f>
              <c:numCache>
                <c:formatCode>General</c:formatCode>
                <c:ptCount val="4"/>
                <c:pt idx="0">
                  <c:v>0.46776331176424729</c:v>
                </c:pt>
                <c:pt idx="1">
                  <c:v>0.94029149036201221</c:v>
                </c:pt>
                <c:pt idx="2">
                  <c:v>1.417836381681554</c:v>
                </c:pt>
                <c:pt idx="3">
                  <c:v>1.8707907208780243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2BE-4438-945B-040D9325A6E1}"/>
            </c:ext>
          </c:extLst>
        </c:ser>
        <c:ser>
          <c:idx val="1"/>
          <c:order val="1"/>
          <c:tx>
            <c:strRef>
              <c:f>Pumps!$A$8</c:f>
              <c:strCache>
                <c:ptCount val="1"/>
                <c:pt idx="0">
                  <c:v>Mineral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5048957878476282"/>
                  <c:y val="-5.7216165287031426E-2"/>
                </c:manualLayout>
              </c:layout>
              <c:numFmt formatCode="#,##0.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Pumps!$B$8:$B$11</c:f>
              <c:numCache>
                <c:formatCode>General</c:formatCode>
                <c:ptCount val="4"/>
                <c:pt idx="0">
                  <c:v>25</c:v>
                </c:pt>
                <c:pt idx="1">
                  <c:v>50</c:v>
                </c:pt>
                <c:pt idx="2">
                  <c:v>75</c:v>
                </c:pt>
                <c:pt idx="3">
                  <c:v>100</c:v>
                </c:pt>
              </c:numCache>
            </c:numRef>
          </c:xVal>
          <c:yVal>
            <c:numRef>
              <c:f>Pumps!$G$8:$G$11</c:f>
              <c:numCache>
                <c:formatCode>General</c:formatCode>
                <c:ptCount val="4"/>
                <c:pt idx="0">
                  <c:v>0.53128375865549793</c:v>
                </c:pt>
                <c:pt idx="1">
                  <c:v>1.0618341415070964</c:v>
                </c:pt>
                <c:pt idx="2">
                  <c:v>1.5861266786507349</c:v>
                </c:pt>
                <c:pt idx="3">
                  <c:v>2.1177467174925879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2BE-4438-945B-040D9325A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233784"/>
        <c:axId val="285229848"/>
      </c:scatterChart>
      <c:valAx>
        <c:axId val="285233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29848"/>
        <c:crosses val="autoZero"/>
        <c:crossBetween val="midCat"/>
      </c:valAx>
      <c:valAx>
        <c:axId val="285229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Flow rate (mL/min)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33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</xdr:row>
      <xdr:rowOff>142875</xdr:rowOff>
    </xdr:from>
    <xdr:to>
      <xdr:col>12</xdr:col>
      <xdr:colOff>457200</xdr:colOff>
      <xdr:row>17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71FB0B-FBCF-4D14-BE0D-C627D255C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0</xdr:rowOff>
    </xdr:from>
    <xdr:to>
      <xdr:col>18</xdr:col>
      <xdr:colOff>152400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5C7776-D62E-4E7C-9094-A88B24015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14</xdr:row>
      <xdr:rowOff>57150</xdr:rowOff>
    </xdr:from>
    <xdr:to>
      <xdr:col>8</xdr:col>
      <xdr:colOff>638175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C715B-62C2-47DC-B6F1-7BED9E888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B8947-018F-4633-A603-65C808030DEF}">
  <dimension ref="A1:G9"/>
  <sheetViews>
    <sheetView workbookViewId="0">
      <selection activeCell="D22" sqref="D22"/>
    </sheetView>
  </sheetViews>
  <sheetFormatPr defaultRowHeight="15" x14ac:dyDescent="0.25"/>
  <cols>
    <col min="1" max="1" width="6.85546875" style="2" bestFit="1" customWidth="1"/>
    <col min="2" max="2" width="12.5703125" style="2" bestFit="1" customWidth="1"/>
    <col min="3" max="3" width="15.7109375" style="2" bestFit="1" customWidth="1"/>
    <col min="4" max="4" width="12.5703125" style="2" bestFit="1" customWidth="1"/>
    <col min="5" max="16384" width="9.140625" style="2"/>
  </cols>
  <sheetData>
    <row r="1" spans="1:7" x14ac:dyDescent="0.25">
      <c r="A1" s="7" t="s">
        <v>0</v>
      </c>
      <c r="B1" s="7"/>
      <c r="C1" s="7"/>
      <c r="D1" s="7"/>
    </row>
    <row r="2" spans="1:7" x14ac:dyDescent="0.25">
      <c r="A2" s="3" t="s">
        <v>2</v>
      </c>
      <c r="B2" s="3" t="s">
        <v>1</v>
      </c>
      <c r="C2" s="3" t="s">
        <v>3</v>
      </c>
      <c r="D2" s="3" t="s">
        <v>1</v>
      </c>
      <c r="F2" s="8"/>
      <c r="G2" s="8"/>
    </row>
    <row r="3" spans="1:7" x14ac:dyDescent="0.25">
      <c r="A3" s="3">
        <v>1.8</v>
      </c>
      <c r="B3" s="3">
        <v>4.7038000000000002E-3</v>
      </c>
      <c r="C3" s="3">
        <v>21.1</v>
      </c>
      <c r="D3" s="3">
        <v>1.1272000000000001E-2</v>
      </c>
    </row>
    <row r="4" spans="1:7" x14ac:dyDescent="0.25">
      <c r="A4" s="3">
        <v>20</v>
      </c>
      <c r="B4" s="3">
        <v>2.0843400000000002E-2</v>
      </c>
      <c r="C4" s="3">
        <v>2</v>
      </c>
      <c r="D4" s="3">
        <v>6.0549999999999996E-3</v>
      </c>
    </row>
    <row r="5" spans="1:7" x14ac:dyDescent="0.25">
      <c r="F5" s="8"/>
      <c r="G5" s="8"/>
    </row>
    <row r="6" spans="1:7" x14ac:dyDescent="0.25">
      <c r="A6" s="8" t="s">
        <v>4</v>
      </c>
      <c r="B6" s="8"/>
      <c r="C6" s="8"/>
      <c r="D6" s="8"/>
    </row>
    <row r="8" spans="1:7" x14ac:dyDescent="0.25">
      <c r="A8" s="3" t="s">
        <v>2</v>
      </c>
      <c r="B8" s="1" t="s">
        <v>5</v>
      </c>
      <c r="C8" s="4">
        <f>SLOPE(A3:A4,B3:B4)</f>
        <v>1127.66115641032</v>
      </c>
      <c r="D8" s="2">
        <f>INTERCEPT(A3:A4,B3:B4)</f>
        <v>-3.5042925475228657</v>
      </c>
    </row>
    <row r="9" spans="1:7" x14ac:dyDescent="0.25">
      <c r="A9" s="3" t="s">
        <v>3</v>
      </c>
      <c r="B9" s="1" t="s">
        <v>5</v>
      </c>
      <c r="C9" s="4">
        <f>SLOPE(C3:C4,D3:D4)</f>
        <v>3661.107916427065</v>
      </c>
      <c r="D9" s="2">
        <f>INTERCEPT(C3:C4,D3:D4)</f>
        <v>-20.16800843396588</v>
      </c>
    </row>
  </sheetData>
  <mergeCells count="4">
    <mergeCell ref="A1:D1"/>
    <mergeCell ref="A6:D6"/>
    <mergeCell ref="F2:G2"/>
    <mergeCell ref="F5:G5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C6A1-DEA9-49E7-9DD9-D87EC933B42B}">
  <dimension ref="A1:T53"/>
  <sheetViews>
    <sheetView workbookViewId="0">
      <selection activeCell="O35" sqref="O35"/>
    </sheetView>
  </sheetViews>
  <sheetFormatPr defaultRowHeight="15" x14ac:dyDescent="0.25"/>
  <cols>
    <col min="1" max="1" width="8" style="2" bestFit="1" customWidth="1"/>
    <col min="2" max="2" width="5" style="2" bestFit="1" customWidth="1"/>
    <col min="3" max="3" width="12.42578125" style="2" bestFit="1" customWidth="1"/>
    <col min="4" max="5" width="8.28515625" style="2" bestFit="1" customWidth="1"/>
    <col min="6" max="6" width="10.7109375" style="2" bestFit="1" customWidth="1"/>
    <col min="7" max="7" width="18.28515625" style="2" bestFit="1" customWidth="1"/>
    <col min="8" max="8" width="12.7109375" style="2" bestFit="1" customWidth="1"/>
    <col min="9" max="9" width="18.28515625" style="2" bestFit="1" customWidth="1"/>
    <col min="10" max="11" width="9.140625" style="2"/>
    <col min="12" max="12" width="12" style="2" bestFit="1" customWidth="1"/>
    <col min="13" max="13" width="9.140625" style="2"/>
    <col min="14" max="14" width="11" style="2" bestFit="1" customWidth="1"/>
    <col min="15" max="15" width="9.140625" style="2"/>
    <col min="16" max="16" width="18.28515625" style="2" bestFit="1" customWidth="1"/>
    <col min="17" max="17" width="12" style="2" bestFit="1" customWidth="1"/>
    <col min="18" max="18" width="10" style="2" bestFit="1" customWidth="1"/>
    <col min="19" max="16384" width="9.140625" style="2"/>
  </cols>
  <sheetData>
    <row r="1" spans="1:8" x14ac:dyDescent="0.25"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14</v>
      </c>
      <c r="H1" s="2" t="s">
        <v>15</v>
      </c>
    </row>
    <row r="2" spans="1:8" x14ac:dyDescent="0.25">
      <c r="A2" s="2" t="s">
        <v>11</v>
      </c>
      <c r="B2" s="2">
        <v>1.8</v>
      </c>
      <c r="C2" s="2">
        <v>5</v>
      </c>
      <c r="D2" s="2">
        <v>6</v>
      </c>
      <c r="E2" s="2">
        <v>23.68</v>
      </c>
      <c r="F2" s="2">
        <f>D2 + E2/60</f>
        <v>6.3946666666666667</v>
      </c>
      <c r="G2" s="2">
        <f>C2/F2</f>
        <v>0.78190158465387827</v>
      </c>
    </row>
    <row r="3" spans="1:8" x14ac:dyDescent="0.25">
      <c r="B3" s="2">
        <v>1.8</v>
      </c>
      <c r="C3" s="2">
        <v>5</v>
      </c>
      <c r="D3" s="2">
        <v>6</v>
      </c>
      <c r="E3" s="2">
        <v>16.11</v>
      </c>
      <c r="F3" s="2">
        <f t="shared" ref="F3:F10" si="0">D3 + E3/60</f>
        <v>6.2685000000000004</v>
      </c>
      <c r="G3" s="2">
        <f t="shared" ref="G3:G10" si="1">C3/F3</f>
        <v>0.79763898859376237</v>
      </c>
    </row>
    <row r="4" spans="1:8" x14ac:dyDescent="0.25">
      <c r="B4" s="2">
        <v>1.8</v>
      </c>
      <c r="C4" s="2">
        <v>5</v>
      </c>
      <c r="D4" s="2">
        <v>6</v>
      </c>
      <c r="E4" s="2">
        <v>13</v>
      </c>
      <c r="F4" s="2">
        <f t="shared" si="0"/>
        <v>6.2166666666666668</v>
      </c>
      <c r="G4" s="2">
        <f t="shared" si="1"/>
        <v>0.80428954423592491</v>
      </c>
      <c r="H4" s="2">
        <f>AVERAGE(G2:G4)</f>
        <v>0.79461003916118855</v>
      </c>
    </row>
    <row r="5" spans="1:8" x14ac:dyDescent="0.25">
      <c r="B5" s="2">
        <v>4</v>
      </c>
      <c r="C5" s="2">
        <v>5</v>
      </c>
      <c r="D5" s="2">
        <v>2</v>
      </c>
      <c r="E5" s="2">
        <v>51.8</v>
      </c>
      <c r="F5" s="2">
        <f t="shared" si="0"/>
        <v>2.8633333333333333</v>
      </c>
      <c r="G5" s="2">
        <f t="shared" si="1"/>
        <v>1.7462165308498254</v>
      </c>
      <c r="H5" s="2">
        <f>AVERAGE(G5:G6)</f>
        <v>1.7573336839582776</v>
      </c>
    </row>
    <row r="6" spans="1:8" x14ac:dyDescent="0.25">
      <c r="B6" s="2">
        <v>4</v>
      </c>
      <c r="C6" s="2">
        <v>5</v>
      </c>
      <c r="D6" s="2">
        <v>2</v>
      </c>
      <c r="E6" s="2">
        <v>49.64</v>
      </c>
      <c r="F6" s="2">
        <f t="shared" si="0"/>
        <v>2.8273333333333333</v>
      </c>
      <c r="G6" s="2">
        <f t="shared" si="1"/>
        <v>1.7684508370667296</v>
      </c>
    </row>
    <row r="7" spans="1:8" x14ac:dyDescent="0.25">
      <c r="A7" s="2" t="s">
        <v>12</v>
      </c>
      <c r="B7" s="2">
        <v>0.5</v>
      </c>
      <c r="C7" s="2">
        <v>1</v>
      </c>
      <c r="D7" s="2">
        <v>15</v>
      </c>
      <c r="E7" s="2">
        <v>36.76</v>
      </c>
      <c r="F7" s="2">
        <f t="shared" si="0"/>
        <v>15.612666666666666</v>
      </c>
      <c r="G7" s="2">
        <f t="shared" si="1"/>
        <v>6.4050557239847997E-2</v>
      </c>
    </row>
    <row r="8" spans="1:8" x14ac:dyDescent="0.25">
      <c r="B8" s="2">
        <v>0.5</v>
      </c>
      <c r="C8" s="2">
        <v>1</v>
      </c>
      <c r="D8" s="2">
        <v>15</v>
      </c>
      <c r="E8" s="2">
        <v>36.479999999999997</v>
      </c>
      <c r="F8" s="2">
        <f t="shared" si="0"/>
        <v>15.608000000000001</v>
      </c>
      <c r="G8" s="2">
        <f t="shared" si="1"/>
        <v>6.4069707842132242E-2</v>
      </c>
      <c r="H8" s="2">
        <f>AVERAGE(G7:G8)</f>
        <v>6.406013254099012E-2</v>
      </c>
    </row>
    <row r="9" spans="1:8" x14ac:dyDescent="0.25">
      <c r="B9" s="2">
        <v>1.5</v>
      </c>
      <c r="C9" s="2">
        <v>1</v>
      </c>
      <c r="D9" s="2">
        <v>4</v>
      </c>
      <c r="E9" s="2">
        <v>53.96</v>
      </c>
      <c r="F9" s="2">
        <f t="shared" si="0"/>
        <v>4.8993333333333329</v>
      </c>
      <c r="G9" s="2">
        <f t="shared" si="1"/>
        <v>0.20410940263981495</v>
      </c>
      <c r="H9" s="2">
        <f>AVERAGE(G9:G10)</f>
        <v>0.20484370974860616</v>
      </c>
    </row>
    <row r="10" spans="1:8" x14ac:dyDescent="0.25">
      <c r="B10" s="2">
        <v>1.5</v>
      </c>
      <c r="C10" s="2">
        <v>1</v>
      </c>
      <c r="D10" s="2">
        <v>4</v>
      </c>
      <c r="E10" s="2">
        <v>51.86</v>
      </c>
      <c r="F10" s="2">
        <f t="shared" si="0"/>
        <v>4.8643333333333336</v>
      </c>
      <c r="G10" s="2">
        <f t="shared" si="1"/>
        <v>0.20557801685739738</v>
      </c>
    </row>
    <row r="11" spans="1:8" x14ac:dyDescent="0.25">
      <c r="A11" s="2" t="s">
        <v>13</v>
      </c>
      <c r="B11" s="2">
        <v>2</v>
      </c>
      <c r="C11" s="2">
        <v>0.5</v>
      </c>
      <c r="D11" s="2">
        <v>5</v>
      </c>
      <c r="E11" s="2">
        <v>2.14</v>
      </c>
      <c r="F11" s="2">
        <f>D11 + E11/60</f>
        <v>5.0356666666666667</v>
      </c>
      <c r="G11" s="2">
        <f>C11/F11</f>
        <v>9.9291719070629503E-2</v>
      </c>
    </row>
    <row r="12" spans="1:8" x14ac:dyDescent="0.25">
      <c r="B12" s="2">
        <v>2</v>
      </c>
      <c r="C12" s="2">
        <v>0.5</v>
      </c>
      <c r="D12" s="2">
        <v>5</v>
      </c>
      <c r="E12" s="2">
        <v>2.71</v>
      </c>
      <c r="F12" s="2">
        <f>D12 + E12/60</f>
        <v>5.0451666666666668</v>
      </c>
      <c r="G12" s="2">
        <f>C12/F12</f>
        <v>9.9104753724686995E-2</v>
      </c>
      <c r="H12" s="2">
        <f>AVERAGE(G11:G12)</f>
        <v>9.9198236397658249E-2</v>
      </c>
    </row>
    <row r="13" spans="1:8" x14ac:dyDescent="0.25">
      <c r="B13" s="2">
        <v>5</v>
      </c>
      <c r="C13" s="2">
        <v>1</v>
      </c>
      <c r="D13" s="2">
        <v>3</v>
      </c>
      <c r="E13" s="2">
        <v>49.19</v>
      </c>
      <c r="F13" s="2">
        <f>D13 + E13/60</f>
        <v>3.8198333333333334</v>
      </c>
      <c r="G13" s="2">
        <f>C13/F13</f>
        <v>0.26179152668091976</v>
      </c>
      <c r="H13" s="2">
        <f>AVERAGE(G13:G14)</f>
        <v>0.25604698773660522</v>
      </c>
    </row>
    <row r="14" spans="1:8" x14ac:dyDescent="0.25">
      <c r="B14" s="2">
        <v>5</v>
      </c>
      <c r="C14" s="2">
        <v>1</v>
      </c>
      <c r="D14" s="2">
        <v>3</v>
      </c>
      <c r="E14" s="2">
        <v>59.71</v>
      </c>
      <c r="F14" s="2">
        <f>D14 + E14/60</f>
        <v>3.9951666666666665</v>
      </c>
      <c r="G14" s="2">
        <f>C14/F14</f>
        <v>0.25030244879229069</v>
      </c>
    </row>
    <row r="17" spans="1:17" x14ac:dyDescent="0.25">
      <c r="A17" s="8" t="s">
        <v>26</v>
      </c>
      <c r="B17" s="8"/>
      <c r="C17" s="8"/>
      <c r="D17" s="8"/>
    </row>
    <row r="18" spans="1:17" x14ac:dyDescent="0.25">
      <c r="F18" s="2" t="s">
        <v>25</v>
      </c>
      <c r="G18" s="2" t="s">
        <v>6</v>
      </c>
    </row>
    <row r="19" spans="1:17" x14ac:dyDescent="0.25">
      <c r="A19" s="3" t="s">
        <v>16</v>
      </c>
      <c r="B19" s="2" t="s">
        <v>5</v>
      </c>
      <c r="C19" s="2">
        <f>SLOPE(B4:B5,H4:H5)</f>
        <v>2.2851833045647165</v>
      </c>
      <c r="D19" s="2">
        <f>INTERCEPT(B4:B5,H4:H5)</f>
        <v>-1.5829595130663954E-2</v>
      </c>
      <c r="F19" s="2">
        <v>0.84086000000000005</v>
      </c>
      <c r="G19" s="2">
        <f>F19*C19+D19</f>
        <v>1.9056896383456237</v>
      </c>
    </row>
    <row r="20" spans="1:17" x14ac:dyDescent="0.25">
      <c r="A20" s="3" t="s">
        <v>12</v>
      </c>
      <c r="B20" s="2" t="s">
        <v>5</v>
      </c>
      <c r="C20" s="2">
        <f>SLOPE(B8:B9,H8:H9)</f>
        <v>7.1031012269654292</v>
      </c>
      <c r="D20" s="2">
        <f>INTERCEPT(B8:B9,H8:H9)</f>
        <v>4.4974393948525093E-2</v>
      </c>
      <c r="F20" s="2">
        <v>6.4939999999999998E-2</v>
      </c>
      <c r="G20" s="2">
        <f>F20*C20+D20</f>
        <v>0.50624978762766004</v>
      </c>
    </row>
    <row r="21" spans="1:17" x14ac:dyDescent="0.25">
      <c r="A21" s="3" t="s">
        <v>13</v>
      </c>
      <c r="B21" s="2" t="s">
        <v>5</v>
      </c>
      <c r="C21" s="2">
        <f>SLOPE(B12:B13,H12:H13)</f>
        <v>19.126706297565995</v>
      </c>
      <c r="D21" s="2">
        <f>INTERCEPT(B12:B13,H12:H13)</f>
        <v>0.10266446718546973</v>
      </c>
      <c r="G21" s="2">
        <f t="shared" ref="G21:G22" si="2">F21*C21+D21</f>
        <v>0.10266446718546973</v>
      </c>
    </row>
    <row r="22" spans="1:17" x14ac:dyDescent="0.25">
      <c r="A22" s="3" t="s">
        <v>31</v>
      </c>
      <c r="B22" s="2" t="s">
        <v>5</v>
      </c>
      <c r="C22" s="2">
        <f>SLOPE(B34:B37,G34:G37)</f>
        <v>43.033625384091756</v>
      </c>
      <c r="D22" s="2">
        <f>INTERCEPT(B34:B37,G34:G37)</f>
        <v>1.5255229626692284</v>
      </c>
      <c r="G22" s="2">
        <f t="shared" si="2"/>
        <v>1.5255229626692284</v>
      </c>
      <c r="L22" s="2">
        <v>1.4E-3</v>
      </c>
      <c r="M22" s="2">
        <f>L25/L22</f>
        <v>2.3038740065061623</v>
      </c>
    </row>
    <row r="23" spans="1:17" x14ac:dyDescent="0.25">
      <c r="A23" s="8" t="s">
        <v>27</v>
      </c>
      <c r="B23" s="8"/>
      <c r="C23" s="8"/>
      <c r="D23" s="8"/>
    </row>
    <row r="24" spans="1:17" x14ac:dyDescent="0.25">
      <c r="F24" s="2" t="s">
        <v>6</v>
      </c>
      <c r="G24" s="2" t="s">
        <v>25</v>
      </c>
      <c r="J24" s="2" t="s">
        <v>29</v>
      </c>
      <c r="K24" s="2" t="s">
        <v>28</v>
      </c>
      <c r="P24" s="2">
        <f>1087*L22</f>
        <v>1.5218</v>
      </c>
    </row>
    <row r="25" spans="1:17" x14ac:dyDescent="0.25">
      <c r="A25" s="3" t="s">
        <v>16</v>
      </c>
      <c r="B25" s="2" t="s">
        <v>5</v>
      </c>
      <c r="C25" s="2">
        <f>SLOPE(H4:H5,B4:B5)</f>
        <v>0.43760165672594964</v>
      </c>
      <c r="D25" s="2">
        <f>INTERCEPT(H4:H5,B4:B5)</f>
        <v>6.9270570544792687E-3</v>
      </c>
      <c r="F25" s="2">
        <v>0.1</v>
      </c>
      <c r="G25" s="2">
        <f>F25*C25+D25</f>
        <v>5.0687222727074238E-2</v>
      </c>
      <c r="J25" s="2">
        <f>G25+G26</f>
        <v>5.843392438501796E-2</v>
      </c>
      <c r="K25" s="2">
        <f>60*J25/1000</f>
        <v>3.5060354631010777E-3</v>
      </c>
      <c r="L25" s="2">
        <f>K25/1.087</f>
        <v>3.2254236091086271E-3</v>
      </c>
      <c r="N25" s="2" t="s">
        <v>30</v>
      </c>
      <c r="P25" s="2">
        <f>P24*12</f>
        <v>18.261600000000001</v>
      </c>
    </row>
    <row r="26" spans="1:17" x14ac:dyDescent="0.25">
      <c r="A26" s="3" t="s">
        <v>12</v>
      </c>
      <c r="B26" s="2" t="s">
        <v>5</v>
      </c>
      <c r="C26" s="2">
        <f>SLOPE(H8:H9,B8:B9)</f>
        <v>0.14078357720761603</v>
      </c>
      <c r="D26" s="2">
        <f>INTERCEPT(H8:H9,B8:B9)</f>
        <v>-6.3316560628178808E-3</v>
      </c>
      <c r="F26" s="2">
        <v>0.1</v>
      </c>
      <c r="G26" s="2">
        <f>F26*C26+D26</f>
        <v>7.746701657943722E-3</v>
      </c>
      <c r="J26" s="2">
        <f>60*J25</f>
        <v>3.5060354631010777</v>
      </c>
      <c r="K26" s="2">
        <f>J26*12</f>
        <v>42.072425557212931</v>
      </c>
      <c r="N26" s="2">
        <f>G26/J25*100</f>
        <v>13.257199032023118</v>
      </c>
    </row>
    <row r="27" spans="1:17" x14ac:dyDescent="0.25">
      <c r="A27" s="3" t="s">
        <v>13</v>
      </c>
      <c r="B27" s="2" t="s">
        <v>5</v>
      </c>
      <c r="C27" s="2">
        <f>SLOPE(H12:H13,B12:B13)</f>
        <v>5.2282917112982323E-2</v>
      </c>
      <c r="D27" s="2">
        <f>INTERCEPT(H12:H13,B12:B13)</f>
        <v>-5.3675978283063974E-3</v>
      </c>
      <c r="F27" s="2">
        <v>2.2000000000000002</v>
      </c>
      <c r="G27" s="2">
        <f>F27*C27+D27</f>
        <v>0.10965481982025473</v>
      </c>
      <c r="J27" s="2">
        <f>J26/1000</f>
        <v>3.5060354631010777E-3</v>
      </c>
    </row>
    <row r="30" spans="1:17" x14ac:dyDescent="0.25">
      <c r="N30" s="2" t="s">
        <v>35</v>
      </c>
      <c r="O30" s="2" t="s">
        <v>36</v>
      </c>
      <c r="P30" s="2" t="s">
        <v>29</v>
      </c>
      <c r="Q30" s="2" t="s">
        <v>37</v>
      </c>
    </row>
    <row r="31" spans="1:17" x14ac:dyDescent="0.25">
      <c r="B31" s="2" t="s">
        <v>6</v>
      </c>
      <c r="C31" s="2" t="s">
        <v>7</v>
      </c>
      <c r="D31" s="2" t="s">
        <v>8</v>
      </c>
      <c r="E31" s="2" t="s">
        <v>9</v>
      </c>
      <c r="F31" s="2" t="s">
        <v>10</v>
      </c>
      <c r="G31" s="2" t="s">
        <v>14</v>
      </c>
      <c r="J31" s="2" t="s">
        <v>17</v>
      </c>
      <c r="K31" s="2" t="s">
        <v>19</v>
      </c>
      <c r="N31" s="2">
        <v>1.4E-3</v>
      </c>
      <c r="O31" s="2">
        <f>N31*1087</f>
        <v>1.5218</v>
      </c>
      <c r="P31" s="2">
        <f>O31/60</f>
        <v>2.5363333333333335E-2</v>
      </c>
    </row>
    <row r="32" spans="1:17" x14ac:dyDescent="0.25">
      <c r="A32" s="2" t="s">
        <v>31</v>
      </c>
      <c r="B32" s="2">
        <v>0.5</v>
      </c>
      <c r="C32" s="2">
        <v>5</v>
      </c>
      <c r="D32" s="2">
        <f>7*60+36</f>
        <v>456</v>
      </c>
      <c r="E32" s="2">
        <v>58.32</v>
      </c>
      <c r="F32" s="2">
        <f t="shared" ref="F32:F33" si="3">D32 + E32/60</f>
        <v>456.97199999999998</v>
      </c>
      <c r="G32" s="2">
        <f t="shared" ref="G32:G33" si="4">C32/F32</f>
        <v>1.0941589419045369E-2</v>
      </c>
      <c r="I32" s="2" t="s">
        <v>6</v>
      </c>
      <c r="J32" s="2">
        <v>0.4</v>
      </c>
      <c r="K32" s="2">
        <f>0.022762367*J32</f>
        <v>9.1049467999999995E-3</v>
      </c>
      <c r="L32" s="2" t="s">
        <v>25</v>
      </c>
      <c r="M32" s="2" t="s">
        <v>49</v>
      </c>
      <c r="N32" s="2">
        <f>Q35/1087*60</f>
        <v>1.1308575179392825E-3</v>
      </c>
      <c r="O32" s="2">
        <f>N32*1087</f>
        <v>1.229242122</v>
      </c>
      <c r="P32" s="2">
        <f>O32/60</f>
        <v>2.0487368700000001E-2</v>
      </c>
    </row>
    <row r="33" spans="2:20" x14ac:dyDescent="0.25">
      <c r="B33" s="2">
        <v>5</v>
      </c>
      <c r="C33" s="2">
        <v>5</v>
      </c>
      <c r="D33" s="2">
        <v>46</v>
      </c>
      <c r="E33" s="2">
        <v>23</v>
      </c>
      <c r="F33" s="2">
        <f t="shared" si="3"/>
        <v>46.383333333333333</v>
      </c>
      <c r="G33" s="2">
        <f t="shared" si="4"/>
        <v>0.10779734099892203</v>
      </c>
      <c r="I33" s="2" t="s">
        <v>14</v>
      </c>
      <c r="J33" s="2">
        <v>1</v>
      </c>
      <c r="K33" s="2">
        <f>J33/0.022762367</f>
        <v>43.932162239542137</v>
      </c>
      <c r="L33" s="2" t="s">
        <v>6</v>
      </c>
    </row>
    <row r="34" spans="2:20" x14ac:dyDescent="0.25">
      <c r="B34" s="2">
        <v>25</v>
      </c>
      <c r="C34" s="2">
        <v>5</v>
      </c>
      <c r="D34" s="2">
        <v>9</v>
      </c>
      <c r="E34" s="2">
        <v>22.66</v>
      </c>
      <c r="F34" s="2">
        <f>D34 + E34/60</f>
        <v>9.3776666666666664</v>
      </c>
      <c r="G34" s="2">
        <f>C34/F34</f>
        <v>0.53318167276863471</v>
      </c>
      <c r="O34" s="2" t="s">
        <v>6</v>
      </c>
      <c r="P34" s="2" t="str">
        <f>I33</f>
        <v>Flow rate (mL/min)</v>
      </c>
      <c r="Q34" s="2" t="s">
        <v>33</v>
      </c>
      <c r="R34" s="2" t="s">
        <v>34</v>
      </c>
      <c r="S34" s="2" t="s">
        <v>32</v>
      </c>
    </row>
    <row r="35" spans="2:20" x14ac:dyDescent="0.25">
      <c r="B35" s="2">
        <v>50</v>
      </c>
      <c r="C35" s="2">
        <v>5</v>
      </c>
      <c r="D35" s="2">
        <v>4</v>
      </c>
      <c r="E35" s="2">
        <v>22.08</v>
      </c>
      <c r="F35" s="2">
        <f t="shared" ref="F35:F37" si="5">D35 + E35/60</f>
        <v>4.3680000000000003</v>
      </c>
      <c r="G35" s="2">
        <f t="shared" ref="G35:G37" si="6">C35/F35</f>
        <v>1.1446886446886446</v>
      </c>
      <c r="N35" s="2" t="s">
        <v>12</v>
      </c>
      <c r="O35" s="2">
        <v>0</v>
      </c>
      <c r="P35" s="2">
        <f>O35*0.022763743</f>
        <v>0</v>
      </c>
      <c r="Q35" s="2">
        <f>SUM(P35:P36)</f>
        <v>2.0487368700000001E-2</v>
      </c>
      <c r="R35" s="2">
        <f>P35/Q35*100</f>
        <v>0</v>
      </c>
    </row>
    <row r="36" spans="2:20" x14ac:dyDescent="0.25">
      <c r="B36" s="2">
        <v>75</v>
      </c>
      <c r="C36" s="2">
        <v>5</v>
      </c>
      <c r="D36" s="2">
        <v>2</v>
      </c>
      <c r="E36" s="2">
        <v>55.57</v>
      </c>
      <c r="F36" s="2">
        <f t="shared" si="5"/>
        <v>2.9261666666666666</v>
      </c>
      <c r="G36" s="2">
        <f t="shared" si="6"/>
        <v>1.7087201685937234</v>
      </c>
      <c r="N36" s="2" t="s">
        <v>11</v>
      </c>
      <c r="O36" s="2">
        <v>0.9</v>
      </c>
      <c r="P36" s="2">
        <f>O36*0.022763743</f>
        <v>2.0487368700000001E-2</v>
      </c>
    </row>
    <row r="37" spans="2:20" x14ac:dyDescent="0.25">
      <c r="B37" s="2">
        <v>100</v>
      </c>
      <c r="C37" s="2">
        <v>5</v>
      </c>
      <c r="D37" s="2">
        <v>2</v>
      </c>
      <c r="E37" s="2">
        <v>11.52</v>
      </c>
      <c r="F37" s="2">
        <f t="shared" si="5"/>
        <v>2.1920000000000002</v>
      </c>
      <c r="G37" s="2">
        <f t="shared" si="6"/>
        <v>2.2810218978102186</v>
      </c>
    </row>
    <row r="38" spans="2:20" x14ac:dyDescent="0.25">
      <c r="N38" s="2" t="s">
        <v>38</v>
      </c>
      <c r="P38" s="2" t="s">
        <v>40</v>
      </c>
      <c r="R38" s="2" t="s">
        <v>54</v>
      </c>
    </row>
    <row r="39" spans="2:20" x14ac:dyDescent="0.25">
      <c r="M39" s="2" t="s">
        <v>39</v>
      </c>
      <c r="N39" s="2">
        <v>7.17E-2</v>
      </c>
      <c r="P39" s="5">
        <v>285.35300000000001</v>
      </c>
      <c r="Q39" s="2" t="s">
        <v>47</v>
      </c>
      <c r="R39" s="2" t="s">
        <v>47</v>
      </c>
    </row>
    <row r="40" spans="2:20" x14ac:dyDescent="0.25">
      <c r="M40" s="2" t="s">
        <v>41</v>
      </c>
      <c r="N40" s="2">
        <f>N39*1.087/60</f>
        <v>1.2989649999999998E-3</v>
      </c>
      <c r="P40" s="2">
        <f>P39/1000</f>
        <v>0.28535300000000002</v>
      </c>
      <c r="Q40" s="2" t="s">
        <v>42</v>
      </c>
      <c r="R40" s="2">
        <f>P39*P35/Q35</f>
        <v>0</v>
      </c>
      <c r="S40" s="2">
        <f>R40*N32</f>
        <v>0</v>
      </c>
      <c r="T40" s="2" t="s">
        <v>55</v>
      </c>
    </row>
    <row r="41" spans="2:20" x14ac:dyDescent="0.25">
      <c r="M41" s="2" t="s">
        <v>43</v>
      </c>
      <c r="N41" s="2">
        <f>N40/P40</f>
        <v>4.5521336730295452E-3</v>
      </c>
    </row>
    <row r="42" spans="2:20" x14ac:dyDescent="0.25">
      <c r="M42" s="2" t="s">
        <v>6</v>
      </c>
      <c r="N42" s="2">
        <f>N41/0.022763743</f>
        <v>0.19997298656154858</v>
      </c>
      <c r="P42" s="2">
        <f>1000/N41</f>
        <v>219677.20454361744</v>
      </c>
      <c r="Q42" s="2">
        <f>P42/60</f>
        <v>3661.2867423936241</v>
      </c>
    </row>
    <row r="43" spans="2:20" x14ac:dyDescent="0.25">
      <c r="Q43" s="2">
        <f>Q42/24</f>
        <v>152.55361426640101</v>
      </c>
    </row>
    <row r="44" spans="2:20" x14ac:dyDescent="0.25">
      <c r="N44" s="2" t="s">
        <v>44</v>
      </c>
    </row>
    <row r="45" spans="2:20" x14ac:dyDescent="0.25">
      <c r="M45" s="2" t="s">
        <v>45</v>
      </c>
      <c r="N45" s="2">
        <v>0.625</v>
      </c>
      <c r="R45" s="2" t="s">
        <v>47</v>
      </c>
    </row>
    <row r="46" spans="2:20" x14ac:dyDescent="0.25">
      <c r="G46">
        <v>2.2762366999999999E-2</v>
      </c>
      <c r="H46" s="2">
        <v>2.2763742999999999E-2</v>
      </c>
      <c r="M46" s="2" t="s">
        <v>46</v>
      </c>
      <c r="N46" s="2">
        <f>N45*1.087/60</f>
        <v>1.1322916666666665E-2</v>
      </c>
      <c r="P46" s="5">
        <f>N46/N47</f>
        <v>0.55267793695081324</v>
      </c>
      <c r="Q46" s="2" t="s">
        <v>47</v>
      </c>
      <c r="R46" s="2">
        <f>P46*P36/Q35</f>
        <v>0.55267793695081324</v>
      </c>
      <c r="S46" s="2">
        <f>R46*N32*1000</f>
        <v>0.62499999999999989</v>
      </c>
      <c r="T46" s="2" t="s">
        <v>56</v>
      </c>
    </row>
    <row r="47" spans="2:20" x14ac:dyDescent="0.25">
      <c r="H47" s="2">
        <f>ABS((G46-H46)/G46)*100</f>
        <v>6.0450655241647269E-3</v>
      </c>
      <c r="M47" s="2" t="s">
        <v>43</v>
      </c>
      <c r="N47" s="2">
        <v>2.0487368700000001E-2</v>
      </c>
      <c r="P47" s="2">
        <f>P46*N48*1000</f>
        <v>0.62499999999999989</v>
      </c>
      <c r="Q47" s="2" t="s">
        <v>48</v>
      </c>
    </row>
    <row r="48" spans="2:20" x14ac:dyDescent="0.25">
      <c r="M48" s="2" t="s">
        <v>35</v>
      </c>
      <c r="N48" s="2">
        <f>N47/1087*60</f>
        <v>1.1308575179392825E-3</v>
      </c>
      <c r="P48" s="2">
        <f>ABS((N45-P47)/N45)*100</f>
        <v>1.7763568394002505E-14</v>
      </c>
      <c r="Q48" s="2" t="s">
        <v>37</v>
      </c>
    </row>
    <row r="53" spans="14:17" x14ac:dyDescent="0.25">
      <c r="N53" s="2" t="s">
        <v>52</v>
      </c>
      <c r="O53" s="2" t="s">
        <v>53</v>
      </c>
      <c r="P53" s="2" t="s">
        <v>50</v>
      </c>
      <c r="Q53" s="2" t="s">
        <v>51</v>
      </c>
    </row>
  </sheetData>
  <mergeCells count="2">
    <mergeCell ref="A17:D17"/>
    <mergeCell ref="A23:D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6A3ED-3E7B-4B22-9E94-04D56E35E22A}">
  <dimension ref="A1:T53"/>
  <sheetViews>
    <sheetView tabSelected="1" topLeftCell="H1" workbookViewId="0">
      <selection activeCell="AD5" sqref="AD5"/>
    </sheetView>
  </sheetViews>
  <sheetFormatPr defaultRowHeight="15" x14ac:dyDescent="0.25"/>
  <cols>
    <col min="1" max="1" width="8" style="2" bestFit="1" customWidth="1"/>
    <col min="2" max="2" width="5" style="2" bestFit="1" customWidth="1"/>
    <col min="3" max="3" width="12.42578125" style="2" bestFit="1" customWidth="1"/>
    <col min="4" max="5" width="8.28515625" style="2" bestFit="1" customWidth="1"/>
    <col min="6" max="6" width="12" style="2" bestFit="1" customWidth="1"/>
    <col min="7" max="7" width="18.28515625" style="2" bestFit="1" customWidth="1"/>
    <col min="8" max="8" width="12" style="2" bestFit="1" customWidth="1"/>
    <col min="9" max="9" width="18.28515625" style="2" bestFit="1" customWidth="1"/>
    <col min="10" max="10" width="5.7109375" style="2" bestFit="1" customWidth="1"/>
    <col min="11" max="11" width="12" style="2" bestFit="1" customWidth="1"/>
    <col min="12" max="12" width="17.42578125" style="2" bestFit="1" customWidth="1"/>
    <col min="13" max="13" width="6.5703125" style="2" bestFit="1" customWidth="1"/>
    <col min="14" max="14" width="20.5703125" style="2" bestFit="1" customWidth="1"/>
    <col min="15" max="15" width="12" style="2" bestFit="1" customWidth="1"/>
    <col min="16" max="16" width="16.140625" style="2" bestFit="1" customWidth="1"/>
    <col min="17" max="17" width="12" style="2" bestFit="1" customWidth="1"/>
    <col min="18" max="18" width="28.140625" style="2" bestFit="1" customWidth="1"/>
    <col min="19" max="16384" width="9.140625" style="2"/>
  </cols>
  <sheetData>
    <row r="1" spans="1:18" x14ac:dyDescent="0.25">
      <c r="N1" s="2" t="s">
        <v>35</v>
      </c>
      <c r="O1" s="2" t="s">
        <v>36</v>
      </c>
      <c r="P1" s="2" t="s">
        <v>29</v>
      </c>
      <c r="Q1" s="2" t="s">
        <v>37</v>
      </c>
    </row>
    <row r="2" spans="1:18" x14ac:dyDescent="0.25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14</v>
      </c>
      <c r="J2" s="2" t="s">
        <v>17</v>
      </c>
      <c r="K2" s="2" t="s">
        <v>19</v>
      </c>
      <c r="N2" s="2">
        <v>1.4E-3</v>
      </c>
      <c r="O2" s="2">
        <f>N2*1087</f>
        <v>1.5218</v>
      </c>
      <c r="P2" s="2">
        <f>O2/60</f>
        <v>2.5363333333333335E-2</v>
      </c>
    </row>
    <row r="3" spans="1:18" x14ac:dyDescent="0.25">
      <c r="A3" s="2" t="s">
        <v>12</v>
      </c>
      <c r="B3" s="2">
        <v>25</v>
      </c>
      <c r="C3" s="2">
        <v>5</v>
      </c>
      <c r="D3" s="2">
        <v>10</v>
      </c>
      <c r="E3" s="2">
        <v>41.35</v>
      </c>
      <c r="F3" s="2">
        <f>D3 + E3/60</f>
        <v>10.689166666666667</v>
      </c>
      <c r="G3" s="2">
        <f>C3/F3</f>
        <v>0.46776331176424729</v>
      </c>
      <c r="I3" s="2" t="s">
        <v>6</v>
      </c>
      <c r="J3" s="2">
        <v>0.4</v>
      </c>
      <c r="K3" s="2">
        <f>0.018780024*J3</f>
        <v>7.5120096000000003E-3</v>
      </c>
      <c r="L3" s="2" t="s">
        <v>25</v>
      </c>
      <c r="M3" s="2" t="s">
        <v>49</v>
      </c>
      <c r="N3" s="2">
        <f>O17/1077*60</f>
        <v>1.5983900612813371E-3</v>
      </c>
      <c r="O3" s="2">
        <f>N3*1087</f>
        <v>1.7374499966128134</v>
      </c>
      <c r="P3" s="2">
        <f>O3/60</f>
        <v>2.8957499943546891E-2</v>
      </c>
    </row>
    <row r="4" spans="1:18" x14ac:dyDescent="0.25">
      <c r="B4" s="2">
        <v>50</v>
      </c>
      <c r="C4" s="2">
        <v>5</v>
      </c>
      <c r="D4" s="2">
        <v>5</v>
      </c>
      <c r="E4" s="2">
        <v>19.05</v>
      </c>
      <c r="F4" s="2">
        <f t="shared" ref="F4:F6" si="0">D4 + E4/60</f>
        <v>5.3174999999999999</v>
      </c>
      <c r="G4" s="2">
        <f t="shared" ref="G4:G6" si="1">C4/F4</f>
        <v>0.94029149036201221</v>
      </c>
      <c r="I4" s="2" t="s">
        <v>14</v>
      </c>
      <c r="J4" s="2">
        <v>1</v>
      </c>
      <c r="K4" s="2">
        <f>J4/0.018780024</f>
        <v>53.24806826657943</v>
      </c>
      <c r="L4" s="2" t="s">
        <v>6</v>
      </c>
    </row>
    <row r="5" spans="1:18" x14ac:dyDescent="0.25">
      <c r="B5" s="2">
        <v>75</v>
      </c>
      <c r="C5" s="2">
        <v>5</v>
      </c>
      <c r="D5" s="2">
        <v>3</v>
      </c>
      <c r="E5" s="2">
        <v>31.59</v>
      </c>
      <c r="F5" s="2">
        <f t="shared" si="0"/>
        <v>3.5265</v>
      </c>
      <c r="G5" s="2">
        <f t="shared" si="1"/>
        <v>1.417836381681554</v>
      </c>
    </row>
    <row r="6" spans="1:18" x14ac:dyDescent="0.25">
      <c r="B6" s="2">
        <v>100</v>
      </c>
      <c r="C6" s="2">
        <v>5</v>
      </c>
      <c r="D6" s="2">
        <v>2</v>
      </c>
      <c r="E6" s="2">
        <v>40.36</v>
      </c>
      <c r="F6" s="2">
        <f t="shared" si="0"/>
        <v>2.6726666666666667</v>
      </c>
      <c r="G6" s="2">
        <f t="shared" si="1"/>
        <v>1.8707907208780243</v>
      </c>
    </row>
    <row r="8" spans="1:18" x14ac:dyDescent="0.25">
      <c r="A8" s="2" t="s">
        <v>11</v>
      </c>
      <c r="B8" s="2">
        <v>25</v>
      </c>
      <c r="C8" s="2">
        <v>5</v>
      </c>
      <c r="D8" s="2">
        <v>9</v>
      </c>
      <c r="E8" s="2">
        <v>24.67</v>
      </c>
      <c r="F8" s="2">
        <f>D8 + E8/60</f>
        <v>9.4111666666666665</v>
      </c>
      <c r="G8" s="2">
        <f>C8/F8</f>
        <v>0.53128375865549793</v>
      </c>
      <c r="I8" s="2" t="s">
        <v>6</v>
      </c>
      <c r="J8" s="2">
        <v>0.4</v>
      </c>
      <c r="K8" s="2">
        <f>0.021179092*J8</f>
        <v>8.4716367999999997E-3</v>
      </c>
      <c r="L8" s="2" t="s">
        <v>25</v>
      </c>
      <c r="N8" s="2">
        <f>1/N3</f>
        <v>625.62951573807811</v>
      </c>
    </row>
    <row r="9" spans="1:18" x14ac:dyDescent="0.25">
      <c r="B9" s="2">
        <v>50</v>
      </c>
      <c r="C9" s="2">
        <v>5</v>
      </c>
      <c r="D9" s="2">
        <v>4</v>
      </c>
      <c r="E9" s="2">
        <v>42.53</v>
      </c>
      <c r="F9" s="2">
        <f t="shared" ref="F9:F11" si="2">D9 + E9/60</f>
        <v>4.7088333333333336</v>
      </c>
      <c r="G9" s="2">
        <f t="shared" ref="G9:G11" si="3">C9/F9</f>
        <v>1.0618341415070964</v>
      </c>
      <c r="I9" s="2" t="s">
        <v>14</v>
      </c>
      <c r="J9" s="2">
        <v>1</v>
      </c>
      <c r="K9" s="2">
        <f>J9/0.021179092</f>
        <v>47.216377359331553</v>
      </c>
      <c r="L9" s="2" t="s">
        <v>6</v>
      </c>
      <c r="N9" s="2" t="s">
        <v>65</v>
      </c>
    </row>
    <row r="10" spans="1:18" x14ac:dyDescent="0.25">
      <c r="B10" s="2">
        <v>75</v>
      </c>
      <c r="C10" s="2">
        <v>5</v>
      </c>
      <c r="D10" s="2">
        <v>3</v>
      </c>
      <c r="E10" s="2">
        <v>9.14</v>
      </c>
      <c r="F10" s="2">
        <f t="shared" si="2"/>
        <v>3.1523333333333334</v>
      </c>
      <c r="G10" s="2">
        <f t="shared" si="3"/>
        <v>1.5861266786507349</v>
      </c>
      <c r="Q10" s="2" t="s">
        <v>66</v>
      </c>
    </row>
    <row r="11" spans="1:18" x14ac:dyDescent="0.25">
      <c r="B11" s="2">
        <v>100</v>
      </c>
      <c r="C11" s="2">
        <v>5</v>
      </c>
      <c r="D11" s="2">
        <v>2</v>
      </c>
      <c r="E11" s="2">
        <v>21.66</v>
      </c>
      <c r="F11" s="2">
        <f t="shared" si="2"/>
        <v>2.3609999999999998</v>
      </c>
      <c r="G11" s="2">
        <f t="shared" si="3"/>
        <v>2.1177467174925879</v>
      </c>
      <c r="Q11" s="2">
        <v>342.65530000000001</v>
      </c>
    </row>
    <row r="12" spans="1:18" x14ac:dyDescent="0.25">
      <c r="R12" s="2">
        <f>Q11/N21</f>
        <v>1.0905918500932199</v>
      </c>
    </row>
    <row r="13" spans="1:18" x14ac:dyDescent="0.25">
      <c r="O13" s="2">
        <v>1</v>
      </c>
      <c r="P13" s="2">
        <v>10</v>
      </c>
      <c r="Q13" s="2">
        <f>O13*N21/P13</f>
        <v>31.419206000000003</v>
      </c>
      <c r="R13" s="2">
        <f>4*R12*4</f>
        <v>17.449469601491518</v>
      </c>
    </row>
    <row r="16" spans="1:18" x14ac:dyDescent="0.25">
      <c r="M16" s="2" t="s">
        <v>6</v>
      </c>
      <c r="N16" s="2" t="str">
        <f>I4</f>
        <v>Flow rate (mL/min)</v>
      </c>
      <c r="O16" s="2" t="s">
        <v>33</v>
      </c>
      <c r="P16" s="2" t="s">
        <v>34</v>
      </c>
      <c r="Q16" s="2" t="s">
        <v>67</v>
      </c>
      <c r="R16" s="2" t="s">
        <v>68</v>
      </c>
    </row>
    <row r="17" spans="7:20" x14ac:dyDescent="0.25">
      <c r="G17">
        <v>2.2762366999999999E-2</v>
      </c>
      <c r="H17" s="2">
        <v>2.2763742999999999E-2</v>
      </c>
      <c r="L17" s="2" t="s">
        <v>12</v>
      </c>
      <c r="M17" s="2">
        <v>0.4</v>
      </c>
      <c r="N17" s="2">
        <f>M17*0.018780024</f>
        <v>7.5120096000000003E-3</v>
      </c>
      <c r="O17" s="2">
        <f>SUM(N17:N18)</f>
        <v>2.8691101600000001E-2</v>
      </c>
      <c r="P17" s="2">
        <f>N17/O17*100</f>
        <v>26.182367288399966</v>
      </c>
      <c r="Q17" s="2">
        <f>O17/1000*60</f>
        <v>1.7214660959999999E-3</v>
      </c>
      <c r="R17" s="2">
        <f>O17*200*60</f>
        <v>344.29321920000001</v>
      </c>
      <c r="T17" s="2">
        <f>16*7.5 + 1077</f>
        <v>1197</v>
      </c>
    </row>
    <row r="18" spans="7:20" x14ac:dyDescent="0.25">
      <c r="H18" s="2">
        <f>ABS((G17-H17)/G17)*100</f>
        <v>6.0450655241647269E-3</v>
      </c>
      <c r="L18" s="2" t="s">
        <v>11</v>
      </c>
      <c r="M18" s="2">
        <v>1</v>
      </c>
      <c r="N18" s="2">
        <f>M18*0.021179092</f>
        <v>2.1179092E-2</v>
      </c>
      <c r="T18" s="2">
        <f>T17-R17</f>
        <v>852.70678079999993</v>
      </c>
    </row>
    <row r="20" spans="7:20" x14ac:dyDescent="0.25">
      <c r="L20" s="2" t="s">
        <v>38</v>
      </c>
      <c r="N20" s="2" t="s">
        <v>40</v>
      </c>
      <c r="P20" s="2" t="s">
        <v>54</v>
      </c>
    </row>
    <row r="21" spans="7:20" x14ac:dyDescent="0.25">
      <c r="K21" s="2" t="s">
        <v>39</v>
      </c>
      <c r="L21" s="2">
        <v>7.17E-2</v>
      </c>
      <c r="N21" s="5">
        <v>314.19206000000003</v>
      </c>
      <c r="O21" s="2" t="s">
        <v>47</v>
      </c>
      <c r="P21" s="2" t="s">
        <v>47</v>
      </c>
    </row>
    <row r="22" spans="7:20" x14ac:dyDescent="0.25">
      <c r="K22" s="2" t="s">
        <v>41</v>
      </c>
      <c r="L22" s="2">
        <f>L21*1.077/60</f>
        <v>1.2870149999999999E-3</v>
      </c>
      <c r="N22" s="2">
        <f>N21/1000</f>
        <v>0.31419206000000005</v>
      </c>
      <c r="O22" s="2" t="s">
        <v>42</v>
      </c>
      <c r="P22" s="2">
        <f>N21*N17/O17</f>
        <v>82.262919140190007</v>
      </c>
      <c r="Q22" s="2">
        <f>P22*N3</f>
        <v>0.13148823236566998</v>
      </c>
      <c r="R22" s="2" t="s">
        <v>55</v>
      </c>
    </row>
    <row r="23" spans="7:20" x14ac:dyDescent="0.25">
      <c r="K23" s="2" t="s">
        <v>43</v>
      </c>
      <c r="L23" s="2">
        <f>L22/N22</f>
        <v>4.09626837801057E-3</v>
      </c>
    </row>
    <row r="24" spans="7:20" x14ac:dyDescent="0.25">
      <c r="K24" s="2" t="s">
        <v>6</v>
      </c>
      <c r="L24" s="2">
        <f>L23/0.022763743</f>
        <v>0.17994704904244307</v>
      </c>
      <c r="N24" s="2">
        <f>1000/L23</f>
        <v>244124.62947207302</v>
      </c>
      <c r="O24" s="2">
        <f>N24/60</f>
        <v>4068.7438245345502</v>
      </c>
      <c r="Q24" s="2">
        <f>Q22*1.077</f>
        <v>0.14161282625782656</v>
      </c>
    </row>
    <row r="25" spans="7:20" x14ac:dyDescent="0.25">
      <c r="O25" s="2">
        <f>O24/24</f>
        <v>169.53099268893959</v>
      </c>
    </row>
    <row r="26" spans="7:20" x14ac:dyDescent="0.25">
      <c r="L26" s="2" t="s">
        <v>44</v>
      </c>
    </row>
    <row r="27" spans="7:20" x14ac:dyDescent="0.25">
      <c r="K27" s="2" t="s">
        <v>45</v>
      </c>
      <c r="L27" s="2">
        <f>2*0.625</f>
        <v>1.25</v>
      </c>
      <c r="P27" s="2" t="s">
        <v>47</v>
      </c>
    </row>
    <row r="28" spans="7:20" x14ac:dyDescent="0.25">
      <c r="K28" s="2" t="s">
        <v>46</v>
      </c>
      <c r="L28" s="2">
        <f>L27*1.077/60</f>
        <v>2.2437499999999999E-2</v>
      </c>
      <c r="N28" s="5">
        <f>2*0.52975</f>
        <v>1.0595000000000001</v>
      </c>
      <c r="O28" s="2" t="s">
        <v>47</v>
      </c>
      <c r="P28" s="2">
        <f>N28*N18/O17</f>
        <v>0.7820978185794023</v>
      </c>
      <c r="Q28" s="2">
        <f>P28*N3*1000</f>
        <v>1.2500973801671309</v>
      </c>
      <c r="R28" s="2" t="s">
        <v>56</v>
      </c>
    </row>
    <row r="29" spans="7:20" x14ac:dyDescent="0.25">
      <c r="K29" s="2" t="s">
        <v>43</v>
      </c>
      <c r="L29" s="2">
        <v>2.0487368700000001E-2</v>
      </c>
      <c r="N29" s="2">
        <f>N28*L30*1000</f>
        <v>1.2092683642144848</v>
      </c>
      <c r="O29" s="2" t="s">
        <v>48</v>
      </c>
    </row>
    <row r="30" spans="7:20" x14ac:dyDescent="0.25">
      <c r="K30" s="2" t="s">
        <v>35</v>
      </c>
      <c r="L30" s="2">
        <f>L29/1077*60</f>
        <v>1.1413575877437326E-3</v>
      </c>
      <c r="N30" s="2">
        <f>ABS((L27-N29)/L27)*100</f>
        <v>3.2585308628412157</v>
      </c>
      <c r="O30" s="2" t="s">
        <v>37</v>
      </c>
    </row>
    <row r="36" spans="12:16" x14ac:dyDescent="0.25">
      <c r="N36" s="2" t="s">
        <v>63</v>
      </c>
      <c r="O36" s="2" t="s">
        <v>64</v>
      </c>
    </row>
    <row r="37" spans="12:16" x14ac:dyDescent="0.25">
      <c r="L37" s="2" t="s">
        <v>57</v>
      </c>
      <c r="M37" s="6" t="s">
        <v>47</v>
      </c>
      <c r="N37" s="2">
        <v>1</v>
      </c>
      <c r="O37" s="2">
        <f>(N37*1000)/N18/60</f>
        <v>786.9396226555258</v>
      </c>
      <c r="P37" s="2">
        <v>10</v>
      </c>
    </row>
    <row r="38" spans="12:16" x14ac:dyDescent="0.25">
      <c r="L38" s="2" t="s">
        <v>58</v>
      </c>
      <c r="M38" s="2">
        <v>0.6</v>
      </c>
      <c r="N38" s="2">
        <f>M38*$O$17/$N$18*$N$37</f>
        <v>0.81281392800031271</v>
      </c>
      <c r="P38" s="2">
        <f>M38*$P$37</f>
        <v>6</v>
      </c>
    </row>
    <row r="39" spans="12:16" x14ac:dyDescent="0.25">
      <c r="L39" s="2" t="s">
        <v>59</v>
      </c>
      <c r="M39" s="2">
        <v>0.25</v>
      </c>
      <c r="N39" s="2">
        <f t="shared" ref="N39:N41" si="4">M39*$O$17/$N$18*$N$37</f>
        <v>0.33867247000013034</v>
      </c>
      <c r="P39" s="2">
        <f t="shared" ref="P39:P41" si="5">M39*$P$37</f>
        <v>2.5</v>
      </c>
    </row>
    <row r="40" spans="12:16" x14ac:dyDescent="0.25">
      <c r="L40" s="2" t="s">
        <v>60</v>
      </c>
      <c r="M40" s="2">
        <v>8.7999999999999995E-2</v>
      </c>
      <c r="N40" s="2">
        <f>M40*$O$17/$N$18*$N$37</f>
        <v>0.11921270944004587</v>
      </c>
      <c r="P40" s="2">
        <f t="shared" si="5"/>
        <v>0.87999999999999989</v>
      </c>
    </row>
    <row r="41" spans="12:16" x14ac:dyDescent="0.25">
      <c r="L41" s="2" t="s">
        <v>61</v>
      </c>
      <c r="M41" s="2">
        <v>5.0000000000000001E-3</v>
      </c>
      <c r="N41" s="2">
        <f t="shared" si="4"/>
        <v>6.7734494000026074E-3</v>
      </c>
      <c r="P41" s="2">
        <f t="shared" si="5"/>
        <v>0.05</v>
      </c>
    </row>
    <row r="42" spans="12:16" x14ac:dyDescent="0.25">
      <c r="L42" s="2" t="s">
        <v>62</v>
      </c>
      <c r="M42" s="2">
        <f>N28</f>
        <v>1.0595000000000001</v>
      </c>
      <c r="N42" s="2">
        <f>M42*N37</f>
        <v>1.0595000000000001</v>
      </c>
    </row>
    <row r="43" spans="12:16" x14ac:dyDescent="0.25">
      <c r="N43" s="2" t="s">
        <v>63</v>
      </c>
    </row>
    <row r="44" spans="12:16" x14ac:dyDescent="0.25">
      <c r="M44" s="2" t="s">
        <v>47</v>
      </c>
      <c r="N44" s="2">
        <v>0.5</v>
      </c>
      <c r="O44" s="2">
        <f>(N44*1000)/N17/60</f>
        <v>1109.334755553738</v>
      </c>
    </row>
    <row r="45" spans="12:16" x14ac:dyDescent="0.25">
      <c r="L45" s="2" t="s">
        <v>12</v>
      </c>
      <c r="M45" s="2">
        <f>N21</f>
        <v>314.19206000000003</v>
      </c>
      <c r="N45" s="2">
        <f>M45*N44*R12</f>
        <v>171.32765000000001</v>
      </c>
    </row>
    <row r="53" spans="14:17" x14ac:dyDescent="0.25">
      <c r="N53" s="2" t="s">
        <v>52</v>
      </c>
      <c r="O53" s="2" t="s">
        <v>53</v>
      </c>
      <c r="P53" s="2" t="s">
        <v>50</v>
      </c>
      <c r="Q53" s="2" t="s">
        <v>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578E1-4A5B-44DD-8D9B-DDF2CAE4A9BD}">
  <dimension ref="A1:E20"/>
  <sheetViews>
    <sheetView workbookViewId="0">
      <selection activeCell="A17" sqref="A17:D17"/>
    </sheetView>
  </sheetViews>
  <sheetFormatPr defaultRowHeight="15" x14ac:dyDescent="0.25"/>
  <cols>
    <col min="1" max="1" width="8.28515625" style="2" bestFit="1" customWidth="1"/>
    <col min="2" max="2" width="7.28515625" style="2" bestFit="1" customWidth="1"/>
    <col min="3" max="3" width="12.28515625" style="2" bestFit="1" customWidth="1"/>
    <col min="4" max="4" width="7.28515625" style="2" bestFit="1" customWidth="1"/>
    <col min="5" max="5" width="13.42578125" style="2" bestFit="1" customWidth="1"/>
    <col min="6" max="16384" width="9.140625" style="2"/>
  </cols>
  <sheetData>
    <row r="1" spans="1:5" x14ac:dyDescent="0.25">
      <c r="A1" s="2" t="s">
        <v>17</v>
      </c>
      <c r="B1" s="2" t="s">
        <v>19</v>
      </c>
      <c r="C1" s="2" t="s">
        <v>18</v>
      </c>
      <c r="D1" s="2" t="s">
        <v>19</v>
      </c>
      <c r="E1" s="2" t="s">
        <v>20</v>
      </c>
    </row>
    <row r="2" spans="1:5" x14ac:dyDescent="0.25">
      <c r="A2" s="2">
        <v>0.02</v>
      </c>
      <c r="C2" s="2">
        <v>161.08824000000001</v>
      </c>
      <c r="E2" s="2">
        <v>32.298878379999998</v>
      </c>
    </row>
    <row r="3" spans="1:5" x14ac:dyDescent="0.25">
      <c r="A3" s="2">
        <v>1.4999999999999999E-2</v>
      </c>
      <c r="C3" s="2">
        <v>109.89011000000001</v>
      </c>
      <c r="E3" s="2">
        <v>22.815850000000001</v>
      </c>
    </row>
    <row r="4" spans="1:5" x14ac:dyDescent="0.25">
      <c r="A4" s="2">
        <v>0.01</v>
      </c>
      <c r="C4" s="2">
        <v>59.488399999999999</v>
      </c>
      <c r="E4" s="2">
        <v>11.489850000000001</v>
      </c>
    </row>
    <row r="5" spans="1:5" x14ac:dyDescent="0.25">
      <c r="A5" s="2">
        <v>7.0000000000000001E-3</v>
      </c>
      <c r="E5" s="2">
        <v>4.5339479000000003</v>
      </c>
    </row>
    <row r="6" spans="1:5" x14ac:dyDescent="0.25">
      <c r="A6" s="2">
        <v>5.0000000000000001E-3</v>
      </c>
      <c r="C6" s="2">
        <v>9.3662200000000002</v>
      </c>
    </row>
    <row r="12" spans="1:5" x14ac:dyDescent="0.25">
      <c r="A12" s="8" t="s">
        <v>23</v>
      </c>
      <c r="B12" s="8"/>
      <c r="C12" s="8"/>
      <c r="D12" s="8"/>
    </row>
    <row r="14" spans="1:5" x14ac:dyDescent="0.25">
      <c r="A14" s="3" t="s">
        <v>21</v>
      </c>
      <c r="B14" s="2" t="s">
        <v>5</v>
      </c>
      <c r="C14" s="2">
        <f>SLOPE(C2:C6,A2:A6)</f>
        <v>10111.3554</v>
      </c>
      <c r="D14" s="2">
        <f>INTERCEPT(C2:C6,A2:A6)</f>
        <v>-41.433700000000002</v>
      </c>
    </row>
    <row r="15" spans="1:5" x14ac:dyDescent="0.25">
      <c r="A15" s="3" t="s">
        <v>22</v>
      </c>
      <c r="B15" s="2" t="s">
        <v>5</v>
      </c>
      <c r="C15" s="2">
        <f>SLOPE(E2:E6,A2:A6)</f>
        <v>2143.3735842857141</v>
      </c>
      <c r="D15" s="2">
        <f>INTERCEPT(E2:E6,A2:A6)</f>
        <v>-10.079225025714283</v>
      </c>
    </row>
    <row r="17" spans="1:4" x14ac:dyDescent="0.25">
      <c r="A17" s="8" t="s">
        <v>24</v>
      </c>
      <c r="B17" s="8"/>
      <c r="C17" s="8"/>
      <c r="D17" s="8"/>
    </row>
    <row r="19" spans="1:4" x14ac:dyDescent="0.25">
      <c r="A19" s="3" t="s">
        <v>21</v>
      </c>
      <c r="B19" s="2" t="s">
        <v>5</v>
      </c>
      <c r="C19" s="2">
        <v>10105.391849150001</v>
      </c>
      <c r="D19" s="2">
        <v>-41.39199614548</v>
      </c>
    </row>
    <row r="20" spans="1:4" x14ac:dyDescent="0.25">
      <c r="A20" s="3" t="s">
        <v>22</v>
      </c>
      <c r="B20" s="2" t="s">
        <v>5</v>
      </c>
      <c r="C20" s="2">
        <v>2120.6164679889998</v>
      </c>
      <c r="D20" s="2">
        <v>-9.4101480666690005</v>
      </c>
    </row>
  </sheetData>
  <mergeCells count="2">
    <mergeCell ref="A12:D12"/>
    <mergeCell ref="A17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Gas analyser</vt:lpstr>
      <vt:lpstr>Old pumps</vt:lpstr>
      <vt:lpstr>Pumps</vt:lpstr>
      <vt:lpstr>Brooks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2018-10-11T14:01:05Z</dcterms:created>
  <dcterms:modified xsi:type="dcterms:W3CDTF">2019-11-12T14:37:07Z</dcterms:modified>
</cp:coreProperties>
</file>