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b\Downloads\EV_Diesel_Project\data\processed\"/>
    </mc:Choice>
  </mc:AlternateContent>
  <xr:revisionPtr revIDLastSave="0" documentId="13_ncr:1_{5D420F47-661F-4462-80E0-4C9A78D4D531}" xr6:coauthVersionLast="47" xr6:coauthVersionMax="47" xr10:uidLastSave="{00000000-0000-0000-0000-000000000000}"/>
  <bookViews>
    <workbookView xWindow="-108" yWindow="-108" windowWidth="23256" windowHeight="12456" firstSheet="1" activeTab="2" xr2:uid="{1FA51E92-9720-41EE-AB80-C28E075AB680}"/>
  </bookViews>
  <sheets>
    <sheet name="Sheet1" sheetId="1" r:id="rId1"/>
    <sheet name="Control_Panel" sheetId="2" r:id="rId2"/>
    <sheet name="Financial 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3" l="1"/>
  <c r="G24" i="3"/>
  <c r="H24" i="3"/>
  <c r="H25" i="3" s="1"/>
  <c r="F25" i="3"/>
  <c r="G25" i="3"/>
  <c r="E25" i="3"/>
  <c r="E24" i="3"/>
  <c r="F17" i="3"/>
  <c r="G17" i="3"/>
  <c r="H17" i="3"/>
  <c r="F18" i="3"/>
  <c r="G18" i="3"/>
  <c r="G19" i="3" s="1"/>
  <c r="G20" i="3" s="1"/>
  <c r="G21" i="3" s="1"/>
  <c r="H18" i="3"/>
  <c r="F19" i="3"/>
  <c r="H19" i="3"/>
  <c r="F20" i="3"/>
  <c r="F21" i="3" s="1"/>
  <c r="H20" i="3"/>
  <c r="H21" i="3" s="1"/>
  <c r="E19" i="3"/>
  <c r="E20" i="3"/>
  <c r="E21" i="3"/>
  <c r="E18" i="3"/>
  <c r="E17" i="3"/>
  <c r="F14" i="3"/>
  <c r="G14" i="3"/>
  <c r="H14" i="3"/>
  <c r="E14" i="3"/>
  <c r="H13" i="3"/>
  <c r="G13" i="3"/>
  <c r="F13" i="3"/>
  <c r="E13" i="3"/>
  <c r="H12" i="3" l="1"/>
  <c r="G12" i="3"/>
  <c r="F12" i="3"/>
  <c r="E12" i="3"/>
  <c r="F9" i="3"/>
  <c r="G9" i="3"/>
  <c r="H9" i="3"/>
  <c r="E9" i="3"/>
  <c r="L4" i="1"/>
  <c r="L5" i="1"/>
  <c r="L3" i="1"/>
  <c r="J3" i="1"/>
  <c r="J4" i="1"/>
  <c r="J5" i="1"/>
  <c r="I3" i="1"/>
  <c r="I4" i="1"/>
  <c r="I5" i="1"/>
  <c r="H4" i="1"/>
  <c r="H5" i="1"/>
  <c r="K5" i="1" s="1"/>
  <c r="H3" i="1"/>
  <c r="K4" i="1" l="1"/>
  <c r="K3" i="1"/>
</calcChain>
</file>

<file path=xl/sharedStrings.xml><?xml version="1.0" encoding="utf-8"?>
<sst xmlns="http://schemas.openxmlformats.org/spreadsheetml/2006/main" count="83" uniqueCount="68">
  <si>
    <t>vehicle_id</t>
  </si>
  <si>
    <t>company</t>
  </si>
  <si>
    <t>model_name</t>
  </si>
  <si>
    <t>vehicle_type</t>
  </si>
  <si>
    <t>purchase_cost</t>
  </si>
  <si>
    <t>fuel_efficiency</t>
  </si>
  <si>
    <t>fuel_unit</t>
  </si>
  <si>
    <t>fuel_price</t>
  </si>
  <si>
    <t>maintenance_cost_per_year</t>
  </si>
  <si>
    <t>Tata</t>
  </si>
  <si>
    <t>Propel</t>
  </si>
  <si>
    <t>Olectra</t>
  </si>
  <si>
    <t>470 MEV</t>
  </si>
  <si>
    <t>Meghaetron</t>
  </si>
  <si>
    <t>Prima E.28k</t>
  </si>
  <si>
    <t>Electric</t>
  </si>
  <si>
    <t>Diesel</t>
  </si>
  <si>
    <t>Signa 28.30TK</t>
  </si>
  <si>
    <r>
      <rPr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attery (kWh)</t>
    </r>
  </si>
  <si>
    <t>NA</t>
  </si>
  <si>
    <t>Central Subsidy (FAME-III)</t>
  </si>
  <si>
    <t>State Subsidy (Odisha EV Policy 2021)</t>
  </si>
  <si>
    <t>Tax Waiver (8%</t>
  </si>
  <si>
    <t>Total Subsidy</t>
  </si>
  <si>
    <t>Effective Cost</t>
  </si>
  <si>
    <t>Charger Cost</t>
  </si>
  <si>
    <t>Ex-Showroom Price</t>
  </si>
  <si>
    <t>Annual Distance (km)</t>
  </si>
  <si>
    <t>Efficiency</t>
  </si>
  <si>
    <t>Annual Tyre Cost</t>
  </si>
  <si>
    <t>Propel 470 MEV</t>
  </si>
  <si>
    <t>Olectra Meghaetron</t>
  </si>
  <si>
    <t>Tata Prima E.28k</t>
  </si>
  <si>
    <t>Diesel Tipper</t>
  </si>
  <si>
    <t xml:space="preserve">General Assumptions	</t>
  </si>
  <si>
    <t>TCO Period (Years)</t>
  </si>
  <si>
    <t>Diesel Price (per Litre)</t>
  </si>
  <si>
    <t>Electricity Price (per kWh)</t>
  </si>
  <si>
    <t>Subsidy Rules (Odisha)</t>
  </si>
  <si>
    <t>FAME Subsidy (per kWh)</t>
  </si>
  <si>
    <t>FAME Subsidy Cap (%)</t>
  </si>
  <si>
    <t>State Subsidy Cap (INR)</t>
  </si>
  <si>
    <t>State Subsidy Rate (%)</t>
  </si>
  <si>
    <t>Vehicle Data Inputs</t>
  </si>
  <si>
    <t xml:space="preserve">Road Tax &amp; Reg. Rate (%)	</t>
  </si>
  <si>
    <t>Battery Capacity (kWh)</t>
  </si>
  <si>
    <t>Annual Maintenance (%)</t>
  </si>
  <si>
    <t>Acquisition Costs</t>
  </si>
  <si>
    <t>Total Operating Costs</t>
  </si>
  <si>
    <t>Resale Value</t>
  </si>
  <si>
    <t>Resale Value Rate (%)</t>
  </si>
  <si>
    <t>INPUT DATA FOR VEHICLE</t>
  </si>
  <si>
    <t>Cost Component</t>
  </si>
  <si>
    <t>Effective Purchase Price</t>
  </si>
  <si>
    <t>Fuel / Energy Cost</t>
  </si>
  <si>
    <t>Maintenance &amp; Tyre Cost</t>
  </si>
  <si>
    <t>Total Annual Cost</t>
  </si>
  <si>
    <t>C. Cumulative Cost (Year-End)</t>
  </si>
  <si>
    <t>A. Acquisition Costs</t>
  </si>
  <si>
    <t>B. Annual Operating Costs</t>
  </si>
  <si>
    <t>Year 1</t>
  </si>
  <si>
    <t>Year 2</t>
  </si>
  <si>
    <t>Year 3</t>
  </si>
  <si>
    <t>Year 4</t>
  </si>
  <si>
    <t>Year 5</t>
  </si>
  <si>
    <t>D. 5-Year TCO</t>
  </si>
  <si>
    <t>Resale Value (Credit)</t>
  </si>
  <si>
    <t>Final 5-Year TCO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</si>
</sst>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  <numFmt numFmtId="165" formatCode="_ [$₹-4009]\ * #,##0_ ;_ [$₹-4009]\ * \-#,##0_ ;_ [$₹-4009]\ * &quot;-&quot;??_ ;_ @_ "/>
    <numFmt numFmtId="166" formatCode="0.0"/>
    <numFmt numFmtId="167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27AC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A3DBFF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64" fontId="0" fillId="0" borderId="0" xfId="1" applyNumberFormat="1" applyFont="1"/>
    <xf numFmtId="165" fontId="3" fillId="2" borderId="0" xfId="1" applyNumberFormat="1" applyFont="1" applyFill="1" applyAlignment="1">
      <alignment horizontal="center" vertical="center"/>
    </xf>
    <xf numFmtId="165" fontId="0" fillId="0" borderId="0" xfId="1" applyNumberFormat="1" applyFont="1"/>
    <xf numFmtId="1" fontId="3" fillId="2" borderId="0" xfId="0" applyNumberFormat="1" applyFont="1" applyFill="1" applyAlignment="1">
      <alignment horizontal="center" vertical="center"/>
    </xf>
    <xf numFmtId="1" fontId="0" fillId="0" borderId="0" xfId="0" applyNumberFormat="1"/>
    <xf numFmtId="165" fontId="3" fillId="2" borderId="0" xfId="0" applyNumberFormat="1" applyFont="1" applyFill="1" applyAlignment="1">
      <alignment wrapText="1"/>
    </xf>
    <xf numFmtId="164" fontId="3" fillId="2" borderId="0" xfId="1" applyNumberFormat="1" applyFont="1" applyFill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/>
    </xf>
    <xf numFmtId="165" fontId="0" fillId="0" borderId="0" xfId="0" applyNumberFormat="1"/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0" xfId="0" applyFill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66" fontId="0" fillId="3" borderId="7" xfId="0" applyNumberFormat="1" applyFill="1" applyBorder="1" applyAlignment="1">
      <alignment horizontal="center" vertical="center"/>
    </xf>
    <xf numFmtId="166" fontId="0" fillId="3" borderId="8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6" xfId="0" applyFill="1" applyBorder="1" applyAlignment="1">
      <alignment vertical="center"/>
    </xf>
    <xf numFmtId="10" fontId="0" fillId="3" borderId="18" xfId="2" applyNumberFormat="1" applyFont="1" applyFill="1" applyBorder="1" applyAlignment="1">
      <alignment vertical="center"/>
    </xf>
    <xf numFmtId="2" fontId="0" fillId="3" borderId="7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166" fontId="0" fillId="3" borderId="12" xfId="0" applyNumberFormat="1" applyFill="1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10" fontId="0" fillId="3" borderId="23" xfId="2" applyNumberFormat="1" applyFont="1" applyFill="1" applyBorder="1" applyAlignment="1">
      <alignment vertical="center"/>
    </xf>
    <xf numFmtId="166" fontId="0" fillId="3" borderId="7" xfId="0" applyNumberFormat="1" applyFill="1" applyBorder="1" applyAlignment="1">
      <alignment vertical="center"/>
    </xf>
    <xf numFmtId="0" fontId="0" fillId="3" borderId="20" xfId="0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1" fontId="3" fillId="5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167" fontId="0" fillId="3" borderId="12" xfId="1" applyNumberFormat="1" applyFont="1" applyFill="1" applyBorder="1" applyAlignment="1">
      <alignment horizontal="center" vertical="center"/>
    </xf>
    <xf numFmtId="167" fontId="0" fillId="3" borderId="8" xfId="1" applyNumberFormat="1" applyFont="1" applyFill="1" applyBorder="1" applyAlignment="1">
      <alignment horizontal="center" vertical="center"/>
    </xf>
    <xf numFmtId="0" fontId="0" fillId="3" borderId="25" xfId="0" applyFill="1" applyBorder="1" applyAlignment="1">
      <alignment vertical="center"/>
    </xf>
    <xf numFmtId="0" fontId="0" fillId="3" borderId="26" xfId="0" applyFill="1" applyBorder="1" applyAlignment="1">
      <alignment vertical="center"/>
    </xf>
    <xf numFmtId="0" fontId="0" fillId="3" borderId="26" xfId="0" applyFill="1" applyBorder="1" applyAlignment="1">
      <alignment vertical="center" wrapText="1"/>
    </xf>
    <xf numFmtId="166" fontId="0" fillId="3" borderId="26" xfId="0" applyNumberFormat="1" applyFill="1" applyBorder="1" applyAlignment="1">
      <alignment vertical="center"/>
    </xf>
    <xf numFmtId="2" fontId="0" fillId="3" borderId="0" xfId="0" applyNumberFormat="1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3" borderId="27" xfId="0" applyFill="1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vertical="center"/>
    </xf>
    <xf numFmtId="0" fontId="7" fillId="0" borderId="30" xfId="0" applyFont="1" applyBorder="1" applyAlignment="1">
      <alignment wrapText="1"/>
    </xf>
    <xf numFmtId="0" fontId="0" fillId="3" borderId="24" xfId="0" applyFill="1" applyBorder="1" applyAlignment="1">
      <alignment horizontal="center" vertical="center" wrapText="1"/>
    </xf>
    <xf numFmtId="0" fontId="3" fillId="0" borderId="30" xfId="0" applyFont="1" applyBorder="1"/>
    <xf numFmtId="0" fontId="0" fillId="3" borderId="26" xfId="0" applyFill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166" fontId="0" fillId="3" borderId="26" xfId="0" applyNumberFormat="1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7" fillId="0" borderId="13" xfId="0" applyFont="1" applyBorder="1" applyAlignment="1">
      <alignment wrapText="1"/>
    </xf>
    <xf numFmtId="0" fontId="3" fillId="5" borderId="30" xfId="0" applyFont="1" applyFill="1" applyBorder="1"/>
    <xf numFmtId="1" fontId="3" fillId="5" borderId="8" xfId="0" applyNumberFormat="1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vertical="center"/>
    </xf>
    <xf numFmtId="1" fontId="0" fillId="3" borderId="8" xfId="0" applyNumberFormat="1" applyFill="1" applyBorder="1" applyAlignment="1">
      <alignment horizontal="center" vertical="center"/>
    </xf>
    <xf numFmtId="0" fontId="3" fillId="0" borderId="3" xfId="0" applyFont="1" applyBorder="1"/>
    <xf numFmtId="0" fontId="0" fillId="3" borderId="8" xfId="0" applyFill="1" applyBorder="1" applyAlignment="1">
      <alignment horizontal="center" vertical="center"/>
    </xf>
    <xf numFmtId="166" fontId="0" fillId="3" borderId="8" xfId="0" applyNumberFormat="1" applyFill="1" applyBorder="1" applyAlignment="1">
      <alignment vertical="center"/>
    </xf>
    <xf numFmtId="0" fontId="5" fillId="3" borderId="30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2" fontId="0" fillId="3" borderId="8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30" xfId="0" applyBorder="1"/>
    <xf numFmtId="0" fontId="0" fillId="0" borderId="8" xfId="0" applyBorder="1"/>
    <xf numFmtId="10" fontId="0" fillId="3" borderId="32" xfId="2" applyNumberFormat="1" applyFont="1" applyFill="1" applyBorder="1" applyAlignment="1">
      <alignment horizontal="center" vertical="center"/>
    </xf>
    <xf numFmtId="10" fontId="0" fillId="3" borderId="32" xfId="2" applyNumberFormat="1" applyFont="1" applyFill="1" applyBorder="1" applyAlignment="1">
      <alignment vertical="center"/>
    </xf>
    <xf numFmtId="10" fontId="0" fillId="3" borderId="33" xfId="2" applyNumberFormat="1" applyFont="1" applyFill="1" applyBorder="1" applyAlignment="1">
      <alignment vertical="center"/>
    </xf>
    <xf numFmtId="0" fontId="7" fillId="0" borderId="34" xfId="0" applyFont="1" applyBorder="1" applyAlignment="1">
      <alignment wrapText="1"/>
    </xf>
    <xf numFmtId="0" fontId="0" fillId="0" borderId="3" xfId="0" applyBorder="1"/>
    <xf numFmtId="0" fontId="0" fillId="0" borderId="26" xfId="0" applyBorder="1"/>
    <xf numFmtId="0" fontId="4" fillId="3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7" xfId="1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/>
    </xf>
    <xf numFmtId="0" fontId="0" fillId="3" borderId="17" xfId="2" applyNumberFormat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" fontId="0" fillId="3" borderId="7" xfId="1" applyNumberFormat="1" applyFont="1" applyFill="1" applyBorder="1" applyAlignment="1">
      <alignment horizontal="center" vertical="center"/>
    </xf>
    <xf numFmtId="1" fontId="0" fillId="3" borderId="8" xfId="1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8" xfId="0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156883</xdr:colOff>
      <xdr:row>3</xdr:row>
      <xdr:rowOff>121920</xdr:rowOff>
    </xdr:from>
    <xdr:to>
      <xdr:col>8</xdr:col>
      <xdr:colOff>68580</xdr:colOff>
      <xdr:row>33</xdr:row>
      <xdr:rowOff>95249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4ECE96C-DB4B-4054-B18A-CB6596876AA7}"/>
            </a:ext>
          </a:extLst>
        </xdr:cNvPr>
        <xdr:cNvSpPr/>
      </xdr:nvSpPr>
      <xdr:spPr>
        <a:xfrm>
          <a:off x="530263" y="716280"/>
          <a:ext cx="4384637" cy="8431529"/>
        </a:xfrm>
        <a:prstGeom prst="rect">
          <a:avLst/>
        </a:prstGeom>
        <a:noFill/>
        <a:ln w="9525">
          <a:solidFill>
            <a:schemeClr val="tx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156883</xdr:colOff>
      <xdr:row>3</xdr:row>
      <xdr:rowOff>121920</xdr:rowOff>
    </xdr:from>
    <xdr:to>
      <xdr:col>8</xdr:col>
      <xdr:colOff>68580</xdr:colOff>
      <xdr:row>26</xdr:row>
      <xdr:rowOff>95249</xdr:rowOff>
    </xdr:to>
    <xdr:sp macro="" textlink="">
      <xdr:nvSpPr>
        <xdr:cNvPr id="6" name="Rectangle 3">
          <a:extLst>
            <a:ext uri="{FF2B5EF4-FFF2-40B4-BE49-F238E27FC236}">
              <a16:creationId xmlns:a16="http://schemas.microsoft.com/office/drawing/2014/main" id="{6B166534-FCD5-4489-B344-6AC8067B0693}"/>
            </a:ext>
          </a:extLst>
        </xdr:cNvPr>
        <xdr:cNvSpPr/>
      </xdr:nvSpPr>
      <xdr:spPr>
        <a:xfrm>
          <a:off x="530263" y="693420"/>
          <a:ext cx="6442037" cy="5474969"/>
        </a:xfrm>
        <a:prstGeom prst="rect">
          <a:avLst/>
        </a:prstGeom>
        <a:noFill/>
        <a:ln w="9525">
          <a:solidFill>
            <a:schemeClr val="tx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D352-FAAA-4345-8A13-D3D0A8A7678C}">
  <dimension ref="A1:P9"/>
  <sheetViews>
    <sheetView zoomScale="70" zoomScaleNormal="70" workbookViewId="0">
      <selection activeCell="P1" sqref="P1"/>
    </sheetView>
  </sheetViews>
  <sheetFormatPr defaultRowHeight="14.4" x14ac:dyDescent="0.3"/>
  <cols>
    <col min="1" max="1" width="9.44140625" bestFit="1" customWidth="1"/>
    <col min="3" max="3" width="12.21875" bestFit="1" customWidth="1"/>
    <col min="4" max="4" width="11.77734375" bestFit="1" customWidth="1"/>
    <col min="5" max="5" width="16" style="5" bestFit="1" customWidth="1"/>
    <col min="6" max="6" width="12.21875" style="7" customWidth="1"/>
    <col min="7" max="7" width="14.88671875" style="11" bestFit="1" customWidth="1"/>
    <col min="8" max="8" width="14.77734375" style="5" customWidth="1"/>
    <col min="9" max="9" width="13.109375" style="3" customWidth="1"/>
    <col min="10" max="10" width="14.33203125" style="11" bestFit="1" customWidth="1"/>
    <col min="11" max="11" width="14.33203125" style="11" customWidth="1"/>
    <col min="12" max="12" width="16" style="11" bestFit="1" customWidth="1"/>
    <col min="13" max="13" width="13.44140625" bestFit="1" customWidth="1"/>
    <col min="14" max="14" width="8.5546875" bestFit="1" customWidth="1"/>
    <col min="15" max="15" width="9.33203125" bestFit="1" customWidth="1"/>
    <col min="16" max="16" width="25.21875" bestFit="1" customWidth="1"/>
  </cols>
  <sheetData>
    <row r="1" spans="1:16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6" t="s">
        <v>18</v>
      </c>
      <c r="G1" s="10" t="s">
        <v>25</v>
      </c>
      <c r="H1" s="8" t="s">
        <v>20</v>
      </c>
      <c r="I1" s="9" t="s">
        <v>21</v>
      </c>
      <c r="J1" s="10" t="s">
        <v>22</v>
      </c>
      <c r="K1" s="10" t="s">
        <v>23</v>
      </c>
      <c r="L1" s="10" t="s">
        <v>24</v>
      </c>
      <c r="M1" s="2" t="s">
        <v>5</v>
      </c>
      <c r="N1" s="2" t="s">
        <v>6</v>
      </c>
      <c r="O1" s="2" t="s">
        <v>7</v>
      </c>
      <c r="P1" s="2" t="s">
        <v>8</v>
      </c>
    </row>
    <row r="2" spans="1:16" x14ac:dyDescent="0.3">
      <c r="A2">
        <v>1</v>
      </c>
      <c r="B2" t="s">
        <v>9</v>
      </c>
      <c r="C2" t="s">
        <v>17</v>
      </c>
      <c r="D2" t="s">
        <v>16</v>
      </c>
      <c r="E2" s="5">
        <v>5940000</v>
      </c>
      <c r="F2" s="7" t="s">
        <v>19</v>
      </c>
      <c r="G2" s="11" t="s">
        <v>19</v>
      </c>
      <c r="H2" s="5" t="s">
        <v>19</v>
      </c>
      <c r="I2" s="3" t="s">
        <v>19</v>
      </c>
      <c r="J2" s="11" t="s">
        <v>19</v>
      </c>
      <c r="K2" s="11" t="s">
        <v>19</v>
      </c>
      <c r="L2" s="11">
        <v>5611000</v>
      </c>
    </row>
    <row r="3" spans="1:16" x14ac:dyDescent="0.3">
      <c r="A3">
        <v>2</v>
      </c>
      <c r="B3" t="s">
        <v>10</v>
      </c>
      <c r="C3" t="s">
        <v>12</v>
      </c>
      <c r="D3" t="s">
        <v>15</v>
      </c>
      <c r="E3" s="5">
        <v>16440000</v>
      </c>
      <c r="F3" s="7">
        <v>256</v>
      </c>
      <c r="G3" s="11">
        <v>1000000</v>
      </c>
      <c r="H3" s="5">
        <f>MIN(10000 * F3, 0.15 * E3)</f>
        <v>2466000</v>
      </c>
      <c r="I3" s="5">
        <f>MIN(0.15*E3,1000000)</f>
        <v>1000000</v>
      </c>
      <c r="J3" s="11">
        <f>IF(OR(F3=0,F3="NA",F3=""),0,0.08*E3)</f>
        <v>1315200</v>
      </c>
      <c r="K3" s="11">
        <f>H3+I3+J3</f>
        <v>4781200</v>
      </c>
      <c r="L3" s="11">
        <f>((E3+G3)-K3)</f>
        <v>12658800</v>
      </c>
    </row>
    <row r="4" spans="1:16" x14ac:dyDescent="0.3">
      <c r="A4">
        <v>3</v>
      </c>
      <c r="B4" t="s">
        <v>11</v>
      </c>
      <c r="C4" t="s">
        <v>13</v>
      </c>
      <c r="D4" t="s">
        <v>15</v>
      </c>
      <c r="E4" s="5">
        <v>14100000</v>
      </c>
      <c r="F4" s="7">
        <v>140</v>
      </c>
      <c r="G4" s="11">
        <v>1570000</v>
      </c>
      <c r="H4" s="5">
        <f>MIN(10000 * F4, 0.15 * E4)</f>
        <v>1400000</v>
      </c>
      <c r="I4" s="5">
        <f>MIN(0.15*E4,1000000)</f>
        <v>1000000</v>
      </c>
      <c r="J4" s="11">
        <f>IF(OR(F4=0,F4="NA",F4=""),0,0.08*E4)</f>
        <v>1128000</v>
      </c>
      <c r="K4" s="11">
        <f>H4+I4+J4</f>
        <v>3528000</v>
      </c>
      <c r="L4" s="11">
        <f>((E4+G4)-K4)</f>
        <v>12142000</v>
      </c>
    </row>
    <row r="5" spans="1:16" x14ac:dyDescent="0.3">
      <c r="A5">
        <v>4</v>
      </c>
      <c r="B5" t="s">
        <v>9</v>
      </c>
      <c r="C5" t="s">
        <v>14</v>
      </c>
      <c r="D5" t="s">
        <v>15</v>
      </c>
      <c r="E5" s="5">
        <v>14300000</v>
      </c>
      <c r="F5" s="7">
        <v>250</v>
      </c>
      <c r="G5" s="11">
        <v>1700000</v>
      </c>
      <c r="H5" s="5">
        <f>MIN(10000 * F5, 0.15 * E5)</f>
        <v>2145000</v>
      </c>
      <c r="I5" s="5">
        <f>MIN(0.15*E5,1000000)</f>
        <v>1000000</v>
      </c>
      <c r="J5" s="11">
        <f>IF(OR(F5=0,F5="NA",F5=""),0,0.08*E5)</f>
        <v>1144000</v>
      </c>
      <c r="K5" s="11">
        <f>H5+I5+J5</f>
        <v>4289000</v>
      </c>
      <c r="L5" s="11">
        <f>((E5+G5)-K5)</f>
        <v>11711000</v>
      </c>
    </row>
    <row r="6" spans="1:16" x14ac:dyDescent="0.3">
      <c r="B6" s="1"/>
    </row>
    <row r="7" spans="1:16" x14ac:dyDescent="0.3">
      <c r="B7" s="1"/>
    </row>
    <row r="8" spans="1:16" x14ac:dyDescent="0.3">
      <c r="B8" s="1"/>
    </row>
    <row r="9" spans="1:16" x14ac:dyDescent="0.3">
      <c r="B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5D4AF-AC9F-45E2-98AE-64138EAC7BC0}">
  <dimension ref="A1:I36"/>
  <sheetViews>
    <sheetView zoomScale="71" zoomScaleNormal="113" workbookViewId="0">
      <selection activeCell="K22" sqref="K22"/>
    </sheetView>
  </sheetViews>
  <sheetFormatPr defaultRowHeight="14.4" x14ac:dyDescent="0.3"/>
  <cols>
    <col min="1" max="1" width="3.44140625" style="12" customWidth="1"/>
    <col min="2" max="2" width="2" style="12" customWidth="1"/>
    <col min="3" max="3" width="3" style="12" customWidth="1"/>
    <col min="4" max="4" width="31.21875" style="12" customWidth="1"/>
    <col min="5" max="5" width="11.6640625" style="23" bestFit="1" customWidth="1"/>
    <col min="6" max="6" width="14.44140625" style="12" bestFit="1" customWidth="1"/>
    <col min="7" max="7" width="18.109375" style="12" bestFit="1" customWidth="1"/>
    <col min="8" max="8" width="16.77734375" style="12" customWidth="1"/>
    <col min="9" max="9" width="16.44140625" style="12" customWidth="1"/>
  </cols>
  <sheetData>
    <row r="1" spans="1:9" ht="15" thickBot="1" x14ac:dyDescent="0.35"/>
    <row r="2" spans="1:9" x14ac:dyDescent="0.3">
      <c r="B2" s="13"/>
      <c r="C2" s="14"/>
      <c r="D2" s="14"/>
      <c r="E2" s="41"/>
      <c r="F2" s="14"/>
      <c r="G2" s="14"/>
      <c r="H2" s="14"/>
      <c r="I2" s="45"/>
    </row>
    <row r="3" spans="1:9" ht="15.6" x14ac:dyDescent="0.3">
      <c r="B3" s="15"/>
      <c r="E3" s="85"/>
      <c r="F3" s="85"/>
      <c r="G3" s="85"/>
      <c r="H3" s="85"/>
      <c r="I3" s="46"/>
    </row>
    <row r="4" spans="1:9" ht="15" thickBot="1" x14ac:dyDescent="0.35">
      <c r="B4" s="15"/>
      <c r="I4" s="46"/>
    </row>
    <row r="5" spans="1:9" x14ac:dyDescent="0.3">
      <c r="B5" s="15"/>
      <c r="D5" s="97" t="s">
        <v>51</v>
      </c>
      <c r="E5" s="98"/>
      <c r="F5" s="99"/>
      <c r="G5" s="99"/>
      <c r="H5" s="100"/>
      <c r="I5" s="46"/>
    </row>
    <row r="6" spans="1:9" x14ac:dyDescent="0.3">
      <c r="B6" s="15"/>
      <c r="D6" s="92" t="s">
        <v>34</v>
      </c>
      <c r="E6" s="93"/>
      <c r="F6" s="95"/>
      <c r="G6" s="95"/>
      <c r="H6" s="96"/>
      <c r="I6" s="46"/>
    </row>
    <row r="7" spans="1:9" x14ac:dyDescent="0.3">
      <c r="A7" s="16"/>
      <c r="B7" s="17"/>
      <c r="C7" s="16"/>
      <c r="D7" s="56" t="s">
        <v>35</v>
      </c>
      <c r="E7" s="86">
        <v>5</v>
      </c>
      <c r="F7" s="34"/>
      <c r="G7" s="35"/>
      <c r="H7" s="57"/>
      <c r="I7" s="47"/>
    </row>
    <row r="8" spans="1:9" x14ac:dyDescent="0.3">
      <c r="B8" s="15"/>
      <c r="D8" s="58" t="s">
        <v>27</v>
      </c>
      <c r="E8" s="18">
        <v>45000</v>
      </c>
      <c r="F8" s="23"/>
      <c r="G8" s="23"/>
      <c r="H8" s="59"/>
      <c r="I8" s="48"/>
    </row>
    <row r="9" spans="1:9" x14ac:dyDescent="0.3">
      <c r="B9" s="15"/>
      <c r="D9" s="56" t="s">
        <v>36</v>
      </c>
      <c r="E9" s="18">
        <v>98.66</v>
      </c>
      <c r="F9" s="49"/>
      <c r="G9" s="49"/>
      <c r="H9" s="60"/>
      <c r="I9" s="48"/>
    </row>
    <row r="10" spans="1:9" x14ac:dyDescent="0.3">
      <c r="B10" s="15"/>
      <c r="D10" s="58" t="s">
        <v>37</v>
      </c>
      <c r="E10" s="18">
        <v>8.5</v>
      </c>
      <c r="F10" s="23"/>
      <c r="G10" s="23"/>
      <c r="H10" s="61"/>
      <c r="I10" s="48"/>
    </row>
    <row r="11" spans="1:9" x14ac:dyDescent="0.3">
      <c r="B11" s="15"/>
      <c r="D11" s="56"/>
      <c r="E11" s="18"/>
      <c r="F11" s="33"/>
      <c r="G11" s="33"/>
      <c r="H11" s="62"/>
      <c r="I11" s="48"/>
    </row>
    <row r="12" spans="1:9" x14ac:dyDescent="0.3">
      <c r="B12" s="15"/>
      <c r="D12" s="92" t="s">
        <v>38</v>
      </c>
      <c r="E12" s="93"/>
      <c r="F12" s="95"/>
      <c r="G12" s="95"/>
      <c r="H12" s="96"/>
      <c r="I12" s="46"/>
    </row>
    <row r="13" spans="1:9" x14ac:dyDescent="0.3">
      <c r="B13" s="15"/>
      <c r="D13" s="56" t="s">
        <v>39</v>
      </c>
      <c r="E13" s="18">
        <v>10000</v>
      </c>
      <c r="F13" s="37"/>
      <c r="G13" s="37"/>
      <c r="H13" s="63"/>
      <c r="I13" s="46"/>
    </row>
    <row r="14" spans="1:9" x14ac:dyDescent="0.3">
      <c r="B14" s="15"/>
      <c r="D14" s="56" t="s">
        <v>40</v>
      </c>
      <c r="E14" s="18">
        <v>0.15</v>
      </c>
      <c r="F14" s="50"/>
      <c r="G14" s="50"/>
      <c r="H14" s="61"/>
      <c r="I14" s="46"/>
    </row>
    <row r="15" spans="1:9" x14ac:dyDescent="0.3">
      <c r="B15" s="15"/>
      <c r="D15" s="56" t="s">
        <v>41</v>
      </c>
      <c r="E15" s="18">
        <v>1000000</v>
      </c>
      <c r="F15" s="50"/>
      <c r="G15" s="50"/>
      <c r="H15" s="61"/>
      <c r="I15" s="46"/>
    </row>
    <row r="16" spans="1:9" x14ac:dyDescent="0.3">
      <c r="B16" s="15"/>
      <c r="D16" s="56" t="s">
        <v>42</v>
      </c>
      <c r="E16" s="18">
        <v>0.15</v>
      </c>
      <c r="F16" s="50"/>
      <c r="G16" s="50"/>
      <c r="H16" s="61"/>
      <c r="I16" s="46"/>
    </row>
    <row r="17" spans="2:9" x14ac:dyDescent="0.3">
      <c r="B17" s="15"/>
      <c r="D17" s="64"/>
      <c r="E17" s="87"/>
      <c r="F17" s="51"/>
      <c r="G17" s="51"/>
      <c r="H17" s="60"/>
      <c r="I17" s="46"/>
    </row>
    <row r="18" spans="2:9" x14ac:dyDescent="0.3">
      <c r="B18" s="15"/>
      <c r="D18" s="65" t="s">
        <v>43</v>
      </c>
      <c r="E18" s="42" t="s">
        <v>33</v>
      </c>
      <c r="F18" s="38" t="s">
        <v>30</v>
      </c>
      <c r="G18" s="38" t="s">
        <v>31</v>
      </c>
      <c r="H18" s="66" t="s">
        <v>32</v>
      </c>
      <c r="I18" s="46"/>
    </row>
    <row r="19" spans="2:9" x14ac:dyDescent="0.3">
      <c r="B19" s="15"/>
      <c r="D19" s="92" t="s">
        <v>47</v>
      </c>
      <c r="E19" s="93"/>
      <c r="F19" s="93"/>
      <c r="G19" s="93"/>
      <c r="H19" s="94"/>
      <c r="I19" s="46"/>
    </row>
    <row r="20" spans="2:9" x14ac:dyDescent="0.3">
      <c r="B20" s="15"/>
      <c r="D20" s="67" t="s">
        <v>26</v>
      </c>
      <c r="E20" s="88">
        <v>5500000</v>
      </c>
      <c r="F20" s="19">
        <v>19000000</v>
      </c>
      <c r="G20" s="19">
        <v>15500000</v>
      </c>
      <c r="H20" s="68">
        <v>16000000</v>
      </c>
      <c r="I20" s="46"/>
    </row>
    <row r="21" spans="2:9" x14ac:dyDescent="0.3">
      <c r="B21" s="15"/>
      <c r="D21" s="69" t="s">
        <v>25</v>
      </c>
      <c r="E21" s="18">
        <v>0</v>
      </c>
      <c r="F21" s="18">
        <v>1000000</v>
      </c>
      <c r="G21" s="18">
        <v>1570000</v>
      </c>
      <c r="H21" s="70">
        <v>1700000</v>
      </c>
      <c r="I21" s="46"/>
    </row>
    <row r="22" spans="2:9" x14ac:dyDescent="0.3">
      <c r="B22" s="15"/>
      <c r="D22" s="67" t="s">
        <v>44</v>
      </c>
      <c r="E22" s="18">
        <v>0.08</v>
      </c>
      <c r="F22" s="19">
        <v>0</v>
      </c>
      <c r="G22" s="19">
        <v>0</v>
      </c>
      <c r="H22" s="68">
        <v>0</v>
      </c>
      <c r="I22" s="46"/>
    </row>
    <row r="23" spans="2:9" x14ac:dyDescent="0.3">
      <c r="B23" s="15"/>
      <c r="D23" s="67" t="s">
        <v>45</v>
      </c>
      <c r="E23" s="18">
        <v>0</v>
      </c>
      <c r="F23" s="19">
        <v>256</v>
      </c>
      <c r="G23" s="19">
        <v>140</v>
      </c>
      <c r="H23" s="68">
        <v>250</v>
      </c>
      <c r="I23" s="46"/>
    </row>
    <row r="24" spans="2:9" x14ac:dyDescent="0.3">
      <c r="B24" s="15"/>
      <c r="D24" s="67"/>
      <c r="E24" s="18"/>
      <c r="F24" s="32"/>
      <c r="G24" s="32"/>
      <c r="H24" s="71"/>
      <c r="I24" s="46"/>
    </row>
    <row r="25" spans="2:9" x14ac:dyDescent="0.3">
      <c r="B25" s="15"/>
      <c r="D25" s="92" t="s">
        <v>48</v>
      </c>
      <c r="E25" s="93"/>
      <c r="F25" s="93"/>
      <c r="G25" s="93"/>
      <c r="H25" s="94"/>
      <c r="I25" s="46"/>
    </row>
    <row r="26" spans="2:9" x14ac:dyDescent="0.3">
      <c r="B26" s="15"/>
      <c r="D26" s="40" t="s">
        <v>28</v>
      </c>
      <c r="E26" s="18">
        <v>1.5</v>
      </c>
      <c r="F26" s="29">
        <v>1.8</v>
      </c>
      <c r="G26" s="29">
        <v>1.6</v>
      </c>
      <c r="H26" s="21">
        <v>1.7</v>
      </c>
      <c r="I26" s="46"/>
    </row>
    <row r="27" spans="2:9" x14ac:dyDescent="0.3">
      <c r="B27" s="15"/>
      <c r="D27" s="40" t="s">
        <v>46</v>
      </c>
      <c r="E27" s="89">
        <v>0.04</v>
      </c>
      <c r="F27" s="43">
        <v>1.4999999999999999E-2</v>
      </c>
      <c r="G27" s="43">
        <v>1.4999999999999999E-2</v>
      </c>
      <c r="H27" s="44">
        <v>1.4999999999999999E-2</v>
      </c>
      <c r="I27" s="46"/>
    </row>
    <row r="28" spans="2:9" x14ac:dyDescent="0.3">
      <c r="B28" s="15"/>
      <c r="D28" s="67" t="s">
        <v>29</v>
      </c>
      <c r="E28" s="18">
        <v>500000</v>
      </c>
      <c r="F28" s="19">
        <v>500000</v>
      </c>
      <c r="G28" s="19">
        <v>500000</v>
      </c>
      <c r="H28" s="68">
        <v>500000</v>
      </c>
      <c r="I28" s="46"/>
    </row>
    <row r="29" spans="2:9" x14ac:dyDescent="0.3">
      <c r="B29" s="15"/>
      <c r="D29" s="72"/>
      <c r="E29" s="36"/>
      <c r="F29" s="39"/>
      <c r="G29" s="39"/>
      <c r="H29" s="73"/>
      <c r="I29" s="46"/>
    </row>
    <row r="30" spans="2:9" x14ac:dyDescent="0.3">
      <c r="B30" s="15"/>
      <c r="D30" s="92" t="s">
        <v>49</v>
      </c>
      <c r="E30" s="95"/>
      <c r="F30" s="95"/>
      <c r="G30" s="95"/>
      <c r="H30" s="96"/>
      <c r="I30" s="46"/>
    </row>
    <row r="31" spans="2:9" x14ac:dyDescent="0.3">
      <c r="B31" s="15"/>
      <c r="D31" s="58" t="s">
        <v>50</v>
      </c>
      <c r="E31" s="18">
        <v>0.2</v>
      </c>
      <c r="F31" s="27">
        <v>0.25</v>
      </c>
      <c r="G31" s="27">
        <v>0.25</v>
      </c>
      <c r="H31" s="74">
        <v>0.25</v>
      </c>
      <c r="I31" s="46"/>
    </row>
    <row r="32" spans="2:9" x14ac:dyDescent="0.3">
      <c r="B32" s="15"/>
      <c r="D32" s="22"/>
      <c r="E32" s="90"/>
      <c r="F32" s="30"/>
      <c r="G32" s="30"/>
      <c r="H32" s="28"/>
      <c r="I32" s="46"/>
    </row>
    <row r="33" spans="1:9" ht="15" thickBot="1" x14ac:dyDescent="0.35">
      <c r="A33" s="23"/>
      <c r="B33" s="24"/>
      <c r="C33" s="23"/>
      <c r="D33" s="25"/>
      <c r="E33" s="91"/>
      <c r="F33" s="31"/>
      <c r="G33" s="31"/>
      <c r="H33" s="26"/>
      <c r="I33" s="46"/>
    </row>
    <row r="34" spans="1:9" x14ac:dyDescent="0.3">
      <c r="B34" s="15"/>
      <c r="I34" s="46"/>
    </row>
    <row r="35" spans="1:9" x14ac:dyDescent="0.3">
      <c r="B35" s="15"/>
      <c r="D35" s="23"/>
      <c r="I35" s="46"/>
    </row>
    <row r="36" spans="1:9" ht="15" thickBot="1" x14ac:dyDescent="0.35">
      <c r="B36" s="52"/>
      <c r="C36" s="53"/>
      <c r="D36" s="53"/>
      <c r="E36" s="54"/>
      <c r="F36" s="53"/>
      <c r="G36" s="53"/>
      <c r="H36" s="53"/>
      <c r="I36" s="55"/>
    </row>
  </sheetData>
  <mergeCells count="6">
    <mergeCell ref="D25:H25"/>
    <mergeCell ref="D30:H30"/>
    <mergeCell ref="D5:H5"/>
    <mergeCell ref="D6:H6"/>
    <mergeCell ref="D12:H12"/>
    <mergeCell ref="D19:H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62025-1670-48C1-9F3A-7F7309CF2503}">
  <dimension ref="A1:I29"/>
  <sheetViews>
    <sheetView tabSelected="1" zoomScale="75" workbookViewId="0">
      <selection activeCell="K21" sqref="K21"/>
    </sheetView>
  </sheetViews>
  <sheetFormatPr defaultRowHeight="14.4" x14ac:dyDescent="0.3"/>
  <cols>
    <col min="1" max="1" width="3.44140625" customWidth="1"/>
    <col min="2" max="2" width="2" customWidth="1"/>
    <col min="3" max="3" width="3" customWidth="1"/>
    <col min="4" max="4" width="31.21875" customWidth="1"/>
    <col min="5" max="5" width="12.44140625" customWidth="1"/>
    <col min="6" max="6" width="14.77734375" bestFit="1" customWidth="1"/>
    <col min="7" max="7" width="19.109375" bestFit="1" customWidth="1"/>
    <col min="8" max="8" width="15.77734375" bestFit="1" customWidth="1"/>
    <col min="9" max="9" width="16.44140625" customWidth="1"/>
  </cols>
  <sheetData>
    <row r="1" spans="1:9" ht="15" thickBot="1" x14ac:dyDescent="0.35">
      <c r="A1" s="12"/>
      <c r="B1" s="12"/>
      <c r="C1" s="12"/>
      <c r="D1" s="12"/>
      <c r="E1" s="23"/>
      <c r="F1" s="12"/>
      <c r="G1" s="12"/>
      <c r="H1" s="12"/>
      <c r="I1" s="12"/>
    </row>
    <row r="2" spans="1:9" x14ac:dyDescent="0.3">
      <c r="A2" s="12"/>
      <c r="B2" s="13"/>
      <c r="C2" s="14"/>
      <c r="D2" s="14"/>
      <c r="E2" s="41"/>
      <c r="F2" s="14"/>
      <c r="G2" s="14"/>
      <c r="H2" s="14"/>
      <c r="I2" s="45"/>
    </row>
    <row r="3" spans="1:9" ht="15.6" x14ac:dyDescent="0.3">
      <c r="A3" s="12"/>
      <c r="B3" s="15"/>
      <c r="C3" s="12"/>
      <c r="D3" s="12"/>
      <c r="E3" s="104"/>
      <c r="F3" s="104"/>
      <c r="G3" s="104"/>
      <c r="H3" s="104"/>
      <c r="I3" s="46"/>
    </row>
    <row r="4" spans="1:9" ht="15" thickBot="1" x14ac:dyDescent="0.35">
      <c r="A4" s="12"/>
      <c r="B4" s="15"/>
      <c r="C4" s="12"/>
      <c r="D4" s="12"/>
      <c r="E4" s="23"/>
      <c r="F4" s="12"/>
      <c r="G4" s="12"/>
      <c r="H4" s="12"/>
      <c r="I4" s="46"/>
    </row>
    <row r="5" spans="1:9" x14ac:dyDescent="0.3">
      <c r="A5" s="12"/>
      <c r="B5" s="15"/>
      <c r="C5" s="12"/>
      <c r="D5" s="97" t="s">
        <v>51</v>
      </c>
      <c r="E5" s="98"/>
      <c r="F5" s="98"/>
      <c r="G5" s="98"/>
      <c r="H5" s="100"/>
      <c r="I5" s="46"/>
    </row>
    <row r="6" spans="1:9" x14ac:dyDescent="0.3">
      <c r="A6" s="12"/>
      <c r="B6" s="15"/>
      <c r="C6" s="12"/>
      <c r="D6" s="101" t="s">
        <v>34</v>
      </c>
      <c r="E6" s="102"/>
      <c r="F6" s="102"/>
      <c r="G6" s="102"/>
      <c r="H6" s="103"/>
      <c r="I6" s="46"/>
    </row>
    <row r="7" spans="1:9" x14ac:dyDescent="0.3">
      <c r="A7" s="12"/>
      <c r="B7" s="15"/>
      <c r="C7" s="12"/>
      <c r="D7" s="65" t="s">
        <v>52</v>
      </c>
      <c r="E7" s="42" t="s">
        <v>33</v>
      </c>
      <c r="F7" s="38" t="s">
        <v>30</v>
      </c>
      <c r="G7" s="38" t="s">
        <v>31</v>
      </c>
      <c r="H7" s="66" t="s">
        <v>32</v>
      </c>
      <c r="I7" s="46"/>
    </row>
    <row r="8" spans="1:9" x14ac:dyDescent="0.3">
      <c r="A8" s="12"/>
      <c r="B8" s="15"/>
      <c r="C8" s="12"/>
      <c r="D8" s="101" t="s">
        <v>58</v>
      </c>
      <c r="E8" s="102"/>
      <c r="F8" s="102"/>
      <c r="G8" s="102"/>
      <c r="H8" s="103"/>
      <c r="I8" s="46"/>
    </row>
    <row r="9" spans="1:9" x14ac:dyDescent="0.3">
      <c r="A9" s="12"/>
      <c r="B9" s="15"/>
      <c r="C9" s="12"/>
      <c r="D9" s="67" t="s">
        <v>53</v>
      </c>
      <c r="E9" s="75">
        <f>Control_Panel!E20+(Control_Panel!E20*Control_Panel!E22)</f>
        <v>5940000</v>
      </c>
      <c r="F9" s="109">
        <f>(Control_Panel!F20+Control_Panel!F21)-(MIN(Control_Panel!F23*Control_Panel!$E$13,Control_Panel!F20*Control_Panel!$E$14))-(MIN(Control_Panel!F20*Control_Panel!$E$16,Control_Panel!$E$15))</f>
        <v>16440000</v>
      </c>
      <c r="G9" s="19">
        <f>(Control_Panel!G20+Control_Panel!G21)-(MIN(Control_Panel!G23*Control_Panel!$E$13,Control_Panel!G20*Control_Panel!$E$14))-(MIN(Control_Panel!G20*Control_Panel!$E$16,Control_Panel!$E$15))</f>
        <v>14670000</v>
      </c>
      <c r="H9" s="68">
        <f>(Control_Panel!H20+Control_Panel!H21)-(MIN(Control_Panel!H23*Control_Panel!$E$13,Control_Panel!H20*Control_Panel!$E$14))-(MIN(Control_Panel!H20*Control_Panel!$E$16,Control_Panel!$E$15))</f>
        <v>14300000</v>
      </c>
      <c r="I9" s="46"/>
    </row>
    <row r="10" spans="1:9" x14ac:dyDescent="0.3">
      <c r="A10" s="12"/>
      <c r="B10" s="15"/>
      <c r="C10" s="12"/>
      <c r="D10" s="67"/>
      <c r="E10" s="20"/>
      <c r="F10" s="32"/>
      <c r="G10" s="32"/>
      <c r="H10" s="71"/>
      <c r="I10" s="46"/>
    </row>
    <row r="11" spans="1:9" x14ac:dyDescent="0.3">
      <c r="A11" s="12"/>
      <c r="B11" s="15"/>
      <c r="C11" s="12"/>
      <c r="D11" s="101" t="s">
        <v>59</v>
      </c>
      <c r="E11" s="102"/>
      <c r="F11" s="102"/>
      <c r="G11" s="102"/>
      <c r="H11" s="103"/>
      <c r="I11" s="46"/>
    </row>
    <row r="12" spans="1:9" x14ac:dyDescent="0.3">
      <c r="A12" s="12"/>
      <c r="B12" s="15"/>
      <c r="C12" s="12"/>
      <c r="D12" s="56" t="s">
        <v>54</v>
      </c>
      <c r="E12" s="19">
        <f>(Control_Panel!$E$8/Control_Panel!E26)*Control_Panel!$E$9</f>
        <v>2959800</v>
      </c>
      <c r="F12" s="19">
        <f>(Control_Panel!$E$8*Control_Panel!F26)*Control_Panel!$E$10</f>
        <v>688500</v>
      </c>
      <c r="G12" s="19">
        <f>(Control_Panel!$E$8*Control_Panel!G26)*Control_Panel!$E$10</f>
        <v>612000</v>
      </c>
      <c r="H12" s="68">
        <f>(Control_Panel!$E$8*Control_Panel!H26)*Control_Panel!$E$10</f>
        <v>650250</v>
      </c>
      <c r="I12" s="46"/>
    </row>
    <row r="13" spans="1:9" x14ac:dyDescent="0.3">
      <c r="A13" s="12"/>
      <c r="B13" s="15"/>
      <c r="C13" s="12"/>
      <c r="D13" s="56" t="s">
        <v>55</v>
      </c>
      <c r="E13" s="105">
        <f>(Control_Panel!E20*Control_Panel!E27)+Control_Panel!E28</f>
        <v>720000</v>
      </c>
      <c r="F13" s="105">
        <f>(Control_Panel!F20*Control_Panel!F27)+Control_Panel!F28</f>
        <v>785000</v>
      </c>
      <c r="G13" s="105">
        <f>(Control_Panel!G20*Control_Panel!G27)+Control_Panel!G28</f>
        <v>732500</v>
      </c>
      <c r="H13" s="106">
        <f>(Control_Panel!H20*Control_Panel!H27)+Control_Panel!H28</f>
        <v>740000</v>
      </c>
      <c r="I13" s="46"/>
    </row>
    <row r="14" spans="1:9" x14ac:dyDescent="0.3">
      <c r="A14" s="12"/>
      <c r="B14" s="15"/>
      <c r="C14" s="12"/>
      <c r="D14" s="56" t="s">
        <v>56</v>
      </c>
      <c r="E14" s="19">
        <f>E12+E13</f>
        <v>3679800</v>
      </c>
      <c r="F14" s="19">
        <f t="shared" ref="F14:H14" si="0">F12+F13</f>
        <v>1473500</v>
      </c>
      <c r="G14" s="19">
        <f t="shared" si="0"/>
        <v>1344500</v>
      </c>
      <c r="H14" s="68">
        <f t="shared" si="0"/>
        <v>1390250</v>
      </c>
      <c r="I14" s="46"/>
    </row>
    <row r="15" spans="1:9" x14ac:dyDescent="0.3">
      <c r="A15" s="12"/>
      <c r="B15" s="15"/>
      <c r="C15" s="12"/>
      <c r="D15" s="72"/>
      <c r="E15" s="36"/>
      <c r="F15" s="39"/>
      <c r="G15" s="39"/>
      <c r="H15" s="73"/>
      <c r="I15" s="46"/>
    </row>
    <row r="16" spans="1:9" x14ac:dyDescent="0.3">
      <c r="A16" s="12"/>
      <c r="B16" s="15"/>
      <c r="C16" s="12"/>
      <c r="D16" s="101" t="s">
        <v>57</v>
      </c>
      <c r="E16" s="102"/>
      <c r="F16" s="102"/>
      <c r="G16" s="102"/>
      <c r="H16" s="103"/>
      <c r="I16" s="46"/>
    </row>
    <row r="17" spans="1:9" x14ac:dyDescent="0.3">
      <c r="A17" s="12"/>
      <c r="B17" s="15"/>
      <c r="C17" s="12"/>
      <c r="D17" s="56" t="s">
        <v>60</v>
      </c>
      <c r="E17" s="27">
        <f>E9+E14</f>
        <v>9619800</v>
      </c>
      <c r="F17" s="27">
        <f t="shared" ref="F17:H17" si="1">F9+F14</f>
        <v>17913500</v>
      </c>
      <c r="G17" s="27">
        <f t="shared" si="1"/>
        <v>16014500</v>
      </c>
      <c r="H17" s="74">
        <f t="shared" si="1"/>
        <v>15690250</v>
      </c>
      <c r="I17" s="46"/>
    </row>
    <row r="18" spans="1:9" x14ac:dyDescent="0.3">
      <c r="A18" s="12"/>
      <c r="B18" s="15"/>
      <c r="C18" s="12"/>
      <c r="D18" s="56" t="s">
        <v>61</v>
      </c>
      <c r="E18" s="27">
        <f>E17+E$14</f>
        <v>13299600</v>
      </c>
      <c r="F18" s="27">
        <f t="shared" ref="F18:H21" si="2">F17+F$14</f>
        <v>19387000</v>
      </c>
      <c r="G18" s="27">
        <f t="shared" si="2"/>
        <v>17359000</v>
      </c>
      <c r="H18" s="74">
        <f t="shared" si="2"/>
        <v>17080500</v>
      </c>
      <c r="I18" s="46"/>
    </row>
    <row r="19" spans="1:9" x14ac:dyDescent="0.3">
      <c r="A19" s="12"/>
      <c r="B19" s="15"/>
      <c r="C19" s="12"/>
      <c r="D19" s="56" t="s">
        <v>62</v>
      </c>
      <c r="E19" s="27">
        <f t="shared" ref="E19:E21" si="3">E18+E$14</f>
        <v>16979400</v>
      </c>
      <c r="F19" s="27">
        <f t="shared" si="2"/>
        <v>20860500</v>
      </c>
      <c r="G19" s="27">
        <f t="shared" si="2"/>
        <v>18703500</v>
      </c>
      <c r="H19" s="74">
        <f t="shared" si="2"/>
        <v>18470750</v>
      </c>
      <c r="I19" s="46"/>
    </row>
    <row r="20" spans="1:9" x14ac:dyDescent="0.3">
      <c r="A20" s="12"/>
      <c r="B20" s="15"/>
      <c r="C20" s="12"/>
      <c r="D20" s="56" t="s">
        <v>63</v>
      </c>
      <c r="E20" s="27">
        <f t="shared" si="3"/>
        <v>20659200</v>
      </c>
      <c r="F20" s="27">
        <f t="shared" si="2"/>
        <v>22334000</v>
      </c>
      <c r="G20" s="27">
        <f t="shared" si="2"/>
        <v>20048000</v>
      </c>
      <c r="H20" s="74">
        <f t="shared" si="2"/>
        <v>19861000</v>
      </c>
      <c r="I20" s="46"/>
    </row>
    <row r="21" spans="1:9" x14ac:dyDescent="0.3">
      <c r="A21" s="12"/>
      <c r="B21" s="15"/>
      <c r="C21" s="12"/>
      <c r="D21" s="56" t="s">
        <v>64</v>
      </c>
      <c r="E21" s="27">
        <f t="shared" si="3"/>
        <v>24339000</v>
      </c>
      <c r="F21" s="27">
        <f t="shared" si="2"/>
        <v>23807500</v>
      </c>
      <c r="G21" s="27">
        <f t="shared" si="2"/>
        <v>21392500</v>
      </c>
      <c r="H21" s="74">
        <f t="shared" si="2"/>
        <v>21251250</v>
      </c>
      <c r="I21" s="46"/>
    </row>
    <row r="22" spans="1:9" x14ac:dyDescent="0.3">
      <c r="B22" s="83"/>
      <c r="D22" s="77"/>
      <c r="E22" s="76"/>
      <c r="F22" s="76"/>
      <c r="G22" s="76"/>
      <c r="H22" s="78"/>
      <c r="I22" s="84"/>
    </row>
    <row r="23" spans="1:9" ht="15" thickBot="1" x14ac:dyDescent="0.35">
      <c r="A23" s="12"/>
      <c r="B23" s="15"/>
      <c r="C23" s="12"/>
      <c r="D23" s="101" t="s">
        <v>65</v>
      </c>
      <c r="E23" s="102"/>
      <c r="F23" s="102"/>
      <c r="G23" s="102"/>
      <c r="H23" s="103"/>
      <c r="I23" s="46"/>
    </row>
    <row r="24" spans="1:9" ht="15" thickBot="1" x14ac:dyDescent="0.35">
      <c r="A24" s="12"/>
      <c r="B24" s="15"/>
      <c r="C24" s="12"/>
      <c r="D24" s="82" t="s">
        <v>66</v>
      </c>
      <c r="E24" s="107">
        <f>-Control_Panel!E20*Control_Panel!E31</f>
        <v>-1100000</v>
      </c>
      <c r="F24" s="107">
        <f>-Control_Panel!F20*Control_Panel!F31</f>
        <v>-4750000</v>
      </c>
      <c r="G24" s="107">
        <f>-Control_Panel!G20*Control_Panel!G31</f>
        <v>-3875000</v>
      </c>
      <c r="H24" s="110">
        <f>-Control_Panel!H20*Control_Panel!H31</f>
        <v>-4000000</v>
      </c>
      <c r="I24" s="46"/>
    </row>
    <row r="25" spans="1:9" ht="15" thickBot="1" x14ac:dyDescent="0.35">
      <c r="A25" s="12"/>
      <c r="B25" s="15"/>
      <c r="C25" s="12"/>
      <c r="D25" s="82" t="s">
        <v>67</v>
      </c>
      <c r="E25" s="108">
        <f>E21+E24</f>
        <v>23239000</v>
      </c>
      <c r="F25" s="108">
        <f t="shared" ref="F25:H25" si="4">F21+F24</f>
        <v>19057500</v>
      </c>
      <c r="G25" s="108">
        <f t="shared" si="4"/>
        <v>17517500</v>
      </c>
      <c r="H25" s="111">
        <f t="shared" si="4"/>
        <v>17251250</v>
      </c>
      <c r="I25" s="46"/>
    </row>
    <row r="26" spans="1:9" ht="15" thickBot="1" x14ac:dyDescent="0.35">
      <c r="A26" s="23"/>
      <c r="B26" s="24"/>
      <c r="C26" s="23"/>
      <c r="D26" s="25"/>
      <c r="E26" s="79"/>
      <c r="F26" s="80"/>
      <c r="G26" s="80"/>
      <c r="H26" s="81"/>
      <c r="I26" s="46"/>
    </row>
    <row r="27" spans="1:9" x14ac:dyDescent="0.3">
      <c r="A27" s="12"/>
      <c r="B27" s="15"/>
      <c r="C27" s="12"/>
      <c r="D27" s="12"/>
      <c r="E27" s="23"/>
      <c r="F27" s="12"/>
      <c r="G27" s="12"/>
      <c r="H27" s="12"/>
      <c r="I27" s="46"/>
    </row>
    <row r="28" spans="1:9" x14ac:dyDescent="0.3">
      <c r="A28" s="12"/>
      <c r="B28" s="15"/>
      <c r="C28" s="12"/>
      <c r="D28" s="23"/>
      <c r="E28" s="23"/>
      <c r="F28" s="12"/>
      <c r="G28" s="12"/>
      <c r="H28" s="12"/>
      <c r="I28" s="46"/>
    </row>
    <row r="29" spans="1:9" ht="15" thickBot="1" x14ac:dyDescent="0.35">
      <c r="A29" s="12"/>
      <c r="B29" s="52"/>
      <c r="C29" s="53"/>
      <c r="D29" s="53"/>
      <c r="E29" s="54"/>
      <c r="F29" s="53"/>
      <c r="G29" s="53"/>
      <c r="H29" s="53"/>
      <c r="I29" s="55"/>
    </row>
  </sheetData>
  <mergeCells count="7">
    <mergeCell ref="D23:H23"/>
    <mergeCell ref="D16:H16"/>
    <mergeCell ref="E3:H3"/>
    <mergeCell ref="D5:H5"/>
    <mergeCell ref="D6:H6"/>
    <mergeCell ref="D8:H8"/>
    <mergeCell ref="D11:H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Control_Panel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Jasobant Nayak</dc:creator>
  <cp:lastModifiedBy>Jasobant Nayak</cp:lastModifiedBy>
  <dcterms:created xsi:type="dcterms:W3CDTF">2025-09-04T03:49:34Z</dcterms:created>
  <dcterms:modified xsi:type="dcterms:W3CDTF">2025-09-28T11:56:43Z</dcterms:modified>
</cp:coreProperties>
</file>