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8e1f62caf4ad83c4/Documents/"/>
    </mc:Choice>
  </mc:AlternateContent>
  <xr:revisionPtr revIDLastSave="2" documentId="8_{F1B2623E-9DC6-AE44-B5BB-25FD732A75A7}" xr6:coauthVersionLast="47" xr6:coauthVersionMax="47" xr10:uidLastSave="{FF575E4D-1DC3-0448-B386-14957BFA92FE}"/>
  <bookViews>
    <workbookView xWindow="0" yWindow="500" windowWidth="28800" windowHeight="16240" activeTab="1" xr2:uid="{86FD7B91-8632-4F4B-A2E2-F92D2F4351F9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7" i="2" l="1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6" i="2"/>
  <c r="D10" i="3"/>
  <c r="D9" i="3"/>
  <c r="D8" i="3"/>
  <c r="I24" i="2"/>
  <c r="I20" i="2"/>
  <c r="I19" i="2"/>
  <c r="I18" i="2"/>
  <c r="I17" i="2"/>
  <c r="I16" i="2"/>
  <c r="I13" i="2"/>
  <c r="I11" i="2"/>
  <c r="I9" i="2"/>
  <c r="I8" i="2"/>
  <c r="I10" i="2" s="1"/>
  <c r="I7" i="2"/>
  <c r="I21" i="2" l="1"/>
  <c r="I25" i="2"/>
  <c r="I26" i="2" s="1"/>
  <c r="I28" i="2" s="1"/>
  <c r="G24" i="2" l="1"/>
  <c r="G19" i="2"/>
  <c r="G18" i="2"/>
  <c r="G20" i="2" s="1"/>
  <c r="G17" i="2"/>
  <c r="G16" i="2"/>
  <c r="G13" i="2"/>
  <c r="G11" i="2"/>
  <c r="G9" i="2"/>
  <c r="G8" i="2"/>
  <c r="G10" i="2" s="1"/>
  <c r="G7" i="2"/>
  <c r="K22" i="1"/>
  <c r="J22" i="1"/>
  <c r="I22" i="1"/>
  <c r="H22" i="1"/>
  <c r="G22" i="1"/>
  <c r="F22" i="1"/>
  <c r="K17" i="1"/>
  <c r="J17" i="1"/>
  <c r="I17" i="1"/>
  <c r="H17" i="1"/>
  <c r="G17" i="1"/>
  <c r="F17" i="1"/>
  <c r="K16" i="1"/>
  <c r="J16" i="1"/>
  <c r="I16" i="1"/>
  <c r="H16" i="1"/>
  <c r="G16" i="1"/>
  <c r="F16" i="1"/>
  <c r="K15" i="1"/>
  <c r="J15" i="1"/>
  <c r="I15" i="1"/>
  <c r="H15" i="1"/>
  <c r="G15" i="1"/>
  <c r="F15" i="1"/>
  <c r="K14" i="1"/>
  <c r="J14" i="1"/>
  <c r="I14" i="1"/>
  <c r="H14" i="1"/>
  <c r="G14" i="1"/>
  <c r="F14" i="1"/>
  <c r="K11" i="1"/>
  <c r="J11" i="1"/>
  <c r="I11" i="1"/>
  <c r="F11" i="1"/>
  <c r="K9" i="1"/>
  <c r="J9" i="1"/>
  <c r="I9" i="1"/>
  <c r="H9" i="1"/>
  <c r="H18" i="1" s="1"/>
  <c r="H19" i="1" s="1"/>
  <c r="G9" i="1"/>
  <c r="G18" i="1" s="1"/>
  <c r="F9" i="1"/>
  <c r="K7" i="1"/>
  <c r="J7" i="1"/>
  <c r="I7" i="1"/>
  <c r="H7" i="1"/>
  <c r="G7" i="1"/>
  <c r="F7" i="1"/>
  <c r="K6" i="1"/>
  <c r="K8" i="1" s="1"/>
  <c r="J6" i="1"/>
  <c r="J8" i="1" s="1"/>
  <c r="I6" i="1"/>
  <c r="I8" i="1" s="1"/>
  <c r="H6" i="1"/>
  <c r="H8" i="1" s="1"/>
  <c r="G6" i="1"/>
  <c r="G8" i="1" s="1"/>
  <c r="F6" i="1"/>
  <c r="K5" i="1"/>
  <c r="J5" i="1"/>
  <c r="I5" i="1"/>
  <c r="H5" i="1"/>
  <c r="G5" i="1"/>
  <c r="F5" i="1"/>
  <c r="G21" i="2" l="1"/>
  <c r="G25" i="2"/>
  <c r="G26" i="2" s="1"/>
  <c r="G28" i="2" s="1"/>
  <c r="K18" i="1"/>
  <c r="K19" i="1" s="1"/>
  <c r="K23" i="1" s="1"/>
  <c r="K24" i="1" s="1"/>
  <c r="K26" i="1" s="1"/>
  <c r="I18" i="1"/>
  <c r="I19" i="1" s="1"/>
  <c r="I23" i="1" s="1"/>
  <c r="I24" i="1" s="1"/>
  <c r="I26" i="1" s="1"/>
  <c r="J18" i="1"/>
  <c r="J19" i="1" s="1"/>
  <c r="J23" i="1" s="1"/>
  <c r="J24" i="1" s="1"/>
  <c r="J26" i="1" s="1"/>
  <c r="F8" i="1"/>
  <c r="F18" i="1"/>
  <c r="F19" i="1" s="1"/>
  <c r="F23" i="1" s="1"/>
  <c r="F24" i="1" s="1"/>
  <c r="F26" i="1" s="1"/>
  <c r="G19" i="1"/>
  <c r="G23" i="1" s="1"/>
  <c r="G24" i="1" s="1"/>
  <c r="G26" i="1" s="1"/>
  <c r="H23" i="1"/>
  <c r="H24" i="1" s="1"/>
  <c r="H26" i="1" s="1"/>
</calcChain>
</file>

<file path=xl/sharedStrings.xml><?xml version="1.0" encoding="utf-8"?>
<sst xmlns="http://schemas.openxmlformats.org/spreadsheetml/2006/main" count="109" uniqueCount="62">
  <si>
    <t>Sl No</t>
  </si>
  <si>
    <t>Description</t>
  </si>
  <si>
    <t>JCB</t>
  </si>
  <si>
    <t>Dozer D50</t>
  </si>
  <si>
    <t>Dozer D80</t>
  </si>
  <si>
    <t>Farana Hydra 
Cap.14/15 MT</t>
  </si>
  <si>
    <t>Farana Hydra 
Cap.23 MT</t>
  </si>
  <si>
    <t>Hyva 10 wheel</t>
  </si>
  <si>
    <t xml:space="preserve">Cost of new vehicle On Road </t>
  </si>
  <si>
    <t>Down Payment / Salvage value @ 10%</t>
  </si>
  <si>
    <t>Loan Amount @ 90%</t>
  </si>
  <si>
    <t xml:space="preserve">Interest rate @10% Annually </t>
  </si>
  <si>
    <t>A</t>
  </si>
  <si>
    <t>EMI considering 60 installement @10%</t>
  </si>
  <si>
    <t>Per Month Cost</t>
  </si>
  <si>
    <t>B1</t>
  </si>
  <si>
    <t>Lubricant, Hose pipe &amp; seal kit(hot zone) &amp; other maintenance @0.10%</t>
  </si>
  <si>
    <t>B2</t>
  </si>
  <si>
    <t>Tyres</t>
  </si>
  <si>
    <t>No of Tyres : 4 Nos
Rate 30000: 2 Nos (F)
Rate 16000: 2 Nos (R)
Life : 6 Months</t>
  </si>
  <si>
    <t>-</t>
  </si>
  <si>
    <t>No of Tyres:6 Nos
4 (F) &amp; 2 (R)
Per tyre rate: Rs16000
Life : 6 months</t>
  </si>
  <si>
    <t>No of Tyres:10 Nos
Per tyre rate: Rs16000
Life : 6 months</t>
  </si>
  <si>
    <t>B3</t>
  </si>
  <si>
    <t>Bucket</t>
  </si>
  <si>
    <t>B4</t>
  </si>
  <si>
    <t>Insurance @0.05%</t>
  </si>
  <si>
    <t>B5</t>
  </si>
  <si>
    <t>Fittness @0.02%</t>
  </si>
  <si>
    <t>B6</t>
  </si>
  <si>
    <t>Permit ( JCB &amp; Hyva ) @0.01%</t>
  </si>
  <si>
    <t>B7</t>
  </si>
  <si>
    <t>Road tax @0.01%</t>
  </si>
  <si>
    <t>Total B</t>
  </si>
  <si>
    <t>Insurance, maintenance cost, Tyre per month</t>
  </si>
  <si>
    <t>A+B</t>
  </si>
  <si>
    <t xml:space="preserve">Total Equipment Cost per Month </t>
  </si>
  <si>
    <t xml:space="preserve">No of Operator 1 per 8 Hrs. Shift </t>
  </si>
  <si>
    <t>Operator Salaray @ 807 Rs (Semi Skilled)</t>
  </si>
  <si>
    <t>Total Cost</t>
  </si>
  <si>
    <t>Including profit 10%</t>
  </si>
  <si>
    <t>No of Equipment</t>
  </si>
  <si>
    <t>Total cost per Month</t>
  </si>
  <si>
    <t>Cost for no minimum guarantee 5%</t>
  </si>
  <si>
    <t>S. no.</t>
  </si>
  <si>
    <t>description</t>
  </si>
  <si>
    <t>EV hywa</t>
  </si>
  <si>
    <t>Tata Prima E.28k Tipper</t>
  </si>
  <si>
    <t>1 Operator 12 Hrs</t>
  </si>
  <si>
    <t>1 Operator 16 Hrs</t>
  </si>
  <si>
    <t>2 Operator 24 Hrs</t>
  </si>
  <si>
    <t>2 Operators 24 Hrs</t>
  </si>
  <si>
    <t xml:space="preserve">3 Operator </t>
  </si>
  <si>
    <t>dis/day</t>
  </si>
  <si>
    <t>fuel cost</t>
  </si>
  <si>
    <t>running cost</t>
  </si>
  <si>
    <t>monthly cost</t>
  </si>
  <si>
    <t>diesel</t>
  </si>
  <si>
    <t>EV</t>
  </si>
  <si>
    <t xml:space="preserve"> fuel eff. Km/l</t>
  </si>
  <si>
    <t>daily con. L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</si>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</sst>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_(* #,##0.0000_);_(* \(#,##0.0000\);_(* &quot;-&quot;??_);_(@_)"/>
    <numFmt numFmtId="166" formatCode="0.0"/>
  </numFmts>
  <fonts count="9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20"/>
      <color rgb="FF000000"/>
      <name val="Arial"/>
      <family val="2"/>
    </font>
    <font>
      <sz val="8"/>
      <color rgb="FF000000"/>
      <name val="Helvetica"/>
      <family val="2"/>
    </font>
    <font>
      <b/>
      <sz val="8"/>
      <color rgb="FF000000"/>
      <name val="Helvetica"/>
      <family val="2"/>
    </font>
    <font>
      <sz val="16"/>
      <color rgb="FF000000"/>
      <name val="Helvetica"/>
      <family val="2"/>
    </font>
    <font>
      <b/>
      <sz val="16"/>
      <color rgb="FF000000"/>
      <name val="Helvetica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9">
    <xf numFmtId="0" fontId="0" fillId="0" borderId="0" xfId="0"/>
    <xf numFmtId="0" fontId="2" fillId="0" borderId="0" xfId="0" applyFont="1"/>
    <xf numFmtId="10" fontId="0" fillId="0" borderId="0" xfId="2" applyNumberFormat="1" applyFont="1"/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164" fontId="0" fillId="0" borderId="10" xfId="1" applyNumberFormat="1" applyFont="1" applyBorder="1" applyAlignment="1">
      <alignment vertical="center"/>
    </xf>
    <xf numFmtId="164" fontId="0" fillId="0" borderId="11" xfId="1" applyNumberFormat="1" applyFont="1" applyBorder="1" applyAlignment="1">
      <alignment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164" fontId="0" fillId="0" borderId="15" xfId="1" applyNumberFormat="1" applyFont="1" applyBorder="1" applyAlignment="1">
      <alignment vertical="center"/>
    </xf>
    <xf numFmtId="164" fontId="0" fillId="0" borderId="16" xfId="1" applyNumberFormat="1" applyFont="1" applyBorder="1" applyAlignment="1">
      <alignment vertical="center"/>
    </xf>
    <xf numFmtId="0" fontId="0" fillId="0" borderId="14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165" fontId="0" fillId="0" borderId="15" xfId="1" applyNumberFormat="1" applyFont="1" applyBorder="1" applyAlignment="1">
      <alignment vertical="center"/>
    </xf>
    <xf numFmtId="165" fontId="0" fillId="0" borderId="16" xfId="1" applyNumberFormat="1" applyFont="1" applyBorder="1" applyAlignment="1">
      <alignment vertical="center"/>
    </xf>
    <xf numFmtId="0" fontId="0" fillId="0" borderId="17" xfId="0" applyBorder="1" applyAlignment="1">
      <alignment horizontal="left" vertical="center"/>
    </xf>
    <xf numFmtId="164" fontId="3" fillId="0" borderId="15" xfId="1" applyNumberFormat="1" applyFont="1" applyBorder="1" applyAlignment="1">
      <alignment vertical="center"/>
    </xf>
    <xf numFmtId="0" fontId="0" fillId="0" borderId="20" xfId="0" applyBorder="1" applyAlignment="1">
      <alignment horizontal="center" vertical="center"/>
    </xf>
    <xf numFmtId="0" fontId="0" fillId="0" borderId="17" xfId="0" applyBorder="1" applyAlignment="1">
      <alignment horizontal="left" vertical="center" wrapText="1"/>
    </xf>
    <xf numFmtId="164" fontId="0" fillId="3" borderId="15" xfId="1" applyNumberFormat="1" applyFont="1" applyFill="1" applyBorder="1" applyAlignment="1">
      <alignment vertical="center"/>
    </xf>
    <xf numFmtId="164" fontId="0" fillId="3" borderId="16" xfId="1" applyNumberFormat="1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15" xfId="0" applyBorder="1" applyAlignment="1">
      <alignment horizontal="center" vertical="center" wrapText="1"/>
    </xf>
    <xf numFmtId="164" fontId="0" fillId="0" borderId="16" xfId="1" quotePrefix="1" applyNumberFormat="1" applyFont="1" applyBorder="1" applyAlignment="1">
      <alignment horizontal="center" vertical="center"/>
    </xf>
    <xf numFmtId="0" fontId="0" fillId="0" borderId="23" xfId="0" applyBorder="1" applyAlignment="1">
      <alignment horizontal="center" vertical="center" wrapText="1"/>
    </xf>
    <xf numFmtId="164" fontId="0" fillId="0" borderId="23" xfId="1" applyNumberFormat="1" applyFont="1" applyBorder="1" applyAlignment="1">
      <alignment horizontal="right" vertical="center"/>
    </xf>
    <xf numFmtId="164" fontId="0" fillId="0" borderId="15" xfId="1" quotePrefix="1" applyNumberFormat="1" applyFont="1" applyBorder="1" applyAlignment="1">
      <alignment horizontal="center" vertical="center" wrapText="1"/>
    </xf>
    <xf numFmtId="164" fontId="0" fillId="0" borderId="23" xfId="1" quotePrefix="1" applyNumberFormat="1" applyFont="1" applyBorder="1" applyAlignment="1">
      <alignment horizontal="center" vertical="center"/>
    </xf>
    <xf numFmtId="164" fontId="0" fillId="0" borderId="15" xfId="1" quotePrefix="1" applyNumberFormat="1" applyFont="1" applyBorder="1" applyAlignment="1">
      <alignment horizontal="center" vertical="center"/>
    </xf>
    <xf numFmtId="164" fontId="0" fillId="3" borderId="23" xfId="1" applyNumberFormat="1" applyFont="1" applyFill="1" applyBorder="1" applyAlignment="1">
      <alignment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164" fontId="3" fillId="0" borderId="16" xfId="1" applyNumberFormat="1" applyFont="1" applyBorder="1" applyAlignment="1">
      <alignment vertical="center"/>
    </xf>
    <xf numFmtId="0" fontId="0" fillId="4" borderId="14" xfId="0" applyFill="1" applyBorder="1" applyAlignment="1">
      <alignment horizontal="left" vertical="center" wrapText="1"/>
    </xf>
    <xf numFmtId="0" fontId="0" fillId="4" borderId="13" xfId="0" applyFill="1" applyBorder="1" applyAlignment="1">
      <alignment horizontal="left" vertical="center" wrapText="1"/>
    </xf>
    <xf numFmtId="164" fontId="3" fillId="4" borderId="15" xfId="1" applyNumberFormat="1" applyFont="1" applyFill="1" applyBorder="1" applyAlignment="1">
      <alignment vertical="center"/>
    </xf>
    <xf numFmtId="164" fontId="3" fillId="4" borderId="16" xfId="1" applyNumberFormat="1" applyFont="1" applyFill="1" applyBorder="1" applyAlignment="1">
      <alignment vertical="center"/>
    </xf>
    <xf numFmtId="0" fontId="0" fillId="5" borderId="25" xfId="0" applyFill="1" applyBorder="1" applyAlignment="1">
      <alignment horizontal="center" vertical="center"/>
    </xf>
    <xf numFmtId="0" fontId="0" fillId="5" borderId="26" xfId="0" applyFill="1" applyBorder="1" applyAlignment="1">
      <alignment horizontal="center" vertical="center"/>
    </xf>
    <xf numFmtId="0" fontId="0" fillId="5" borderId="14" xfId="0" applyFill="1" applyBorder="1" applyAlignment="1">
      <alignment horizontal="left" vertical="center" wrapText="1"/>
    </xf>
    <xf numFmtId="0" fontId="0" fillId="5" borderId="13" xfId="0" applyFill="1" applyBorder="1" applyAlignment="1">
      <alignment horizontal="left" vertical="center" wrapText="1"/>
    </xf>
    <xf numFmtId="164" fontId="3" fillId="5" borderId="15" xfId="1" applyNumberFormat="1" applyFont="1" applyFill="1" applyBorder="1" applyAlignment="1">
      <alignment vertical="center"/>
    </xf>
    <xf numFmtId="164" fontId="3" fillId="5" borderId="16" xfId="1" applyNumberFormat="1" applyFont="1" applyFill="1" applyBorder="1" applyAlignment="1">
      <alignment vertical="center"/>
    </xf>
    <xf numFmtId="164" fontId="0" fillId="0" borderId="15" xfId="0" applyNumberFormat="1" applyBorder="1" applyAlignment="1">
      <alignment vertical="center"/>
    </xf>
    <xf numFmtId="164" fontId="0" fillId="0" borderId="16" xfId="0" applyNumberFormat="1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16" xfId="0" applyBorder="1" applyAlignment="1">
      <alignment vertical="center"/>
    </xf>
    <xf numFmtId="0" fontId="0" fillId="2" borderId="19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3" fillId="2" borderId="27" xfId="0" applyFont="1" applyFill="1" applyBorder="1" applyAlignment="1">
      <alignment horizontal="left" vertical="center"/>
    </xf>
    <xf numFmtId="0" fontId="3" fillId="2" borderId="20" xfId="0" applyFont="1" applyFill="1" applyBorder="1" applyAlignment="1">
      <alignment horizontal="left" vertical="center"/>
    </xf>
    <xf numFmtId="164" fontId="3" fillId="2" borderId="28" xfId="0" applyNumberFormat="1" applyFont="1" applyFill="1" applyBorder="1" applyAlignment="1">
      <alignment vertical="center"/>
    </xf>
    <xf numFmtId="164" fontId="3" fillId="2" borderId="29" xfId="0" applyNumberFormat="1" applyFont="1" applyFill="1" applyBorder="1" applyAlignment="1">
      <alignment vertical="center"/>
    </xf>
    <xf numFmtId="0" fontId="0" fillId="2" borderId="30" xfId="0" applyFill="1" applyBorder="1" applyAlignment="1">
      <alignment horizontal="center" vertical="center"/>
    </xf>
    <xf numFmtId="0" fontId="0" fillId="2" borderId="31" xfId="0" applyFill="1" applyBorder="1" applyAlignment="1">
      <alignment horizontal="center" vertical="center"/>
    </xf>
    <xf numFmtId="0" fontId="3" fillId="2" borderId="32" xfId="0" applyFont="1" applyFill="1" applyBorder="1" applyAlignment="1">
      <alignment horizontal="left" vertical="center"/>
    </xf>
    <xf numFmtId="0" fontId="3" fillId="2" borderId="31" xfId="0" applyFont="1" applyFill="1" applyBorder="1" applyAlignment="1">
      <alignment horizontal="left" vertical="center"/>
    </xf>
    <xf numFmtId="0" fontId="0" fillId="2" borderId="33" xfId="0" applyFill="1" applyBorder="1" applyAlignment="1">
      <alignment vertical="center"/>
    </xf>
    <xf numFmtId="0" fontId="0" fillId="2" borderId="34" xfId="0" applyFill="1" applyBorder="1" applyAlignment="1">
      <alignment vertical="center"/>
    </xf>
    <xf numFmtId="0" fontId="0" fillId="2" borderId="35" xfId="0" applyFill="1" applyBorder="1" applyAlignment="1">
      <alignment vertic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3" fillId="3" borderId="16" xfId="1" applyNumberFormat="1" applyFont="1" applyFill="1" applyBorder="1" applyAlignment="1" applyProtection="1">
      <alignment vertical="center"/>
    </xf>
    <xf numFmtId="164" fontId="3" fillId="3" borderId="0" xfId="1" applyNumberFormat="1" applyFont="1" applyFill="1" applyBorder="1" applyAlignment="1">
      <alignment vertical="center"/>
    </xf>
    <xf numFmtId="0" fontId="0" fillId="0" borderId="23" xfId="0" applyBorder="1"/>
    <xf numFmtId="0" fontId="0" fillId="3" borderId="23" xfId="0" applyFill="1" applyBorder="1" applyAlignment="1">
      <alignment horizontal="center" vertical="center"/>
    </xf>
    <xf numFmtId="0" fontId="0" fillId="3" borderId="23" xfId="0" applyFill="1" applyBorder="1" applyAlignment="1">
      <alignment horizontal="left" vertical="center" wrapText="1"/>
    </xf>
    <xf numFmtId="164" fontId="3" fillId="3" borderId="23" xfId="1" applyNumberFormat="1" applyFont="1" applyFill="1" applyBorder="1" applyAlignment="1" applyProtection="1">
      <alignment vertical="center"/>
    </xf>
    <xf numFmtId="0" fontId="3" fillId="2" borderId="36" xfId="0" applyFont="1" applyFill="1" applyBorder="1" applyAlignment="1">
      <alignment horizontal="left" vertical="center"/>
    </xf>
    <xf numFmtId="0" fontId="0" fillId="0" borderId="23" xfId="0" applyBorder="1" applyAlignment="1">
      <alignment horizontal="center" vertical="center"/>
    </xf>
    <xf numFmtId="0" fontId="0" fillId="0" borderId="23" xfId="0" applyBorder="1" applyAlignment="1">
      <alignment horizontal="left" vertical="center"/>
    </xf>
    <xf numFmtId="3" fontId="0" fillId="0" borderId="23" xfId="0" applyNumberFormat="1" applyBorder="1"/>
    <xf numFmtId="0" fontId="0" fillId="0" borderId="23" xfId="0" applyBorder="1" applyAlignment="1">
      <alignment horizontal="left" vertical="center" wrapText="1"/>
    </xf>
    <xf numFmtId="166" fontId="0" fillId="0" borderId="23" xfId="0" applyNumberFormat="1" applyBorder="1"/>
    <xf numFmtId="164" fontId="0" fillId="0" borderId="23" xfId="0" applyNumberFormat="1" applyBorder="1"/>
    <xf numFmtId="43" fontId="0" fillId="0" borderId="23" xfId="0" applyNumberFormat="1" applyBorder="1"/>
    <xf numFmtId="0" fontId="3" fillId="2" borderId="23" xfId="0" applyFont="1" applyFill="1" applyBorder="1" applyAlignment="1">
      <alignment horizontal="left" vertical="center"/>
    </xf>
    <xf numFmtId="0" fontId="4" fillId="0" borderId="0" xfId="0" applyFont="1"/>
    <xf numFmtId="0" fontId="6" fillId="0" borderId="0" xfId="0" applyFont="1"/>
    <xf numFmtId="0" fontId="5" fillId="0" borderId="0" xfId="0" applyFont="1"/>
    <xf numFmtId="164" fontId="3" fillId="3" borderId="16" xfId="1" applyNumberFormat="1" applyFont="1" applyFill="1" applyBorder="1" applyAlignment="1">
      <alignment vertical="center"/>
    </xf>
    <xf numFmtId="3" fontId="7" fillId="0" borderId="0" xfId="0" applyNumberFormat="1" applyFont="1"/>
    <xf numFmtId="0" fontId="8" fillId="0" borderId="0" xfId="0" applyFont="1"/>
    <xf numFmtId="0" fontId="0" fillId="0" borderId="18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18" xfId="0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0" fillId="0" borderId="23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/>
    </xf>
    <xf numFmtId="0" fontId="0" fillId="0" borderId="23" xfId="0" applyBorder="1" applyAlignment="1">
      <alignment horizontal="left" vertical="center"/>
    </xf>
    <xf numFmtId="1" fontId="0" fillId="0" borderId="0" xfId="0" applyNumberFormat="1"/>
    <xf numFmtId="164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0D874-25BA-B443-99CF-ED8648C337E3}">
  <dimension ref="A1:K42"/>
  <sheetViews>
    <sheetView workbookViewId="0">
      <selection activeCell="K3" sqref="K3:K27"/>
    </sheetView>
  </sheetViews>
  <sheetFormatPr baseColWidth="10" defaultRowHeight="16" x14ac:dyDescent="0.2"/>
  <cols>
    <col min="1" max="1" width="2.5" customWidth="1"/>
    <col min="2" max="2" width="5.5" bestFit="1" customWidth="1"/>
    <col min="3" max="3" width="7.83203125" customWidth="1"/>
    <col min="4" max="4" width="36.33203125" customWidth="1"/>
    <col min="5" max="5" width="12.5" customWidth="1"/>
    <col min="6" max="6" width="18.5" hidden="1" customWidth="1"/>
    <col min="7" max="7" width="11.5" hidden="1" customWidth="1"/>
    <col min="8" max="8" width="10.83203125" hidden="1" customWidth="1"/>
    <col min="9" max="9" width="13.33203125" hidden="1" customWidth="1"/>
    <col min="10" max="10" width="18.5" hidden="1" customWidth="1"/>
    <col min="11" max="11" width="19.33203125" customWidth="1"/>
  </cols>
  <sheetData>
    <row r="1" spans="1:11" ht="19" x14ac:dyDescent="0.25">
      <c r="B1" s="1"/>
      <c r="C1" s="1"/>
    </row>
    <row r="2" spans="1:11" ht="17" thickBot="1" x14ac:dyDescent="0.25">
      <c r="F2" s="2"/>
    </row>
    <row r="3" spans="1:11" ht="33" thickBot="1" x14ac:dyDescent="0.25">
      <c r="B3" s="3" t="s">
        <v>0</v>
      </c>
      <c r="C3" s="4"/>
      <c r="D3" s="5" t="s">
        <v>1</v>
      </c>
      <c r="E3" s="4"/>
      <c r="F3" s="6" t="s">
        <v>2</v>
      </c>
      <c r="G3" s="7" t="s">
        <v>3</v>
      </c>
      <c r="H3" s="7" t="s">
        <v>4</v>
      </c>
      <c r="I3" s="8" t="s">
        <v>5</v>
      </c>
      <c r="J3" s="8" t="s">
        <v>6</v>
      </c>
      <c r="K3" s="9" t="s">
        <v>7</v>
      </c>
    </row>
    <row r="4" spans="1:11" x14ac:dyDescent="0.2">
      <c r="A4" s="10"/>
      <c r="B4" s="11">
        <v>1</v>
      </c>
      <c r="C4" s="12"/>
      <c r="D4" s="13" t="s">
        <v>8</v>
      </c>
      <c r="E4" s="14"/>
      <c r="F4" s="15">
        <v>2500000</v>
      </c>
      <c r="G4" s="16">
        <v>1500000</v>
      </c>
      <c r="H4" s="16">
        <v>2900000</v>
      </c>
      <c r="I4" s="16">
        <v>3200000</v>
      </c>
      <c r="J4" s="16">
        <v>5200000</v>
      </c>
      <c r="K4" s="16">
        <v>4600000</v>
      </c>
    </row>
    <row r="5" spans="1:11" ht="17" x14ac:dyDescent="0.2">
      <c r="A5" s="10"/>
      <c r="B5" s="17">
        <v>2</v>
      </c>
      <c r="C5" s="18"/>
      <c r="D5" s="19" t="s">
        <v>9</v>
      </c>
      <c r="E5" s="20"/>
      <c r="F5" s="21">
        <f t="shared" ref="F5:K5" si="0">F4*10%</f>
        <v>250000</v>
      </c>
      <c r="G5" s="22">
        <f t="shared" si="0"/>
        <v>150000</v>
      </c>
      <c r="H5" s="22">
        <f t="shared" si="0"/>
        <v>290000</v>
      </c>
      <c r="I5" s="22">
        <f t="shared" si="0"/>
        <v>320000</v>
      </c>
      <c r="J5" s="22">
        <f t="shared" si="0"/>
        <v>520000</v>
      </c>
      <c r="K5" s="22">
        <f t="shared" si="0"/>
        <v>460000</v>
      </c>
    </row>
    <row r="6" spans="1:11" x14ac:dyDescent="0.2">
      <c r="A6" s="10"/>
      <c r="B6" s="17">
        <v>3</v>
      </c>
      <c r="C6" s="18"/>
      <c r="D6" s="23" t="s">
        <v>10</v>
      </c>
      <c r="E6" s="24"/>
      <c r="F6" s="21">
        <f t="shared" ref="F6:K6" si="1">F4*90%</f>
        <v>2250000</v>
      </c>
      <c r="G6" s="22">
        <f t="shared" si="1"/>
        <v>1350000</v>
      </c>
      <c r="H6" s="22">
        <f t="shared" si="1"/>
        <v>2610000</v>
      </c>
      <c r="I6" s="22">
        <f t="shared" si="1"/>
        <v>2880000</v>
      </c>
      <c r="J6" s="22">
        <f t="shared" si="1"/>
        <v>4680000</v>
      </c>
      <c r="K6" s="22">
        <f t="shared" si="1"/>
        <v>4140000</v>
      </c>
    </row>
    <row r="7" spans="1:11" x14ac:dyDescent="0.2">
      <c r="A7" s="10"/>
      <c r="B7" s="17">
        <v>4</v>
      </c>
      <c r="C7" s="18"/>
      <c r="D7" s="23" t="s">
        <v>11</v>
      </c>
      <c r="E7" s="24"/>
      <c r="F7" s="25">
        <f t="shared" ref="F7:K7" si="2">10/12/100</f>
        <v>8.3333333333333332E-3</v>
      </c>
      <c r="G7" s="26">
        <f t="shared" si="2"/>
        <v>8.3333333333333332E-3</v>
      </c>
      <c r="H7" s="26">
        <f t="shared" si="2"/>
        <v>8.3333333333333332E-3</v>
      </c>
      <c r="I7" s="26">
        <f t="shared" si="2"/>
        <v>8.3333333333333332E-3</v>
      </c>
      <c r="J7" s="26">
        <f t="shared" si="2"/>
        <v>8.3333333333333332E-3</v>
      </c>
      <c r="K7" s="26">
        <f t="shared" si="2"/>
        <v>8.3333333333333332E-3</v>
      </c>
    </row>
    <row r="8" spans="1:11" x14ac:dyDescent="0.2">
      <c r="A8" s="10"/>
      <c r="B8" s="17">
        <v>5</v>
      </c>
      <c r="C8" s="18" t="s">
        <v>12</v>
      </c>
      <c r="D8" s="27" t="s">
        <v>13</v>
      </c>
      <c r="E8" s="96" t="s">
        <v>14</v>
      </c>
      <c r="F8" s="28">
        <f>F6*F7*(1+F7)^84/((1+F7)^84-1)</f>
        <v>37352.664060493415</v>
      </c>
      <c r="G8" s="28">
        <f t="shared" ref="G8:K8" si="3">G6*G7*(1+G7)^84/((1+G7)^84-1)</f>
        <v>22411.598436296048</v>
      </c>
      <c r="H8" s="28">
        <f t="shared" si="3"/>
        <v>43329.09031017236</v>
      </c>
      <c r="I8" s="28">
        <f t="shared" si="3"/>
        <v>47811.409997431569</v>
      </c>
      <c r="J8" s="28">
        <f t="shared" si="3"/>
        <v>77693.541245826302</v>
      </c>
      <c r="K8" s="28">
        <f t="shared" si="3"/>
        <v>68728.901871307884</v>
      </c>
    </row>
    <row r="9" spans="1:11" ht="34" x14ac:dyDescent="0.2">
      <c r="A9" s="10"/>
      <c r="B9" s="99">
        <v>6</v>
      </c>
      <c r="C9" s="29" t="s">
        <v>15</v>
      </c>
      <c r="D9" s="30" t="s">
        <v>16</v>
      </c>
      <c r="E9" s="97"/>
      <c r="F9" s="31">
        <f>F4*0.1%</f>
        <v>2500</v>
      </c>
      <c r="G9" s="32">
        <f t="shared" ref="G9:K9" si="4">G4*0.1%</f>
        <v>1500</v>
      </c>
      <c r="H9" s="32">
        <f t="shared" si="4"/>
        <v>2900</v>
      </c>
      <c r="I9" s="32">
        <f t="shared" si="4"/>
        <v>3200</v>
      </c>
      <c r="J9" s="32">
        <f t="shared" si="4"/>
        <v>5200</v>
      </c>
      <c r="K9" s="32">
        <f t="shared" si="4"/>
        <v>4600</v>
      </c>
    </row>
    <row r="10" spans="1:11" ht="102" x14ac:dyDescent="0.2">
      <c r="A10" s="10"/>
      <c r="B10" s="100"/>
      <c r="C10" s="33" t="s">
        <v>17</v>
      </c>
      <c r="D10" s="102" t="s">
        <v>18</v>
      </c>
      <c r="E10" s="97"/>
      <c r="F10" s="34" t="s">
        <v>19</v>
      </c>
      <c r="G10" s="35" t="s">
        <v>20</v>
      </c>
      <c r="H10" s="35" t="s">
        <v>20</v>
      </c>
      <c r="I10" s="36" t="s">
        <v>21</v>
      </c>
      <c r="J10" s="36" t="s">
        <v>21</v>
      </c>
      <c r="K10" s="36" t="s">
        <v>22</v>
      </c>
    </row>
    <row r="11" spans="1:11" x14ac:dyDescent="0.2">
      <c r="A11" s="10"/>
      <c r="B11" s="100"/>
      <c r="C11" s="33"/>
      <c r="D11" s="103"/>
      <c r="E11" s="97"/>
      <c r="F11" s="21">
        <f>((30000*2)+(16000*2))/6</f>
        <v>15333.333333333334</v>
      </c>
      <c r="G11" s="35" t="s">
        <v>20</v>
      </c>
      <c r="H11" s="35" t="s">
        <v>20</v>
      </c>
      <c r="I11" s="22">
        <f>(16000*6)/6</f>
        <v>16000</v>
      </c>
      <c r="J11" s="22">
        <f>(16000*6)/6</f>
        <v>16000</v>
      </c>
      <c r="K11" s="37">
        <f>(16000*10)/6</f>
        <v>26666.666666666668</v>
      </c>
    </row>
    <row r="12" spans="1:11" ht="17" x14ac:dyDescent="0.2">
      <c r="A12" s="10"/>
      <c r="B12" s="100"/>
      <c r="C12" s="33" t="s">
        <v>23</v>
      </c>
      <c r="D12" s="102" t="s">
        <v>24</v>
      </c>
      <c r="E12" s="97"/>
      <c r="F12" s="38" t="s">
        <v>20</v>
      </c>
      <c r="G12" s="35"/>
      <c r="H12" s="35" t="s">
        <v>20</v>
      </c>
      <c r="I12" s="35" t="s">
        <v>20</v>
      </c>
      <c r="J12" s="35" t="s">
        <v>20</v>
      </c>
      <c r="K12" s="39" t="s">
        <v>20</v>
      </c>
    </row>
    <row r="13" spans="1:11" x14ac:dyDescent="0.2">
      <c r="A13" s="10"/>
      <c r="B13" s="100"/>
      <c r="C13" s="33"/>
      <c r="D13" s="103"/>
      <c r="E13" s="97"/>
      <c r="F13" s="40" t="s">
        <v>20</v>
      </c>
      <c r="G13" s="35" t="s">
        <v>20</v>
      </c>
      <c r="H13" s="35" t="s">
        <v>20</v>
      </c>
      <c r="I13" s="35" t="s">
        <v>20</v>
      </c>
      <c r="J13" s="35" t="s">
        <v>20</v>
      </c>
      <c r="K13" s="41">
        <v>0</v>
      </c>
    </row>
    <row r="14" spans="1:11" x14ac:dyDescent="0.2">
      <c r="A14" s="10"/>
      <c r="B14" s="100"/>
      <c r="C14" s="33" t="s">
        <v>25</v>
      </c>
      <c r="D14" s="27" t="s">
        <v>26</v>
      </c>
      <c r="E14" s="97"/>
      <c r="F14" s="31">
        <f>F4*0.05%</f>
        <v>1250</v>
      </c>
      <c r="G14" s="32">
        <f t="shared" ref="G14:K14" si="5">G4*0.05%</f>
        <v>750</v>
      </c>
      <c r="H14" s="32">
        <f t="shared" si="5"/>
        <v>1450</v>
      </c>
      <c r="I14" s="32">
        <f t="shared" si="5"/>
        <v>1600</v>
      </c>
      <c r="J14" s="32">
        <f t="shared" si="5"/>
        <v>2600</v>
      </c>
      <c r="K14" s="32">
        <f t="shared" si="5"/>
        <v>2300</v>
      </c>
    </row>
    <row r="15" spans="1:11" x14ac:dyDescent="0.2">
      <c r="A15" s="10"/>
      <c r="B15" s="100"/>
      <c r="C15" s="33" t="s">
        <v>27</v>
      </c>
      <c r="D15" s="27" t="s">
        <v>28</v>
      </c>
      <c r="E15" s="97"/>
      <c r="F15" s="21">
        <f>F4*0.02%</f>
        <v>500</v>
      </c>
      <c r="G15" s="22">
        <f t="shared" ref="G15:K15" si="6">G4*0.02%</f>
        <v>300</v>
      </c>
      <c r="H15" s="22">
        <f t="shared" si="6"/>
        <v>580</v>
      </c>
      <c r="I15" s="22">
        <f t="shared" si="6"/>
        <v>640</v>
      </c>
      <c r="J15" s="22">
        <f t="shared" si="6"/>
        <v>1040</v>
      </c>
      <c r="K15" s="22">
        <f t="shared" si="6"/>
        <v>920</v>
      </c>
    </row>
    <row r="16" spans="1:11" x14ac:dyDescent="0.2">
      <c r="A16" s="10"/>
      <c r="B16" s="100"/>
      <c r="C16" s="33" t="s">
        <v>29</v>
      </c>
      <c r="D16" s="27" t="s">
        <v>30</v>
      </c>
      <c r="E16" s="97"/>
      <c r="F16" s="21">
        <f>F4*0.01%</f>
        <v>250</v>
      </c>
      <c r="G16" s="22">
        <f t="shared" ref="G16:K16" si="7">G4*0.01%</f>
        <v>150</v>
      </c>
      <c r="H16" s="22">
        <f t="shared" si="7"/>
        <v>290</v>
      </c>
      <c r="I16" s="22">
        <f t="shared" si="7"/>
        <v>320</v>
      </c>
      <c r="J16" s="22">
        <f t="shared" si="7"/>
        <v>520</v>
      </c>
      <c r="K16" s="22">
        <f t="shared" si="7"/>
        <v>460</v>
      </c>
    </row>
    <row r="17" spans="1:11" x14ac:dyDescent="0.2">
      <c r="A17" s="10"/>
      <c r="B17" s="100"/>
      <c r="C17" s="33" t="s">
        <v>31</v>
      </c>
      <c r="D17" s="27" t="s">
        <v>32</v>
      </c>
      <c r="E17" s="97"/>
      <c r="F17" s="21">
        <f>F4*0.01%</f>
        <v>250</v>
      </c>
      <c r="G17" s="22">
        <f t="shared" ref="G17:K17" si="8">G4*0.01%</f>
        <v>150</v>
      </c>
      <c r="H17" s="22">
        <f t="shared" si="8"/>
        <v>290</v>
      </c>
      <c r="I17" s="22">
        <f t="shared" si="8"/>
        <v>320</v>
      </c>
      <c r="J17" s="22">
        <f t="shared" si="8"/>
        <v>520</v>
      </c>
      <c r="K17" s="22">
        <f t="shared" si="8"/>
        <v>460</v>
      </c>
    </row>
    <row r="18" spans="1:11" ht="34" x14ac:dyDescent="0.2">
      <c r="A18" s="10"/>
      <c r="B18" s="101"/>
      <c r="C18" s="43" t="s">
        <v>33</v>
      </c>
      <c r="D18" s="30" t="s">
        <v>34</v>
      </c>
      <c r="E18" s="98"/>
      <c r="F18" s="28">
        <f>SUM(F9:F17)</f>
        <v>20083.333333333336</v>
      </c>
      <c r="G18" s="44">
        <f t="shared" ref="G18:K18" si="9">SUM(G9:G17)</f>
        <v>2850</v>
      </c>
      <c r="H18" s="44">
        <f t="shared" si="9"/>
        <v>5510</v>
      </c>
      <c r="I18" s="44">
        <f t="shared" si="9"/>
        <v>22080</v>
      </c>
      <c r="J18" s="44">
        <f t="shared" si="9"/>
        <v>25880</v>
      </c>
      <c r="K18" s="44">
        <f t="shared" si="9"/>
        <v>35406.666666666672</v>
      </c>
    </row>
    <row r="19" spans="1:11" ht="17" x14ac:dyDescent="0.2">
      <c r="A19" s="10"/>
      <c r="B19" s="42"/>
      <c r="C19" s="43" t="s">
        <v>35</v>
      </c>
      <c r="D19" s="45" t="s">
        <v>36</v>
      </c>
      <c r="E19" s="46"/>
      <c r="F19" s="47">
        <f t="shared" ref="F19:K19" si="10">F18+F8</f>
        <v>57435.99739382675</v>
      </c>
      <c r="G19" s="48">
        <f t="shared" si="10"/>
        <v>25261.598436296048</v>
      </c>
      <c r="H19" s="48">
        <f t="shared" si="10"/>
        <v>48839.09031017236</v>
      </c>
      <c r="I19" s="48">
        <f t="shared" si="10"/>
        <v>69891.409997431561</v>
      </c>
      <c r="J19" s="48">
        <f t="shared" si="10"/>
        <v>103573.5412458263</v>
      </c>
      <c r="K19" s="48">
        <f t="shared" si="10"/>
        <v>104135.56853797456</v>
      </c>
    </row>
    <row r="20" spans="1:11" x14ac:dyDescent="0.2">
      <c r="A20" s="10"/>
      <c r="B20" s="49"/>
      <c r="C20" s="50"/>
      <c r="D20" s="51"/>
      <c r="E20" s="52"/>
      <c r="F20" s="53"/>
      <c r="G20" s="54"/>
      <c r="H20" s="54"/>
      <c r="I20" s="54"/>
      <c r="J20" s="54"/>
      <c r="K20" s="54"/>
    </row>
    <row r="21" spans="1:11" x14ac:dyDescent="0.2">
      <c r="A21" s="10"/>
      <c r="B21" s="17">
        <v>7</v>
      </c>
      <c r="C21" s="18"/>
      <c r="D21" s="23" t="s">
        <v>37</v>
      </c>
      <c r="E21" s="24"/>
      <c r="F21" s="21">
        <v>1</v>
      </c>
      <c r="G21" s="22">
        <v>1</v>
      </c>
      <c r="H21" s="22">
        <v>1</v>
      </c>
      <c r="I21" s="22">
        <v>1</v>
      </c>
      <c r="J21" s="22">
        <v>1</v>
      </c>
      <c r="K21" s="22">
        <v>1</v>
      </c>
    </row>
    <row r="22" spans="1:11" x14ac:dyDescent="0.2">
      <c r="A22" s="10"/>
      <c r="B22" s="17">
        <v>8</v>
      </c>
      <c r="C22" s="18"/>
      <c r="D22" s="23" t="s">
        <v>38</v>
      </c>
      <c r="E22" s="24"/>
      <c r="F22" s="21">
        <f>807*F21*30.5</f>
        <v>24613.5</v>
      </c>
      <c r="G22" s="22">
        <f t="shared" ref="G22:K22" si="11">800*G21*26</f>
        <v>20800</v>
      </c>
      <c r="H22" s="22">
        <f t="shared" si="11"/>
        <v>20800</v>
      </c>
      <c r="I22" s="22">
        <f t="shared" si="11"/>
        <v>20800</v>
      </c>
      <c r="J22" s="22">
        <f t="shared" si="11"/>
        <v>20800</v>
      </c>
      <c r="K22" s="22">
        <f t="shared" si="11"/>
        <v>20800</v>
      </c>
    </row>
    <row r="23" spans="1:11" x14ac:dyDescent="0.2">
      <c r="A23" s="10"/>
      <c r="B23" s="17">
        <v>9</v>
      </c>
      <c r="C23" s="18"/>
      <c r="D23" s="23" t="s">
        <v>39</v>
      </c>
      <c r="E23" s="24"/>
      <c r="F23" s="55">
        <f>F22+F19</f>
        <v>82049.49739382675</v>
      </c>
      <c r="G23" s="56">
        <f t="shared" ref="G23:K23" si="12">G22+G19</f>
        <v>46061.598436296044</v>
      </c>
      <c r="H23" s="56">
        <f t="shared" si="12"/>
        <v>69639.090310172352</v>
      </c>
      <c r="I23" s="56">
        <f t="shared" si="12"/>
        <v>90691.409997431561</v>
      </c>
      <c r="J23" s="56">
        <f t="shared" si="12"/>
        <v>124373.5412458263</v>
      </c>
      <c r="K23" s="56">
        <f t="shared" si="12"/>
        <v>124935.56853797456</v>
      </c>
    </row>
    <row r="24" spans="1:11" x14ac:dyDescent="0.2">
      <c r="A24" s="10"/>
      <c r="B24" s="17">
        <v>10</v>
      </c>
      <c r="C24" s="18"/>
      <c r="D24" s="23" t="s">
        <v>40</v>
      </c>
      <c r="E24" s="24"/>
      <c r="F24" s="55">
        <f>F23*1.1</f>
        <v>90254.44713320944</v>
      </c>
      <c r="G24" s="56">
        <f t="shared" ref="G24:K24" si="13">G23*1.1</f>
        <v>50667.758279925656</v>
      </c>
      <c r="H24" s="56">
        <f t="shared" si="13"/>
        <v>76602.999341189599</v>
      </c>
      <c r="I24" s="56">
        <f t="shared" si="13"/>
        <v>99760.550997174723</v>
      </c>
      <c r="J24" s="56">
        <f t="shared" si="13"/>
        <v>136810.89537040895</v>
      </c>
      <c r="K24" s="56">
        <f t="shared" si="13"/>
        <v>137429.12539177202</v>
      </c>
    </row>
    <row r="25" spans="1:11" x14ac:dyDescent="0.2">
      <c r="A25" s="10"/>
      <c r="B25" s="17">
        <v>11</v>
      </c>
      <c r="C25" s="18"/>
      <c r="D25" s="23" t="s">
        <v>41</v>
      </c>
      <c r="E25" s="24"/>
      <c r="F25" s="57">
        <v>1</v>
      </c>
      <c r="G25" s="58">
        <v>1</v>
      </c>
      <c r="H25" s="58">
        <v>1</v>
      </c>
      <c r="I25" s="58">
        <v>1</v>
      </c>
      <c r="J25" s="58">
        <v>1</v>
      </c>
      <c r="K25" s="58">
        <v>1</v>
      </c>
    </row>
    <row r="26" spans="1:11" x14ac:dyDescent="0.2">
      <c r="A26" s="10"/>
      <c r="B26" s="59">
        <v>12</v>
      </c>
      <c r="C26" s="60"/>
      <c r="D26" s="61" t="s">
        <v>42</v>
      </c>
      <c r="E26" s="62"/>
      <c r="F26" s="63">
        <f>F25*F24</f>
        <v>90254.44713320944</v>
      </c>
      <c r="G26" s="64">
        <f t="shared" ref="G26:K26" si="14">G25*G24</f>
        <v>50667.758279925656</v>
      </c>
      <c r="H26" s="64">
        <f t="shared" si="14"/>
        <v>76602.999341189599</v>
      </c>
      <c r="I26" s="64">
        <f t="shared" si="14"/>
        <v>99760.550997174723</v>
      </c>
      <c r="J26" s="64">
        <f t="shared" si="14"/>
        <v>136810.89537040895</v>
      </c>
      <c r="K26" s="64">
        <f t="shared" si="14"/>
        <v>137429.12539177202</v>
      </c>
    </row>
    <row r="27" spans="1:11" ht="17" thickBot="1" x14ac:dyDescent="0.25">
      <c r="A27" s="10"/>
      <c r="B27" s="65">
        <v>13</v>
      </c>
      <c r="C27" s="66"/>
      <c r="D27" s="67" t="s">
        <v>43</v>
      </c>
      <c r="E27" s="68"/>
      <c r="F27" s="69"/>
      <c r="G27" s="70"/>
      <c r="H27" s="70"/>
      <c r="I27" s="70"/>
      <c r="J27" s="70"/>
      <c r="K27" s="71"/>
    </row>
    <row r="30" spans="1:11" x14ac:dyDescent="0.2">
      <c r="D30" s="72"/>
      <c r="E30" s="72"/>
      <c r="F30" s="73"/>
      <c r="G30" s="73"/>
      <c r="H30" s="73"/>
      <c r="I30" s="73"/>
      <c r="J30" s="73"/>
    </row>
    <row r="31" spans="1:11" x14ac:dyDescent="0.2">
      <c r="D31" s="72"/>
      <c r="E31" s="72"/>
      <c r="F31" s="74"/>
      <c r="G31" s="73"/>
      <c r="H31" s="73"/>
      <c r="I31" s="73"/>
      <c r="J31" s="73"/>
    </row>
    <row r="32" spans="1:11" x14ac:dyDescent="0.2">
      <c r="F32" s="74"/>
      <c r="G32" s="73"/>
      <c r="H32" s="73"/>
      <c r="I32" s="73"/>
      <c r="J32" s="73"/>
    </row>
    <row r="33" spans="4:11" x14ac:dyDescent="0.2">
      <c r="F33" s="73"/>
      <c r="G33" s="73"/>
      <c r="H33" s="73"/>
      <c r="I33" s="73"/>
      <c r="J33" s="73"/>
    </row>
    <row r="34" spans="4:11" x14ac:dyDescent="0.2">
      <c r="F34" s="73"/>
      <c r="G34" s="73"/>
      <c r="H34" s="73"/>
      <c r="I34" s="73"/>
      <c r="J34" s="73"/>
    </row>
    <row r="35" spans="4:11" x14ac:dyDescent="0.2">
      <c r="F35" s="73"/>
      <c r="G35" s="73"/>
      <c r="H35" s="73"/>
      <c r="I35" s="73"/>
      <c r="J35" s="73"/>
      <c r="K35" s="73"/>
    </row>
    <row r="36" spans="4:11" x14ac:dyDescent="0.2">
      <c r="F36" s="73"/>
      <c r="G36" s="73"/>
      <c r="H36" s="73"/>
      <c r="I36" s="73"/>
      <c r="J36" s="73"/>
      <c r="K36" s="73"/>
    </row>
    <row r="37" spans="4:11" x14ac:dyDescent="0.2">
      <c r="F37" s="73"/>
      <c r="G37" s="73"/>
      <c r="H37" s="73"/>
      <c r="I37" s="73"/>
      <c r="J37" s="73"/>
      <c r="K37" s="73"/>
    </row>
    <row r="40" spans="4:11" x14ac:dyDescent="0.2">
      <c r="D40" s="72"/>
      <c r="E40" s="72"/>
      <c r="F40" s="73"/>
      <c r="G40" s="73"/>
      <c r="H40" s="73"/>
      <c r="I40" s="73"/>
      <c r="J40" s="73"/>
      <c r="K40" s="73"/>
    </row>
    <row r="41" spans="4:11" x14ac:dyDescent="0.2">
      <c r="F41" s="73"/>
      <c r="G41" s="73"/>
      <c r="H41" s="73"/>
      <c r="I41" s="73"/>
      <c r="J41" s="73"/>
      <c r="K41" s="73"/>
    </row>
    <row r="42" spans="4:11" x14ac:dyDescent="0.2">
      <c r="F42" s="73"/>
      <c r="G42" s="73"/>
      <c r="H42" s="73"/>
      <c r="I42" s="73"/>
      <c r="J42" s="73"/>
      <c r="K42" s="73"/>
    </row>
  </sheetData>
  <mergeCells count="4">
    <mergeCell ref="E8:E18"/>
    <mergeCell ref="B9:B18"/>
    <mergeCell ref="D10:D11"/>
    <mergeCell ref="D12:D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DEC7B-54F5-3E42-9BDC-CD2D735CFACD}">
  <dimension ref="C2:O29"/>
  <sheetViews>
    <sheetView tabSelected="1" topLeftCell="A4" zoomScale="99" workbookViewId="0">
      <selection activeCell="K30" sqref="K30"/>
    </sheetView>
  </sheetViews>
  <sheetFormatPr baseColWidth="10" defaultColWidth="9.6640625" defaultRowHeight="16" x14ac:dyDescent="0.2"/>
  <cols>
    <col min="5" max="5" width="35.6640625" customWidth="1"/>
    <col min="7" max="7" width="20" customWidth="1"/>
    <col min="9" max="9" width="19.83203125" customWidth="1"/>
    <col min="11" max="11" width="12" customWidth="1"/>
    <col min="14" max="14" width="24" customWidth="1"/>
    <col min="15" max="15" width="12.83203125" customWidth="1"/>
  </cols>
  <sheetData>
    <row r="2" spans="3:15" ht="25" x14ac:dyDescent="0.25">
      <c r="E2" s="90" t="s">
        <v>47</v>
      </c>
    </row>
    <row r="4" spans="3:15" ht="17" thickBot="1" x14ac:dyDescent="0.25"/>
    <row r="5" spans="3:15" ht="17" thickBot="1" x14ac:dyDescent="0.25">
      <c r="C5" s="77" t="s">
        <v>44</v>
      </c>
      <c r="D5" s="77"/>
      <c r="E5" s="77" t="s">
        <v>45</v>
      </c>
      <c r="F5" s="77"/>
      <c r="G5" s="77" t="s">
        <v>46</v>
      </c>
      <c r="I5" s="9" t="s">
        <v>7</v>
      </c>
      <c r="K5" t="s">
        <v>61</v>
      </c>
    </row>
    <row r="6" spans="3:15" x14ac:dyDescent="0.2">
      <c r="C6" s="82">
        <v>1</v>
      </c>
      <c r="D6" s="82"/>
      <c r="E6" s="83" t="s">
        <v>8</v>
      </c>
      <c r="F6" s="83"/>
      <c r="G6" s="84">
        <v>3300000</v>
      </c>
      <c r="I6" s="16">
        <v>4600000</v>
      </c>
      <c r="K6" s="108">
        <f>G6-I6</f>
        <v>-1300000</v>
      </c>
    </row>
    <row r="7" spans="3:15" ht="21" customHeight="1" x14ac:dyDescent="0.2">
      <c r="C7" s="82">
        <v>2</v>
      </c>
      <c r="D7" s="82"/>
      <c r="E7" s="85" t="s">
        <v>9</v>
      </c>
      <c r="F7" s="85"/>
      <c r="G7" s="77">
        <f>G6*10%</f>
        <v>330000</v>
      </c>
      <c r="I7" s="22">
        <f t="shared" ref="I7" si="0">I6*10%</f>
        <v>460000</v>
      </c>
      <c r="K7" s="108">
        <f t="shared" ref="K7:K28" si="1">G7-I7</f>
        <v>-130000</v>
      </c>
    </row>
    <row r="8" spans="3:15" x14ac:dyDescent="0.2">
      <c r="C8" s="82">
        <v>3</v>
      </c>
      <c r="D8" s="82"/>
      <c r="E8" s="83" t="s">
        <v>10</v>
      </c>
      <c r="F8" s="83"/>
      <c r="G8" s="77">
        <f>G6*90%</f>
        <v>2970000</v>
      </c>
      <c r="I8" s="22">
        <f t="shared" ref="I8" si="2">I6*90%</f>
        <v>4140000</v>
      </c>
      <c r="K8" s="108">
        <f t="shared" si="1"/>
        <v>-1170000</v>
      </c>
    </row>
    <row r="9" spans="3:15" x14ac:dyDescent="0.2">
      <c r="C9" s="82">
        <v>4</v>
      </c>
      <c r="D9" s="82"/>
      <c r="E9" s="83" t="s">
        <v>11</v>
      </c>
      <c r="F9" s="83"/>
      <c r="G9" s="77">
        <f>10/12/100</f>
        <v>8.3333333333333332E-3</v>
      </c>
      <c r="I9" s="26">
        <f t="shared" ref="I9" si="3">10/12/100</f>
        <v>8.3333333333333332E-3</v>
      </c>
      <c r="K9" s="108">
        <f t="shared" si="1"/>
        <v>0</v>
      </c>
    </row>
    <row r="10" spans="3:15" x14ac:dyDescent="0.2">
      <c r="C10" s="82">
        <v>5</v>
      </c>
      <c r="D10" s="82" t="s">
        <v>12</v>
      </c>
      <c r="E10" s="83" t="s">
        <v>13</v>
      </c>
      <c r="F10" s="104" t="s">
        <v>14</v>
      </c>
      <c r="G10" s="77">
        <f>G8*G9*(1+G9)^84/((1+G9)^84-1)</f>
        <v>49305.516559851305</v>
      </c>
      <c r="I10" s="28">
        <f t="shared" ref="I10" si="4">I8*I9*(1+I9)^84/((1+I9)^84-1)</f>
        <v>68728.901871307884</v>
      </c>
      <c r="K10" s="108">
        <f t="shared" si="1"/>
        <v>-19423.385311456579</v>
      </c>
    </row>
    <row r="11" spans="3:15" ht="34" x14ac:dyDescent="0.2">
      <c r="C11" s="105">
        <v>6</v>
      </c>
      <c r="D11" s="82" t="s">
        <v>15</v>
      </c>
      <c r="E11" s="85" t="s">
        <v>16</v>
      </c>
      <c r="F11" s="104"/>
      <c r="G11" s="77">
        <f>G6*0.1%</f>
        <v>3300</v>
      </c>
      <c r="I11" s="32">
        <f t="shared" ref="I11" si="5">I6*0.1%</f>
        <v>4600</v>
      </c>
      <c r="K11" s="108">
        <f t="shared" si="1"/>
        <v>-1300</v>
      </c>
    </row>
    <row r="12" spans="3:15" ht="66" customHeight="1" x14ac:dyDescent="0.2">
      <c r="C12" s="105"/>
      <c r="D12" s="82" t="s">
        <v>17</v>
      </c>
      <c r="E12" s="106" t="s">
        <v>18</v>
      </c>
      <c r="F12" s="104"/>
      <c r="G12" s="36" t="s">
        <v>22</v>
      </c>
      <c r="I12" s="36" t="s">
        <v>22</v>
      </c>
      <c r="K12" s="108" t="e">
        <f t="shared" si="1"/>
        <v>#VALUE!</v>
      </c>
    </row>
    <row r="13" spans="3:15" x14ac:dyDescent="0.2">
      <c r="C13" s="105"/>
      <c r="D13" s="82"/>
      <c r="E13" s="106"/>
      <c r="F13" s="104"/>
      <c r="G13" s="86">
        <f>(16000*10)/6</f>
        <v>26666.666666666668</v>
      </c>
      <c r="I13" s="37">
        <f>(16000*10)/6</f>
        <v>26666.666666666668</v>
      </c>
      <c r="K13" s="108">
        <f t="shared" si="1"/>
        <v>0</v>
      </c>
    </row>
    <row r="14" spans="3:15" x14ac:dyDescent="0.2">
      <c r="C14" s="105"/>
      <c r="D14" s="82"/>
      <c r="E14" s="106"/>
      <c r="F14" s="104"/>
      <c r="G14" s="77"/>
      <c r="I14" s="39" t="s">
        <v>20</v>
      </c>
      <c r="K14" s="108" t="e">
        <f t="shared" si="1"/>
        <v>#VALUE!</v>
      </c>
      <c r="N14" s="91"/>
    </row>
    <row r="15" spans="3:15" ht="21" x14ac:dyDescent="0.25">
      <c r="C15" s="105"/>
      <c r="D15" s="82"/>
      <c r="E15" s="106"/>
      <c r="F15" s="104"/>
      <c r="G15" s="77"/>
      <c r="I15" s="41">
        <v>0</v>
      </c>
      <c r="K15" s="108">
        <f t="shared" si="1"/>
        <v>0</v>
      </c>
      <c r="N15" s="95" t="s">
        <v>48</v>
      </c>
      <c r="O15" s="94">
        <v>100000</v>
      </c>
    </row>
    <row r="16" spans="3:15" ht="21" x14ac:dyDescent="0.25">
      <c r="C16" s="105"/>
      <c r="D16" s="82" t="s">
        <v>23</v>
      </c>
      <c r="E16" s="83" t="s">
        <v>26</v>
      </c>
      <c r="F16" s="104"/>
      <c r="G16" s="77">
        <f>G6*0.05%</f>
        <v>1650</v>
      </c>
      <c r="I16" s="32">
        <f t="shared" ref="I16" si="6">I6*0.05%</f>
        <v>2300</v>
      </c>
      <c r="K16" s="108">
        <f t="shared" si="1"/>
        <v>-650</v>
      </c>
      <c r="N16" s="95" t="s">
        <v>49</v>
      </c>
      <c r="O16" s="94">
        <v>110000</v>
      </c>
    </row>
    <row r="17" spans="3:15" ht="21" x14ac:dyDescent="0.25">
      <c r="C17" s="105"/>
      <c r="D17" s="82" t="s">
        <v>25</v>
      </c>
      <c r="E17" s="83" t="s">
        <v>28</v>
      </c>
      <c r="F17" s="104"/>
      <c r="G17" s="77">
        <f>G6*0.02%</f>
        <v>660</v>
      </c>
      <c r="I17" s="22">
        <f t="shared" ref="I17" si="7">I6*0.02%</f>
        <v>920</v>
      </c>
      <c r="K17" s="108">
        <f t="shared" si="1"/>
        <v>-260</v>
      </c>
      <c r="N17" s="95" t="s">
        <v>50</v>
      </c>
      <c r="O17" s="94">
        <v>120000</v>
      </c>
    </row>
    <row r="18" spans="3:15" ht="21" x14ac:dyDescent="0.25">
      <c r="C18" s="105"/>
      <c r="D18" s="82" t="s">
        <v>27</v>
      </c>
      <c r="E18" s="83" t="s">
        <v>30</v>
      </c>
      <c r="F18" s="104"/>
      <c r="G18" s="77">
        <f>G6*0.01%</f>
        <v>330</v>
      </c>
      <c r="I18" s="22">
        <f t="shared" ref="I18" si="8">I6*0.01%</f>
        <v>460</v>
      </c>
      <c r="K18" s="108">
        <f t="shared" si="1"/>
        <v>-130</v>
      </c>
      <c r="N18" s="95" t="s">
        <v>51</v>
      </c>
      <c r="O18" s="94">
        <v>150000</v>
      </c>
    </row>
    <row r="19" spans="3:15" ht="21" x14ac:dyDescent="0.25">
      <c r="C19" s="105"/>
      <c r="D19" s="82" t="s">
        <v>29</v>
      </c>
      <c r="E19" s="83" t="s">
        <v>32</v>
      </c>
      <c r="F19" s="104"/>
      <c r="G19" s="77">
        <f>G6*0.01%</f>
        <v>330</v>
      </c>
      <c r="I19" s="22">
        <f t="shared" ref="I19" si="9">I6*0.01%</f>
        <v>460</v>
      </c>
      <c r="K19" s="108">
        <f t="shared" si="1"/>
        <v>-130</v>
      </c>
      <c r="N19" s="95" t="s">
        <v>52</v>
      </c>
      <c r="O19" s="94">
        <v>165000</v>
      </c>
    </row>
    <row r="20" spans="3:15" ht="34" x14ac:dyDescent="0.2">
      <c r="C20" s="105"/>
      <c r="D20" s="82" t="s">
        <v>33</v>
      </c>
      <c r="E20" s="85" t="s">
        <v>34</v>
      </c>
      <c r="F20" s="104"/>
      <c r="G20" s="86">
        <f>SUM(G13:G19)</f>
        <v>29636.666666666668</v>
      </c>
      <c r="I20" s="44">
        <f t="shared" ref="I20" si="10">SUM(I11:I19)</f>
        <v>35406.666666666672</v>
      </c>
      <c r="K20" s="108">
        <f t="shared" si="1"/>
        <v>-5770.0000000000036</v>
      </c>
      <c r="N20" s="92"/>
    </row>
    <row r="21" spans="3:15" ht="17" x14ac:dyDescent="0.2">
      <c r="C21" s="77"/>
      <c r="D21" s="78" t="s">
        <v>35</v>
      </c>
      <c r="E21" s="79" t="s">
        <v>36</v>
      </c>
      <c r="F21" s="79"/>
      <c r="G21" s="80">
        <f>G20+G10</f>
        <v>78942.183226517969</v>
      </c>
      <c r="H21" s="75"/>
      <c r="I21" s="93">
        <f t="shared" ref="I21" si="11">I20+I10</f>
        <v>104135.56853797456</v>
      </c>
      <c r="J21" s="76"/>
      <c r="K21" s="108">
        <f t="shared" si="1"/>
        <v>-25193.385311456586</v>
      </c>
      <c r="L21" s="76"/>
    </row>
    <row r="22" spans="3:15" x14ac:dyDescent="0.2">
      <c r="C22" s="77"/>
      <c r="D22" s="77"/>
      <c r="E22" s="77"/>
      <c r="F22" s="77"/>
      <c r="G22" s="77"/>
      <c r="I22" s="93"/>
      <c r="K22" s="108">
        <f t="shared" si="1"/>
        <v>0</v>
      </c>
    </row>
    <row r="23" spans="3:15" x14ac:dyDescent="0.2">
      <c r="C23" s="77">
        <v>7</v>
      </c>
      <c r="D23" s="77"/>
      <c r="E23" s="83" t="s">
        <v>37</v>
      </c>
      <c r="F23" s="77"/>
      <c r="G23" s="77">
        <v>1</v>
      </c>
      <c r="I23" s="22">
        <v>1</v>
      </c>
      <c r="K23" s="108">
        <f t="shared" si="1"/>
        <v>0</v>
      </c>
    </row>
    <row r="24" spans="3:15" x14ac:dyDescent="0.2">
      <c r="C24" s="77">
        <v>8</v>
      </c>
      <c r="D24" s="77"/>
      <c r="E24" s="83" t="s">
        <v>38</v>
      </c>
      <c r="F24" s="77"/>
      <c r="G24" s="77">
        <f>800*G23*26</f>
        <v>20800</v>
      </c>
      <c r="I24" s="22">
        <f t="shared" ref="I24" si="12">800*I23*26</f>
        <v>20800</v>
      </c>
      <c r="K24" s="108">
        <f t="shared" si="1"/>
        <v>0</v>
      </c>
    </row>
    <row r="25" spans="3:15" x14ac:dyDescent="0.2">
      <c r="C25" s="77">
        <v>9</v>
      </c>
      <c r="D25" s="77"/>
      <c r="E25" s="83" t="s">
        <v>39</v>
      </c>
      <c r="F25" s="77"/>
      <c r="G25" s="87">
        <f>G24+G21</f>
        <v>99742.183226517969</v>
      </c>
      <c r="I25" s="56">
        <f t="shared" ref="I25" si="13">I24+I21</f>
        <v>124935.56853797456</v>
      </c>
      <c r="K25" s="108">
        <f t="shared" si="1"/>
        <v>-25193.385311456586</v>
      </c>
    </row>
    <row r="26" spans="3:15" x14ac:dyDescent="0.2">
      <c r="C26" s="77">
        <v>10</v>
      </c>
      <c r="D26" s="77"/>
      <c r="E26" s="83" t="s">
        <v>40</v>
      </c>
      <c r="F26" s="77"/>
      <c r="G26" s="88">
        <f>G25*1.1</f>
        <v>109716.40154916978</v>
      </c>
      <c r="I26" s="56">
        <f t="shared" ref="I26" si="14">I25*1.1</f>
        <v>137429.12539177202</v>
      </c>
      <c r="K26" s="108">
        <f t="shared" si="1"/>
        <v>-27712.723842602238</v>
      </c>
    </row>
    <row r="27" spans="3:15" x14ac:dyDescent="0.2">
      <c r="C27" s="77">
        <v>11</v>
      </c>
      <c r="D27" s="77"/>
      <c r="E27" s="83" t="s">
        <v>41</v>
      </c>
      <c r="F27" s="77"/>
      <c r="G27" s="77">
        <v>1</v>
      </c>
      <c r="I27" s="58">
        <v>1</v>
      </c>
      <c r="K27" s="108">
        <f t="shared" si="1"/>
        <v>0</v>
      </c>
    </row>
    <row r="28" spans="3:15" x14ac:dyDescent="0.2">
      <c r="C28" s="77">
        <v>12</v>
      </c>
      <c r="D28" s="77"/>
      <c r="E28" s="89" t="s">
        <v>42</v>
      </c>
      <c r="F28" s="77"/>
      <c r="G28" s="88">
        <f>G27*G26</f>
        <v>109716.40154916978</v>
      </c>
      <c r="I28" s="64">
        <f t="shared" ref="I28" si="15">I27*I26</f>
        <v>137429.12539177202</v>
      </c>
      <c r="K28" s="108">
        <f t="shared" si="1"/>
        <v>-27712.723842602238</v>
      </c>
    </row>
    <row r="29" spans="3:15" ht="17" thickBot="1" x14ac:dyDescent="0.25">
      <c r="E29" s="81"/>
      <c r="I29" s="71"/>
    </row>
  </sheetData>
  <mergeCells count="4">
    <mergeCell ref="F10:F20"/>
    <mergeCell ref="C11:C20"/>
    <mergeCell ref="E12:E13"/>
    <mergeCell ref="E14:E1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C2EE7-D079-664C-A6F1-0047BB7D15B1}">
  <dimension ref="C3:E10"/>
  <sheetViews>
    <sheetView workbookViewId="0">
      <selection activeCell="C8" sqref="C8"/>
    </sheetView>
  </sheetViews>
  <sheetFormatPr baseColWidth="10" defaultRowHeight="16" x14ac:dyDescent="0.2"/>
  <cols>
    <col min="4" max="4" width="10.83203125" style="107"/>
  </cols>
  <sheetData>
    <row r="3" spans="3:5" x14ac:dyDescent="0.2">
      <c r="D3" s="107" t="s">
        <v>57</v>
      </c>
      <c r="E3" t="s">
        <v>58</v>
      </c>
    </row>
    <row r="5" spans="3:5" x14ac:dyDescent="0.2">
      <c r="C5" t="s">
        <v>53</v>
      </c>
      <c r="D5" s="107">
        <v>100</v>
      </c>
      <c r="E5">
        <v>100</v>
      </c>
    </row>
    <row r="6" spans="3:5" x14ac:dyDescent="0.2">
      <c r="C6" t="s">
        <v>59</v>
      </c>
      <c r="D6" s="107">
        <v>1.5</v>
      </c>
    </row>
    <row r="7" spans="3:5" x14ac:dyDescent="0.2">
      <c r="C7" t="s">
        <v>54</v>
      </c>
      <c r="D7" s="107">
        <v>100</v>
      </c>
    </row>
    <row r="8" spans="3:5" x14ac:dyDescent="0.2">
      <c r="C8" t="s">
        <v>60</v>
      </c>
      <c r="D8" s="107">
        <f>D5/D6</f>
        <v>66.666666666666671</v>
      </c>
    </row>
    <row r="9" spans="3:5" x14ac:dyDescent="0.2">
      <c r="C9" t="s">
        <v>55</v>
      </c>
      <c r="D9" s="107">
        <f>D7*D8</f>
        <v>6666.666666666667</v>
      </c>
    </row>
    <row r="10" spans="3:5" x14ac:dyDescent="0.2">
      <c r="C10" t="s">
        <v>56</v>
      </c>
      <c r="D10" s="107">
        <f>D9*30</f>
        <v>200000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snehal sahu</dc:creator>
  <cp:lastModifiedBy>snehal sahu</cp:lastModifiedBy>
  <dcterms:created xsi:type="dcterms:W3CDTF">2025-06-13T06:07:17Z</dcterms:created>
  <dcterms:modified xsi:type="dcterms:W3CDTF">2025-06-13T09:09:36Z</dcterms:modified>
</cp:coreProperties>
</file>