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https://d.docs.live.net/8e1f62caf4ad83c4/Documents/"/>
    </mc:Choice>
  </mc:AlternateContent>
  <xr:revisionPtr revIDLastSave="16" documentId="8_{F9EC815E-486F-C044-A150-167DFF2BD6F9}" xr6:coauthVersionLast="47" xr6:coauthVersionMax="47" xr10:uidLastSave="{9CD9AEC7-9DF1-4BF2-9A87-F2E2EF9CE5B5}"/>
  <bookViews>
    <workbookView xWindow="0" yWindow="500" windowWidth="28800" windowHeight="16240" firstSheet="3" activeTab="3" xr2:uid="{00000000-000D-0000-FFFF-FFFF00000000}"/>
  </bookViews>
  <sheets>
    <sheet name="Propel 470MEV" sheetId="1" r:id="rId1"/>
    <sheet name="TATA PRIMA E.28k" sheetId="2" r:id="rId2"/>
    <sheet name="OLECTRA" sheetId="7" r:id="rId3"/>
    <sheet name="All vehicle compare" sheetId="4" r:id="rId4"/>
    <sheet name="DASHBOARD" sheetId="8" r:id="rId5"/>
    <sheet name="Vehicle Details" sheetId="6" r:id="rId6"/>
    <sheet name="Sheet2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4" l="1"/>
  <c r="G23" i="7"/>
  <c r="E23" i="7"/>
  <c r="H7" i="4"/>
  <c r="H17" i="4" s="1"/>
  <c r="F7" i="4"/>
  <c r="F17" i="4" s="1"/>
  <c r="C7" i="4"/>
  <c r="C10" i="4" s="1"/>
  <c r="G20" i="1"/>
  <c r="E20" i="1"/>
  <c r="G61" i="7"/>
  <c r="G13" i="7"/>
  <c r="G58" i="7"/>
  <c r="G58" i="2"/>
  <c r="M67" i="1"/>
  <c r="G55" i="1"/>
  <c r="G54" i="1"/>
  <c r="G53" i="1"/>
  <c r="G10" i="1"/>
  <c r="O62" i="1" l="1"/>
  <c r="J77" i="1"/>
  <c r="E114" i="1"/>
  <c r="H8" i="4" l="1"/>
  <c r="C12" i="4"/>
  <c r="H28" i="1"/>
  <c r="F51" i="8"/>
  <c r="G51" i="8"/>
  <c r="H51" i="8"/>
  <c r="I51" i="8"/>
  <c r="E38" i="8"/>
  <c r="F38" i="8"/>
  <c r="G38" i="8"/>
  <c r="H38" i="8"/>
  <c r="I38" i="8"/>
  <c r="J38" i="8"/>
  <c r="K38" i="8"/>
  <c r="E39" i="8"/>
  <c r="E40" i="8"/>
  <c r="E41" i="8"/>
  <c r="E42" i="8"/>
  <c r="E43" i="8"/>
  <c r="E44" i="8"/>
  <c r="I44" i="8"/>
  <c r="E45" i="8"/>
  <c r="E46" i="8"/>
  <c r="E47" i="8"/>
  <c r="E48" i="8"/>
  <c r="C14" i="4" l="1"/>
  <c r="C15" i="4" s="1"/>
  <c r="C11" i="4"/>
  <c r="L15" i="4" s="1"/>
  <c r="C17" i="4"/>
  <c r="J4" i="8"/>
  <c r="K4" i="8"/>
  <c r="L4" i="8"/>
  <c r="M4" i="8"/>
  <c r="N4" i="8"/>
  <c r="O4" i="8"/>
  <c r="P4" i="8"/>
  <c r="J5" i="8"/>
  <c r="J6" i="8"/>
  <c r="J7" i="8"/>
  <c r="J8" i="8"/>
  <c r="J9" i="8"/>
  <c r="J10" i="8"/>
  <c r="N10" i="8"/>
  <c r="J11" i="8"/>
  <c r="J12" i="8"/>
  <c r="J13" i="8"/>
  <c r="J14" i="8"/>
  <c r="J17" i="8"/>
  <c r="K17" i="8"/>
  <c r="L17" i="8"/>
  <c r="M17" i="8"/>
  <c r="B4" i="8"/>
  <c r="C4" i="8"/>
  <c r="D4" i="8"/>
  <c r="E4" i="8"/>
  <c r="F4" i="8"/>
  <c r="G4" i="8"/>
  <c r="H4" i="8"/>
  <c r="B5" i="8"/>
  <c r="B6" i="8"/>
  <c r="B7" i="8"/>
  <c r="B8" i="8"/>
  <c r="B9" i="8"/>
  <c r="B10" i="8"/>
  <c r="F10" i="8"/>
  <c r="B11" i="8"/>
  <c r="B12" i="8"/>
  <c r="B13" i="8"/>
  <c r="B14" i="8"/>
  <c r="B17" i="8"/>
  <c r="C17" i="8"/>
  <c r="D17" i="8"/>
  <c r="E17" i="8"/>
  <c r="N15" i="4" l="1"/>
  <c r="C16" i="4"/>
  <c r="C19" i="4" s="1"/>
  <c r="C20" i="4" s="1"/>
  <c r="E115" i="1"/>
  <c r="E117" i="1" s="1"/>
  <c r="E119" i="1" s="1"/>
  <c r="E122" i="1" l="1"/>
  <c r="E124" i="1" s="1"/>
  <c r="H9" i="4"/>
  <c r="E8" i="7"/>
  <c r="E6" i="2"/>
  <c r="E35" i="2" s="1"/>
  <c r="E9" i="2" l="1"/>
  <c r="E33" i="2"/>
  <c r="E34" i="2"/>
  <c r="E41" i="1"/>
  <c r="G15" i="1"/>
  <c r="E11" i="7"/>
  <c r="G8" i="5"/>
  <c r="E12" i="5"/>
  <c r="F12" i="5"/>
  <c r="F15" i="5"/>
  <c r="G15" i="5"/>
  <c r="G16" i="5" s="1"/>
  <c r="F9" i="4"/>
  <c r="H10" i="4"/>
  <c r="H11" i="4" s="1"/>
  <c r="L12" i="4" s="1"/>
  <c r="F8" i="4"/>
  <c r="F5" i="4"/>
  <c r="E55" i="2"/>
  <c r="E35" i="7"/>
  <c r="M33" i="7"/>
  <c r="M34" i="7" s="1"/>
  <c r="M36" i="7" s="1"/>
  <c r="M38" i="7" s="1"/>
  <c r="M41" i="7" s="1"/>
  <c r="M43" i="7" s="1"/>
  <c r="G32" i="7" s="1"/>
  <c r="E45" i="7" s="1"/>
  <c r="E37" i="7"/>
  <c r="E36" i="7"/>
  <c r="E32" i="7"/>
  <c r="E43" i="7" s="1"/>
  <c r="E27" i="7"/>
  <c r="E18" i="7"/>
  <c r="G10" i="7"/>
  <c r="G11" i="7" s="1"/>
  <c r="V12" i="7" l="1"/>
  <c r="V13" i="7"/>
  <c r="V14" i="7"/>
  <c r="V7" i="7"/>
  <c r="V15" i="7"/>
  <c r="V8" i="7"/>
  <c r="V6" i="7"/>
  <c r="V9" i="7"/>
  <c r="V10" i="7"/>
  <c r="V11" i="7"/>
  <c r="F10" i="4"/>
  <c r="F11" i="4" s="1"/>
  <c r="G59" i="7"/>
  <c r="E42" i="7"/>
  <c r="G60" i="7"/>
  <c r="E58" i="7"/>
  <c r="I58" i="7" s="1"/>
  <c r="Q6" i="7" s="1"/>
  <c r="G39" i="8" s="1"/>
  <c r="M14" i="4" l="1"/>
  <c r="F16" i="4" s="1"/>
  <c r="L14" i="4"/>
  <c r="F12" i="4"/>
  <c r="F14" i="4" s="1"/>
  <c r="F15" i="4" s="1"/>
  <c r="E59" i="7"/>
  <c r="I59" i="7" s="1"/>
  <c r="Q7" i="7" s="1"/>
  <c r="G40" i="8" s="1"/>
  <c r="N14" i="4" l="1"/>
  <c r="F19" i="4"/>
  <c r="F20" i="4" s="1"/>
  <c r="E60" i="7"/>
  <c r="I60" i="7" s="1"/>
  <c r="Q8" i="7" s="1"/>
  <c r="G41" i="8" s="1"/>
  <c r="G45" i="7"/>
  <c r="G43" i="7"/>
  <c r="G27" i="7"/>
  <c r="G28" i="7" s="1"/>
  <c r="E28" i="7"/>
  <c r="G26" i="7"/>
  <c r="E26" i="7"/>
  <c r="G18" i="7"/>
  <c r="G12" i="7"/>
  <c r="E61" i="7" l="1"/>
  <c r="I61" i="7" s="1"/>
  <c r="Q9" i="7" s="1"/>
  <c r="G42" i="8" s="1"/>
  <c r="G47" i="7"/>
  <c r="F21" i="4"/>
  <c r="F22" i="4" s="1"/>
  <c r="K15" i="7"/>
  <c r="L15" i="7" s="1"/>
  <c r="G17" i="7" s="1"/>
  <c r="E12" i="7"/>
  <c r="K14" i="7" s="1"/>
  <c r="L14" i="7" s="1"/>
  <c r="G42" i="7"/>
  <c r="G44" i="7" s="1"/>
  <c r="G46" i="7" s="1"/>
  <c r="G15" i="7"/>
  <c r="G16" i="7" s="1"/>
  <c r="E13" i="7"/>
  <c r="G8" i="2"/>
  <c r="G9" i="2" s="1"/>
  <c r="O21" i="2"/>
  <c r="N26" i="2" s="1"/>
  <c r="E30" i="2"/>
  <c r="E15" i="7" l="1"/>
  <c r="E16" i="7" s="1"/>
  <c r="R10" i="7"/>
  <c r="H43" i="8" s="1"/>
  <c r="G43" i="8"/>
  <c r="G55" i="2"/>
  <c r="G56" i="2"/>
  <c r="G11" i="2"/>
  <c r="X10" i="2"/>
  <c r="X17" i="2"/>
  <c r="X18" i="2"/>
  <c r="X12" i="2"/>
  <c r="X13" i="2"/>
  <c r="X15" i="2"/>
  <c r="X11" i="2"/>
  <c r="X19" i="2"/>
  <c r="X14" i="2"/>
  <c r="X16" i="2"/>
  <c r="E41" i="2"/>
  <c r="G41" i="2" s="1"/>
  <c r="E40" i="2"/>
  <c r="G40" i="2" s="1"/>
  <c r="E44" i="7"/>
  <c r="G20" i="7"/>
  <c r="G50" i="7" s="1"/>
  <c r="M15" i="7"/>
  <c r="M14" i="7"/>
  <c r="E17" i="7"/>
  <c r="E20" i="7" s="1"/>
  <c r="G49" i="7" s="1"/>
  <c r="G51" i="7" s="1"/>
  <c r="G48" i="7"/>
  <c r="N29" i="2"/>
  <c r="N30" i="2"/>
  <c r="N25" i="2"/>
  <c r="N27" i="2" s="1"/>
  <c r="E28" i="1"/>
  <c r="G10" i="2"/>
  <c r="L14" i="2" s="1"/>
  <c r="M14" i="2" s="1"/>
  <c r="E8" i="4"/>
  <c r="E10" i="4" s="1"/>
  <c r="E24" i="2"/>
  <c r="E56" i="2"/>
  <c r="E57" i="2" s="1"/>
  <c r="E58" i="2" s="1"/>
  <c r="N38" i="2"/>
  <c r="N37" i="2"/>
  <c r="N40" i="2" s="1"/>
  <c r="G25" i="2"/>
  <c r="G26" i="2" s="1"/>
  <c r="E25" i="2"/>
  <c r="E26" i="2" s="1"/>
  <c r="G24" i="2"/>
  <c r="G16" i="2"/>
  <c r="E16" i="2"/>
  <c r="G6" i="1"/>
  <c r="G8" i="1" s="1"/>
  <c r="E5" i="1"/>
  <c r="E31" i="1" s="1"/>
  <c r="P12" i="7" l="1"/>
  <c r="P15" i="7"/>
  <c r="P6" i="7"/>
  <c r="P11" i="7"/>
  <c r="P13" i="7"/>
  <c r="P7" i="7"/>
  <c r="P10" i="7"/>
  <c r="P14" i="7"/>
  <c r="P8" i="7"/>
  <c r="P9" i="7"/>
  <c r="G57" i="2"/>
  <c r="N31" i="2"/>
  <c r="N41" i="2" s="1"/>
  <c r="N43" i="2" s="1"/>
  <c r="N45" i="2" s="1"/>
  <c r="E39" i="1"/>
  <c r="G39" i="1" s="1"/>
  <c r="E38" i="1"/>
  <c r="G38" i="1" s="1"/>
  <c r="E24" i="1"/>
  <c r="E25" i="1" s="1"/>
  <c r="E8" i="1"/>
  <c r="W14" i="1" s="1"/>
  <c r="E11" i="4"/>
  <c r="L13" i="4" s="1"/>
  <c r="M13" i="4" s="1"/>
  <c r="E16" i="4" s="1"/>
  <c r="I55" i="2"/>
  <c r="S10" i="2" s="1"/>
  <c r="G13" i="2"/>
  <c r="G14" i="2" s="1"/>
  <c r="G42" i="2"/>
  <c r="G44" i="2" s="1"/>
  <c r="H12" i="4"/>
  <c r="H14" i="4" s="1"/>
  <c r="H15" i="4" s="1"/>
  <c r="E12" i="4"/>
  <c r="E14" i="4" s="1"/>
  <c r="E42" i="2"/>
  <c r="E32" i="1"/>
  <c r="E33" i="1"/>
  <c r="G15" i="2"/>
  <c r="N14" i="2"/>
  <c r="E15" i="1"/>
  <c r="G9" i="1"/>
  <c r="L13" i="1" s="1"/>
  <c r="G24" i="1"/>
  <c r="G25" i="1" s="1"/>
  <c r="G23" i="1"/>
  <c r="E23" i="1"/>
  <c r="F47" i="8" l="1"/>
  <c r="T14" i="7"/>
  <c r="J47" i="8" s="1"/>
  <c r="F44" i="8"/>
  <c r="T11" i="7"/>
  <c r="J44" i="8" s="1"/>
  <c r="F43" i="8"/>
  <c r="T10" i="7"/>
  <c r="F40" i="8"/>
  <c r="T7" i="7"/>
  <c r="T13" i="7"/>
  <c r="J46" i="8" s="1"/>
  <c r="F46" i="8"/>
  <c r="F39" i="8"/>
  <c r="T6" i="7"/>
  <c r="F42" i="8"/>
  <c r="T9" i="7"/>
  <c r="F48" i="8"/>
  <c r="T15" i="7"/>
  <c r="J48" i="8" s="1"/>
  <c r="F41" i="8"/>
  <c r="T8" i="7"/>
  <c r="F45" i="8"/>
  <c r="T12" i="7"/>
  <c r="J45" i="8" s="1"/>
  <c r="W9" i="1"/>
  <c r="W13" i="1"/>
  <c r="W16" i="1"/>
  <c r="W8" i="1"/>
  <c r="W15" i="1"/>
  <c r="W10" i="1"/>
  <c r="W11" i="1"/>
  <c r="L5" i="8"/>
  <c r="W17" i="1"/>
  <c r="W12" i="1"/>
  <c r="I56" i="2"/>
  <c r="S11" i="2" s="1"/>
  <c r="E10" i="1"/>
  <c r="E12" i="1" s="1"/>
  <c r="E13" i="1" s="1"/>
  <c r="E9" i="1"/>
  <c r="L12" i="1" s="1"/>
  <c r="E15" i="4"/>
  <c r="E19" i="4" s="1"/>
  <c r="E20" i="4" s="1"/>
  <c r="G41" i="1"/>
  <c r="E53" i="1"/>
  <c r="I53" i="1" s="1"/>
  <c r="R8" i="1" s="1"/>
  <c r="D5" i="8" s="1"/>
  <c r="G18" i="2"/>
  <c r="E11" i="2"/>
  <c r="T14" i="2" s="1"/>
  <c r="M9" i="8" s="1"/>
  <c r="E10" i="2"/>
  <c r="L13" i="2" s="1"/>
  <c r="N47" i="2"/>
  <c r="G30" i="2" s="1"/>
  <c r="E43" i="2" s="1"/>
  <c r="G43" i="2" s="1"/>
  <c r="O45" i="2"/>
  <c r="N13" i="4"/>
  <c r="M12" i="4"/>
  <c r="G12" i="1"/>
  <c r="G13" i="1" s="1"/>
  <c r="M13" i="1"/>
  <c r="E40" i="1"/>
  <c r="G40" i="1" s="1"/>
  <c r="J40" i="8" l="1"/>
  <c r="J42" i="8"/>
  <c r="J43" i="8"/>
  <c r="J41" i="8"/>
  <c r="U6" i="7"/>
  <c r="U7" i="7" s="1"/>
  <c r="K40" i="8" s="1"/>
  <c r="J39" i="8"/>
  <c r="G42" i="1"/>
  <c r="C21" i="4"/>
  <c r="C22" i="4" s="1"/>
  <c r="S12" i="1"/>
  <c r="E9" i="8" s="1"/>
  <c r="L6" i="8"/>
  <c r="E13" i="2"/>
  <c r="E14" i="2" s="1"/>
  <c r="G45" i="2"/>
  <c r="H21" i="4"/>
  <c r="G14" i="1"/>
  <c r="G17" i="1" s="1"/>
  <c r="G43" i="1"/>
  <c r="E21" i="4"/>
  <c r="E22" i="4" s="1"/>
  <c r="M13" i="2"/>
  <c r="E15" i="2" s="1"/>
  <c r="E18" i="2" s="1"/>
  <c r="G47" i="2" s="1"/>
  <c r="E54" i="1"/>
  <c r="G48" i="2"/>
  <c r="G46" i="2"/>
  <c r="N12" i="4"/>
  <c r="H16" i="4"/>
  <c r="H19" i="4" s="1"/>
  <c r="H20" i="4" s="1"/>
  <c r="I57" i="2"/>
  <c r="S12" i="2" s="1"/>
  <c r="I58" i="2"/>
  <c r="S13" i="2" s="1"/>
  <c r="M12" i="1"/>
  <c r="M14" i="1" s="1"/>
  <c r="M15" i="1" s="1"/>
  <c r="N13" i="1"/>
  <c r="K39" i="8" l="1"/>
  <c r="W6" i="7"/>
  <c r="S18" i="7" s="1"/>
  <c r="J51" i="8" s="1"/>
  <c r="U8" i="7"/>
  <c r="G44" i="1"/>
  <c r="E14" i="1"/>
  <c r="E17" i="1" s="1"/>
  <c r="G45" i="1" s="1"/>
  <c r="H22" i="4"/>
  <c r="L7" i="8"/>
  <c r="L8" i="8"/>
  <c r="G46" i="1"/>
  <c r="G49" i="2"/>
  <c r="R12" i="2" s="1"/>
  <c r="K7" i="8" s="1"/>
  <c r="N13" i="2"/>
  <c r="E55" i="1"/>
  <c r="I54" i="1"/>
  <c r="R9" i="1" s="1"/>
  <c r="D6" i="8" s="1"/>
  <c r="N12" i="1"/>
  <c r="K41" i="8" l="1"/>
  <c r="U9" i="7"/>
  <c r="R16" i="2"/>
  <c r="R10" i="2"/>
  <c r="V12" i="2"/>
  <c r="O7" i="8" s="1"/>
  <c r="G47" i="1"/>
  <c r="Q11" i="1" s="1"/>
  <c r="C8" i="8" s="1"/>
  <c r="L9" i="8"/>
  <c r="R17" i="2"/>
  <c r="R14" i="2"/>
  <c r="K9" i="8" s="1"/>
  <c r="R15" i="2"/>
  <c r="R11" i="2"/>
  <c r="R19" i="2"/>
  <c r="R18" i="2"/>
  <c r="G48" i="1"/>
  <c r="R13" i="2"/>
  <c r="Q15" i="1"/>
  <c r="E56" i="1"/>
  <c r="I56" i="1" s="1"/>
  <c r="I55" i="1"/>
  <c r="R10" i="1" s="1"/>
  <c r="D7" i="8" s="1"/>
  <c r="K42" i="8" l="1"/>
  <c r="U10" i="7"/>
  <c r="Q8" i="1"/>
  <c r="Q13" i="1"/>
  <c r="C10" i="8" s="1"/>
  <c r="Q12" i="1"/>
  <c r="C9" i="8" s="1"/>
  <c r="Q17" i="1"/>
  <c r="C14" i="8" s="1"/>
  <c r="Q16" i="1"/>
  <c r="U16" i="1" s="1"/>
  <c r="G13" i="8" s="1"/>
  <c r="Q9" i="1"/>
  <c r="U9" i="1" s="1"/>
  <c r="G6" i="8" s="1"/>
  <c r="Q14" i="1"/>
  <c r="U14" i="1" s="1"/>
  <c r="G11" i="8" s="1"/>
  <c r="Q10" i="1"/>
  <c r="C7" i="8" s="1"/>
  <c r="K8" i="8"/>
  <c r="V13" i="2"/>
  <c r="O8" i="8" s="1"/>
  <c r="K14" i="8"/>
  <c r="V19" i="2"/>
  <c r="O14" i="8" s="1"/>
  <c r="K6" i="8"/>
  <c r="V11" i="2"/>
  <c r="O6" i="8" s="1"/>
  <c r="K5" i="8"/>
  <c r="V10" i="2"/>
  <c r="K12" i="8"/>
  <c r="V17" i="2"/>
  <c r="O12" i="8" s="1"/>
  <c r="V14" i="2"/>
  <c r="O9" i="8" s="1"/>
  <c r="V18" i="2"/>
  <c r="O13" i="8" s="1"/>
  <c r="K13" i="8"/>
  <c r="K10" i="8"/>
  <c r="V15" i="2"/>
  <c r="O10" i="8" s="1"/>
  <c r="V16" i="2"/>
  <c r="O11" i="8" s="1"/>
  <c r="K11" i="8"/>
  <c r="U8" i="1"/>
  <c r="C5" i="8"/>
  <c r="U15" i="1"/>
  <c r="G12" i="8" s="1"/>
  <c r="C12" i="8"/>
  <c r="U13" i="1"/>
  <c r="G10" i="8" s="1"/>
  <c r="R11" i="1"/>
  <c r="K43" i="8" l="1"/>
  <c r="U11" i="7"/>
  <c r="C6" i="8"/>
  <c r="U17" i="1"/>
  <c r="G14" i="8" s="1"/>
  <c r="C13" i="8"/>
  <c r="U10" i="1"/>
  <c r="G7" i="8" s="1"/>
  <c r="C11" i="8"/>
  <c r="O5" i="8"/>
  <c r="W10" i="2"/>
  <c r="W11" i="2"/>
  <c r="W12" i="2" s="1"/>
  <c r="U11" i="1"/>
  <c r="G8" i="8" s="1"/>
  <c r="D8" i="8"/>
  <c r="U12" i="1"/>
  <c r="G9" i="8" s="1"/>
  <c r="D9" i="8"/>
  <c r="V8" i="1"/>
  <c r="X8" i="1" s="1"/>
  <c r="G5" i="8"/>
  <c r="U12" i="7" l="1"/>
  <c r="K44" i="8"/>
  <c r="P7" i="8"/>
  <c r="W13" i="2"/>
  <c r="P8" i="8" s="1"/>
  <c r="P6" i="8"/>
  <c r="P5" i="8"/>
  <c r="Y10" i="2"/>
  <c r="U22" i="2" s="1"/>
  <c r="N17" i="8" s="1"/>
  <c r="T20" i="1"/>
  <c r="H5" i="8"/>
  <c r="V9" i="1"/>
  <c r="U13" i="7" l="1"/>
  <c r="K45" i="8"/>
  <c r="W14" i="2"/>
  <c r="P9" i="8" s="1"/>
  <c r="F17" i="8"/>
  <c r="H6" i="8"/>
  <c r="V10" i="1"/>
  <c r="U14" i="7" l="1"/>
  <c r="K46" i="8"/>
  <c r="W15" i="2"/>
  <c r="P10" i="8" s="1"/>
  <c r="V11" i="1"/>
  <c r="H7" i="8"/>
  <c r="U15" i="7" l="1"/>
  <c r="K48" i="8" s="1"/>
  <c r="K47" i="8"/>
  <c r="W16" i="2"/>
  <c r="P11" i="8" s="1"/>
  <c r="V12" i="1"/>
  <c r="H8" i="8"/>
  <c r="W17" i="2" l="1"/>
  <c r="P12" i="8" s="1"/>
  <c r="V13" i="1"/>
  <c r="H9" i="8"/>
  <c r="W18" i="2" l="1"/>
  <c r="P13" i="8" s="1"/>
  <c r="W19" i="2"/>
  <c r="P14" i="8" s="1"/>
  <c r="V14" i="1"/>
  <c r="H10" i="8"/>
  <c r="V15" i="1" l="1"/>
  <c r="H11" i="8"/>
  <c r="V16" i="1" l="1"/>
  <c r="H12" i="8"/>
  <c r="V17" i="1" l="1"/>
  <c r="H14" i="8" s="1"/>
  <c r="H1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Snehal Sahu</author>
  </authors>
  <commentList>
    <comment ref="E3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Snehal Sahu: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LITER 5% AD BLUE COUNSUME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Snehal Sahu</author>
  </authors>
  <commentList>
    <comment ref="O2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Snehal Sahu: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85% usable battery and 15% for the reserved</t>
        </r>
      </text>
    </comment>
  </commentList>
</comments>
</file>

<file path=xl/sharedStrings.xml><?xml version="1.0" encoding="utf-8"?>
<sst xmlns="http://schemas.openxmlformats.org/spreadsheetml/2006/main" count="577" uniqueCount="303">
  <si>
    <t>Parameter</t>
  </si>
  <si>
    <t>Diesel Vehicle</t>
  </si>
  <si>
    <t>Electric Vehicle</t>
  </si>
  <si>
    <t>A</t>
  </si>
  <si>
    <t>Vehicle</t>
  </si>
  <si>
    <t>Diesel</t>
  </si>
  <si>
    <t>EV</t>
  </si>
  <si>
    <t>B</t>
  </si>
  <si>
    <t>Ex show room price (Rs Lacs)</t>
  </si>
  <si>
    <t>C</t>
  </si>
  <si>
    <t>Tons Per Trip per Truck</t>
  </si>
  <si>
    <t>Inc. Depreciation</t>
  </si>
  <si>
    <t>D</t>
  </si>
  <si>
    <t>GC/EC</t>
  </si>
  <si>
    <t>No of vehicles used</t>
  </si>
  <si>
    <t>W/O Depreciation</t>
  </si>
  <si>
    <t>E</t>
  </si>
  <si>
    <t>No Of chargers</t>
  </si>
  <si>
    <t>NA</t>
  </si>
  <si>
    <t>One charger can be used for</t>
  </si>
  <si>
    <t>vehicles</t>
  </si>
  <si>
    <t>F</t>
  </si>
  <si>
    <t>Charger Price (Lakhs)</t>
  </si>
  <si>
    <t>Year</t>
  </si>
  <si>
    <t>Operation Saving</t>
  </si>
  <si>
    <t>Depreciation Saving</t>
  </si>
  <si>
    <t>Additional Salvage value</t>
  </si>
  <si>
    <t>Battery Replacement (Optional)</t>
  </si>
  <si>
    <t>Total Saving/Year</t>
  </si>
  <si>
    <t>Cumalative Saving(in lakh)</t>
  </si>
  <si>
    <t>G</t>
  </si>
  <si>
    <t>B*D</t>
  </si>
  <si>
    <t>Vehicle cost</t>
  </si>
  <si>
    <t>Basic</t>
  </si>
  <si>
    <t>H</t>
  </si>
  <si>
    <t>On road Price (Lakhs) with GST</t>
  </si>
  <si>
    <t>28%</t>
  </si>
  <si>
    <t>Basic + GST</t>
  </si>
  <si>
    <t>I</t>
  </si>
  <si>
    <t xml:space="preserve">Salvage Value (Lakhs) </t>
  </si>
  <si>
    <t>15%</t>
  </si>
  <si>
    <t>J</t>
  </si>
  <si>
    <t>Vehicle life in Years</t>
  </si>
  <si>
    <t>vehicle Type</t>
  </si>
  <si>
    <t>Principal</t>
  </si>
  <si>
    <t>Interest</t>
  </si>
  <si>
    <t>Total</t>
  </si>
  <si>
    <t>K</t>
  </si>
  <si>
    <t>G-I</t>
  </si>
  <si>
    <t>Total Depreciation</t>
  </si>
  <si>
    <t xml:space="preserve">Diesel </t>
  </si>
  <si>
    <t>L</t>
  </si>
  <si>
    <t>A) Principal comp / Year</t>
  </si>
  <si>
    <t>Electric</t>
  </si>
  <si>
    <t>M</t>
  </si>
  <si>
    <t>B) Interest per year</t>
  </si>
  <si>
    <t>9.5%</t>
  </si>
  <si>
    <t>Diff</t>
  </si>
  <si>
    <t>N</t>
  </si>
  <si>
    <t>C) Insurance</t>
  </si>
  <si>
    <t>O</t>
  </si>
  <si>
    <t xml:space="preserve">D) Tax + Permit </t>
  </si>
  <si>
    <t>P</t>
  </si>
  <si>
    <t>Capex (A+B+C+D)/Year</t>
  </si>
  <si>
    <t>Operation Parameters:</t>
  </si>
  <si>
    <t>Q</t>
  </si>
  <si>
    <t xml:space="preserve">Ton per trip </t>
  </si>
  <si>
    <t>Scenario:</t>
  </si>
  <si>
    <t>BASIC</t>
  </si>
  <si>
    <t>Payback Period:</t>
  </si>
  <si>
    <t>R</t>
  </si>
  <si>
    <t>No. of trip per day</t>
  </si>
  <si>
    <t>S</t>
  </si>
  <si>
    <t>Distance per trip (Km)</t>
  </si>
  <si>
    <t>T</t>
  </si>
  <si>
    <t>Kms/day</t>
  </si>
  <si>
    <t>V</t>
  </si>
  <si>
    <t>Q*R*D</t>
  </si>
  <si>
    <t>Ton per Day</t>
  </si>
  <si>
    <t>W</t>
  </si>
  <si>
    <t>Ton per month</t>
  </si>
  <si>
    <t>No of Vehicles in RMHS</t>
  </si>
  <si>
    <t>Opex Parameters:</t>
  </si>
  <si>
    <t>Diesel issued in a day (L)</t>
  </si>
  <si>
    <t>X</t>
  </si>
  <si>
    <t>Energy/hour</t>
  </si>
  <si>
    <t>LITER DIESEL CONSUME IN 20 HR</t>
  </si>
  <si>
    <t>Y</t>
  </si>
  <si>
    <t>Hours of Op/day</t>
  </si>
  <si>
    <t>3kwh used in per tirp</t>
  </si>
  <si>
    <t>Z</t>
  </si>
  <si>
    <t>Energy cost</t>
  </si>
  <si>
    <t>AA</t>
  </si>
  <si>
    <t>Driver Cost 3 driver/ month</t>
  </si>
  <si>
    <t>Driver cost</t>
  </si>
  <si>
    <t>AB</t>
  </si>
  <si>
    <t>Tyer Cost/month</t>
  </si>
  <si>
    <t>AC</t>
  </si>
  <si>
    <t>wear &amp; tear cost/month</t>
  </si>
  <si>
    <t>AD</t>
  </si>
  <si>
    <t>Day run in month</t>
  </si>
  <si>
    <t xml:space="preserve">Operational Savings Calculation </t>
  </si>
  <si>
    <t>AE</t>
  </si>
  <si>
    <t>Vehicle type</t>
  </si>
  <si>
    <t>Cost/Day</t>
  </si>
  <si>
    <t>Cost/Month</t>
  </si>
  <si>
    <t>AF</t>
  </si>
  <si>
    <t>AG</t>
  </si>
  <si>
    <t>Ad Blue Cost/Per Truck (50/- per Lt)</t>
  </si>
  <si>
    <t>AH</t>
  </si>
  <si>
    <t>Toal Diesel cost</t>
  </si>
  <si>
    <t>AI</t>
  </si>
  <si>
    <t>Enregy cost of EV</t>
  </si>
  <si>
    <t>Energy cost of EV= [{(Total trip in a day/Operating hour in a day)X Kwh used in per trip} X Running hour per dayX( Energy cost per unit]</t>
  </si>
  <si>
    <t>AK</t>
  </si>
  <si>
    <t xml:space="preserve">Total Opex Diesel </t>
  </si>
  <si>
    <t>Diesel+Tyer+main.+driver</t>
  </si>
  <si>
    <t>AL</t>
  </si>
  <si>
    <t>Total Opex Ev</t>
  </si>
  <si>
    <t>Energy+Tyer+main.+driver</t>
  </si>
  <si>
    <t>AM</t>
  </si>
  <si>
    <t>AK-AL</t>
  </si>
  <si>
    <t>Total Opex Saving</t>
  </si>
  <si>
    <t>AN</t>
  </si>
  <si>
    <t>AK+EP</t>
  </si>
  <si>
    <t>Opex+Capex For diesel</t>
  </si>
  <si>
    <t>per month diesel cost add</t>
  </si>
  <si>
    <t>AO</t>
  </si>
  <si>
    <t>AL+GP</t>
  </si>
  <si>
    <t>Opex+Capex For EV</t>
  </si>
  <si>
    <t>per month EV cost add</t>
  </si>
  <si>
    <t>AP</t>
  </si>
  <si>
    <t>AN-AO</t>
  </si>
  <si>
    <t>Net Saving per Month</t>
  </si>
  <si>
    <t>Tax Benefit through Depriciation Calculation</t>
  </si>
  <si>
    <t>Diesel Vehicle Dep.</t>
  </si>
  <si>
    <t>Dep.rate</t>
  </si>
  <si>
    <t>EV Dep</t>
  </si>
  <si>
    <t>Dep rate</t>
  </si>
  <si>
    <t>Tax Savings/Year</t>
  </si>
  <si>
    <t>Income Tax Rate</t>
  </si>
  <si>
    <t>40%</t>
  </si>
  <si>
    <t>25.17%</t>
  </si>
  <si>
    <t xml:space="preserve">Question </t>
  </si>
  <si>
    <t>IF calculated the salvage value both charge price + Ex. Show room Price then depreciation also calculated the both price</t>
  </si>
  <si>
    <t>Opening Value</t>
  </si>
  <si>
    <t>Depreciation (40%)</t>
  </si>
  <si>
    <t>Closing Value</t>
  </si>
  <si>
    <r>
      <t xml:space="preserve">Here, ₹1,782,000 is </t>
    </r>
    <r>
      <rPr>
        <b/>
        <sz val="12"/>
        <color theme="1"/>
        <rFont val="Aptos Narrow"/>
        <family val="2"/>
        <scheme val="minor"/>
      </rPr>
      <t>below</t>
    </r>
    <r>
      <rPr>
        <sz val="12"/>
        <color theme="1"/>
        <rFont val="Aptos Narrow"/>
        <family val="2"/>
        <scheme val="minor"/>
      </rPr>
      <t xml:space="preserve"> the salvage value ₹2,062,500.</t>
    </r>
  </si>
  <si>
    <t>So in year 4, depreciation must be adjusted.</t>
  </si>
  <si>
    <r>
      <t>Year 4 adjusted depreciation</t>
    </r>
    <r>
      <rPr>
        <sz val="12"/>
        <color theme="1"/>
        <rFont val="Aptos Narrow"/>
        <family val="2"/>
        <scheme val="minor"/>
      </rPr>
      <t xml:space="preserve"> = Opening value – Salvage value</t>
    </r>
  </si>
  <si>
    <t>= ₹2,970,000 – ₹2,062,500</t>
  </si>
  <si>
    <r>
      <t xml:space="preserve">= </t>
    </r>
    <r>
      <rPr>
        <b/>
        <sz val="12"/>
        <color theme="1"/>
        <rFont val="Aptos Narrow"/>
        <family val="2"/>
        <scheme val="minor"/>
      </rPr>
      <t>₹907,500</t>
    </r>
  </si>
  <si>
    <t>Salvage value matched</t>
  </si>
  <si>
    <t>NOTE:</t>
  </si>
  <si>
    <t>CENTERAL</t>
  </si>
  <si>
    <t>1. PM E DRIVE</t>
  </si>
  <si>
    <t>The Demand Incentive to be provided to e-trucks will be lower of the following:</t>
  </si>
  <si>
    <r>
      <t>a)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Times New Roman"/>
        <family val="1"/>
      </rPr>
      <t>₹5,000 multiplied by battery capacity measured in kilowatt-hour (kWh),</t>
    </r>
  </si>
  <si>
    <r>
      <t>b)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Times New Roman"/>
        <family val="1"/>
      </rPr>
      <t>10% of ex-factory price (excluding trailer),</t>
    </r>
  </si>
  <si>
    <r>
      <t>c)</t>
    </r>
    <r>
      <rPr>
        <sz val="10"/>
        <color rgb="FF000000"/>
        <rFont val="Arial"/>
        <family val="2"/>
      </rPr>
      <t xml:space="preserve"> Maximum incentive based on</t>
    </r>
    <r>
      <rPr>
        <sz val="10"/>
        <color rgb="FF000000"/>
        <rFont val="Times New Roman"/>
        <family val="1"/>
      </rPr>
      <t xml:space="preserve"> GVW</t>
    </r>
  </si>
  <si>
    <t>GVW  &gt;18.5 &amp; &lt;=35  ,   9.6lacs</t>
  </si>
  <si>
    <t>GVW &gt;35 &amp; &lt;=55  ,   9.6lacs</t>
  </si>
  <si>
    <t>Note only applicable fir first 5643, N2 and N3 category vehicle</t>
  </si>
  <si>
    <t>Odisha Government According to Ev policy</t>
  </si>
  <si>
    <t>1.) 100% GST Reimbursement</t>
  </si>
  <si>
    <t>2.) 5% interest subvention</t>
  </si>
  <si>
    <t>3.) Road tax exemption</t>
  </si>
  <si>
    <t>1.) PM E-drive Install 240Kw charging station (80% up to 19.2Lacs Claim)</t>
  </si>
  <si>
    <t>Condition: Must be public-use, follow MoP &amp; CEA norms</t>
  </si>
  <si>
    <t>2.) Odisha Ev Policy 25% claim</t>
  </si>
  <si>
    <t>same</t>
  </si>
  <si>
    <t>Government has rolled out FAME III Incentive , it’s under evaluation</t>
  </si>
  <si>
    <t>Battery Capacity</t>
  </si>
  <si>
    <t>15% Reserved</t>
  </si>
  <si>
    <t>Used battery</t>
  </si>
  <si>
    <t>Range</t>
  </si>
  <si>
    <t>KWH/km</t>
  </si>
  <si>
    <t>Extra enrgey con.</t>
  </si>
  <si>
    <t>Total KWH used/Km</t>
  </si>
  <si>
    <t xml:space="preserve">Distance </t>
  </si>
  <si>
    <t>Total Dis</t>
  </si>
  <si>
    <t xml:space="preserve">Total Kwh used </t>
  </si>
  <si>
    <t>working Hr.</t>
  </si>
  <si>
    <t xml:space="preserve">1 hr. </t>
  </si>
  <si>
    <t>ASSUMPTION &amp; INPUT</t>
  </si>
  <si>
    <t>No of charger</t>
  </si>
  <si>
    <t>5%</t>
  </si>
  <si>
    <t>Salvage Value (Lakhs) 15%</t>
  </si>
  <si>
    <t>Vehical type</t>
  </si>
  <si>
    <t>D) Tax + Permit + Registration</t>
  </si>
  <si>
    <t>OPERATION PARAMETERS:</t>
  </si>
  <si>
    <t>battery capacity kwh</t>
  </si>
  <si>
    <t>Without load km</t>
  </si>
  <si>
    <t>100-120</t>
  </si>
  <si>
    <t>Distance per trip</t>
  </si>
  <si>
    <t>With load km</t>
  </si>
  <si>
    <t>200-220</t>
  </si>
  <si>
    <t>20% to 100% in 1hr charge</t>
  </si>
  <si>
    <t>With load Kwh/km(100)</t>
  </si>
  <si>
    <t>With load Kwh/km (120)</t>
  </si>
  <si>
    <t>Total Days</t>
  </si>
  <si>
    <t>Avg. With load Kwh/km</t>
  </si>
  <si>
    <t>Without Load Kwh/km(200)</t>
  </si>
  <si>
    <t>Without Load Kwh/km(220)</t>
  </si>
  <si>
    <t>Avg. Without load Kwh/km</t>
  </si>
  <si>
    <t>Driver Cost 3 driver</t>
  </si>
  <si>
    <t>Total trip</t>
  </si>
  <si>
    <t>Tyer Cost</t>
  </si>
  <si>
    <t>Loded</t>
  </si>
  <si>
    <t>Without Loded</t>
  </si>
  <si>
    <t>Distance</t>
  </si>
  <si>
    <t>Distance Loded</t>
  </si>
  <si>
    <t>Distance Without loded</t>
  </si>
  <si>
    <t>Kwh used with load</t>
  </si>
  <si>
    <t>Kwh used without load</t>
  </si>
  <si>
    <t>Kwh used</t>
  </si>
  <si>
    <t>Assumption kwh per trip</t>
  </si>
  <si>
    <t>Total Kwh used</t>
  </si>
  <si>
    <t>working hr</t>
  </si>
  <si>
    <t>1hr Kwh used</t>
  </si>
  <si>
    <t>per month Ev cost add</t>
  </si>
  <si>
    <r>
      <t xml:space="preserve">Here, ₹1,610,280 is </t>
    </r>
    <r>
      <rPr>
        <b/>
        <sz val="12"/>
        <color theme="1"/>
        <rFont val="Aptos Narrow"/>
        <family val="2"/>
        <scheme val="minor"/>
      </rPr>
      <t>below</t>
    </r>
    <r>
      <rPr>
        <sz val="12"/>
        <color theme="1"/>
        <rFont val="Aptos Narrow"/>
        <family val="2"/>
        <scheme val="minor"/>
      </rPr>
      <t xml:space="preserve"> the salvage value ₹1,863,750.</t>
    </r>
  </si>
  <si>
    <r>
      <t xml:space="preserve">So in year 4, we </t>
    </r>
    <r>
      <rPr>
        <b/>
        <sz val="12"/>
        <color theme="1"/>
        <rFont val="Aptos Narrow"/>
        <family val="2"/>
        <scheme val="minor"/>
      </rPr>
      <t>adjust</t>
    </r>
    <r>
      <rPr>
        <sz val="12"/>
        <color theme="1"/>
        <rFont val="Aptos Narrow"/>
        <family val="2"/>
        <scheme val="minor"/>
      </rPr>
      <t xml:space="preserve"> depreciation.</t>
    </r>
  </si>
  <si>
    <t>= ₹2,683,800 – ₹1,863,750</t>
  </si>
  <si>
    <r>
      <t xml:space="preserve">= </t>
    </r>
    <r>
      <rPr>
        <b/>
        <sz val="12"/>
        <color theme="1"/>
        <rFont val="Aptos Narrow"/>
        <family val="2"/>
        <scheme val="minor"/>
      </rPr>
      <t>₹820,050</t>
    </r>
  </si>
  <si>
    <t>Depreciation</t>
  </si>
  <si>
    <t>Ton per trip per truck</t>
  </si>
  <si>
    <t>'One charger can be used for</t>
  </si>
  <si>
    <r>
      <t xml:space="preserve">Here, ₹1,874,404.8 is </t>
    </r>
    <r>
      <rPr>
        <b/>
        <sz val="12"/>
        <color theme="1"/>
        <rFont val="Aptos Narrow"/>
        <family val="2"/>
        <scheme val="minor"/>
      </rPr>
      <t>below</t>
    </r>
    <r>
      <rPr>
        <sz val="12"/>
        <color theme="1"/>
        <rFont val="Aptos Narrow"/>
        <family val="2"/>
        <scheme val="minor"/>
      </rPr>
      <t xml:space="preserve"> salvage value ₹2,169,450.</t>
    </r>
  </si>
  <si>
    <t>So in year 4, we adjust depreciation.</t>
  </si>
  <si>
    <t>= ₹3,124,008 – ₹2,169,450</t>
  </si>
  <si>
    <r>
      <t xml:space="preserve">= </t>
    </r>
    <r>
      <rPr>
        <b/>
        <sz val="12"/>
        <color theme="1"/>
        <rFont val="Aptos Narrow"/>
        <family val="2"/>
        <scheme val="minor"/>
      </rPr>
      <t>₹954,558</t>
    </r>
  </si>
  <si>
    <t>Propel</t>
  </si>
  <si>
    <t>Olectra</t>
  </si>
  <si>
    <t>Tata</t>
  </si>
  <si>
    <t>No of Vehicle</t>
  </si>
  <si>
    <t>E=1/4</t>
  </si>
  <si>
    <t>No of chargers</t>
  </si>
  <si>
    <t>G=(B*D)+(E*F)</t>
  </si>
  <si>
    <t>total</t>
  </si>
  <si>
    <t>TATA</t>
  </si>
  <si>
    <t>K=G-I</t>
  </si>
  <si>
    <t>L=K/J</t>
  </si>
  <si>
    <t>A) Principal component/ Year</t>
  </si>
  <si>
    <t>D) TAX+Permit</t>
  </si>
  <si>
    <t>Q=P/12</t>
  </si>
  <si>
    <t>Capex (A+B+C+D)/Month</t>
  </si>
  <si>
    <t>Enregy cost of EV/Diesel</t>
  </si>
  <si>
    <t>Total per Month cost of EV/Diesel in Rs Lacs</t>
  </si>
  <si>
    <t>PROPEL</t>
  </si>
  <si>
    <t>TATA PRIMA</t>
  </si>
  <si>
    <t>-</t>
  </si>
  <si>
    <t>OLECTRA</t>
  </si>
  <si>
    <t>Feature</t>
  </si>
  <si>
    <t>Propel 470 MEV</t>
  </si>
  <si>
    <t>Olectra Meghaetron</t>
  </si>
  <si>
    <t>Tata Prima E.28k</t>
  </si>
  <si>
    <t>TATA Singa 28.30TK</t>
  </si>
  <si>
    <t>Vehicle Type</t>
  </si>
  <si>
    <t>Carrying capacity (Ton)</t>
  </si>
  <si>
    <t>Motor Power</t>
  </si>
  <si>
    <t>470 HP</t>
  </si>
  <si>
    <t>362 HP (270 kW)</t>
  </si>
  <si>
    <t>328 HP (245 kW peak)</t>
  </si>
  <si>
    <t>300 HP</t>
  </si>
  <si>
    <t>Max Torque</t>
  </si>
  <si>
    <t>2800 Nm</t>
  </si>
  <si>
    <t>2400 Nm</t>
  </si>
  <si>
    <t>2950 Nm</t>
  </si>
  <si>
    <t>1100 Nm</t>
  </si>
  <si>
    <t>Body Volume</t>
  </si>
  <si>
    <t xml:space="preserve">18 m³ </t>
  </si>
  <si>
    <t>18 m³</t>
  </si>
  <si>
    <t xml:space="preserve">16m³ </t>
  </si>
  <si>
    <t>Wheelbase</t>
  </si>
  <si>
    <t>4300 mm</t>
  </si>
  <si>
    <t>4975 mm</t>
  </si>
  <si>
    <t>~3800 mm (est.)</t>
  </si>
  <si>
    <t>Overall Dimensions (L/W/H)</t>
  </si>
  <si>
    <t>8275 / 2800 / 3650 mm</t>
  </si>
  <si>
    <t>8625 / 2525 / 3678 mm</t>
  </si>
  <si>
    <t>--- / 2400 / --- mm</t>
  </si>
  <si>
    <t>Ground Clearance</t>
  </si>
  <si>
    <t>265 mm</t>
  </si>
  <si>
    <t>320 mm</t>
  </si>
  <si>
    <t>262 mm</t>
  </si>
  <si>
    <t xml:space="preserve">171 kWh </t>
  </si>
  <si>
    <t>255kwh</t>
  </si>
  <si>
    <t>300kwh</t>
  </si>
  <si>
    <t>Rear Axle Ratio</t>
  </si>
  <si>
    <t>tata2830.K</t>
  </si>
  <si>
    <t>propel</t>
  </si>
  <si>
    <t>tata</t>
  </si>
  <si>
    <t>cum</t>
  </si>
  <si>
    <t>tata motrs modify</t>
  </si>
  <si>
    <t>1 charge install</t>
  </si>
  <si>
    <t>iorn (ton)</t>
  </si>
  <si>
    <t>25-30</t>
  </si>
  <si>
    <t>40-45</t>
  </si>
  <si>
    <t>1 vehicle chrge with 2 output once then charge 1hr</t>
  </si>
  <si>
    <t>2 output</t>
  </si>
  <si>
    <t>Once time charge 2 vehicle then 1 vehicle full charge time 2, 2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</si>
</sst>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₹-4009]\ #,##0.00"/>
    <numFmt numFmtId="165" formatCode="0.0"/>
    <numFmt numFmtId="166" formatCode="_ * #,##0_ ;_ * \-#,##0_ ;_ * &quot;-&quot;??_ ;_ @_ "/>
  </numFmts>
  <fonts count="45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000000"/>
      <name val="Calibri"/>
      <family val="2"/>
    </font>
    <font>
      <b/>
      <sz val="9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9"/>
      <color theme="1"/>
      <name val="Aptos Narrow (Body)"/>
    </font>
    <font>
      <b/>
      <sz val="10"/>
      <color rgb="FF000000"/>
      <name val="Tahoma"/>
      <family val="2"/>
    </font>
    <font>
      <sz val="9"/>
      <color theme="1"/>
      <name val="Calibri"/>
      <family val="2"/>
    </font>
    <font>
      <sz val="12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b/>
      <sz val="12"/>
      <color rgb="FF222222"/>
      <name val="Times New Roman"/>
      <family val="1"/>
    </font>
    <font>
      <b/>
      <sz val="10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9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FF0000"/>
      <name val="Aptos Narrow"/>
      <family val="2"/>
      <scheme val="minor"/>
    </font>
    <font>
      <sz val="11"/>
      <color rgb="FF000000"/>
      <name val="Calibri"/>
      <family val="2"/>
    </font>
    <font>
      <u/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B050"/>
      <name val="Calibri"/>
      <family val="2"/>
    </font>
    <font>
      <sz val="11"/>
      <color rgb="FF548235"/>
      <name val="Calibri"/>
      <family val="2"/>
    </font>
    <font>
      <sz val="11"/>
      <color theme="1"/>
      <name val="Calibri"/>
      <family val="2"/>
    </font>
    <font>
      <sz val="12"/>
      <color rgb="FFFF0000"/>
      <name val="Aptos Narrow"/>
      <family val="2"/>
      <scheme val="minor"/>
    </font>
    <font>
      <sz val="20"/>
      <color rgb="FF000000"/>
      <name val="Calibri"/>
      <family val="2"/>
    </font>
    <font>
      <sz val="9"/>
      <color rgb="FF000000"/>
      <name val="Aptos Narrow"/>
      <family val="2"/>
      <scheme val="minor"/>
    </font>
    <font>
      <sz val="9"/>
      <color theme="0"/>
      <name val="Calibri"/>
      <family val="2"/>
    </font>
    <font>
      <b/>
      <sz val="15"/>
      <color theme="1"/>
      <name val="Aptos Narrow"/>
      <scheme val="minor"/>
    </font>
    <font>
      <sz val="9"/>
      <color rgb="FFFF0000"/>
      <name val="Calibri"/>
      <family val="2"/>
    </font>
    <font>
      <sz val="12"/>
      <color theme="1"/>
      <name val="Helvetica"/>
      <family val="2"/>
    </font>
    <font>
      <sz val="12"/>
      <color rgb="FF1A1818"/>
      <name val="Helvetica"/>
      <family val="2"/>
    </font>
    <font>
      <sz val="10.5"/>
      <color theme="1"/>
      <name val="Helvetica Neue"/>
      <family val="2"/>
    </font>
    <font>
      <b/>
      <sz val="10.5"/>
      <color theme="1"/>
      <name val="Helvetica Neue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7" borderId="0" xfId="0" applyFill="1"/>
    <xf numFmtId="0" fontId="2" fillId="2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" fontId="2" fillId="2" borderId="2" xfId="0" applyNumberFormat="1" applyFont="1" applyFill="1" applyBorder="1"/>
    <xf numFmtId="4" fontId="2" fillId="2" borderId="2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2" borderId="0" xfId="0" quotePrefix="1" applyFont="1" applyFill="1"/>
    <xf numFmtId="2" fontId="4" fillId="6" borderId="2" xfId="0" applyNumberFormat="1" applyFont="1" applyFill="1" applyBorder="1" applyAlignment="1">
      <alignment horizontal="center" vertical="center"/>
    </xf>
    <xf numFmtId="4" fontId="2" fillId="2" borderId="2" xfId="0" quotePrefix="1" applyNumberFormat="1" applyFont="1" applyFill="1" applyBorder="1" applyAlignment="1">
      <alignment horizontal="center"/>
    </xf>
    <xf numFmtId="9" fontId="2" fillId="2" borderId="0" xfId="0" quotePrefix="1" applyNumberFormat="1" applyFont="1" applyFill="1" applyAlignment="1">
      <alignment horizontal="center"/>
    </xf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0" xfId="0" applyNumberFormat="1" applyFont="1" applyFill="1"/>
    <xf numFmtId="164" fontId="2" fillId="2" borderId="2" xfId="0" applyNumberFormat="1" applyFont="1" applyFill="1" applyBorder="1" applyAlignment="1">
      <alignment horizontal="center"/>
    </xf>
    <xf numFmtId="0" fontId="2" fillId="5" borderId="3" xfId="0" applyFont="1" applyFill="1" applyBorder="1"/>
    <xf numFmtId="0" fontId="2" fillId="5" borderId="4" xfId="0" applyFont="1" applyFill="1" applyBorder="1"/>
    <xf numFmtId="164" fontId="2" fillId="5" borderId="2" xfId="0" applyNumberFormat="1" applyFont="1" applyFill="1" applyBorder="1"/>
    <xf numFmtId="0" fontId="2" fillId="2" borderId="3" xfId="0" applyFont="1" applyFill="1" applyBorder="1"/>
    <xf numFmtId="0" fontId="2" fillId="2" borderId="0" xfId="0" quotePrefix="1" applyFont="1" applyFill="1" applyAlignment="1">
      <alignment wrapText="1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3" fontId="0" fillId="2" borderId="2" xfId="0" applyNumberFormat="1" applyFill="1" applyBorder="1" applyAlignment="1">
      <alignment horizontal="right"/>
    </xf>
    <xf numFmtId="4" fontId="2" fillId="2" borderId="3" xfId="0" applyNumberFormat="1" applyFont="1" applyFill="1" applyBorder="1" applyAlignment="1">
      <alignment horizontal="center"/>
    </xf>
    <xf numFmtId="4" fontId="2" fillId="2" borderId="3" xfId="0" quotePrefix="1" applyNumberFormat="1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4" fontId="2" fillId="7" borderId="2" xfId="0" applyNumberFormat="1" applyFont="1" applyFill="1" applyBorder="1" applyAlignment="1">
      <alignment horizontal="center"/>
    </xf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2" borderId="0" xfId="0" quotePrefix="1" applyNumberFormat="1" applyFont="1" applyFill="1" applyAlignment="1">
      <alignment horizontal="center"/>
    </xf>
    <xf numFmtId="0" fontId="4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/>
    </xf>
    <xf numFmtId="164" fontId="0" fillId="2" borderId="0" xfId="0" applyNumberFormat="1" applyFill="1"/>
    <xf numFmtId="3" fontId="2" fillId="2" borderId="2" xfId="0" applyNumberFormat="1" applyFont="1" applyFill="1" applyBorder="1"/>
    <xf numFmtId="3" fontId="2" fillId="3" borderId="2" xfId="0" applyNumberFormat="1" applyFont="1" applyFill="1" applyBorder="1"/>
    <xf numFmtId="0" fontId="8" fillId="10" borderId="1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2" borderId="2" xfId="1" applyNumberFormat="1" applyFont="1" applyFill="1" applyBorder="1" applyAlignment="1">
      <alignment vertical="center"/>
    </xf>
    <xf numFmtId="0" fontId="0" fillId="2" borderId="0" xfId="0" applyFill="1" applyAlignment="1">
      <alignment wrapText="1"/>
    </xf>
    <xf numFmtId="0" fontId="0" fillId="2" borderId="0" xfId="0" quotePrefix="1" applyFill="1"/>
    <xf numFmtId="37" fontId="0" fillId="2" borderId="2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37" fontId="0" fillId="2" borderId="0" xfId="1" applyNumberFormat="1" applyFont="1" applyFill="1" applyBorder="1" applyAlignment="1">
      <alignment vertical="center"/>
    </xf>
    <xf numFmtId="166" fontId="0" fillId="2" borderId="0" xfId="1" applyNumberFormat="1" applyFont="1" applyFill="1" applyBorder="1" applyAlignment="1">
      <alignment vertical="center"/>
    </xf>
    <xf numFmtId="164" fontId="2" fillId="7" borderId="2" xfId="0" applyNumberFormat="1" applyFont="1" applyFill="1" applyBorder="1" applyAlignment="1">
      <alignment horizontal="center"/>
    </xf>
    <xf numFmtId="0" fontId="0" fillId="2" borderId="6" xfId="0" quotePrefix="1" applyFill="1" applyBorder="1"/>
    <xf numFmtId="0" fontId="0" fillId="2" borderId="9" xfId="0" quotePrefix="1" applyFill="1" applyBorder="1"/>
    <xf numFmtId="0" fontId="0" fillId="2" borderId="7" xfId="0" quotePrefix="1" applyFill="1" applyBorder="1"/>
    <xf numFmtId="0" fontId="0" fillId="2" borderId="6" xfId="0" quotePrefix="1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1" fillId="0" borderId="0" xfId="0" applyFont="1" applyAlignment="1">
      <alignment horizontal="left" vertical="center" readingOrder="1"/>
    </xf>
    <xf numFmtId="3" fontId="0" fillId="2" borderId="0" xfId="0" applyNumberFormat="1" applyFill="1" applyAlignment="1">
      <alignment horizontal="center"/>
    </xf>
    <xf numFmtId="3" fontId="0" fillId="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 wrapText="1"/>
    </xf>
    <xf numFmtId="3" fontId="9" fillId="2" borderId="2" xfId="0" applyNumberFormat="1" applyFont="1" applyFill="1" applyBorder="1" applyAlignment="1">
      <alignment horizontal="center"/>
    </xf>
    <xf numFmtId="3" fontId="10" fillId="2" borderId="2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4" fillId="6" borderId="6" xfId="0" applyFont="1" applyFill="1" applyBorder="1" applyAlignment="1">
      <alignment vertical="center"/>
    </xf>
    <xf numFmtId="0" fontId="0" fillId="2" borderId="2" xfId="0" applyFill="1" applyBorder="1" applyAlignment="1">
      <alignment horizontal="right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3" xfId="0" applyFill="1" applyBorder="1"/>
    <xf numFmtId="2" fontId="0" fillId="2" borderId="2" xfId="0" applyNumberFormat="1" applyFill="1" applyBorder="1"/>
    <xf numFmtId="0" fontId="12" fillId="6" borderId="2" xfId="0" applyFont="1" applyFill="1" applyBorder="1"/>
    <xf numFmtId="0" fontId="2" fillId="2" borderId="1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13" fillId="2" borderId="2" xfId="0" applyFont="1" applyFill="1" applyBorder="1"/>
    <xf numFmtId="0" fontId="2" fillId="3" borderId="0" xfId="0" applyFont="1" applyFill="1"/>
    <xf numFmtId="0" fontId="4" fillId="8" borderId="10" xfId="0" applyFont="1" applyFill="1" applyBorder="1" applyAlignment="1">
      <alignment vertical="center"/>
    </xf>
    <xf numFmtId="0" fontId="2" fillId="7" borderId="0" xfId="0" applyFont="1" applyFill="1"/>
    <xf numFmtId="0" fontId="2" fillId="2" borderId="2" xfId="0" applyFont="1" applyFill="1" applyBorder="1" applyAlignment="1">
      <alignment vertical="center"/>
    </xf>
    <xf numFmtId="0" fontId="16" fillId="2" borderId="0" xfId="0" applyFont="1" applyFill="1"/>
    <xf numFmtId="0" fontId="7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1" fillId="2" borderId="0" xfId="0" applyFont="1" applyFill="1" applyAlignment="1">
      <alignment vertical="center"/>
    </xf>
    <xf numFmtId="0" fontId="5" fillId="2" borderId="0" xfId="0" applyFont="1" applyFill="1"/>
    <xf numFmtId="0" fontId="18" fillId="0" borderId="0" xfId="0" applyFont="1"/>
    <xf numFmtId="0" fontId="20" fillId="2" borderId="0" xfId="0" applyFont="1" applyFill="1"/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10" fillId="2" borderId="0" xfId="0" applyFont="1" applyFill="1"/>
    <xf numFmtId="0" fontId="21" fillId="0" borderId="0" xfId="0" applyFont="1"/>
    <xf numFmtId="3" fontId="0" fillId="2" borderId="2" xfId="0" applyNumberFormat="1" applyFill="1" applyBorder="1"/>
    <xf numFmtId="0" fontId="22" fillId="2" borderId="0" xfId="0" applyFont="1" applyFill="1"/>
    <xf numFmtId="1" fontId="0" fillId="2" borderId="0" xfId="0" quotePrefix="1" applyNumberFormat="1" applyFill="1" applyAlignment="1">
      <alignment horizontal="center"/>
    </xf>
    <xf numFmtId="0" fontId="0" fillId="2" borderId="2" xfId="0" applyFill="1" applyBorder="1" applyAlignment="1">
      <alignment horizontal="left"/>
    </xf>
    <xf numFmtId="2" fontId="0" fillId="0" borderId="0" xfId="0" applyNumberFormat="1"/>
    <xf numFmtId="0" fontId="15" fillId="14" borderId="7" xfId="0" applyFont="1" applyFill="1" applyBorder="1" applyAlignment="1">
      <alignment vertical="center"/>
    </xf>
    <xf numFmtId="0" fontId="23" fillId="0" borderId="0" xfId="0" applyFont="1"/>
    <xf numFmtId="0" fontId="0" fillId="7" borderId="0" xfId="0" applyFill="1" applyAlignment="1">
      <alignment horizontal="left"/>
    </xf>
    <xf numFmtId="2" fontId="15" fillId="14" borderId="7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/>
    </xf>
    <xf numFmtId="2" fontId="15" fillId="3" borderId="7" xfId="0" applyNumberFormat="1" applyFont="1" applyFill="1" applyBorder="1" applyAlignment="1">
      <alignment horizontal="center" vertical="center"/>
    </xf>
    <xf numFmtId="2" fontId="2" fillId="3" borderId="0" xfId="0" applyNumberFormat="1" applyFont="1" applyFill="1"/>
    <xf numFmtId="2" fontId="2" fillId="2" borderId="2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left" vertical="center" wrapText="1"/>
    </xf>
    <xf numFmtId="0" fontId="4" fillId="14" borderId="2" xfId="0" applyFont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center" vertical="center"/>
    </xf>
    <xf numFmtId="165" fontId="4" fillId="14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/>
    <xf numFmtId="164" fontId="2" fillId="3" borderId="2" xfId="0" applyNumberFormat="1" applyFont="1" applyFill="1" applyBorder="1"/>
    <xf numFmtId="3" fontId="0" fillId="2" borderId="0" xfId="0" applyNumberFormat="1" applyFill="1"/>
    <xf numFmtId="0" fontId="3" fillId="16" borderId="2" xfId="0" applyFont="1" applyFill="1" applyBorder="1" applyAlignment="1">
      <alignment horizontal="center" vertical="center"/>
    </xf>
    <xf numFmtId="0" fontId="24" fillId="16" borderId="2" xfId="0" applyFont="1" applyFill="1" applyBorder="1" applyAlignment="1">
      <alignment horizontal="center"/>
    </xf>
    <xf numFmtId="0" fontId="2" fillId="3" borderId="2" xfId="0" applyFont="1" applyFill="1" applyBorder="1"/>
    <xf numFmtId="2" fontId="2" fillId="3" borderId="2" xfId="0" applyNumberFormat="1" applyFont="1" applyFill="1" applyBorder="1" applyAlignment="1">
      <alignment horizontal="center"/>
    </xf>
    <xf numFmtId="4" fontId="25" fillId="2" borderId="0" xfId="0" applyNumberFormat="1" applyFont="1" applyFill="1"/>
    <xf numFmtId="0" fontId="15" fillId="15" borderId="2" xfId="0" applyFont="1" applyFill="1" applyBorder="1" applyAlignment="1">
      <alignment vertical="center"/>
    </xf>
    <xf numFmtId="0" fontId="15" fillId="15" borderId="2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vertical="center"/>
    </xf>
    <xf numFmtId="2" fontId="15" fillId="15" borderId="2" xfId="0" applyNumberFormat="1" applyFont="1" applyFill="1" applyBorder="1" applyAlignment="1">
      <alignment horizontal="center" vertical="center"/>
    </xf>
    <xf numFmtId="4" fontId="25" fillId="2" borderId="0" xfId="0" applyNumberFormat="1" applyFont="1" applyFill="1" applyAlignment="1">
      <alignment horizontal="center"/>
    </xf>
    <xf numFmtId="0" fontId="25" fillId="2" borderId="0" xfId="0" applyFont="1" applyFill="1"/>
    <xf numFmtId="164" fontId="25" fillId="2" borderId="0" xfId="0" applyNumberFormat="1" applyFont="1" applyFill="1" applyAlignment="1">
      <alignment horizontal="center"/>
    </xf>
    <xf numFmtId="0" fontId="26" fillId="2" borderId="0" xfId="0" applyFont="1" applyFill="1"/>
    <xf numFmtId="3" fontId="25" fillId="2" borderId="0" xfId="0" applyNumberFormat="1" applyFont="1" applyFill="1"/>
    <xf numFmtId="164" fontId="25" fillId="2" borderId="0" xfId="0" applyNumberFormat="1" applyFont="1" applyFill="1"/>
    <xf numFmtId="3" fontId="25" fillId="2" borderId="2" xfId="0" applyNumberFormat="1" applyFont="1" applyFill="1" applyBorder="1"/>
    <xf numFmtId="0" fontId="25" fillId="2" borderId="2" xfId="0" applyFont="1" applyFill="1" applyBorder="1"/>
    <xf numFmtId="0" fontId="3" fillId="7" borderId="2" xfId="0" applyFont="1" applyFill="1" applyBorder="1" applyAlignment="1">
      <alignment horizontal="center" vertical="center"/>
    </xf>
    <xf numFmtId="4" fontId="2" fillId="7" borderId="2" xfId="0" quotePrefix="1" applyNumberFormat="1" applyFont="1" applyFill="1" applyBorder="1" applyAlignment="1">
      <alignment horizontal="center"/>
    </xf>
    <xf numFmtId="0" fontId="0" fillId="17" borderId="2" xfId="0" applyFill="1" applyBorder="1"/>
    <xf numFmtId="3" fontId="2" fillId="13" borderId="2" xfId="0" applyNumberFormat="1" applyFont="1" applyFill="1" applyBorder="1"/>
    <xf numFmtId="4" fontId="25" fillId="11" borderId="2" xfId="0" applyNumberFormat="1" applyFont="1" applyFill="1" applyBorder="1"/>
    <xf numFmtId="2" fontId="25" fillId="11" borderId="2" xfId="0" quotePrefix="1" applyNumberFormat="1" applyFont="1" applyFill="1" applyBorder="1" applyAlignment="1">
      <alignment horizontal="center"/>
    </xf>
    <xf numFmtId="2" fontId="25" fillId="11" borderId="2" xfId="0" applyNumberFormat="1" applyFont="1" applyFill="1" applyBorder="1" applyAlignment="1">
      <alignment horizontal="center"/>
    </xf>
    <xf numFmtId="3" fontId="25" fillId="11" borderId="2" xfId="0" applyNumberFormat="1" applyFont="1" applyFill="1" applyBorder="1"/>
    <xf numFmtId="0" fontId="27" fillId="0" borderId="0" xfId="0" applyFont="1"/>
    <xf numFmtId="0" fontId="0" fillId="2" borderId="0" xfId="0" applyFill="1" applyAlignment="1">
      <alignment horizontal="left"/>
    </xf>
    <xf numFmtId="1" fontId="2" fillId="11" borderId="0" xfId="0" applyNumberFormat="1" applyFont="1" applyFill="1"/>
    <xf numFmtId="4" fontId="2" fillId="11" borderId="2" xfId="0" applyNumberFormat="1" applyFont="1" applyFill="1" applyBorder="1" applyAlignment="1">
      <alignment horizontal="center"/>
    </xf>
    <xf numFmtId="4" fontId="2" fillId="10" borderId="2" xfId="0" applyNumberFormat="1" applyFont="1" applyFill="1" applyBorder="1" applyAlignment="1">
      <alignment horizontal="center"/>
    </xf>
    <xf numFmtId="0" fontId="0" fillId="10" borderId="0" xfId="0" applyFill="1"/>
    <xf numFmtId="0" fontId="0" fillId="18" borderId="0" xfId="0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35" fillId="2" borderId="0" xfId="0" applyFont="1" applyFill="1"/>
    <xf numFmtId="1" fontId="16" fillId="2" borderId="0" xfId="0" applyNumberFormat="1" applyFont="1" applyFill="1"/>
    <xf numFmtId="165" fontId="16" fillId="2" borderId="0" xfId="0" applyNumberFormat="1" applyFont="1" applyFill="1"/>
    <xf numFmtId="0" fontId="30" fillId="15" borderId="0" xfId="0" applyFont="1" applyFill="1" applyAlignment="1">
      <alignment horizontal="center" vertical="center"/>
    </xf>
    <xf numFmtId="0" fontId="30" fillId="15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/>
    </xf>
    <xf numFmtId="3" fontId="32" fillId="15" borderId="0" xfId="0" applyNumberFormat="1" applyFont="1" applyFill="1" applyAlignment="1">
      <alignment horizontal="center" vertical="center"/>
    </xf>
    <xf numFmtId="3" fontId="33" fillId="15" borderId="0" xfId="0" applyNumberFormat="1" applyFont="1" applyFill="1" applyAlignment="1">
      <alignment horizontal="center" vertical="center"/>
    </xf>
    <xf numFmtId="0" fontId="32" fillId="15" borderId="0" xfId="0" applyFont="1" applyFill="1" applyAlignment="1">
      <alignment horizontal="center" vertical="center"/>
    </xf>
    <xf numFmtId="3" fontId="30" fillId="15" borderId="0" xfId="0" applyNumberFormat="1" applyFont="1" applyFill="1" applyAlignment="1">
      <alignment horizontal="center" vertical="center"/>
    </xf>
    <xf numFmtId="165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center" vertical="center"/>
    </xf>
    <xf numFmtId="0" fontId="33" fillId="15" borderId="0" xfId="0" applyFont="1" applyFill="1" applyAlignment="1">
      <alignment horizontal="center" vertical="center"/>
    </xf>
    <xf numFmtId="0" fontId="28" fillId="15" borderId="0" xfId="0" applyFont="1" applyFill="1" applyAlignment="1">
      <alignment vertical="center"/>
    </xf>
    <xf numFmtId="0" fontId="29" fillId="15" borderId="0" xfId="0" applyFont="1" applyFill="1"/>
    <xf numFmtId="0" fontId="34" fillId="15" borderId="0" xfId="0" applyFont="1" applyFill="1" applyAlignment="1">
      <alignment vertical="center"/>
    </xf>
    <xf numFmtId="0" fontId="34" fillId="15" borderId="0" xfId="0" applyFont="1" applyFill="1" applyAlignment="1">
      <alignment vertical="center" wrapText="1"/>
    </xf>
    <xf numFmtId="1" fontId="0" fillId="12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 wrapText="1"/>
    </xf>
    <xf numFmtId="2" fontId="16" fillId="2" borderId="0" xfId="0" applyNumberFormat="1" applyFont="1" applyFill="1"/>
    <xf numFmtId="2" fontId="15" fillId="14" borderId="2" xfId="0" applyNumberFormat="1" applyFont="1" applyFill="1" applyBorder="1" applyAlignment="1">
      <alignment horizontal="center" vertical="center"/>
    </xf>
    <xf numFmtId="2" fontId="25" fillId="2" borderId="2" xfId="0" applyNumberFormat="1" applyFont="1" applyFill="1" applyBorder="1" applyAlignment="1">
      <alignment horizontal="center"/>
    </xf>
    <xf numFmtId="2" fontId="37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5" fillId="11" borderId="2" xfId="0" applyNumberFormat="1" applyFont="1" applyFill="1" applyBorder="1" applyAlignment="1">
      <alignment horizontal="center" vertical="center"/>
    </xf>
    <xf numFmtId="2" fontId="25" fillId="2" borderId="2" xfId="0" applyNumberFormat="1" applyFont="1" applyFill="1" applyBorder="1" applyAlignment="1">
      <alignment horizontal="center" vertical="center"/>
    </xf>
    <xf numFmtId="2" fontId="2" fillId="17" borderId="2" xfId="0" applyNumberFormat="1" applyFont="1" applyFill="1" applyBorder="1" applyAlignment="1">
      <alignment horizontal="center"/>
    </xf>
    <xf numFmtId="2" fontId="25" fillId="13" borderId="2" xfId="0" applyNumberFormat="1" applyFont="1" applyFill="1" applyBorder="1" applyAlignment="1">
      <alignment horizontal="center"/>
    </xf>
    <xf numFmtId="2" fontId="15" fillId="3" borderId="2" xfId="0" applyNumberFormat="1" applyFont="1" applyFill="1" applyBorder="1" applyAlignment="1">
      <alignment horizontal="center" vertical="center"/>
    </xf>
    <xf numFmtId="2" fontId="38" fillId="14" borderId="2" xfId="0" applyNumberFormat="1" applyFont="1" applyFill="1" applyBorder="1" applyAlignment="1">
      <alignment horizontal="center" vertical="center"/>
    </xf>
    <xf numFmtId="2" fontId="15" fillId="15" borderId="2" xfId="0" quotePrefix="1" applyNumberFormat="1" applyFont="1" applyFill="1" applyBorder="1" applyAlignment="1">
      <alignment horizontal="center" vertical="center"/>
    </xf>
    <xf numFmtId="3" fontId="2" fillId="16" borderId="2" xfId="0" applyNumberFormat="1" applyFont="1" applyFill="1" applyBorder="1"/>
    <xf numFmtId="3" fontId="2" fillId="16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 vertical="center"/>
    </xf>
    <xf numFmtId="2" fontId="39" fillId="2" borderId="2" xfId="0" applyNumberFormat="1" applyFont="1" applyFill="1" applyBorder="1" applyAlignment="1">
      <alignment horizontal="center" vertical="center"/>
    </xf>
    <xf numFmtId="2" fontId="39" fillId="2" borderId="2" xfId="0" applyNumberFormat="1" applyFont="1" applyFill="1" applyBorder="1" applyAlignment="1">
      <alignment horizontal="center"/>
    </xf>
    <xf numFmtId="4" fontId="39" fillId="2" borderId="2" xfId="0" applyNumberFormat="1" applyFont="1" applyFill="1" applyBorder="1"/>
    <xf numFmtId="2" fontId="40" fillId="19" borderId="2" xfId="0" applyNumberFormat="1" applyFont="1" applyFill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23" fillId="0" borderId="2" xfId="0" applyFont="1" applyBorder="1"/>
    <xf numFmtId="0" fontId="23" fillId="2" borderId="0" xfId="0" applyFont="1" applyFill="1"/>
    <xf numFmtId="166" fontId="0" fillId="2" borderId="0" xfId="0" applyNumberFormat="1" applyFill="1"/>
    <xf numFmtId="0" fontId="41" fillId="0" borderId="0" xfId="0" applyFont="1"/>
    <xf numFmtId="0" fontId="42" fillId="0" borderId="0" xfId="0" applyFont="1"/>
    <xf numFmtId="20" fontId="0" fillId="0" borderId="0" xfId="0" applyNumberFormat="1"/>
    <xf numFmtId="0" fontId="43" fillId="0" borderId="0" xfId="0" applyFont="1"/>
    <xf numFmtId="0" fontId="44" fillId="0" borderId="0" xfId="0" applyFont="1"/>
    <xf numFmtId="4" fontId="4" fillId="8" borderId="2" xfId="0" applyNumberFormat="1" applyFont="1" applyFill="1" applyBorder="1" applyAlignment="1">
      <alignment horizontal="center" vertical="center"/>
    </xf>
    <xf numFmtId="0" fontId="43" fillId="7" borderId="0" xfId="0" applyFont="1" applyFill="1"/>
    <xf numFmtId="9" fontId="43" fillId="0" borderId="0" xfId="2" applyFont="1"/>
    <xf numFmtId="0" fontId="8" fillId="1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23" fillId="0" borderId="3" xfId="0" applyNumberFormat="1" applyFont="1" applyBorder="1" applyAlignment="1">
      <alignment horizontal="center"/>
    </xf>
    <xf numFmtId="3" fontId="23" fillId="0" borderId="5" xfId="0" applyNumberFormat="1" applyFont="1" applyBorder="1" applyAlignment="1">
      <alignment horizontal="center"/>
    </xf>
    <xf numFmtId="0" fontId="31" fillId="15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66" fontId="0" fillId="11" borderId="2" xfId="0" applyNumberForma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" fontId="23" fillId="0" borderId="4" xfId="0" applyNumberFormat="1" applyFont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23" fillId="0" borderId="2" xfId="0" applyFont="1" applyBorder="1" applyAlignment="1">
      <alignment horizontal="center"/>
    </xf>
    <xf numFmtId="4" fontId="23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6" fillId="19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2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'Propel 470MEV'!$V$7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'Propel 470MEV'!$P$8:$P$17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'Propel 470MEV'!$V$8:$V$17</c:f>
              <c:numCache>
                <c:formatCode>0</c:formatCode>
                <c:ptCount val="10"/>
                <c:pt idx="0">
                  <c:v>44.048714630321072</c:v>
                </c:pt>
                <c:pt idx="1">
                  <c:v>82.996099510642139</c:v>
                </c:pt>
                <c:pt idx="2">
                  <c:v>118.99170410346321</c:v>
                </c:pt>
                <c:pt idx="3">
                  <c:v>152.60288695190928</c:v>
                </c:pt>
                <c:pt idx="4">
                  <c:v>194.79023658223036</c:v>
                </c:pt>
                <c:pt idx="5">
                  <c:v>182.90258621255143</c:v>
                </c:pt>
                <c:pt idx="6">
                  <c:v>216.01493584287249</c:v>
                </c:pt>
                <c:pt idx="7">
                  <c:v>249.12728547319355</c:v>
                </c:pt>
                <c:pt idx="8">
                  <c:v>282.23963510351462</c:v>
                </c:pt>
                <c:pt idx="9">
                  <c:v>315.35198473383571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A-5D41-AE53-28054FE4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48239"/>
        <c:axId val="53431449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5BA-5D41-AE53-28054FE4B3CA}"/>
              </c:ext>
            </c:extLst>
          </c:dPt>
          <c:val>
            <c:numRef>
              <c:f>'Propel 470MEV'!$W$8:$W$17</c:f>
              <c:numCache>
                <c:formatCode>0</c:formatCode>
                <c:ptCount val="10"/>
                <c:pt idx="0">
                  <c:v>60.5</c:v>
                </c:pt>
                <c:pt idx="1">
                  <c:v>60.5</c:v>
                </c:pt>
                <c:pt idx="2">
                  <c:v>60.5</c:v>
                </c:pt>
                <c:pt idx="3">
                  <c:v>60.5</c:v>
                </c:pt>
                <c:pt idx="4">
                  <c:v>60.5</c:v>
                </c:pt>
                <c:pt idx="5">
                  <c:v>60.5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A-5D41-AE53-28054FE4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48239"/>
        <c:axId val="534314495"/>
      </c:lineChart>
      <c:catAx>
        <c:axId val="5649482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4495"/>
        <c:crosses val="autoZero"/>
        <c:auto val="1"/>
        <c:lblAlgn val="ctr"/>
        <c:lblOffset val="100"/>
        <c:noMultiLvlLbl val="0"/>
      </c:catAx>
      <c:valAx>
        <c:axId val="5343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'TATA PRIMA E.28k'!$Q$10:$Q$19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'TATA PRIMA E.28k'!$W$10:$W$19</c:f>
              <c:numCache>
                <c:formatCode>0</c:formatCode>
                <c:ptCount val="10"/>
                <c:pt idx="0">
                  <c:v>24.234704370113448</c:v>
                </c:pt>
                <c:pt idx="1">
                  <c:v>43.777091490226894</c:v>
                </c:pt>
                <c:pt idx="2">
                  <c:v>60.581957947840344</c:v>
                </c:pt>
                <c:pt idx="3">
                  <c:v>75.172517252328788</c:v>
                </c:pt>
                <c:pt idx="4">
                  <c:v>99.361756622442243</c:v>
                </c:pt>
                <c:pt idx="5">
                  <c:v>68.163495992555696</c:v>
                </c:pt>
                <c:pt idx="6">
                  <c:v>81.965235362669148</c:v>
                </c:pt>
                <c:pt idx="7">
                  <c:v>95.7669747327826</c:v>
                </c:pt>
                <c:pt idx="8">
                  <c:v>109.56871410289605</c:v>
                </c:pt>
                <c:pt idx="9">
                  <c:v>123.3704534730095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D947-B237-DD3A6F66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270992"/>
        <c:axId val="8582727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'TATA PRIMA E.28k'!$X$10:$X$19</c:f>
              <c:numCache>
                <c:formatCode>0</c:formatCode>
                <c:ptCount val="10"/>
                <c:pt idx="0">
                  <c:v>69.25</c:v>
                </c:pt>
                <c:pt idx="1">
                  <c:v>69.25</c:v>
                </c:pt>
                <c:pt idx="2">
                  <c:v>69.25</c:v>
                </c:pt>
                <c:pt idx="3">
                  <c:v>69.25</c:v>
                </c:pt>
                <c:pt idx="4">
                  <c:v>69.25</c:v>
                </c:pt>
                <c:pt idx="5">
                  <c:v>69.25</c:v>
                </c:pt>
                <c:pt idx="6">
                  <c:v>69.25</c:v>
                </c:pt>
                <c:pt idx="7">
                  <c:v>69.25</c:v>
                </c:pt>
                <c:pt idx="8">
                  <c:v>69.25</c:v>
                </c:pt>
                <c:pt idx="9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F-D947-B237-DD3A6F66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70992"/>
        <c:axId val="858272704"/>
      </c:lineChart>
      <c:catAx>
        <c:axId val="858270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2704"/>
        <c:crosses val="autoZero"/>
        <c:auto val="1"/>
        <c:lblAlgn val="ctr"/>
        <c:lblOffset val="100"/>
        <c:noMultiLvlLbl val="0"/>
      </c:catAx>
      <c:valAx>
        <c:axId val="858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OLECTRA!$U$5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OLECTRA!$O$6:$O$15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OLECTRA!$U$6:$U$15</c:f>
              <c:numCache>
                <c:formatCode>0</c:formatCode>
                <c:ptCount val="10"/>
                <c:pt idx="0">
                  <c:v>32.595710303175373</c:v>
                </c:pt>
                <c:pt idx="1">
                  <c:v>59.740857106350745</c:v>
                </c:pt>
                <c:pt idx="2">
                  <c:v>83.709109434526113</c:v>
                </c:pt>
                <c:pt idx="3">
                  <c:v>105.10813212495148</c:v>
                </c:pt>
                <c:pt idx="4">
                  <c:v>137.42857742812686</c:v>
                </c:pt>
                <c:pt idx="5">
                  <c:v>112.95527273130223</c:v>
                </c:pt>
                <c:pt idx="6">
                  <c:v>133.4819680344776</c:v>
                </c:pt>
                <c:pt idx="7">
                  <c:v>154.00866333765299</c:v>
                </c:pt>
                <c:pt idx="8">
                  <c:v>174.53535864082838</c:v>
                </c:pt>
                <c:pt idx="9">
                  <c:v>195.06205394400376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4-FB4A-B518-409A98EB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05743"/>
        <c:axId val="17514074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OLECTRA!$V$6:$V$15</c:f>
              <c:numCache>
                <c:formatCode>0.00</c:formatCode>
                <c:ptCount val="10"/>
                <c:pt idx="0">
                  <c:v>78.625</c:v>
                </c:pt>
                <c:pt idx="1">
                  <c:v>78.625</c:v>
                </c:pt>
                <c:pt idx="2">
                  <c:v>78.625</c:v>
                </c:pt>
                <c:pt idx="3">
                  <c:v>78.625</c:v>
                </c:pt>
                <c:pt idx="4">
                  <c:v>78.625</c:v>
                </c:pt>
                <c:pt idx="5">
                  <c:v>78.625</c:v>
                </c:pt>
                <c:pt idx="6">
                  <c:v>78.625</c:v>
                </c:pt>
                <c:pt idx="7">
                  <c:v>78.625</c:v>
                </c:pt>
                <c:pt idx="8">
                  <c:v>78.625</c:v>
                </c:pt>
                <c:pt idx="9">
                  <c:v>78.625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4-FB4A-B518-409A98EB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05743"/>
        <c:axId val="1751407455"/>
      </c:lineChart>
      <c:catAx>
        <c:axId val="1751405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7455"/>
        <c:crosses val="autoZero"/>
        <c:auto val="1"/>
        <c:lblAlgn val="ctr"/>
        <c:lblOffset val="100"/>
        <c:noMultiLvlLbl val="0"/>
      </c:catAx>
      <c:valAx>
        <c:axId val="17514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'Propel 470MEV'!$V$7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'Propel 470MEV'!$P$8:$P$17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'Propel 470MEV'!$V$8:$V$17</c:f>
              <c:numCache>
                <c:formatCode>0</c:formatCode>
                <c:ptCount val="10"/>
                <c:pt idx="0">
                  <c:v>44.048714630321072</c:v>
                </c:pt>
                <c:pt idx="1">
                  <c:v>82.996099510642139</c:v>
                </c:pt>
                <c:pt idx="2">
                  <c:v>118.99170410346321</c:v>
                </c:pt>
                <c:pt idx="3">
                  <c:v>152.60288695190928</c:v>
                </c:pt>
                <c:pt idx="4">
                  <c:v>194.79023658223036</c:v>
                </c:pt>
                <c:pt idx="5">
                  <c:v>182.90258621255143</c:v>
                </c:pt>
                <c:pt idx="6">
                  <c:v>216.01493584287249</c:v>
                </c:pt>
                <c:pt idx="7">
                  <c:v>249.12728547319355</c:v>
                </c:pt>
                <c:pt idx="8">
                  <c:v>282.23963510351462</c:v>
                </c:pt>
                <c:pt idx="9">
                  <c:v>315.35198473383571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1-2F47-A4A4-49D00CD4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48239"/>
        <c:axId val="53431449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A01-2F47-A4A4-49D00CD4C605}"/>
              </c:ext>
            </c:extLst>
          </c:dPt>
          <c:val>
            <c:numRef>
              <c:f>'Propel 470MEV'!$W$8:$W$17</c:f>
              <c:numCache>
                <c:formatCode>0</c:formatCode>
                <c:ptCount val="10"/>
                <c:pt idx="0">
                  <c:v>60.5</c:v>
                </c:pt>
                <c:pt idx="1">
                  <c:v>60.5</c:v>
                </c:pt>
                <c:pt idx="2">
                  <c:v>60.5</c:v>
                </c:pt>
                <c:pt idx="3">
                  <c:v>60.5</c:v>
                </c:pt>
                <c:pt idx="4">
                  <c:v>60.5</c:v>
                </c:pt>
                <c:pt idx="5">
                  <c:v>60.5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1-2F47-A4A4-49D00CD4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948239"/>
        <c:axId val="534314495"/>
      </c:lineChart>
      <c:catAx>
        <c:axId val="56494823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4495"/>
        <c:crosses val="autoZero"/>
        <c:auto val="1"/>
        <c:lblAlgn val="ctr"/>
        <c:lblOffset val="100"/>
        <c:noMultiLvlLbl val="0"/>
      </c:catAx>
      <c:valAx>
        <c:axId val="5343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'TATA PRIMA E.28k'!$Q$10:$Q$19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'TATA PRIMA E.28k'!$W$10:$W$19</c:f>
              <c:numCache>
                <c:formatCode>0</c:formatCode>
                <c:ptCount val="10"/>
                <c:pt idx="0">
                  <c:v>24.234704370113448</c:v>
                </c:pt>
                <c:pt idx="1">
                  <c:v>43.777091490226894</c:v>
                </c:pt>
                <c:pt idx="2">
                  <c:v>60.581957947840344</c:v>
                </c:pt>
                <c:pt idx="3">
                  <c:v>75.172517252328788</c:v>
                </c:pt>
                <c:pt idx="4">
                  <c:v>99.361756622442243</c:v>
                </c:pt>
                <c:pt idx="5">
                  <c:v>68.163495992555696</c:v>
                </c:pt>
                <c:pt idx="6">
                  <c:v>81.965235362669148</c:v>
                </c:pt>
                <c:pt idx="7">
                  <c:v>95.7669747327826</c:v>
                </c:pt>
                <c:pt idx="8">
                  <c:v>109.56871410289605</c:v>
                </c:pt>
                <c:pt idx="9">
                  <c:v>123.3704534730095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1C4E-8FEA-FF3D1CAB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270992"/>
        <c:axId val="8582727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'TATA PRIMA E.28k'!$X$10:$X$19</c:f>
              <c:numCache>
                <c:formatCode>0</c:formatCode>
                <c:ptCount val="10"/>
                <c:pt idx="0">
                  <c:v>69.25</c:v>
                </c:pt>
                <c:pt idx="1">
                  <c:v>69.25</c:v>
                </c:pt>
                <c:pt idx="2">
                  <c:v>69.25</c:v>
                </c:pt>
                <c:pt idx="3">
                  <c:v>69.25</c:v>
                </c:pt>
                <c:pt idx="4">
                  <c:v>69.25</c:v>
                </c:pt>
                <c:pt idx="5">
                  <c:v>69.25</c:v>
                </c:pt>
                <c:pt idx="6">
                  <c:v>69.25</c:v>
                </c:pt>
                <c:pt idx="7">
                  <c:v>69.25</c:v>
                </c:pt>
                <c:pt idx="8">
                  <c:v>69.25</c:v>
                </c:pt>
                <c:pt idx="9">
                  <c:v>69.25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0-1C4E-8FEA-FF3D1CAB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270992"/>
        <c:axId val="858272704"/>
      </c:lineChart>
      <c:catAx>
        <c:axId val="858270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2704"/>
        <c:crosses val="autoZero"/>
        <c:auto val="1"/>
        <c:lblAlgn val="ctr"/>
        <c:lblOffset val="100"/>
        <c:noMultiLvlLbl val="0"/>
      </c:catAx>
      <c:valAx>
        <c:axId val="858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OLECTRA!$U$5</c:f>
              <c:strCache>
                <c:ptCount val="1"/>
                <c:pt idx="0">
                  <c:v>Cumalative Saving(in lakh)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OLECTRA!$O$6:$O$15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OLECTRA!$U$6:$U$15</c:f>
              <c:numCache>
                <c:formatCode>0</c:formatCode>
                <c:ptCount val="10"/>
                <c:pt idx="0">
                  <c:v>32.595710303175373</c:v>
                </c:pt>
                <c:pt idx="1">
                  <c:v>59.740857106350745</c:v>
                </c:pt>
                <c:pt idx="2">
                  <c:v>83.709109434526113</c:v>
                </c:pt>
                <c:pt idx="3">
                  <c:v>105.10813212495148</c:v>
                </c:pt>
                <c:pt idx="4">
                  <c:v>137.42857742812686</c:v>
                </c:pt>
                <c:pt idx="5">
                  <c:v>112.95527273130223</c:v>
                </c:pt>
                <c:pt idx="6">
                  <c:v>133.4819680344776</c:v>
                </c:pt>
                <c:pt idx="7">
                  <c:v>154.00866333765299</c:v>
                </c:pt>
                <c:pt idx="8">
                  <c:v>174.53535864082838</c:v>
                </c:pt>
                <c:pt idx="9">
                  <c:v>195.06205394400376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4-A74C-AB66-F754606B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05743"/>
        <c:axId val="17514074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OLECTRA!$V$6:$V$15</c:f>
              <c:numCache>
                <c:formatCode>0.00</c:formatCode>
                <c:ptCount val="10"/>
                <c:pt idx="0">
                  <c:v>78.625</c:v>
                </c:pt>
                <c:pt idx="1">
                  <c:v>78.625</c:v>
                </c:pt>
                <c:pt idx="2">
                  <c:v>78.625</c:v>
                </c:pt>
                <c:pt idx="3">
                  <c:v>78.625</c:v>
                </c:pt>
                <c:pt idx="4">
                  <c:v>78.625</c:v>
                </c:pt>
                <c:pt idx="5">
                  <c:v>78.625</c:v>
                </c:pt>
                <c:pt idx="6">
                  <c:v>78.625</c:v>
                </c:pt>
                <c:pt idx="7">
                  <c:v>78.625</c:v>
                </c:pt>
                <c:pt idx="8">
                  <c:v>78.625</c:v>
                </c:pt>
                <c:pt idx="9">
                  <c:v>78.625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4-A74C-AB66-F754606B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405743"/>
        <c:axId val="1751407455"/>
      </c:lineChart>
      <c:catAx>
        <c:axId val="1751405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7455"/>
        <c:crosses val="autoZero"/>
        <c:auto val="1"/>
        <c:lblAlgn val="ctr"/>
        <c:lblOffset val="100"/>
        <c:noMultiLvlLbl val="0"/>
      </c:catAx>
      <c:valAx>
        <c:axId val="17514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486832</xdr:colOff>
      <xdr:row>20</xdr:row>
      <xdr:rowOff>138289</xdr:rowOff>
    </xdr:from>
    <xdr:to>
      <xdr:col>19</xdr:col>
      <xdr:colOff>458610</xdr:colOff>
      <xdr:row>34</xdr:row>
      <xdr:rowOff>115711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BE440-E4B6-4E00-2DE3-DAC19522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</xdr:row>
      <xdr:rowOff>0</xdr:rowOff>
    </xdr:from>
    <xdr:to>
      <xdr:col>20</xdr:col>
      <xdr:colOff>955040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0DEAE-7963-3C4E-ADEE-CA00087CA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26052</xdr:colOff>
      <xdr:row>19</xdr:row>
      <xdr:rowOff>6947</xdr:rowOff>
    </xdr:from>
    <xdr:to>
      <xdr:col>18</xdr:col>
      <xdr:colOff>744633</xdr:colOff>
      <xdr:row>32</xdr:row>
      <xdr:rowOff>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5EFFB-88DD-B378-4ACD-54E8006E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7</xdr:col>
      <xdr:colOff>474133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7C916-C9DF-B34D-9AA7-4E829CF5D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-1</xdr:rowOff>
    </xdr:from>
    <xdr:to>
      <xdr:col>15</xdr:col>
      <xdr:colOff>677333</xdr:colOff>
      <xdr:row>32</xdr:row>
      <xdr:rowOff>118532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17CA3-BCAC-7F46-88D3-9F7E4CE64D53}"/>
            </a:ext>
            <a:ext uri="{147F2762-F138-4A5C-976F-8EAC2B608ADB}">
              <a16:predDERef xmlns:a16="http://schemas.microsoft.com/office/drawing/2014/main" pred="{BC37C916-C9DF-B34D-9AA7-4E829CF5D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846665</xdr:colOff>
      <xdr:row>51</xdr:row>
      <xdr:rowOff>203199</xdr:rowOff>
    </xdr:from>
    <xdr:to>
      <xdr:col>10</xdr:col>
      <xdr:colOff>1016000</xdr:colOff>
      <xdr:row>66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8CB90-03E8-DE4A-8C76-93D6E904F8A9}"/>
            </a:ext>
            <a:ext uri="{147F2762-F138-4A5C-976F-8EAC2B608ADB}">
              <a16:predDERef xmlns:a16="http://schemas.microsoft.com/office/drawing/2014/main" pred="{5DC17CA3-BCAC-7F46-88D3-9F7E4CE64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EADB3F0-5B3D-C542-9F1D-D335F068C6E1}">
  <we:reference id="wa200005271" version="2.5.5.0" store="en-GB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8347707-08ED-D447-BC6F-B014D2B89840}">
  <we:reference id="wa200005502" version="1.0.0.11" store="en-GB" storeType="OMEX"/>
  <we:alternateReferences>
    <we:reference id="WA200005502" version="1.0.0.11" store="" storeType="OMEX"/>
  </we:alternateReferences>
  <we:properties>
    <we:property name="docId" value="&quot;kGqOqs9Ffbir2SVFb3lS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4"/>
  <sheetViews>
    <sheetView topLeftCell="K1" zoomScale="126" zoomScaleNormal="90" workbookViewId="0">
      <selection activeCell="K1" sqref="K1"/>
    </sheetView>
  </sheetViews>
  <sheetFormatPr defaultColWidth="10.875" defaultRowHeight="15.95"/>
  <cols>
    <col min="1" max="1" width="2.875" style="1" customWidth="1"/>
    <col min="2" max="2" width="2.125" style="1" customWidth="1"/>
    <col min="3" max="3" width="5.5" style="1" customWidth="1"/>
    <col min="4" max="4" width="28" style="1" customWidth="1"/>
    <col min="5" max="5" width="11" style="1" customWidth="1"/>
    <col min="6" max="6" width="4.5" style="1" customWidth="1"/>
    <col min="7" max="7" width="13" style="1" customWidth="1"/>
    <col min="8" max="8" width="4.875" style="1" customWidth="1"/>
    <col min="9" max="9" width="2.125" style="1" customWidth="1"/>
    <col min="10" max="10" width="3" style="1" customWidth="1"/>
    <col min="11" max="11" width="10.875" style="1"/>
    <col min="12" max="12" width="11.875" style="1" customWidth="1"/>
    <col min="13" max="13" width="14" style="1" customWidth="1"/>
    <col min="14" max="14" width="13.375" style="1" customWidth="1"/>
    <col min="15" max="15" width="19" style="1" customWidth="1"/>
    <col min="16" max="16" width="13.125" style="1" customWidth="1"/>
    <col min="17" max="17" width="16.375" style="1" customWidth="1"/>
    <col min="18" max="18" width="16.625" style="1" customWidth="1"/>
    <col min="19" max="19" width="14.375" style="1" customWidth="1"/>
    <col min="20" max="20" width="12.375" style="1" bestFit="1" customWidth="1"/>
    <col min="21" max="21" width="16" style="1" customWidth="1"/>
    <col min="22" max="23" width="10.875" style="1"/>
    <col min="24" max="24" width="15.5" style="1" customWidth="1"/>
    <col min="25" max="25" width="10.875" style="1"/>
    <col min="26" max="26" width="17.375" style="1" customWidth="1"/>
    <col min="27" max="16384" width="10.875" style="1"/>
  </cols>
  <sheetData>
    <row r="1" spans="1:65">
      <c r="A1" s="7"/>
      <c r="B1" s="7"/>
      <c r="C1" s="7"/>
      <c r="D1" s="8" t="s">
        <v>0</v>
      </c>
      <c r="E1" s="8" t="s">
        <v>1</v>
      </c>
      <c r="F1" s="9"/>
      <c r="G1" s="8" t="s">
        <v>2</v>
      </c>
      <c r="H1" s="7"/>
      <c r="I1" s="7"/>
    </row>
    <row r="2" spans="1:65">
      <c r="A2" s="7" t="s">
        <v>3</v>
      </c>
      <c r="B2" s="7"/>
      <c r="C2" s="7"/>
      <c r="D2" s="10" t="s">
        <v>4</v>
      </c>
      <c r="E2" s="11" t="s">
        <v>5</v>
      </c>
      <c r="F2" s="30"/>
      <c r="G2" s="11" t="s">
        <v>6</v>
      </c>
      <c r="H2" s="7"/>
      <c r="I2" s="7"/>
      <c r="L2" s="4"/>
      <c r="M2" s="4"/>
      <c r="O2" s="4"/>
    </row>
    <row r="3" spans="1:65">
      <c r="A3" s="7" t="s">
        <v>7</v>
      </c>
      <c r="B3" s="7"/>
      <c r="C3" s="7"/>
      <c r="D3" s="10" t="s">
        <v>8</v>
      </c>
      <c r="E3" s="11">
        <v>55</v>
      </c>
      <c r="F3" s="30"/>
      <c r="G3" s="11">
        <v>135</v>
      </c>
      <c r="H3" s="7"/>
      <c r="I3" s="7"/>
      <c r="L3" s="4"/>
      <c r="M3" s="27"/>
      <c r="O3" s="27"/>
      <c r="P3" s="28"/>
    </row>
    <row r="4" spans="1:65">
      <c r="A4" s="7" t="s">
        <v>9</v>
      </c>
      <c r="B4" s="7"/>
      <c r="C4" s="7"/>
      <c r="D4" s="76" t="s">
        <v>10</v>
      </c>
      <c r="E4" s="12">
        <v>25</v>
      </c>
      <c r="F4" s="7"/>
      <c r="G4" s="12">
        <v>35</v>
      </c>
      <c r="H4" s="7"/>
      <c r="I4" s="7"/>
      <c r="L4" s="4"/>
      <c r="M4" s="27"/>
      <c r="O4" s="27"/>
      <c r="P4" s="28"/>
      <c r="BM4" s="1" t="s">
        <v>11</v>
      </c>
    </row>
    <row r="5" spans="1:65">
      <c r="A5" s="7" t="s">
        <v>12</v>
      </c>
      <c r="B5" s="7"/>
      <c r="C5" s="7" t="s">
        <v>13</v>
      </c>
      <c r="D5" s="38" t="s">
        <v>14</v>
      </c>
      <c r="E5" s="11">
        <f>G4/E4</f>
        <v>1.4</v>
      </c>
      <c r="F5" s="30"/>
      <c r="G5" s="11">
        <v>1</v>
      </c>
      <c r="H5" s="7"/>
      <c r="I5" s="7"/>
      <c r="L5" s="4"/>
      <c r="M5" s="27"/>
      <c r="O5" s="27"/>
      <c r="P5" s="28"/>
      <c r="BM5" s="1" t="s">
        <v>15</v>
      </c>
    </row>
    <row r="6" spans="1:65" ht="21" customHeight="1">
      <c r="A6" s="7" t="s">
        <v>16</v>
      </c>
      <c r="B6" s="7"/>
      <c r="C6" s="7"/>
      <c r="D6" s="38" t="s">
        <v>17</v>
      </c>
      <c r="E6" s="13" t="s">
        <v>18</v>
      </c>
      <c r="F6" s="7"/>
      <c r="G6" s="32">
        <f>1/I6</f>
        <v>0.25</v>
      </c>
      <c r="H6" s="26" t="s">
        <v>19</v>
      </c>
      <c r="I6" s="6">
        <v>4</v>
      </c>
      <c r="J6" s="1" t="s">
        <v>20</v>
      </c>
      <c r="L6" s="4"/>
      <c r="M6" s="27"/>
      <c r="O6" s="27"/>
      <c r="P6" s="28"/>
      <c r="X6" s="148"/>
    </row>
    <row r="7" spans="1:65" ht="36" customHeight="1">
      <c r="A7" s="7" t="s">
        <v>21</v>
      </c>
      <c r="B7" s="7"/>
      <c r="C7" s="7"/>
      <c r="D7" s="38" t="s">
        <v>22</v>
      </c>
      <c r="E7" s="13" t="s">
        <v>18</v>
      </c>
      <c r="F7" s="7"/>
      <c r="G7" s="33">
        <v>10</v>
      </c>
      <c r="H7" s="14"/>
      <c r="I7" s="7"/>
      <c r="L7" s="4"/>
      <c r="M7" s="27"/>
      <c r="O7" s="27"/>
      <c r="P7" s="63" t="s">
        <v>23</v>
      </c>
      <c r="Q7" s="64" t="s">
        <v>24</v>
      </c>
      <c r="R7" s="64" t="s">
        <v>25</v>
      </c>
      <c r="S7" s="64" t="s">
        <v>26</v>
      </c>
      <c r="T7" s="64" t="s">
        <v>27</v>
      </c>
      <c r="U7" s="64" t="s">
        <v>28</v>
      </c>
      <c r="V7" s="64" t="s">
        <v>29</v>
      </c>
      <c r="W7" s="149"/>
      <c r="X7" s="82"/>
      <c r="Y7" s="82"/>
    </row>
    <row r="8" spans="1:65">
      <c r="A8" s="7" t="s">
        <v>30</v>
      </c>
      <c r="B8" s="7"/>
      <c r="C8" s="7" t="s">
        <v>31</v>
      </c>
      <c r="D8" s="108" t="s">
        <v>32</v>
      </c>
      <c r="E8" s="109">
        <f>E3*E5</f>
        <v>77</v>
      </c>
      <c r="F8" s="78"/>
      <c r="G8" s="110">
        <f>(G3*G5)+(G6*G7)</f>
        <v>137.5</v>
      </c>
      <c r="H8" s="14"/>
      <c r="I8" s="7"/>
      <c r="L8" s="4"/>
      <c r="M8" s="27"/>
      <c r="O8" s="27"/>
      <c r="P8" s="5">
        <v>1</v>
      </c>
      <c r="Q8" s="65">
        <f>G$47*12</f>
        <v>3311234.9630321069</v>
      </c>
      <c r="R8" s="62">
        <f>IF($Q$20="Inc. Depreciation",I53,0)</f>
        <v>1093636.5</v>
      </c>
      <c r="S8" s="3"/>
      <c r="T8" s="94"/>
      <c r="U8" s="66">
        <f>SUM(Q8:T8)</f>
        <v>4404871.4630321069</v>
      </c>
      <c r="V8" s="67">
        <f>U8/100000</f>
        <v>44.048714630321072</v>
      </c>
      <c r="W8" s="149">
        <f>$G$8-$E$8</f>
        <v>60.5</v>
      </c>
      <c r="X8" s="150">
        <f>W8/V8</f>
        <v>1.3734793513896233</v>
      </c>
      <c r="Y8" s="82"/>
      <c r="BM8" s="1" t="s">
        <v>33</v>
      </c>
    </row>
    <row r="9" spans="1:65" ht="18" customHeight="1">
      <c r="A9" s="7" t="s">
        <v>34</v>
      </c>
      <c r="B9" s="7"/>
      <c r="C9" s="7"/>
      <c r="D9" s="38" t="s">
        <v>35</v>
      </c>
      <c r="E9" s="15">
        <f>E8+(E8*F9)</f>
        <v>98.56</v>
      </c>
      <c r="F9" s="31" t="s">
        <v>36</v>
      </c>
      <c r="G9" s="15">
        <f>G8+(G8*H9)</f>
        <v>144.375</v>
      </c>
      <c r="H9" s="17">
        <v>0.05</v>
      </c>
      <c r="I9" s="7"/>
      <c r="L9" s="4"/>
      <c r="M9" s="27"/>
      <c r="O9" s="27"/>
      <c r="P9" s="5">
        <v>2</v>
      </c>
      <c r="Q9" s="65">
        <f t="shared" ref="Q9:Q17" si="0">G$47*12</f>
        <v>3311234.9630321069</v>
      </c>
      <c r="R9" s="62">
        <f>IF($Q$20="Inc. Depreciation",I54,0)</f>
        <v>583503.52499999991</v>
      </c>
      <c r="S9" s="62"/>
      <c r="T9" s="94"/>
      <c r="U9" s="66">
        <f t="shared" ref="U9:U17" si="1">SUM(Q9:T9)</f>
        <v>3894738.4880321068</v>
      </c>
      <c r="V9" s="67">
        <f>U9/100000+V8</f>
        <v>82.996099510642139</v>
      </c>
      <c r="W9" s="149">
        <f t="shared" ref="W9:W17" si="2">$G$8-$E$8</f>
        <v>60.5</v>
      </c>
      <c r="X9" s="149"/>
      <c r="Y9" s="82"/>
      <c r="BM9" s="1" t="s">
        <v>37</v>
      </c>
    </row>
    <row r="10" spans="1:65">
      <c r="A10" s="7" t="s">
        <v>38</v>
      </c>
      <c r="B10" s="7"/>
      <c r="C10" s="7"/>
      <c r="D10" s="10" t="s">
        <v>39</v>
      </c>
      <c r="E10" s="11">
        <f>E8*F10</f>
        <v>11.549999999999999</v>
      </c>
      <c r="F10" s="31" t="s">
        <v>40</v>
      </c>
      <c r="G10" s="11">
        <f>G8*F10</f>
        <v>20.625</v>
      </c>
      <c r="H10" s="14"/>
      <c r="I10" s="7"/>
      <c r="L10" s="4"/>
      <c r="M10" s="27"/>
      <c r="O10" s="27"/>
      <c r="P10" s="5">
        <v>3</v>
      </c>
      <c r="Q10" s="65">
        <f t="shared" si="0"/>
        <v>3311234.9630321069</v>
      </c>
      <c r="R10" s="62">
        <f>IF($Q$20="Inc. Depreciation",I55,0)</f>
        <v>288325.49624999997</v>
      </c>
      <c r="S10" s="62"/>
      <c r="T10" s="94"/>
      <c r="U10" s="66">
        <f t="shared" si="1"/>
        <v>3599560.4592821067</v>
      </c>
      <c r="V10" s="67">
        <f t="shared" ref="V10:V17" si="3">U10/100000+V9</f>
        <v>118.99170410346321</v>
      </c>
      <c r="W10" s="149">
        <f t="shared" si="2"/>
        <v>60.5</v>
      </c>
      <c r="X10" s="149"/>
      <c r="Y10" s="83"/>
      <c r="Z10" s="85"/>
      <c r="AA10" s="84"/>
    </row>
    <row r="11" spans="1:65">
      <c r="A11" s="7" t="s">
        <v>41</v>
      </c>
      <c r="B11" s="7"/>
      <c r="C11" s="7"/>
      <c r="D11" s="10" t="s">
        <v>42</v>
      </c>
      <c r="E11" s="11">
        <v>5</v>
      </c>
      <c r="F11" s="31"/>
      <c r="G11" s="11">
        <v>5</v>
      </c>
      <c r="H11" s="14"/>
      <c r="I11" s="7"/>
      <c r="K11" s="2" t="s">
        <v>43</v>
      </c>
      <c r="L11" s="3" t="s">
        <v>44</v>
      </c>
      <c r="M11" s="5" t="s">
        <v>45</v>
      </c>
      <c r="N11" s="3" t="s">
        <v>46</v>
      </c>
      <c r="O11" s="27"/>
      <c r="P11" s="5">
        <v>4</v>
      </c>
      <c r="Q11" s="65">
        <f t="shared" si="0"/>
        <v>3311234.9630321069</v>
      </c>
      <c r="R11" s="62">
        <f>IF($Q$20="Inc. Depreciation",I56,0)</f>
        <v>49883.321812499998</v>
      </c>
      <c r="S11" s="62"/>
      <c r="T11" s="94"/>
      <c r="U11" s="66">
        <f t="shared" si="1"/>
        <v>3361118.2848446066</v>
      </c>
      <c r="V11" s="67">
        <f t="shared" si="3"/>
        <v>152.60288695190928</v>
      </c>
      <c r="W11" s="149">
        <f t="shared" si="2"/>
        <v>60.5</v>
      </c>
      <c r="X11" s="149"/>
      <c r="Y11" s="82"/>
    </row>
    <row r="12" spans="1:65">
      <c r="A12" s="7" t="s">
        <v>47</v>
      </c>
      <c r="B12" s="7"/>
      <c r="C12" s="7" t="s">
        <v>48</v>
      </c>
      <c r="D12" s="38" t="s">
        <v>49</v>
      </c>
      <c r="E12" s="11">
        <f>E8-E10</f>
        <v>65.45</v>
      </c>
      <c r="F12" s="31"/>
      <c r="G12" s="11">
        <f>G8-G10</f>
        <v>116.875</v>
      </c>
      <c r="H12" s="14"/>
      <c r="I12" s="7"/>
      <c r="K12" s="2" t="s">
        <v>50</v>
      </c>
      <c r="L12" s="29">
        <f>E9*100000</f>
        <v>9856000</v>
      </c>
      <c r="M12" s="29">
        <f>CUMIPMT(F14/12,60,L12,1,60,0)*-1</f>
        <v>2563660.7041133624</v>
      </c>
      <c r="N12" s="29">
        <f>L12+M12</f>
        <v>12419660.704113362</v>
      </c>
      <c r="O12" s="27"/>
      <c r="P12" s="5">
        <v>5</v>
      </c>
      <c r="Q12" s="65">
        <f t="shared" si="0"/>
        <v>3311234.9630321069</v>
      </c>
      <c r="R12" s="62"/>
      <c r="S12" s="62">
        <f>IF(P12=E$11,G$10-E$10,0)*100000</f>
        <v>907500.00000000012</v>
      </c>
      <c r="T12" s="94"/>
      <c r="U12" s="66">
        <f t="shared" si="1"/>
        <v>4218734.9630321069</v>
      </c>
      <c r="V12" s="67">
        <f t="shared" si="3"/>
        <v>194.79023658223036</v>
      </c>
      <c r="W12" s="149">
        <f t="shared" si="2"/>
        <v>60.5</v>
      </c>
      <c r="X12" s="149"/>
      <c r="Y12" s="82"/>
    </row>
    <row r="13" spans="1:65">
      <c r="A13" s="7" t="s">
        <v>51</v>
      </c>
      <c r="B13" s="7"/>
      <c r="C13" s="7"/>
      <c r="D13" s="38" t="s">
        <v>52</v>
      </c>
      <c r="E13" s="11">
        <f>E12/E11</f>
        <v>13.09</v>
      </c>
      <c r="F13" s="31"/>
      <c r="G13" s="11">
        <f>G12/G11</f>
        <v>23.375</v>
      </c>
      <c r="H13" s="14"/>
      <c r="I13" s="7"/>
      <c r="K13" s="2" t="s">
        <v>53</v>
      </c>
      <c r="L13" s="29">
        <f>G9*100000</f>
        <v>14437500</v>
      </c>
      <c r="M13" s="29">
        <f>CUMIPMT(F14/12,60,L13,1,60,0)*-1</f>
        <v>3755362.3595410604</v>
      </c>
      <c r="N13" s="29">
        <f>L13+M13</f>
        <v>18192862.359541059</v>
      </c>
      <c r="O13" s="27"/>
      <c r="P13" s="5">
        <v>6</v>
      </c>
      <c r="Q13" s="65">
        <f t="shared" si="0"/>
        <v>3311234.9630321069</v>
      </c>
      <c r="R13" s="62"/>
      <c r="S13" s="62"/>
      <c r="T13" s="94">
        <v>-4500000</v>
      </c>
      <c r="U13" s="66">
        <f t="shared" si="1"/>
        <v>-1188765.0369678931</v>
      </c>
      <c r="V13" s="67">
        <f t="shared" si="3"/>
        <v>182.90258621255143</v>
      </c>
      <c r="W13" s="149">
        <f t="shared" si="2"/>
        <v>60.5</v>
      </c>
      <c r="X13" s="149"/>
      <c r="Y13" s="82"/>
    </row>
    <row r="14" spans="1:65">
      <c r="A14" s="7" t="s">
        <v>54</v>
      </c>
      <c r="B14" s="7"/>
      <c r="C14" s="7"/>
      <c r="D14" s="76" t="s">
        <v>55</v>
      </c>
      <c r="E14" s="11">
        <f>M12/E11/100000</f>
        <v>5.1273214082267247</v>
      </c>
      <c r="F14" s="31" t="s">
        <v>56</v>
      </c>
      <c r="G14" s="11">
        <f>M13/G11/100000</f>
        <v>7.5107247190821207</v>
      </c>
      <c r="H14" s="14"/>
      <c r="I14" s="7"/>
      <c r="L14" s="4" t="s">
        <v>57</v>
      </c>
      <c r="M14" s="27">
        <f>M13-M12</f>
        <v>1191701.655427698</v>
      </c>
      <c r="O14" s="27"/>
      <c r="P14" s="5">
        <v>7</v>
      </c>
      <c r="Q14" s="65">
        <f t="shared" si="0"/>
        <v>3311234.9630321069</v>
      </c>
      <c r="R14" s="62"/>
      <c r="S14" s="62"/>
      <c r="T14" s="94"/>
      <c r="U14" s="66">
        <f t="shared" si="1"/>
        <v>3311234.9630321069</v>
      </c>
      <c r="V14" s="67">
        <f t="shared" si="3"/>
        <v>216.01493584287249</v>
      </c>
      <c r="W14" s="149">
        <f t="shared" si="2"/>
        <v>60.5</v>
      </c>
      <c r="X14" s="149"/>
      <c r="Y14" s="82"/>
    </row>
    <row r="15" spans="1:65">
      <c r="A15" s="7" t="s">
        <v>58</v>
      </c>
      <c r="B15" s="7"/>
      <c r="C15" s="7"/>
      <c r="D15" s="76" t="s">
        <v>59</v>
      </c>
      <c r="E15" s="34">
        <f>0.8*E5</f>
        <v>1.1199999999999999</v>
      </c>
      <c r="F15" s="16"/>
      <c r="G15" s="34">
        <f>1.2*G5</f>
        <v>1.2</v>
      </c>
      <c r="H15" s="14"/>
      <c r="I15" s="7"/>
      <c r="L15" s="4"/>
      <c r="M15" s="27">
        <f>M14/5</f>
        <v>238340.3310855396</v>
      </c>
      <c r="O15" s="27"/>
      <c r="P15" s="5">
        <v>8</v>
      </c>
      <c r="Q15" s="65">
        <f t="shared" si="0"/>
        <v>3311234.9630321069</v>
      </c>
      <c r="R15" s="62"/>
      <c r="S15" s="62"/>
      <c r="T15" s="94"/>
      <c r="U15" s="66">
        <f t="shared" si="1"/>
        <v>3311234.9630321069</v>
      </c>
      <c r="V15" s="67">
        <f t="shared" si="3"/>
        <v>249.12728547319355</v>
      </c>
      <c r="W15" s="149">
        <f t="shared" si="2"/>
        <v>60.5</v>
      </c>
      <c r="X15" s="149"/>
      <c r="Y15" s="82"/>
    </row>
    <row r="16" spans="1:65">
      <c r="A16" s="7" t="s">
        <v>60</v>
      </c>
      <c r="B16" s="7"/>
      <c r="C16" s="7"/>
      <c r="D16" s="79" t="s">
        <v>61</v>
      </c>
      <c r="E16" s="11">
        <v>1.5</v>
      </c>
      <c r="F16" s="16"/>
      <c r="G16" s="11" t="s">
        <v>18</v>
      </c>
      <c r="H16" s="14"/>
      <c r="I16" s="7"/>
      <c r="L16" s="4"/>
      <c r="M16" s="27"/>
      <c r="O16" s="27"/>
      <c r="P16" s="5">
        <v>9</v>
      </c>
      <c r="Q16" s="65">
        <f t="shared" si="0"/>
        <v>3311234.9630321069</v>
      </c>
      <c r="R16" s="62"/>
      <c r="S16" s="62"/>
      <c r="T16" s="94"/>
      <c r="U16" s="66">
        <f t="shared" si="1"/>
        <v>3311234.9630321069</v>
      </c>
      <c r="V16" s="67">
        <f t="shared" si="3"/>
        <v>282.23963510351462</v>
      </c>
      <c r="W16" s="149">
        <f t="shared" si="2"/>
        <v>60.5</v>
      </c>
      <c r="X16" s="149"/>
      <c r="Y16" s="82"/>
    </row>
    <row r="17" spans="1:25">
      <c r="A17" s="7" t="s">
        <v>62</v>
      </c>
      <c r="B17" s="7"/>
      <c r="C17" s="7"/>
      <c r="D17" s="38" t="s">
        <v>63</v>
      </c>
      <c r="E17" s="11">
        <f>SUM(E13:E16)</f>
        <v>20.837321408226725</v>
      </c>
      <c r="F17" s="16"/>
      <c r="G17" s="11">
        <f>SUM(G13:G16)</f>
        <v>32.085724719082123</v>
      </c>
      <c r="H17" s="14"/>
      <c r="I17" s="7"/>
      <c r="L17" s="4"/>
      <c r="M17" s="27"/>
      <c r="O17" s="27"/>
      <c r="P17" s="5">
        <v>10</v>
      </c>
      <c r="Q17" s="65">
        <f t="shared" si="0"/>
        <v>3311234.9630321069</v>
      </c>
      <c r="R17" s="62"/>
      <c r="S17" s="62"/>
      <c r="T17" s="94"/>
      <c r="U17" s="66">
        <f t="shared" si="1"/>
        <v>3311234.9630321069</v>
      </c>
      <c r="V17" s="67">
        <f t="shared" si="3"/>
        <v>315.35198473383571</v>
      </c>
      <c r="W17" s="149">
        <f t="shared" si="2"/>
        <v>60.5</v>
      </c>
      <c r="X17" s="149"/>
      <c r="Y17" s="82"/>
    </row>
    <row r="18" spans="1:25">
      <c r="A18" s="7"/>
      <c r="B18" s="7"/>
      <c r="C18" s="7"/>
      <c r="D18" s="35"/>
      <c r="E18" s="36"/>
      <c r="F18" s="37"/>
      <c r="G18" s="7"/>
      <c r="H18" s="7"/>
      <c r="I18" s="7"/>
      <c r="L18" s="4"/>
      <c r="M18" s="27"/>
      <c r="O18" s="27"/>
      <c r="R18" s="61"/>
      <c r="S18" s="61"/>
      <c r="T18" s="61"/>
      <c r="U18" s="61"/>
      <c r="Y18" s="82"/>
    </row>
    <row r="19" spans="1:25">
      <c r="A19" s="7"/>
      <c r="B19" s="7"/>
      <c r="C19" s="7"/>
      <c r="D19" s="208" t="s">
        <v>64</v>
      </c>
      <c r="E19" s="209"/>
      <c r="F19" s="209"/>
      <c r="G19" s="209"/>
      <c r="H19" s="14"/>
      <c r="I19" s="7"/>
      <c r="L19" s="4"/>
      <c r="M19" s="27"/>
      <c r="O19" s="27"/>
      <c r="P19" s="28"/>
      <c r="W19" s="82"/>
      <c r="X19" s="82"/>
      <c r="Y19" s="82"/>
    </row>
    <row r="20" spans="1:25">
      <c r="A20" s="7" t="s">
        <v>65</v>
      </c>
      <c r="B20" s="7"/>
      <c r="C20" s="7"/>
      <c r="D20" s="18" t="s">
        <v>66</v>
      </c>
      <c r="E20" s="200">
        <f>E4</f>
        <v>25</v>
      </c>
      <c r="F20" s="200"/>
      <c r="G20" s="200">
        <f>G4</f>
        <v>35</v>
      </c>
      <c r="H20" s="7"/>
      <c r="I20" s="7"/>
      <c r="L20" s="4"/>
      <c r="M20" s="27"/>
      <c r="O20" s="27"/>
      <c r="P20" s="145" t="s">
        <v>67</v>
      </c>
      <c r="Q20" s="146" t="s">
        <v>11</v>
      </c>
      <c r="R20" s="146" t="s">
        <v>68</v>
      </c>
      <c r="S20" s="145" t="s">
        <v>69</v>
      </c>
      <c r="T20" s="147" t="str">
        <f>CONCATENATE(ROUND(SUM(X8),1)," Years")</f>
        <v>1.4 Years</v>
      </c>
    </row>
    <row r="21" spans="1:25">
      <c r="A21" s="7" t="s">
        <v>70</v>
      </c>
      <c r="B21" s="7"/>
      <c r="C21" s="7"/>
      <c r="D21" s="18" t="s">
        <v>71</v>
      </c>
      <c r="E21" s="200">
        <v>40</v>
      </c>
      <c r="F21" s="200"/>
      <c r="G21" s="200">
        <v>40</v>
      </c>
      <c r="H21" s="7"/>
      <c r="I21" s="7"/>
      <c r="L21" s="4"/>
      <c r="M21" s="27"/>
      <c r="O21" s="27"/>
      <c r="P21" s="28"/>
      <c r="R21" s="113"/>
    </row>
    <row r="22" spans="1:25">
      <c r="A22" s="7" t="s">
        <v>72</v>
      </c>
      <c r="B22" s="7"/>
      <c r="C22" s="7"/>
      <c r="D22" s="18" t="s">
        <v>73</v>
      </c>
      <c r="E22" s="214">
        <v>1</v>
      </c>
      <c r="F22" s="215"/>
      <c r="G22" s="216"/>
      <c r="H22" s="7"/>
      <c r="I22" s="7"/>
      <c r="L22" s="4"/>
      <c r="M22" s="27"/>
      <c r="O22" s="27"/>
      <c r="P22" s="28"/>
    </row>
    <row r="23" spans="1:25">
      <c r="A23" s="7" t="s">
        <v>74</v>
      </c>
      <c r="B23" s="7"/>
      <c r="C23" s="7"/>
      <c r="D23" s="18" t="s">
        <v>75</v>
      </c>
      <c r="E23" s="200">
        <f>E21*E22</f>
        <v>40</v>
      </c>
      <c r="F23" s="200"/>
      <c r="G23" s="200">
        <f>E22*G21</f>
        <v>40</v>
      </c>
      <c r="H23" s="7"/>
      <c r="I23" s="7"/>
      <c r="L23" s="4"/>
      <c r="M23" s="27"/>
      <c r="O23" s="27"/>
      <c r="P23" s="28"/>
    </row>
    <row r="24" spans="1:25">
      <c r="A24" s="7" t="s">
        <v>76</v>
      </c>
      <c r="B24" s="7"/>
      <c r="C24" s="7" t="s">
        <v>77</v>
      </c>
      <c r="D24" s="18" t="s">
        <v>78</v>
      </c>
      <c r="E24" s="200">
        <f>E20*E21*E5</f>
        <v>1400</v>
      </c>
      <c r="F24" s="200"/>
      <c r="G24" s="200">
        <f>G21*G20</f>
        <v>1400</v>
      </c>
      <c r="H24" s="7"/>
      <c r="I24" s="7"/>
      <c r="L24" s="4"/>
      <c r="M24" s="27"/>
      <c r="O24" s="27"/>
      <c r="P24" s="28"/>
    </row>
    <row r="25" spans="1:25">
      <c r="A25" s="7" t="s">
        <v>79</v>
      </c>
      <c r="B25" s="7"/>
      <c r="C25" s="7"/>
      <c r="D25" s="18" t="s">
        <v>80</v>
      </c>
      <c r="E25" s="200">
        <f>E24*25</f>
        <v>35000</v>
      </c>
      <c r="F25" s="200"/>
      <c r="G25" s="200">
        <f>G24*25</f>
        <v>35000</v>
      </c>
      <c r="H25" s="7"/>
      <c r="I25" s="7"/>
      <c r="M25" s="4"/>
    </row>
    <row r="26" spans="1:25">
      <c r="A26" s="7"/>
      <c r="B26" s="7"/>
      <c r="C26" s="7"/>
      <c r="D26" s="35"/>
      <c r="E26" s="36"/>
      <c r="F26" s="36"/>
      <c r="G26" s="36"/>
      <c r="H26" s="7"/>
      <c r="I26" s="7"/>
      <c r="K26" s="1" t="s">
        <v>81</v>
      </c>
      <c r="M26" s="140">
        <v>34</v>
      </c>
    </row>
    <row r="27" spans="1:25">
      <c r="A27" s="7"/>
      <c r="B27" s="7"/>
      <c r="C27" s="7"/>
      <c r="D27" s="208" t="s">
        <v>82</v>
      </c>
      <c r="E27" s="209"/>
      <c r="F27" s="209"/>
      <c r="G27" s="209"/>
      <c r="H27" s="7"/>
      <c r="I27" s="7"/>
      <c r="K27" s="1" t="s">
        <v>83</v>
      </c>
      <c r="M27" s="140">
        <v>3000</v>
      </c>
    </row>
    <row r="28" spans="1:25">
      <c r="A28" s="7" t="s">
        <v>84</v>
      </c>
      <c r="B28" s="7"/>
      <c r="C28" s="7"/>
      <c r="D28" s="18" t="s">
        <v>85</v>
      </c>
      <c r="E28" s="142">
        <f>H28/E29</f>
        <v>4.4117647058823533</v>
      </c>
      <c r="F28" s="11"/>
      <c r="G28" s="143">
        <v>6</v>
      </c>
      <c r="H28" s="141">
        <f>M27/M26</f>
        <v>88.235294117647058</v>
      </c>
      <c r="I28" s="7" t="s">
        <v>86</v>
      </c>
    </row>
    <row r="29" spans="1:25">
      <c r="A29" s="7" t="s">
        <v>87</v>
      </c>
      <c r="B29" s="7"/>
      <c r="C29" s="7"/>
      <c r="D29" s="18" t="s">
        <v>88</v>
      </c>
      <c r="E29" s="11">
        <v>20</v>
      </c>
      <c r="F29" s="11"/>
      <c r="G29" s="11">
        <v>20</v>
      </c>
      <c r="H29" s="7"/>
      <c r="I29" s="7"/>
      <c r="K29" s="144" t="s">
        <v>89</v>
      </c>
    </row>
    <row r="30" spans="1:25">
      <c r="A30" s="7" t="s">
        <v>90</v>
      </c>
      <c r="B30" s="7"/>
      <c r="C30" s="7"/>
      <c r="D30" s="18" t="s">
        <v>91</v>
      </c>
      <c r="E30" s="11">
        <v>95</v>
      </c>
      <c r="F30" s="11"/>
      <c r="G30" s="11">
        <v>3.81</v>
      </c>
      <c r="H30" s="7"/>
      <c r="I30" s="7"/>
    </row>
    <row r="31" spans="1:25">
      <c r="A31" s="7" t="s">
        <v>92</v>
      </c>
      <c r="B31" s="7"/>
      <c r="C31" s="7"/>
      <c r="D31" s="18" t="s">
        <v>93</v>
      </c>
      <c r="E31" s="53">
        <f>75000*E5</f>
        <v>105000</v>
      </c>
      <c r="F31" s="21"/>
      <c r="G31" s="53">
        <v>75000</v>
      </c>
      <c r="H31" s="7"/>
      <c r="I31" s="7"/>
      <c r="K31" s="1" t="s">
        <v>94</v>
      </c>
      <c r="L31" s="1">
        <v>25000</v>
      </c>
    </row>
    <row r="32" spans="1:25">
      <c r="A32" s="7" t="s">
        <v>95</v>
      </c>
      <c r="B32" s="7"/>
      <c r="C32" s="7"/>
      <c r="D32" s="18" t="s">
        <v>96</v>
      </c>
      <c r="E32" s="21">
        <f>35000*E5</f>
        <v>49000</v>
      </c>
      <c r="F32" s="21"/>
      <c r="G32" s="21">
        <v>35000</v>
      </c>
      <c r="H32" s="7"/>
      <c r="I32" s="7"/>
    </row>
    <row r="33" spans="1:20">
      <c r="A33" s="7" t="s">
        <v>97</v>
      </c>
      <c r="B33" s="7"/>
      <c r="C33" s="7"/>
      <c r="D33" s="18" t="s">
        <v>98</v>
      </c>
      <c r="E33" s="21">
        <f>40000*E5</f>
        <v>56000</v>
      </c>
      <c r="F33" s="21"/>
      <c r="G33" s="21">
        <v>20000</v>
      </c>
      <c r="H33" s="7"/>
      <c r="I33" s="7"/>
    </row>
    <row r="34" spans="1:20">
      <c r="A34" s="7" t="s">
        <v>99</v>
      </c>
      <c r="B34" s="7"/>
      <c r="C34" s="7"/>
      <c r="D34" s="18" t="s">
        <v>100</v>
      </c>
      <c r="E34" s="210">
        <v>25</v>
      </c>
      <c r="F34" s="210"/>
      <c r="G34" s="210"/>
      <c r="H34" s="7"/>
      <c r="I34" s="7"/>
    </row>
    <row r="35" spans="1:20">
      <c r="A35" s="7"/>
      <c r="B35" s="7"/>
      <c r="C35" s="7"/>
      <c r="H35" s="7"/>
      <c r="I35" s="7"/>
    </row>
    <row r="36" spans="1:20">
      <c r="A36" s="7"/>
      <c r="B36" s="7"/>
      <c r="C36" s="7"/>
      <c r="D36" s="211" t="s">
        <v>101</v>
      </c>
      <c r="E36" s="212"/>
      <c r="F36" s="212"/>
      <c r="G36" s="213"/>
      <c r="H36" s="7"/>
      <c r="I36" s="7"/>
    </row>
    <row r="37" spans="1:20">
      <c r="A37" s="7" t="s">
        <v>102</v>
      </c>
      <c r="B37" s="7"/>
      <c r="C37" s="7"/>
      <c r="D37" s="18" t="s">
        <v>103</v>
      </c>
      <c r="E37" s="18" t="s">
        <v>104</v>
      </c>
      <c r="F37" s="18"/>
      <c r="G37" s="18" t="s">
        <v>105</v>
      </c>
      <c r="H37" s="7"/>
      <c r="I37" s="20"/>
      <c r="J37" s="40"/>
    </row>
    <row r="38" spans="1:20">
      <c r="A38" s="7" t="s">
        <v>106</v>
      </c>
      <c r="B38" s="7"/>
      <c r="C38" s="7"/>
      <c r="D38" s="41" t="s">
        <v>5</v>
      </c>
      <c r="E38" s="41">
        <f>E28*E29*E30*E5</f>
        <v>11735.294117647059</v>
      </c>
      <c r="F38" s="41"/>
      <c r="G38" s="41">
        <f>E38*E34</f>
        <v>293382.3529411765</v>
      </c>
      <c r="H38" s="20"/>
      <c r="I38" s="7"/>
    </row>
    <row r="39" spans="1:20">
      <c r="A39" s="7" t="s">
        <v>107</v>
      </c>
      <c r="B39" s="7"/>
      <c r="C39" s="7"/>
      <c r="D39" s="81" t="s">
        <v>108</v>
      </c>
      <c r="E39" s="41">
        <f>(E28*E29*E5)*5%*50</f>
        <v>308.82352941176475</v>
      </c>
      <c r="F39" s="41"/>
      <c r="G39" s="41">
        <f>E39*E34</f>
        <v>7720.5882352941189</v>
      </c>
      <c r="H39" s="7"/>
      <c r="I39" s="7"/>
    </row>
    <row r="40" spans="1:20">
      <c r="A40" s="7" t="s">
        <v>109</v>
      </c>
      <c r="B40" s="7"/>
      <c r="C40" s="7"/>
      <c r="D40" s="41" t="s">
        <v>110</v>
      </c>
      <c r="E40" s="41">
        <f>E38+E39</f>
        <v>12044.117647058823</v>
      </c>
      <c r="F40" s="41"/>
      <c r="G40" s="179">
        <f>E34*E40</f>
        <v>301102.9411764706</v>
      </c>
      <c r="H40" s="7"/>
      <c r="I40" s="7"/>
    </row>
    <row r="41" spans="1:20">
      <c r="A41" s="7" t="s">
        <v>111</v>
      </c>
      <c r="B41" s="7"/>
      <c r="C41" s="7"/>
      <c r="D41" s="41" t="s">
        <v>112</v>
      </c>
      <c r="E41" s="41">
        <f>G28*G29*G30</f>
        <v>457.2</v>
      </c>
      <c r="F41" s="41"/>
      <c r="G41" s="134">
        <f>E41*E34</f>
        <v>11430</v>
      </c>
      <c r="H41" s="7"/>
      <c r="I41" s="7"/>
      <c r="L41" s="1" t="s">
        <v>113</v>
      </c>
    </row>
    <row r="42" spans="1:20">
      <c r="A42" s="7" t="s">
        <v>114</v>
      </c>
      <c r="B42" s="7"/>
      <c r="C42" s="7"/>
      <c r="D42" s="22" t="s">
        <v>115</v>
      </c>
      <c r="E42" s="23"/>
      <c r="F42" s="23"/>
      <c r="G42" s="24">
        <f>G40+E31+E32+E33</f>
        <v>511102.9411764706</v>
      </c>
      <c r="H42" s="60" t="s">
        <v>116</v>
      </c>
      <c r="I42" s="7"/>
      <c r="N42" s="207"/>
      <c r="O42" s="207"/>
      <c r="P42" s="207"/>
      <c r="Q42" s="207"/>
      <c r="R42" s="207"/>
      <c r="S42" s="207"/>
      <c r="T42" s="207"/>
    </row>
    <row r="43" spans="1:20">
      <c r="A43" s="7" t="s">
        <v>117</v>
      </c>
      <c r="B43" s="7"/>
      <c r="C43" s="7"/>
      <c r="D43" s="22" t="s">
        <v>118</v>
      </c>
      <c r="E43" s="23"/>
      <c r="F43" s="23"/>
      <c r="G43" s="24">
        <f>G41+G31+G32+G33</f>
        <v>141430</v>
      </c>
      <c r="H43" s="60" t="s">
        <v>119</v>
      </c>
      <c r="I43" s="7"/>
      <c r="N43" s="151"/>
      <c r="O43" s="152"/>
      <c r="P43" s="152"/>
      <c r="Q43" s="152"/>
      <c r="R43" s="152"/>
      <c r="S43" s="152"/>
      <c r="T43" s="152"/>
    </row>
    <row r="44" spans="1:20">
      <c r="A44" s="7" t="s">
        <v>120</v>
      </c>
      <c r="B44" s="7"/>
      <c r="C44" s="7" t="s">
        <v>121</v>
      </c>
      <c r="D44" s="111" t="s">
        <v>122</v>
      </c>
      <c r="E44" s="225"/>
      <c r="F44" s="226"/>
      <c r="G44" s="112">
        <f>G42-G43</f>
        <v>369672.9411764706</v>
      </c>
      <c r="H44" s="7"/>
      <c r="I44" s="7"/>
      <c r="N44" s="153"/>
      <c r="O44" s="154"/>
      <c r="P44" s="155"/>
      <c r="Q44" s="154"/>
      <c r="R44" s="156"/>
      <c r="S44" s="157"/>
      <c r="T44" s="158"/>
    </row>
    <row r="45" spans="1:20">
      <c r="A45" s="7" t="s">
        <v>123</v>
      </c>
      <c r="B45" s="7"/>
      <c r="C45" s="7" t="s">
        <v>124</v>
      </c>
      <c r="D45" s="25" t="s">
        <v>125</v>
      </c>
      <c r="E45" s="215"/>
      <c r="F45" s="216"/>
      <c r="G45" s="19">
        <f>G42+(E17*100000/12)</f>
        <v>684747.28624502663</v>
      </c>
      <c r="H45" s="7" t="s">
        <v>126</v>
      </c>
      <c r="I45" s="7"/>
      <c r="N45" s="153"/>
      <c r="O45" s="154"/>
      <c r="P45" s="155"/>
      <c r="Q45" s="154"/>
      <c r="R45" s="156"/>
      <c r="S45" s="157"/>
      <c r="T45" s="159"/>
    </row>
    <row r="46" spans="1:20">
      <c r="A46" s="7" t="s">
        <v>127</v>
      </c>
      <c r="B46" s="7"/>
      <c r="C46" s="7" t="s">
        <v>128</v>
      </c>
      <c r="D46" s="25" t="s">
        <v>129</v>
      </c>
      <c r="E46" s="215"/>
      <c r="F46" s="216"/>
      <c r="G46" s="19">
        <f>G43+(G17*100000/12)</f>
        <v>408811.03932568437</v>
      </c>
      <c r="H46" s="7" t="s">
        <v>130</v>
      </c>
      <c r="I46" s="7"/>
      <c r="N46" s="153"/>
      <c r="O46" s="154"/>
      <c r="P46" s="155"/>
      <c r="Q46" s="154"/>
      <c r="R46" s="156"/>
      <c r="S46" s="157"/>
      <c r="T46" s="159"/>
    </row>
    <row r="47" spans="1:20">
      <c r="A47" s="7" t="s">
        <v>131</v>
      </c>
      <c r="B47" s="7"/>
      <c r="C47" s="7" t="s">
        <v>132</v>
      </c>
      <c r="D47" s="25" t="s">
        <v>133</v>
      </c>
      <c r="E47" s="215"/>
      <c r="F47" s="216"/>
      <c r="G47" s="19">
        <f>G45-G46</f>
        <v>275936.24691934226</v>
      </c>
      <c r="H47" s="7"/>
      <c r="I47" s="7"/>
      <c r="N47" s="153"/>
      <c r="O47" s="154"/>
      <c r="P47" s="155"/>
      <c r="Q47" s="154"/>
      <c r="R47" s="156"/>
      <c r="S47" s="157"/>
      <c r="T47" s="159"/>
    </row>
    <row r="48" spans="1:20">
      <c r="A48" s="7"/>
      <c r="B48" s="7"/>
      <c r="C48" s="7"/>
      <c r="G48" s="19">
        <f>G47*12</f>
        <v>3311234.9630321069</v>
      </c>
      <c r="H48" s="7"/>
      <c r="I48" s="20"/>
      <c r="N48" s="153"/>
      <c r="O48" s="154"/>
      <c r="P48" s="155"/>
      <c r="Q48" s="154"/>
      <c r="R48" s="154"/>
      <c r="S48" s="157"/>
      <c r="T48" s="159"/>
    </row>
    <row r="49" spans="1:20">
      <c r="A49" s="7"/>
      <c r="B49" s="7"/>
      <c r="C49" s="7"/>
      <c r="H49" s="7"/>
      <c r="I49" s="7"/>
      <c r="N49" s="153"/>
      <c r="O49" s="154"/>
      <c r="P49" s="160"/>
      <c r="Q49" s="156"/>
      <c r="R49" s="156"/>
      <c r="S49" s="157"/>
      <c r="T49" s="159"/>
    </row>
    <row r="50" spans="1:20">
      <c r="A50" s="7"/>
      <c r="B50" s="7"/>
      <c r="C50" s="7"/>
      <c r="H50" s="7"/>
      <c r="I50" s="7"/>
      <c r="N50" s="153"/>
      <c r="O50" s="154"/>
      <c r="P50" s="160"/>
      <c r="Q50" s="156"/>
      <c r="R50" s="156"/>
      <c r="S50" s="157"/>
      <c r="T50" s="159"/>
    </row>
    <row r="51" spans="1:20">
      <c r="A51" s="7"/>
      <c r="B51" s="7"/>
      <c r="C51" s="7"/>
      <c r="D51" s="218" t="s">
        <v>134</v>
      </c>
      <c r="E51" s="219"/>
      <c r="F51" s="219"/>
      <c r="G51" s="219"/>
      <c r="H51" s="219"/>
      <c r="I51" s="219"/>
      <c r="J51" s="219"/>
      <c r="K51" s="219"/>
      <c r="N51" s="153"/>
      <c r="O51" s="154"/>
      <c r="P51" s="160"/>
      <c r="Q51" s="156"/>
      <c r="R51" s="156"/>
      <c r="S51" s="157"/>
      <c r="T51" s="159"/>
    </row>
    <row r="52" spans="1:20" ht="80.099999999999994" customHeight="1">
      <c r="A52" s="7"/>
      <c r="B52" s="7"/>
      <c r="C52" s="7"/>
      <c r="D52" s="43" t="s">
        <v>23</v>
      </c>
      <c r="E52" s="199" t="s">
        <v>135</v>
      </c>
      <c r="F52" s="199" t="s">
        <v>136</v>
      </c>
      <c r="G52" s="44" t="s">
        <v>137</v>
      </c>
      <c r="H52" s="199" t="s">
        <v>138</v>
      </c>
      <c r="I52" s="221" t="s">
        <v>139</v>
      </c>
      <c r="J52" s="221"/>
      <c r="K52" s="221"/>
      <c r="L52" s="47" t="s">
        <v>140</v>
      </c>
      <c r="N52" s="153"/>
      <c r="O52" s="154"/>
      <c r="P52" s="160"/>
      <c r="Q52" s="156"/>
      <c r="R52" s="156"/>
      <c r="S52" s="157"/>
      <c r="T52" s="159"/>
    </row>
    <row r="53" spans="1:20" ht="26.1" customHeight="1">
      <c r="A53" s="7"/>
      <c r="B53" s="7"/>
      <c r="C53" s="7"/>
      <c r="D53" s="45">
        <v>1</v>
      </c>
      <c r="E53" s="49">
        <f>E$8*100000*F53</f>
        <v>1155000</v>
      </c>
      <c r="F53" s="54" t="s">
        <v>40</v>
      </c>
      <c r="G53" s="46">
        <f>(G$8*100000)*H$53</f>
        <v>5500000</v>
      </c>
      <c r="H53" s="57" t="s">
        <v>141</v>
      </c>
      <c r="I53" s="220">
        <f>(G53-E53)*L$53</f>
        <v>1093636.5</v>
      </c>
      <c r="J53" s="220"/>
      <c r="K53" s="220"/>
      <c r="L53" s="48" t="s">
        <v>142</v>
      </c>
      <c r="N53" s="153"/>
      <c r="O53" s="154"/>
      <c r="P53" s="160"/>
      <c r="Q53" s="156"/>
      <c r="R53" s="156"/>
      <c r="S53" s="157"/>
      <c r="T53" s="159"/>
    </row>
    <row r="54" spans="1:20" ht="23.1" customHeight="1">
      <c r="A54" s="7"/>
      <c r="B54" s="7"/>
      <c r="C54" s="7"/>
      <c r="D54" s="45">
        <v>2</v>
      </c>
      <c r="E54" s="49">
        <f>(E$8*100000-E53)*F$53</f>
        <v>981750</v>
      </c>
      <c r="F54" s="55"/>
      <c r="G54" s="46">
        <f>(G$8*100000-G53)*H$53</f>
        <v>3300000</v>
      </c>
      <c r="H54" s="58"/>
      <c r="I54" s="220">
        <f>(G54-E54)*L$53</f>
        <v>583503.52499999991</v>
      </c>
      <c r="J54" s="220"/>
      <c r="K54" s="220"/>
    </row>
    <row r="55" spans="1:20" ht="24" customHeight="1">
      <c r="A55" s="7"/>
      <c r="B55" s="7"/>
      <c r="C55" s="7"/>
      <c r="D55" s="45">
        <v>3</v>
      </c>
      <c r="E55" s="49">
        <f>(E$8*100000-E54-E53)*F$53</f>
        <v>834487.5</v>
      </c>
      <c r="F55" s="55"/>
      <c r="G55" s="46">
        <f>(G$8*100000-G53-G54)*H$53</f>
        <v>1980000</v>
      </c>
      <c r="H55" s="58"/>
      <c r="I55" s="220">
        <f>(G55-E55)*L$53</f>
        <v>288325.49624999997</v>
      </c>
      <c r="J55" s="220"/>
      <c r="K55" s="220"/>
    </row>
    <row r="56" spans="1:20" ht="30" customHeight="1">
      <c r="A56" s="7"/>
      <c r="B56" s="7"/>
      <c r="C56" s="7"/>
      <c r="D56" s="45">
        <v>4</v>
      </c>
      <c r="E56" s="49">
        <f>(E$8*100000-E55-E53-E54)*F$53</f>
        <v>709314.375</v>
      </c>
      <c r="F56" s="55"/>
      <c r="G56" s="46">
        <v>907500</v>
      </c>
      <c r="H56" s="58"/>
      <c r="I56" s="220">
        <f>(G56-E56)*L$53</f>
        <v>49883.321812499998</v>
      </c>
      <c r="J56" s="220"/>
      <c r="K56" s="220"/>
      <c r="N56" s="1" t="s">
        <v>143</v>
      </c>
    </row>
    <row r="57" spans="1:20" ht="33.950000000000003" customHeight="1">
      <c r="A57" s="7"/>
      <c r="B57" s="7"/>
      <c r="C57" s="7"/>
      <c r="D57" s="45"/>
      <c r="E57" s="49"/>
      <c r="F57" s="56"/>
      <c r="G57" s="46"/>
      <c r="H57" s="59"/>
      <c r="I57" s="220"/>
      <c r="J57" s="220"/>
      <c r="K57" s="220"/>
      <c r="N57" s="1" t="s">
        <v>144</v>
      </c>
    </row>
    <row r="58" spans="1:20" ht="15.95" customHeight="1">
      <c r="A58" s="7"/>
      <c r="B58" s="7"/>
      <c r="C58" s="7"/>
    </row>
    <row r="59" spans="1:20" ht="15.95" customHeight="1">
      <c r="A59" s="7"/>
      <c r="B59" s="7"/>
      <c r="C59" s="7"/>
    </row>
    <row r="60" spans="1:20" ht="15.95" customHeight="1">
      <c r="A60" s="7"/>
      <c r="B60" s="7"/>
      <c r="C60" s="7"/>
    </row>
    <row r="61" spans="1:20" ht="15.95" customHeight="1">
      <c r="A61" s="7"/>
      <c r="B61" s="7"/>
      <c r="C61" s="7"/>
      <c r="D61" s="188" t="s">
        <v>23</v>
      </c>
      <c r="E61" s="188" t="s">
        <v>145</v>
      </c>
      <c r="F61" s="2"/>
      <c r="G61" s="222" t="s">
        <v>146</v>
      </c>
      <c r="H61" s="223"/>
      <c r="I61" s="224"/>
      <c r="J61" s="222" t="s">
        <v>147</v>
      </c>
      <c r="K61" s="224"/>
    </row>
    <row r="62" spans="1:20" ht="17.100000000000001" customHeight="1">
      <c r="A62" s="7"/>
      <c r="B62" s="7"/>
      <c r="C62" s="7"/>
      <c r="D62" s="186">
        <v>1</v>
      </c>
      <c r="E62" s="187">
        <v>13750000</v>
      </c>
      <c r="F62" s="2"/>
      <c r="G62" s="202">
        <v>5500000</v>
      </c>
      <c r="H62" s="203"/>
      <c r="I62" s="204"/>
      <c r="J62" s="202">
        <v>8250000</v>
      </c>
      <c r="K62" s="204"/>
      <c r="O62" s="190">
        <f>G56-891000</f>
        <v>16500</v>
      </c>
    </row>
    <row r="63" spans="1:20">
      <c r="A63" s="7"/>
      <c r="B63" s="7"/>
      <c r="C63" s="7"/>
      <c r="D63" s="186">
        <v>2</v>
      </c>
      <c r="E63" s="187">
        <v>8250000</v>
      </c>
      <c r="F63" s="2"/>
      <c r="G63" s="202">
        <v>3300000</v>
      </c>
      <c r="H63" s="203"/>
      <c r="I63" s="204"/>
      <c r="J63" s="202">
        <v>4950000</v>
      </c>
      <c r="K63" s="204"/>
    </row>
    <row r="64" spans="1:20">
      <c r="A64" s="7"/>
      <c r="B64" s="7"/>
      <c r="C64" s="7"/>
      <c r="D64" s="186">
        <v>3</v>
      </c>
      <c r="E64" s="187">
        <v>4950000</v>
      </c>
      <c r="F64" s="2"/>
      <c r="G64" s="202">
        <v>1980000</v>
      </c>
      <c r="H64" s="203"/>
      <c r="I64" s="204"/>
      <c r="J64" s="202">
        <v>2970000</v>
      </c>
      <c r="K64" s="204"/>
    </row>
    <row r="65" spans="1:13">
      <c r="A65" s="7"/>
      <c r="B65" s="7"/>
      <c r="C65" s="7"/>
      <c r="D65" s="186">
        <v>4</v>
      </c>
      <c r="E65" s="187">
        <v>2970000</v>
      </c>
      <c r="F65" s="2"/>
      <c r="G65" s="202">
        <v>1188000</v>
      </c>
      <c r="H65" s="203"/>
      <c r="I65" s="204"/>
      <c r="J65" s="205">
        <v>1782000</v>
      </c>
      <c r="K65" s="206"/>
    </row>
    <row r="66" spans="1:13">
      <c r="A66" s="7"/>
      <c r="B66" s="7"/>
      <c r="C66" s="7"/>
      <c r="D66" s="1" t="s">
        <v>148</v>
      </c>
    </row>
    <row r="67" spans="1:13">
      <c r="A67" s="7"/>
      <c r="B67" s="7"/>
      <c r="C67" s="7"/>
      <c r="D67" s="1" t="s">
        <v>149</v>
      </c>
      <c r="M67" s="1">
        <f>1188000-907500</f>
        <v>280500</v>
      </c>
    </row>
    <row r="68" spans="1:13">
      <c r="A68" s="7"/>
      <c r="B68" s="7"/>
      <c r="C68" s="7"/>
      <c r="D68" s="189" t="s">
        <v>150</v>
      </c>
    </row>
    <row r="69" spans="1:13">
      <c r="A69" s="7"/>
      <c r="B69" s="7"/>
      <c r="C69" s="7"/>
      <c r="D69" s="1" t="s">
        <v>151</v>
      </c>
    </row>
    <row r="70" spans="1:13">
      <c r="A70" s="7"/>
      <c r="B70" s="7"/>
      <c r="C70" s="7"/>
      <c r="D70" s="1" t="s">
        <v>152</v>
      </c>
    </row>
    <row r="73" spans="1:13">
      <c r="D73" s="188" t="s">
        <v>23</v>
      </c>
      <c r="E73" s="188" t="s">
        <v>145</v>
      </c>
      <c r="F73" s="2"/>
      <c r="G73" s="222" t="s">
        <v>146</v>
      </c>
      <c r="H73" s="223"/>
      <c r="I73" s="224"/>
      <c r="J73" s="222" t="s">
        <v>147</v>
      </c>
      <c r="K73" s="224"/>
    </row>
    <row r="74" spans="1:13">
      <c r="D74" s="186">
        <v>1</v>
      </c>
      <c r="E74" s="187">
        <v>13750000</v>
      </c>
      <c r="F74" s="2"/>
      <c r="G74" s="202">
        <v>5500000</v>
      </c>
      <c r="H74" s="203"/>
      <c r="I74" s="204"/>
      <c r="J74" s="202">
        <v>8250000</v>
      </c>
      <c r="K74" s="204"/>
    </row>
    <row r="75" spans="1:13">
      <c r="D75" s="186">
        <v>2</v>
      </c>
      <c r="E75" s="187">
        <v>8250000</v>
      </c>
      <c r="F75" s="2"/>
      <c r="G75" s="202">
        <v>3300000</v>
      </c>
      <c r="H75" s="203"/>
      <c r="I75" s="204"/>
      <c r="J75" s="202">
        <v>4950000</v>
      </c>
      <c r="K75" s="204"/>
    </row>
    <row r="76" spans="1:13">
      <c r="D76" s="186">
        <v>3</v>
      </c>
      <c r="E76" s="187">
        <v>4950000</v>
      </c>
      <c r="F76" s="2"/>
      <c r="G76" s="202">
        <v>1980000</v>
      </c>
      <c r="H76" s="203"/>
      <c r="I76" s="204"/>
      <c r="J76" s="202">
        <v>2970000</v>
      </c>
      <c r="K76" s="204"/>
    </row>
    <row r="77" spans="1:13">
      <c r="D77" s="186">
        <v>4</v>
      </c>
      <c r="E77" s="187">
        <v>2970000</v>
      </c>
      <c r="F77" s="2"/>
      <c r="G77" s="202">
        <v>907500</v>
      </c>
      <c r="H77" s="203"/>
      <c r="I77" s="204"/>
      <c r="J77" s="205">
        <f>E77-G77</f>
        <v>2062500</v>
      </c>
      <c r="K77" s="206"/>
      <c r="L77" s="1" t="s">
        <v>153</v>
      </c>
    </row>
    <row r="91" spans="4:9">
      <c r="D91" s="87" t="s">
        <v>154</v>
      </c>
      <c r="E91" s="7"/>
      <c r="F91" s="7"/>
      <c r="G91" s="7"/>
      <c r="H91" s="7"/>
      <c r="I91" s="7"/>
    </row>
    <row r="92" spans="4:9">
      <c r="D92" s="1" t="s">
        <v>155</v>
      </c>
      <c r="E92" s="7"/>
      <c r="F92" s="7"/>
      <c r="G92" s="7"/>
      <c r="H92" s="7"/>
      <c r="I92" s="7"/>
    </row>
    <row r="93" spans="4:9">
      <c r="D93" s="89" t="s">
        <v>156</v>
      </c>
      <c r="E93" s="7"/>
      <c r="F93" s="7"/>
      <c r="G93" s="7"/>
      <c r="H93" s="7"/>
      <c r="I93" s="7"/>
    </row>
    <row r="94" spans="4:9">
      <c r="D94" s="88" t="s">
        <v>157</v>
      </c>
      <c r="E94" s="7"/>
      <c r="F94" s="7"/>
      <c r="G94" s="7"/>
      <c r="H94" s="7"/>
      <c r="I94" s="7"/>
    </row>
    <row r="95" spans="4:9">
      <c r="D95" s="88" t="s">
        <v>158</v>
      </c>
    </row>
    <row r="96" spans="4:9">
      <c r="D96" s="88" t="s">
        <v>159</v>
      </c>
    </row>
    <row r="97" spans="4:11">
      <c r="D97" s="88" t="s">
        <v>160</v>
      </c>
    </row>
    <row r="98" spans="4:11">
      <c r="D98" s="89" t="s">
        <v>161</v>
      </c>
    </row>
    <row r="99" spans="4:11">
      <c r="D99" s="89" t="s">
        <v>162</v>
      </c>
    </row>
    <row r="100" spans="4:11">
      <c r="D100" s="95" t="s">
        <v>163</v>
      </c>
      <c r="E100" s="95"/>
      <c r="F100" s="95"/>
      <c r="G100" s="95"/>
    </row>
    <row r="102" spans="4:11">
      <c r="D102" s="90" t="s">
        <v>164</v>
      </c>
      <c r="E102" s="51"/>
      <c r="G102" s="52"/>
      <c r="I102" s="217"/>
      <c r="J102" s="217"/>
      <c r="K102" s="217"/>
    </row>
    <row r="103" spans="4:11">
      <c r="D103" s="91" t="s">
        <v>165</v>
      </c>
      <c r="E103" s="51"/>
      <c r="G103" s="52"/>
      <c r="I103" s="217"/>
      <c r="J103" s="217"/>
      <c r="K103" s="217"/>
    </row>
    <row r="104" spans="4:11">
      <c r="D104" s="91" t="s">
        <v>166</v>
      </c>
      <c r="E104" s="51"/>
      <c r="G104" s="52"/>
      <c r="I104" s="217"/>
      <c r="J104" s="217"/>
      <c r="K104" s="217"/>
    </row>
    <row r="105" spans="4:11">
      <c r="D105" s="91" t="s">
        <v>167</v>
      </c>
      <c r="E105" s="51"/>
      <c r="G105" s="52"/>
      <c r="I105" s="217"/>
      <c r="J105" s="217"/>
      <c r="K105" s="217"/>
    </row>
    <row r="106" spans="4:11">
      <c r="E106" s="51"/>
      <c r="G106" s="52"/>
      <c r="I106" s="217"/>
      <c r="J106" s="217"/>
      <c r="K106" s="217"/>
    </row>
    <row r="108" spans="4:11">
      <c r="D108" s="1" t="s">
        <v>168</v>
      </c>
      <c r="J108" s="92" t="s">
        <v>169</v>
      </c>
    </row>
    <row r="109" spans="4:11">
      <c r="D109" s="1" t="s">
        <v>170</v>
      </c>
      <c r="K109" s="1" t="s">
        <v>171</v>
      </c>
    </row>
    <row r="111" spans="4:11">
      <c r="D111" s="93" t="s">
        <v>172</v>
      </c>
    </row>
    <row r="113" spans="4:5">
      <c r="D113" s="1" t="s">
        <v>173</v>
      </c>
      <c r="E113" s="1">
        <v>171</v>
      </c>
    </row>
    <row r="114" spans="4:5">
      <c r="D114" s="1" t="s">
        <v>174</v>
      </c>
      <c r="E114" s="1">
        <f>E113*15%</f>
        <v>25.65</v>
      </c>
    </row>
    <row r="115" spans="4:5">
      <c r="D115" s="1" t="s">
        <v>175</v>
      </c>
      <c r="E115" s="1">
        <f>E113-E114</f>
        <v>145.35</v>
      </c>
    </row>
    <row r="116" spans="4:5">
      <c r="D116" s="1" t="s">
        <v>176</v>
      </c>
      <c r="E116" s="1">
        <v>80</v>
      </c>
    </row>
    <row r="117" spans="4:5">
      <c r="D117" s="1" t="s">
        <v>177</v>
      </c>
      <c r="E117" s="1">
        <f>E115/E116</f>
        <v>1.816875</v>
      </c>
    </row>
    <row r="118" spans="4:5">
      <c r="D118" s="1" t="s">
        <v>178</v>
      </c>
      <c r="E118" s="1">
        <v>1</v>
      </c>
    </row>
    <row r="119" spans="4:5">
      <c r="D119" s="1" t="s">
        <v>179</v>
      </c>
      <c r="E119" s="1">
        <f>E117+E118</f>
        <v>2.816875</v>
      </c>
    </row>
    <row r="120" spans="4:5">
      <c r="D120" s="1" t="s">
        <v>180</v>
      </c>
      <c r="E120" s="1">
        <v>1</v>
      </c>
    </row>
    <row r="121" spans="4:5">
      <c r="D121" s="1" t="s">
        <v>181</v>
      </c>
      <c r="E121" s="1">
        <v>40</v>
      </c>
    </row>
    <row r="122" spans="4:5">
      <c r="D122" s="1" t="s">
        <v>182</v>
      </c>
      <c r="E122" s="1">
        <f>E119*E121</f>
        <v>112.675</v>
      </c>
    </row>
    <row r="123" spans="4:5">
      <c r="D123" s="1" t="s">
        <v>183</v>
      </c>
      <c r="E123" s="1">
        <v>20</v>
      </c>
    </row>
    <row r="124" spans="4:5">
      <c r="D124" s="1" t="s">
        <v>184</v>
      </c>
      <c r="E124" s="1">
        <f>E122/E123</f>
        <v>5.63375</v>
      </c>
    </row>
  </sheetData>
  <mergeCells count="42">
    <mergeCell ref="E44:F44"/>
    <mergeCell ref="E45:F45"/>
    <mergeCell ref="E46:F46"/>
    <mergeCell ref="E47:F47"/>
    <mergeCell ref="I103:K103"/>
    <mergeCell ref="G62:I62"/>
    <mergeCell ref="G63:I63"/>
    <mergeCell ref="G64:I64"/>
    <mergeCell ref="G65:I65"/>
    <mergeCell ref="J65:K65"/>
    <mergeCell ref="G73:I73"/>
    <mergeCell ref="J73:K73"/>
    <mergeCell ref="G74:I74"/>
    <mergeCell ref="J74:K74"/>
    <mergeCell ref="G75:I75"/>
    <mergeCell ref="J75:K75"/>
    <mergeCell ref="I104:K104"/>
    <mergeCell ref="I105:K105"/>
    <mergeCell ref="I106:K106"/>
    <mergeCell ref="D51:K51"/>
    <mergeCell ref="I54:K54"/>
    <mergeCell ref="I55:K55"/>
    <mergeCell ref="I56:K56"/>
    <mergeCell ref="I57:K57"/>
    <mergeCell ref="I102:K102"/>
    <mergeCell ref="I52:K52"/>
    <mergeCell ref="I53:K53"/>
    <mergeCell ref="G61:I61"/>
    <mergeCell ref="J61:K61"/>
    <mergeCell ref="J62:K62"/>
    <mergeCell ref="J63:K63"/>
    <mergeCell ref="J64:K64"/>
    <mergeCell ref="D27:G27"/>
    <mergeCell ref="E34:G34"/>
    <mergeCell ref="D36:G36"/>
    <mergeCell ref="D19:G19"/>
    <mergeCell ref="E22:G22"/>
    <mergeCell ref="G76:I76"/>
    <mergeCell ref="J76:K76"/>
    <mergeCell ref="G77:I77"/>
    <mergeCell ref="J77:K77"/>
    <mergeCell ref="N42:T42"/>
  </mergeCells>
  <dataValidations count="2">
    <dataValidation type="list" allowBlank="1" showInputMessage="1" showErrorMessage="1" sqref="Q20" xr:uid="{00000000-0002-0000-0000-000000000000}">
      <formula1>$BM$4:$BM$5</formula1>
    </dataValidation>
    <dataValidation type="list" allowBlank="1" showInputMessage="1" showErrorMessage="1" sqref="R20" xr:uid="{7EAD6ECB-8836-0348-80A5-7DE40576A308}">
      <formula1>$Y$9:$Y$10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1"/>
  <sheetViews>
    <sheetView topLeftCell="A2" zoomScale="125" workbookViewId="0">
      <selection activeCell="J21" sqref="J21"/>
    </sheetView>
  </sheetViews>
  <sheetFormatPr defaultColWidth="10.875" defaultRowHeight="15.95"/>
  <cols>
    <col min="1" max="1" width="2.875" style="1" customWidth="1"/>
    <col min="2" max="2" width="2.125" style="1" customWidth="1"/>
    <col min="3" max="3" width="5.5" style="1" customWidth="1"/>
    <col min="4" max="4" width="28" style="1" customWidth="1"/>
    <col min="5" max="5" width="11" style="1" customWidth="1"/>
    <col min="6" max="6" width="4.5" style="1" customWidth="1"/>
    <col min="7" max="7" width="13" style="1" customWidth="1"/>
    <col min="8" max="8" width="4.875" style="1" customWidth="1"/>
    <col min="9" max="9" width="2.125" style="1" customWidth="1"/>
    <col min="10" max="10" width="3" style="1" customWidth="1"/>
    <col min="11" max="11" width="10.875" style="1"/>
    <col min="12" max="12" width="14.125" style="1" customWidth="1"/>
    <col min="13" max="13" width="24.125" style="1" customWidth="1"/>
    <col min="14" max="14" width="13.375" style="1" customWidth="1"/>
    <col min="15" max="15" width="19" style="1" customWidth="1"/>
    <col min="16" max="16" width="13.125" style="1" customWidth="1"/>
    <col min="17" max="17" width="16.375" style="1" customWidth="1"/>
    <col min="18" max="18" width="16.625" style="1" customWidth="1"/>
    <col min="19" max="19" width="14.375" style="1" customWidth="1"/>
    <col min="20" max="21" width="14.5" style="1" customWidth="1"/>
    <col min="22" max="22" width="16" style="1" customWidth="1"/>
    <col min="23" max="24" width="10.875" style="1"/>
    <col min="25" max="25" width="16.625" style="1" customWidth="1"/>
    <col min="26" max="26" width="10.875" style="1"/>
    <col min="27" max="27" width="17.375" style="1" customWidth="1"/>
    <col min="28" max="16384" width="10.875" style="1"/>
  </cols>
  <sheetData>
    <row r="1" spans="1:28">
      <c r="D1" s="230" t="s">
        <v>185</v>
      </c>
      <c r="E1" s="230"/>
      <c r="F1" s="230"/>
      <c r="G1" s="230"/>
    </row>
    <row r="2" spans="1:28">
      <c r="A2" s="7"/>
      <c r="B2" s="7"/>
      <c r="C2" s="7"/>
      <c r="D2" s="8" t="s">
        <v>0</v>
      </c>
      <c r="E2" s="8" t="s">
        <v>1</v>
      </c>
      <c r="F2" s="9"/>
      <c r="G2" s="8" t="s">
        <v>2</v>
      </c>
      <c r="H2" s="7"/>
      <c r="I2" s="7"/>
    </row>
    <row r="3" spans="1:28">
      <c r="A3" s="7"/>
      <c r="B3" s="7"/>
      <c r="C3" s="7"/>
      <c r="D3" s="10" t="s">
        <v>4</v>
      </c>
      <c r="E3" s="11" t="s">
        <v>5</v>
      </c>
      <c r="F3" s="30"/>
      <c r="G3" s="11" t="s">
        <v>6</v>
      </c>
      <c r="H3" s="7"/>
      <c r="I3" s="7"/>
      <c r="L3" s="4"/>
      <c r="M3" s="4"/>
      <c r="O3" s="4"/>
      <c r="Z3" s="1" t="s">
        <v>11</v>
      </c>
    </row>
    <row r="4" spans="1:28">
      <c r="A4" s="7"/>
      <c r="B4" s="7"/>
      <c r="C4" s="7"/>
      <c r="D4" s="10" t="s">
        <v>8</v>
      </c>
      <c r="E4" s="11">
        <v>55</v>
      </c>
      <c r="F4" s="30"/>
      <c r="G4" s="11">
        <v>120</v>
      </c>
      <c r="H4" s="7"/>
      <c r="I4" s="7"/>
      <c r="L4" s="4"/>
      <c r="M4" s="27"/>
      <c r="O4" s="27"/>
      <c r="P4" s="28"/>
      <c r="Z4" s="1" t="s">
        <v>15</v>
      </c>
    </row>
    <row r="5" spans="1:28">
      <c r="A5" s="7"/>
      <c r="B5" s="7"/>
      <c r="C5" s="7"/>
      <c r="D5" s="68" t="s">
        <v>10</v>
      </c>
      <c r="E5" s="12">
        <v>25</v>
      </c>
      <c r="F5" s="7"/>
      <c r="G5" s="12">
        <v>25</v>
      </c>
      <c r="H5" s="7"/>
      <c r="I5" s="7"/>
      <c r="L5" s="4"/>
      <c r="M5" s="27"/>
      <c r="O5" s="27"/>
      <c r="P5" s="28"/>
    </row>
    <row r="6" spans="1:28">
      <c r="A6" s="7"/>
      <c r="D6" s="38" t="s">
        <v>14</v>
      </c>
      <c r="E6" s="11">
        <f>G5/E5</f>
        <v>1</v>
      </c>
      <c r="F6" s="30"/>
      <c r="G6" s="11">
        <v>1</v>
      </c>
    </row>
    <row r="7" spans="1:28">
      <c r="A7" s="7"/>
      <c r="B7" s="7"/>
      <c r="C7" s="7"/>
      <c r="D7" s="77" t="s">
        <v>22</v>
      </c>
      <c r="E7" s="200" t="s">
        <v>18</v>
      </c>
      <c r="F7" s="2"/>
      <c r="G7" s="200">
        <v>17</v>
      </c>
      <c r="H7" s="7"/>
      <c r="I7" s="7"/>
      <c r="L7" s="4"/>
      <c r="M7" s="27"/>
      <c r="O7" s="27"/>
      <c r="P7" s="28"/>
    </row>
    <row r="8" spans="1:28">
      <c r="A8" s="7"/>
      <c r="B8" s="7"/>
      <c r="C8" s="7"/>
      <c r="D8" s="18" t="s">
        <v>186</v>
      </c>
      <c r="E8" s="200" t="s">
        <v>18</v>
      </c>
      <c r="F8" s="18"/>
      <c r="G8" s="200">
        <f>1/I8</f>
        <v>0.25</v>
      </c>
      <c r="H8" s="14" t="s">
        <v>19</v>
      </c>
      <c r="I8" s="80">
        <v>4</v>
      </c>
      <c r="J8" s="1" t="s">
        <v>4</v>
      </c>
      <c r="L8" s="4"/>
      <c r="M8" s="27"/>
      <c r="O8" s="27"/>
      <c r="P8" s="28"/>
    </row>
    <row r="9" spans="1:28" ht="17.100000000000001" customHeight="1">
      <c r="A9" s="7"/>
      <c r="B9" s="7"/>
      <c r="C9" s="7"/>
      <c r="D9" s="99" t="s">
        <v>32</v>
      </c>
      <c r="E9" s="104">
        <f>E6*E4</f>
        <v>55</v>
      </c>
      <c r="F9" s="105"/>
      <c r="G9" s="102">
        <f>(G4*G6)+(G7*G8)</f>
        <v>124.25</v>
      </c>
      <c r="H9" s="14"/>
      <c r="I9" s="7"/>
      <c r="L9" s="4"/>
      <c r="M9" s="27"/>
      <c r="O9" s="27"/>
      <c r="Q9" s="63" t="s">
        <v>23</v>
      </c>
      <c r="R9" s="64" t="s">
        <v>24</v>
      </c>
      <c r="S9" s="64" t="s">
        <v>25</v>
      </c>
      <c r="T9" s="64" t="s">
        <v>26</v>
      </c>
      <c r="U9" s="64" t="s">
        <v>27</v>
      </c>
      <c r="V9" s="64" t="s">
        <v>28</v>
      </c>
      <c r="W9" s="64" t="s">
        <v>29</v>
      </c>
      <c r="X9" s="28"/>
    </row>
    <row r="10" spans="1:28" ht="18" customHeight="1">
      <c r="A10" s="7"/>
      <c r="B10" s="7"/>
      <c r="C10" s="7"/>
      <c r="D10" s="38" t="s">
        <v>35</v>
      </c>
      <c r="E10" s="15">
        <f>E9*1.28</f>
        <v>70.400000000000006</v>
      </c>
      <c r="F10" s="31" t="s">
        <v>36</v>
      </c>
      <c r="G10" s="15">
        <f>G9*1.05</f>
        <v>130.46250000000001</v>
      </c>
      <c r="H10" s="17" t="s">
        <v>187</v>
      </c>
      <c r="I10" s="7"/>
      <c r="L10" s="4"/>
      <c r="M10" s="27"/>
      <c r="O10" s="27"/>
      <c r="Q10" s="5">
        <v>1</v>
      </c>
      <c r="R10" s="65">
        <f t="shared" ref="R10:R19" si="0">G$49*12</f>
        <v>1380173.9370113451</v>
      </c>
      <c r="S10" s="62">
        <f>IF($R$22="Inc. Depreciation",I55,0)</f>
        <v>1043296.4999999999</v>
      </c>
      <c r="T10" s="3"/>
      <c r="U10" s="94"/>
      <c r="V10" s="66">
        <f>SUM(R10:U10)</f>
        <v>2423470.4370113448</v>
      </c>
      <c r="W10" s="67">
        <f>V10/100000</f>
        <v>24.234704370113448</v>
      </c>
      <c r="X10" s="149">
        <f>$G$9-$E$9</f>
        <v>69.25</v>
      </c>
      <c r="Y10" s="150">
        <f>X10/W10</f>
        <v>2.857472447049942</v>
      </c>
      <c r="Z10" s="82"/>
    </row>
    <row r="11" spans="1:28">
      <c r="A11" s="7"/>
      <c r="B11" s="7"/>
      <c r="C11" s="7"/>
      <c r="D11" s="10" t="s">
        <v>188</v>
      </c>
      <c r="E11" s="11">
        <f>E9*15%</f>
        <v>8.25</v>
      </c>
      <c r="F11" s="31"/>
      <c r="G11" s="11">
        <f>G9*15%</f>
        <v>18.637499999999999</v>
      </c>
      <c r="H11" s="14"/>
      <c r="I11" s="7"/>
      <c r="L11" s="4"/>
      <c r="M11" s="27"/>
      <c r="O11" s="27"/>
      <c r="Q11" s="5">
        <v>2</v>
      </c>
      <c r="R11" s="65">
        <f t="shared" si="0"/>
        <v>1380173.9370113451</v>
      </c>
      <c r="S11" s="62">
        <f>IF($R$22="Inc. Depreciation",I56,0)</f>
        <v>574064.77499999991</v>
      </c>
      <c r="T11" s="62"/>
      <c r="U11" s="94"/>
      <c r="V11" s="66">
        <f t="shared" ref="V11:V19" si="1">SUM(R11:U11)</f>
        <v>1954238.712011345</v>
      </c>
      <c r="W11" s="67">
        <f>V11/100000+W10</f>
        <v>43.777091490226894</v>
      </c>
      <c r="X11" s="149">
        <f t="shared" ref="X11:X19" si="2">$G$9-$E$9</f>
        <v>69.25</v>
      </c>
      <c r="Y11" s="149"/>
      <c r="Z11" s="82"/>
      <c r="AA11" s="85"/>
      <c r="AB11" s="86"/>
    </row>
    <row r="12" spans="1:28">
      <c r="A12" s="7"/>
      <c r="B12" s="7"/>
      <c r="C12" s="7"/>
      <c r="D12" s="10" t="s">
        <v>42</v>
      </c>
      <c r="E12" s="11">
        <v>5</v>
      </c>
      <c r="F12" s="31"/>
      <c r="G12" s="11">
        <v>5</v>
      </c>
      <c r="H12" s="14"/>
      <c r="I12" s="7"/>
      <c r="K12" s="2" t="s">
        <v>189</v>
      </c>
      <c r="L12" s="2" t="s">
        <v>44</v>
      </c>
      <c r="M12" s="3" t="s">
        <v>45</v>
      </c>
      <c r="N12" s="3" t="s">
        <v>46</v>
      </c>
      <c r="O12" s="27"/>
      <c r="Q12" s="5">
        <v>3</v>
      </c>
      <c r="R12" s="65">
        <f t="shared" si="0"/>
        <v>1380173.9370113451</v>
      </c>
      <c r="S12" s="62">
        <f>IF($R$22="Inc. Depreciation",I57,0)</f>
        <v>300312.70874999999</v>
      </c>
      <c r="T12" s="62"/>
      <c r="U12" s="94"/>
      <c r="V12" s="66">
        <f t="shared" si="1"/>
        <v>1680486.645761345</v>
      </c>
      <c r="W12" s="67">
        <f t="shared" ref="W12:W19" si="3">V12/100000+W11</f>
        <v>60.581957947840344</v>
      </c>
      <c r="X12" s="149">
        <f t="shared" si="2"/>
        <v>69.25</v>
      </c>
      <c r="Y12" s="149"/>
      <c r="Z12" s="83"/>
    </row>
    <row r="13" spans="1:28">
      <c r="A13" s="7"/>
      <c r="B13" s="7"/>
      <c r="C13" s="7"/>
      <c r="D13" s="38" t="s">
        <v>49</v>
      </c>
      <c r="E13" s="11">
        <f>E9-E11</f>
        <v>46.75</v>
      </c>
      <c r="F13" s="31"/>
      <c r="G13" s="11">
        <f>G9-G11</f>
        <v>105.6125</v>
      </c>
      <c r="H13" s="14"/>
      <c r="I13" s="7"/>
      <c r="K13" s="2" t="s">
        <v>5</v>
      </c>
      <c r="L13" s="94">
        <f>E10*100000</f>
        <v>7040000.0000000009</v>
      </c>
      <c r="M13" s="29">
        <f>CUMIPMT(F15/12,60,L13,1,60,0)*-1</f>
        <v>1831186.2172238296</v>
      </c>
      <c r="N13" s="29">
        <f>M13+L13</f>
        <v>8871186.2172238305</v>
      </c>
      <c r="O13" s="27"/>
      <c r="Q13" s="5">
        <v>4</v>
      </c>
      <c r="R13" s="65">
        <f t="shared" si="0"/>
        <v>1380173.9370113451</v>
      </c>
      <c r="S13" s="62">
        <f>IF($R$22="Inc. Depreciation",I58,0)</f>
        <v>78881.993437499987</v>
      </c>
      <c r="T13" s="62"/>
      <c r="U13" s="94"/>
      <c r="V13" s="66">
        <f t="shared" si="1"/>
        <v>1459055.930448845</v>
      </c>
      <c r="W13" s="67">
        <f t="shared" si="3"/>
        <v>75.172517252328788</v>
      </c>
      <c r="X13" s="149">
        <f t="shared" si="2"/>
        <v>69.25</v>
      </c>
      <c r="Y13" s="149"/>
      <c r="Z13" s="82"/>
    </row>
    <row r="14" spans="1:28">
      <c r="A14" s="7"/>
      <c r="B14" s="7"/>
      <c r="C14" s="7"/>
      <c r="D14" s="38" t="s">
        <v>52</v>
      </c>
      <c r="E14" s="11">
        <f>E13/E12</f>
        <v>9.35</v>
      </c>
      <c r="F14" s="31"/>
      <c r="G14" s="11">
        <f>G13/G12</f>
        <v>21.122499999999999</v>
      </c>
      <c r="H14" s="14"/>
      <c r="I14" s="7"/>
      <c r="K14" s="2" t="s">
        <v>6</v>
      </c>
      <c r="L14" s="94">
        <f>G10*100000</f>
        <v>13046250</v>
      </c>
      <c r="M14" s="29">
        <f>CUMIPMT(F15/12,60,L14,1,60,0)*-1</f>
        <v>3393481.9867125582</v>
      </c>
      <c r="N14" s="29">
        <f>M14+L14</f>
        <v>16439731.986712558</v>
      </c>
      <c r="O14" s="27"/>
      <c r="Q14" s="5">
        <v>5</v>
      </c>
      <c r="R14" s="65">
        <f t="shared" si="0"/>
        <v>1380173.9370113451</v>
      </c>
      <c r="S14" s="62"/>
      <c r="T14" s="62">
        <f>(G11-E11)*100000</f>
        <v>1038749.9999999999</v>
      </c>
      <c r="U14" s="94"/>
      <c r="V14" s="66">
        <f t="shared" si="1"/>
        <v>2418923.9370113448</v>
      </c>
      <c r="W14" s="67">
        <f t="shared" si="3"/>
        <v>99.361756622442243</v>
      </c>
      <c r="X14" s="149">
        <f t="shared" si="2"/>
        <v>69.25</v>
      </c>
      <c r="Y14" s="149"/>
      <c r="Z14" s="82"/>
    </row>
    <row r="15" spans="1:28">
      <c r="A15" s="7"/>
      <c r="B15" s="7"/>
      <c r="C15" s="7"/>
      <c r="D15" s="68" t="s">
        <v>55</v>
      </c>
      <c r="E15" s="11">
        <f>M13/E12/100000</f>
        <v>3.6623724344476591</v>
      </c>
      <c r="F15" s="31" t="s">
        <v>56</v>
      </c>
      <c r="G15" s="11">
        <f>M14/G12/100000</f>
        <v>6.7869639734251166</v>
      </c>
      <c r="H15" s="14"/>
      <c r="I15" s="7"/>
      <c r="L15" s="4"/>
      <c r="M15" s="27"/>
      <c r="O15" s="27"/>
      <c r="Q15" s="5">
        <v>6</v>
      </c>
      <c r="R15" s="65">
        <f t="shared" si="0"/>
        <v>1380173.9370113451</v>
      </c>
      <c r="S15" s="62"/>
      <c r="T15" s="62"/>
      <c r="U15" s="94">
        <v>-4500000</v>
      </c>
      <c r="V15" s="66">
        <f t="shared" si="1"/>
        <v>-3119826.0629886547</v>
      </c>
      <c r="W15" s="67">
        <f t="shared" si="3"/>
        <v>68.163495992555696</v>
      </c>
      <c r="X15" s="149">
        <f t="shared" si="2"/>
        <v>69.25</v>
      </c>
      <c r="Y15" s="149"/>
      <c r="Z15" s="82"/>
    </row>
    <row r="16" spans="1:28">
      <c r="A16" s="7"/>
      <c r="B16" s="7"/>
      <c r="C16" s="7"/>
      <c r="D16" s="68" t="s">
        <v>59</v>
      </c>
      <c r="E16" s="34">
        <f>0.8*E6</f>
        <v>0.8</v>
      </c>
      <c r="F16" s="16"/>
      <c r="G16" s="34">
        <f>1.2*G6</f>
        <v>1.2</v>
      </c>
      <c r="H16" s="14"/>
      <c r="I16" s="7"/>
      <c r="L16" s="4"/>
      <c r="M16" s="27"/>
      <c r="O16" s="27"/>
      <c r="Q16" s="5">
        <v>7</v>
      </c>
      <c r="R16" s="65">
        <f t="shared" si="0"/>
        <v>1380173.9370113451</v>
      </c>
      <c r="S16" s="62"/>
      <c r="T16" s="62"/>
      <c r="U16" s="94"/>
      <c r="V16" s="66">
        <f t="shared" si="1"/>
        <v>1380173.9370113451</v>
      </c>
      <c r="W16" s="67">
        <f t="shared" si="3"/>
        <v>81.965235362669148</v>
      </c>
      <c r="X16" s="149">
        <f t="shared" si="2"/>
        <v>69.25</v>
      </c>
      <c r="Y16" s="149"/>
      <c r="Z16" s="82"/>
    </row>
    <row r="17" spans="1:26">
      <c r="A17" s="7"/>
      <c r="B17" s="7"/>
      <c r="C17" s="7"/>
      <c r="D17" s="68" t="s">
        <v>190</v>
      </c>
      <c r="E17" s="11">
        <v>2</v>
      </c>
      <c r="F17" s="16"/>
      <c r="G17" s="11" t="s">
        <v>18</v>
      </c>
      <c r="H17" s="14"/>
      <c r="I17" s="7"/>
      <c r="L17" s="4"/>
      <c r="M17" s="27"/>
      <c r="O17" s="27"/>
      <c r="Q17" s="5">
        <v>8</v>
      </c>
      <c r="R17" s="65">
        <f t="shared" si="0"/>
        <v>1380173.9370113451</v>
      </c>
      <c r="S17" s="62"/>
      <c r="T17" s="62"/>
      <c r="U17" s="94"/>
      <c r="V17" s="66">
        <f t="shared" si="1"/>
        <v>1380173.9370113451</v>
      </c>
      <c r="W17" s="67">
        <f t="shared" si="3"/>
        <v>95.7669747327826</v>
      </c>
      <c r="X17" s="149">
        <f t="shared" si="2"/>
        <v>69.25</v>
      </c>
      <c r="Y17" s="149"/>
      <c r="Z17" s="82"/>
    </row>
    <row r="18" spans="1:26">
      <c r="A18" s="7"/>
      <c r="B18" s="7"/>
      <c r="C18" s="7"/>
      <c r="D18" s="38" t="s">
        <v>63</v>
      </c>
      <c r="E18" s="11">
        <f>SUM(E14:E17)</f>
        <v>15.81237243444766</v>
      </c>
      <c r="F18" s="16"/>
      <c r="G18" s="11">
        <f>SUM(G14:G17)</f>
        <v>29.109463973425115</v>
      </c>
      <c r="H18" s="14"/>
      <c r="I18" s="7"/>
      <c r="L18" s="4"/>
      <c r="M18" s="27"/>
      <c r="O18" s="27"/>
      <c r="Q18" s="5">
        <v>9</v>
      </c>
      <c r="R18" s="65">
        <f t="shared" si="0"/>
        <v>1380173.9370113451</v>
      </c>
      <c r="S18" s="62"/>
      <c r="T18" s="62"/>
      <c r="U18" s="94"/>
      <c r="V18" s="66">
        <f t="shared" si="1"/>
        <v>1380173.9370113451</v>
      </c>
      <c r="W18" s="67">
        <f t="shared" si="3"/>
        <v>109.56871410289605</v>
      </c>
      <c r="X18" s="149">
        <f t="shared" si="2"/>
        <v>69.25</v>
      </c>
      <c r="Y18" s="149"/>
      <c r="Z18" s="82"/>
    </row>
    <row r="19" spans="1:26">
      <c r="A19" s="7"/>
      <c r="B19" s="7"/>
      <c r="C19" s="7"/>
      <c r="D19" s="35"/>
      <c r="E19" s="36"/>
      <c r="F19" s="37"/>
      <c r="G19" s="7"/>
      <c r="H19" s="7"/>
      <c r="I19" s="7"/>
      <c r="M19" s="27"/>
      <c r="O19" s="27"/>
      <c r="Q19" s="5">
        <v>10</v>
      </c>
      <c r="R19" s="65">
        <f t="shared" si="0"/>
        <v>1380173.9370113451</v>
      </c>
      <c r="S19" s="62"/>
      <c r="T19" s="62"/>
      <c r="U19" s="94"/>
      <c r="V19" s="66">
        <f t="shared" si="1"/>
        <v>1380173.9370113451</v>
      </c>
      <c r="W19" s="67">
        <f t="shared" si="3"/>
        <v>123.3704534730095</v>
      </c>
      <c r="X19" s="149">
        <f t="shared" si="2"/>
        <v>69.25</v>
      </c>
      <c r="Y19" s="149"/>
      <c r="Z19" s="82"/>
    </row>
    <row r="20" spans="1:26">
      <c r="A20" s="7"/>
      <c r="B20" s="7"/>
      <c r="C20" s="7"/>
      <c r="D20" s="208" t="s">
        <v>191</v>
      </c>
      <c r="E20" s="209"/>
      <c r="F20" s="209"/>
      <c r="G20" s="209"/>
      <c r="H20" s="14"/>
      <c r="I20" s="7"/>
      <c r="M20" s="27"/>
      <c r="O20" s="27"/>
    </row>
    <row r="21" spans="1:26">
      <c r="A21" s="7"/>
      <c r="B21" s="7"/>
      <c r="C21" s="7"/>
      <c r="D21" s="68" t="s">
        <v>10</v>
      </c>
      <c r="E21" s="12">
        <v>25</v>
      </c>
      <c r="F21" s="7"/>
      <c r="G21" s="12">
        <v>25</v>
      </c>
      <c r="H21" s="7"/>
      <c r="I21" s="7"/>
      <c r="L21" s="4"/>
      <c r="M21" s="5" t="s">
        <v>192</v>
      </c>
      <c r="N21" s="2">
        <v>300</v>
      </c>
      <c r="O21" s="97">
        <f>N21*85%</f>
        <v>255</v>
      </c>
      <c r="P21" s="28"/>
    </row>
    <row r="22" spans="1:26">
      <c r="A22" s="7"/>
      <c r="B22" s="7"/>
      <c r="C22" s="7"/>
      <c r="D22" s="18" t="s">
        <v>71</v>
      </c>
      <c r="E22" s="200">
        <v>40</v>
      </c>
      <c r="F22" s="200"/>
      <c r="G22" s="200">
        <v>40</v>
      </c>
      <c r="H22" s="7"/>
      <c r="I22" s="7"/>
      <c r="L22" s="4"/>
      <c r="M22" s="5" t="s">
        <v>193</v>
      </c>
      <c r="N22" s="69" t="s">
        <v>194</v>
      </c>
      <c r="O22" s="27"/>
      <c r="P22" s="28"/>
      <c r="Q22" s="145" t="s">
        <v>67</v>
      </c>
      <c r="R22" s="146" t="s">
        <v>11</v>
      </c>
      <c r="S22" s="146" t="s">
        <v>68</v>
      </c>
      <c r="T22" s="145" t="s">
        <v>69</v>
      </c>
      <c r="U22" s="147" t="str">
        <f>CONCATENATE(ROUND(SUM(Y10),1)," Years")</f>
        <v>2.9 Years</v>
      </c>
    </row>
    <row r="23" spans="1:26">
      <c r="A23" s="7"/>
      <c r="B23" s="7"/>
      <c r="C23" s="7"/>
      <c r="D23" s="18" t="s">
        <v>195</v>
      </c>
      <c r="E23" s="214">
        <v>1</v>
      </c>
      <c r="F23" s="215"/>
      <c r="G23" s="216"/>
      <c r="H23" s="7"/>
      <c r="I23" s="7"/>
      <c r="L23" s="4"/>
      <c r="M23" s="5" t="s">
        <v>196</v>
      </c>
      <c r="N23" s="69" t="s">
        <v>197</v>
      </c>
      <c r="O23" s="1" t="s">
        <v>198</v>
      </c>
      <c r="P23" s="28"/>
    </row>
    <row r="24" spans="1:26">
      <c r="A24" s="7"/>
      <c r="B24" s="7"/>
      <c r="C24" s="7"/>
      <c r="D24" s="18" t="s">
        <v>75</v>
      </c>
      <c r="E24" s="200">
        <f>E22*E23</f>
        <v>40</v>
      </c>
      <c r="F24" s="200"/>
      <c r="G24" s="200">
        <f>E23*G22</f>
        <v>40</v>
      </c>
      <c r="H24" s="7"/>
      <c r="I24" s="7"/>
      <c r="L24" s="4"/>
      <c r="M24" s="70"/>
      <c r="N24" s="71"/>
      <c r="O24" s="27"/>
      <c r="P24" s="28"/>
    </row>
    <row r="25" spans="1:26">
      <c r="A25" s="7"/>
      <c r="B25" s="7"/>
      <c r="C25" s="7"/>
      <c r="D25" s="18" t="s">
        <v>78</v>
      </c>
      <c r="E25" s="39">
        <f>E21*E22</f>
        <v>1000</v>
      </c>
      <c r="F25" s="200"/>
      <c r="G25" s="200">
        <f>G22*G21</f>
        <v>1000</v>
      </c>
      <c r="H25" s="7"/>
      <c r="I25" s="7"/>
      <c r="L25" s="4"/>
      <c r="M25" s="5" t="s">
        <v>199</v>
      </c>
      <c r="N25" s="2">
        <f>O21/100</f>
        <v>2.5499999999999998</v>
      </c>
      <c r="O25" s="27"/>
      <c r="P25" s="28"/>
    </row>
    <row r="26" spans="1:26">
      <c r="A26" s="7"/>
      <c r="B26" s="7"/>
      <c r="C26" s="7"/>
      <c r="D26" s="18" t="s">
        <v>80</v>
      </c>
      <c r="E26" s="200">
        <f>E25*25</f>
        <v>25000</v>
      </c>
      <c r="F26" s="200"/>
      <c r="G26" s="200">
        <f>G25*25</f>
        <v>25000</v>
      </c>
      <c r="H26" s="7"/>
      <c r="I26" s="7"/>
      <c r="M26" s="3" t="s">
        <v>200</v>
      </c>
      <c r="N26" s="2">
        <f>O21/120</f>
        <v>2.125</v>
      </c>
    </row>
    <row r="27" spans="1:26">
      <c r="A27" s="7"/>
      <c r="B27" s="7"/>
      <c r="C27" s="7"/>
      <c r="D27" s="18" t="s">
        <v>201</v>
      </c>
      <c r="E27" s="210">
        <v>25</v>
      </c>
      <c r="F27" s="210"/>
      <c r="G27" s="210"/>
      <c r="H27" s="7"/>
      <c r="I27" s="7"/>
      <c r="M27" s="3" t="s">
        <v>202</v>
      </c>
      <c r="N27" s="2">
        <f>(N25+N26)/2</f>
        <v>2.3374999999999999</v>
      </c>
    </row>
    <row r="28" spans="1:26">
      <c r="A28" s="7"/>
      <c r="B28" s="7"/>
      <c r="C28" s="7"/>
      <c r="D28" s="35"/>
      <c r="E28" s="36"/>
      <c r="F28" s="36"/>
      <c r="G28" s="36"/>
      <c r="H28" s="7"/>
      <c r="I28" s="7"/>
      <c r="M28" s="72"/>
      <c r="N28" s="71"/>
    </row>
    <row r="29" spans="1:26">
      <c r="A29" s="7"/>
      <c r="B29" s="7"/>
      <c r="C29" s="7"/>
      <c r="D29" s="208" t="s">
        <v>82</v>
      </c>
      <c r="E29" s="209"/>
      <c r="F29" s="209"/>
      <c r="G29" s="209"/>
      <c r="H29" s="7"/>
      <c r="I29" s="7"/>
      <c r="M29" s="2" t="s">
        <v>203</v>
      </c>
      <c r="N29" s="2">
        <f>O21/200</f>
        <v>1.2749999999999999</v>
      </c>
    </row>
    <row r="30" spans="1:26">
      <c r="A30" s="7"/>
      <c r="B30" s="7"/>
      <c r="C30" s="7"/>
      <c r="D30" s="18" t="s">
        <v>85</v>
      </c>
      <c r="E30" s="34">
        <f>H30/E31</f>
        <v>4.4000000000000004</v>
      </c>
      <c r="F30" s="11"/>
      <c r="G30" s="34">
        <f>N47</f>
        <v>4.5545454545454547</v>
      </c>
      <c r="H30" s="80">
        <v>88</v>
      </c>
      <c r="I30" s="7" t="s">
        <v>86</v>
      </c>
      <c r="M30" s="2" t="s">
        <v>204</v>
      </c>
      <c r="N30" s="73">
        <f>O21/220</f>
        <v>1.1590909090909092</v>
      </c>
      <c r="Q30" s="96"/>
    </row>
    <row r="31" spans="1:26">
      <c r="A31" s="7"/>
      <c r="B31" s="7"/>
      <c r="C31" s="7"/>
      <c r="D31" s="18" t="s">
        <v>88</v>
      </c>
      <c r="E31" s="11">
        <v>20</v>
      </c>
      <c r="F31" s="11"/>
      <c r="G31" s="11">
        <v>20</v>
      </c>
      <c r="H31" s="7"/>
      <c r="I31" s="7"/>
      <c r="M31" s="2" t="s">
        <v>205</v>
      </c>
      <c r="N31" s="73">
        <f>(N29+N30)/2</f>
        <v>1.2170454545454545</v>
      </c>
    </row>
    <row r="32" spans="1:26">
      <c r="A32" s="7"/>
      <c r="B32" s="7"/>
      <c r="C32" s="7"/>
      <c r="D32" s="18" t="s">
        <v>91</v>
      </c>
      <c r="E32" s="11">
        <v>95</v>
      </c>
      <c r="F32" s="11"/>
      <c r="G32" s="11">
        <v>3.81</v>
      </c>
      <c r="H32" s="7"/>
      <c r="I32" s="7"/>
      <c r="M32" s="72"/>
      <c r="N32" s="71"/>
    </row>
    <row r="33" spans="1:15">
      <c r="A33" s="7"/>
      <c r="B33" s="7"/>
      <c r="C33" s="7"/>
      <c r="D33" s="18" t="s">
        <v>206</v>
      </c>
      <c r="E33" s="53">
        <f>75000*E6</f>
        <v>75000</v>
      </c>
      <c r="F33" s="21"/>
      <c r="G33" s="53">
        <v>75000</v>
      </c>
      <c r="H33" s="7"/>
      <c r="I33" s="7"/>
      <c r="M33" s="2" t="s">
        <v>207</v>
      </c>
      <c r="N33" s="2">
        <v>40</v>
      </c>
    </row>
    <row r="34" spans="1:15">
      <c r="A34" s="7"/>
      <c r="B34" s="7"/>
      <c r="C34" s="7"/>
      <c r="D34" s="18" t="s">
        <v>208</v>
      </c>
      <c r="E34" s="21">
        <f>35000*E6</f>
        <v>35000</v>
      </c>
      <c r="F34" s="21"/>
      <c r="G34" s="21">
        <v>35000</v>
      </c>
      <c r="H34" s="7"/>
      <c r="I34" s="7"/>
      <c r="M34" s="2" t="s">
        <v>209</v>
      </c>
      <c r="N34" s="2">
        <v>20</v>
      </c>
    </row>
    <row r="35" spans="1:15">
      <c r="A35" s="7"/>
      <c r="B35" s="7"/>
      <c r="C35" s="7"/>
      <c r="D35" s="18" t="s">
        <v>98</v>
      </c>
      <c r="E35" s="21">
        <f>40000*E6</f>
        <v>40000</v>
      </c>
      <c r="F35" s="21"/>
      <c r="G35" s="21">
        <v>20000</v>
      </c>
      <c r="H35" s="7"/>
      <c r="I35" s="7"/>
      <c r="M35" s="2" t="s">
        <v>210</v>
      </c>
      <c r="N35" s="2">
        <v>20</v>
      </c>
    </row>
    <row r="36" spans="1:15">
      <c r="A36" s="7"/>
      <c r="B36" s="7"/>
      <c r="C36" s="7"/>
      <c r="D36" s="7"/>
      <c r="E36" s="231"/>
      <c r="F36" s="231"/>
      <c r="G36" s="231"/>
      <c r="H36" s="7"/>
      <c r="I36" s="7"/>
      <c r="M36" s="2" t="s">
        <v>211</v>
      </c>
      <c r="N36" s="2">
        <v>1</v>
      </c>
    </row>
    <row r="37" spans="1:15">
      <c r="A37" s="7"/>
      <c r="B37" s="7"/>
      <c r="C37" s="7"/>
      <c r="H37" s="7"/>
      <c r="I37" s="7"/>
      <c r="M37" s="2" t="s">
        <v>212</v>
      </c>
      <c r="N37" s="2">
        <f>N34*N36</f>
        <v>20</v>
      </c>
    </row>
    <row r="38" spans="1:15">
      <c r="A38" s="7"/>
      <c r="B38" s="7"/>
      <c r="C38" s="7"/>
      <c r="D38" s="211" t="s">
        <v>101</v>
      </c>
      <c r="E38" s="212"/>
      <c r="F38" s="212"/>
      <c r="G38" s="213"/>
      <c r="H38" s="7"/>
      <c r="I38" s="7"/>
      <c r="M38" s="74" t="s">
        <v>213</v>
      </c>
      <c r="N38" s="2">
        <f>N36*N35</f>
        <v>20</v>
      </c>
    </row>
    <row r="39" spans="1:15">
      <c r="A39" s="7"/>
      <c r="B39" s="7"/>
      <c r="C39" s="7"/>
      <c r="D39" s="18" t="s">
        <v>103</v>
      </c>
      <c r="E39" s="18" t="s">
        <v>104</v>
      </c>
      <c r="F39" s="18"/>
      <c r="G39" s="18" t="s">
        <v>105</v>
      </c>
      <c r="H39" s="7"/>
      <c r="I39" s="20"/>
      <c r="J39" s="40"/>
      <c r="M39" s="72"/>
      <c r="N39" s="71"/>
    </row>
    <row r="40" spans="1:15">
      <c r="A40" s="7"/>
      <c r="B40" s="7"/>
      <c r="C40" s="7"/>
      <c r="D40" s="41" t="s">
        <v>5</v>
      </c>
      <c r="E40" s="41">
        <f>E30*E31*E32*E6</f>
        <v>8360</v>
      </c>
      <c r="F40" s="41"/>
      <c r="G40" s="41">
        <f>E40*E27</f>
        <v>209000</v>
      </c>
      <c r="H40" s="20"/>
      <c r="I40" s="7"/>
      <c r="M40" s="2" t="s">
        <v>214</v>
      </c>
      <c r="N40" s="2">
        <f>N37*N27</f>
        <v>46.75</v>
      </c>
    </row>
    <row r="41" spans="1:15">
      <c r="A41" s="7"/>
      <c r="B41" s="7"/>
      <c r="C41" s="7"/>
      <c r="D41" s="75" t="s">
        <v>108</v>
      </c>
      <c r="E41" s="41">
        <f>(E30*E31*E6)*5%*50</f>
        <v>220.00000000000003</v>
      </c>
      <c r="F41" s="41"/>
      <c r="G41" s="41">
        <f>E41*E27</f>
        <v>5500.0000000000009</v>
      </c>
      <c r="H41" s="7"/>
      <c r="I41" s="7"/>
      <c r="M41" s="2" t="s">
        <v>215</v>
      </c>
      <c r="N41" s="73">
        <f>N38*N31</f>
        <v>24.34090909090909</v>
      </c>
    </row>
    <row r="42" spans="1:15">
      <c r="A42" s="7"/>
      <c r="B42" s="7"/>
      <c r="C42" s="7"/>
      <c r="D42" s="41" t="s">
        <v>110</v>
      </c>
      <c r="E42" s="41">
        <f>E40+E41</f>
        <v>8580</v>
      </c>
      <c r="F42" s="41"/>
      <c r="G42" s="42">
        <f>G40+G41</f>
        <v>214500</v>
      </c>
      <c r="H42" s="7"/>
      <c r="I42" s="7"/>
      <c r="M42" s="72"/>
      <c r="N42" s="71"/>
    </row>
    <row r="43" spans="1:15">
      <c r="A43" s="7"/>
      <c r="B43" s="7"/>
      <c r="C43" s="7"/>
      <c r="D43" s="41" t="s">
        <v>112</v>
      </c>
      <c r="E43" s="41">
        <f>G30*G31*G32</f>
        <v>347.05636363636364</v>
      </c>
      <c r="F43" s="41"/>
      <c r="G43" s="42">
        <f>E43*E27</f>
        <v>8676.4090909090919</v>
      </c>
      <c r="H43" s="7"/>
      <c r="I43" s="7"/>
      <c r="M43" s="2" t="s">
        <v>216</v>
      </c>
      <c r="N43" s="73">
        <f>N40+N41</f>
        <v>71.090909090909093</v>
      </c>
    </row>
    <row r="44" spans="1:15">
      <c r="A44" s="7"/>
      <c r="B44" s="7"/>
      <c r="C44" s="7"/>
      <c r="D44" s="22" t="s">
        <v>115</v>
      </c>
      <c r="E44" s="23"/>
      <c r="F44" s="23"/>
      <c r="G44" s="24">
        <f>G42+E33+E34+E35</f>
        <v>364500</v>
      </c>
      <c r="H44" s="60" t="s">
        <v>116</v>
      </c>
      <c r="I44" s="7"/>
      <c r="M44" s="2" t="s">
        <v>217</v>
      </c>
      <c r="N44" s="2">
        <v>0.5</v>
      </c>
    </row>
    <row r="45" spans="1:15">
      <c r="A45" s="7"/>
      <c r="B45" s="7"/>
      <c r="C45" s="7"/>
      <c r="D45" s="22" t="s">
        <v>118</v>
      </c>
      <c r="E45" s="23"/>
      <c r="F45" s="23"/>
      <c r="G45" s="24">
        <f>G43+G33+G34+G35</f>
        <v>138676.40909090909</v>
      </c>
      <c r="H45" s="60" t="s">
        <v>119</v>
      </c>
      <c r="I45" s="7"/>
      <c r="M45" s="2" t="s">
        <v>218</v>
      </c>
      <c r="N45" s="73">
        <f>N43+(N44*N33)</f>
        <v>91.090909090909093</v>
      </c>
      <c r="O45" s="1">
        <f>N45/120</f>
        <v>0.75909090909090915</v>
      </c>
    </row>
    <row r="46" spans="1:15">
      <c r="A46" s="7"/>
      <c r="B46" s="7"/>
      <c r="C46" s="7"/>
      <c r="D46" s="111" t="s">
        <v>122</v>
      </c>
      <c r="E46" s="225"/>
      <c r="F46" s="226"/>
      <c r="G46" s="112">
        <f>G44-G45</f>
        <v>225823.59090909091</v>
      </c>
      <c r="H46" s="7"/>
      <c r="I46" s="7"/>
      <c r="M46" s="2" t="s">
        <v>219</v>
      </c>
      <c r="N46" s="2">
        <v>20</v>
      </c>
    </row>
    <row r="47" spans="1:15">
      <c r="A47" s="7"/>
      <c r="B47" s="7"/>
      <c r="C47" s="7"/>
      <c r="D47" s="25" t="s">
        <v>125</v>
      </c>
      <c r="E47" s="215"/>
      <c r="F47" s="216"/>
      <c r="G47" s="19">
        <f>G44+(E18*100000/12)</f>
        <v>496269.77028706379</v>
      </c>
      <c r="H47" s="7" t="s">
        <v>126</v>
      </c>
      <c r="I47" s="7"/>
      <c r="M47" s="2" t="s">
        <v>220</v>
      </c>
      <c r="N47" s="73">
        <f>N45/N46</f>
        <v>4.5545454545454547</v>
      </c>
    </row>
    <row r="48" spans="1:15">
      <c r="A48" s="7"/>
      <c r="B48" s="7"/>
      <c r="C48" s="7"/>
      <c r="D48" s="25" t="s">
        <v>129</v>
      </c>
      <c r="E48" s="215"/>
      <c r="F48" s="216"/>
      <c r="G48" s="19">
        <f>G45+(G18*100000/12)</f>
        <v>381255.27553611837</v>
      </c>
      <c r="H48" s="7" t="s">
        <v>221</v>
      </c>
      <c r="I48" s="7"/>
    </row>
    <row r="49" spans="1:12">
      <c r="A49" s="7"/>
      <c r="B49" s="7"/>
      <c r="C49" s="7"/>
      <c r="D49" s="111" t="s">
        <v>133</v>
      </c>
      <c r="E49" s="225"/>
      <c r="F49" s="226"/>
      <c r="G49" s="112">
        <f>G47-G48</f>
        <v>115014.49475094542</v>
      </c>
      <c r="H49" s="7"/>
      <c r="I49" s="7"/>
    </row>
    <row r="50" spans="1:12">
      <c r="A50" s="7"/>
      <c r="B50" s="7"/>
      <c r="C50" s="7"/>
      <c r="H50" s="7"/>
      <c r="I50" s="20"/>
    </row>
    <row r="51" spans="1:12">
      <c r="A51" s="7"/>
      <c r="B51" s="7"/>
      <c r="C51" s="7"/>
      <c r="H51" s="7"/>
      <c r="I51" s="7"/>
    </row>
    <row r="52" spans="1:12">
      <c r="A52" s="7"/>
      <c r="B52" s="7"/>
      <c r="C52" s="7"/>
      <c r="H52" s="7"/>
      <c r="I52" s="7"/>
    </row>
    <row r="53" spans="1:12">
      <c r="A53" s="7"/>
      <c r="B53" s="7"/>
      <c r="C53" s="7"/>
      <c r="D53" s="218" t="s">
        <v>134</v>
      </c>
      <c r="E53" s="219"/>
      <c r="F53" s="219"/>
      <c r="G53" s="219"/>
      <c r="H53" s="219"/>
      <c r="I53" s="219"/>
      <c r="J53" s="219"/>
      <c r="K53" s="219"/>
    </row>
    <row r="54" spans="1:12" ht="80.099999999999994" customHeight="1">
      <c r="A54" s="7"/>
      <c r="B54" s="7"/>
      <c r="C54" s="7"/>
      <c r="D54" s="43" t="s">
        <v>23</v>
      </c>
      <c r="E54" s="199" t="s">
        <v>135</v>
      </c>
      <c r="F54" s="199" t="s">
        <v>136</v>
      </c>
      <c r="G54" s="44" t="s">
        <v>137</v>
      </c>
      <c r="H54" s="199" t="s">
        <v>138</v>
      </c>
      <c r="I54" s="221" t="s">
        <v>139</v>
      </c>
      <c r="J54" s="221"/>
      <c r="K54" s="221"/>
      <c r="L54" s="47" t="s">
        <v>140</v>
      </c>
    </row>
    <row r="55" spans="1:12" ht="26.1" customHeight="1">
      <c r="A55" s="7"/>
      <c r="B55" s="7"/>
      <c r="C55" s="7"/>
      <c r="D55" s="45">
        <v>1</v>
      </c>
      <c r="E55" s="49">
        <f>E$4*100000*F$55</f>
        <v>825000</v>
      </c>
      <c r="F55" s="54" t="s">
        <v>40</v>
      </c>
      <c r="G55" s="46">
        <f>(G$9*100000)*H$55</f>
        <v>4970000</v>
      </c>
      <c r="H55" s="57" t="s">
        <v>141</v>
      </c>
      <c r="I55" s="220">
        <f>(G55-E55)*L$55</f>
        <v>1043296.4999999999</v>
      </c>
      <c r="J55" s="220"/>
      <c r="K55" s="220"/>
      <c r="L55" s="48" t="s">
        <v>142</v>
      </c>
    </row>
    <row r="56" spans="1:12" ht="23.1" customHeight="1">
      <c r="A56" s="7"/>
      <c r="B56" s="7"/>
      <c r="C56" s="7"/>
      <c r="D56" s="45">
        <v>2</v>
      </c>
      <c r="E56" s="49">
        <f>(E$4*100000-E55)*F$55</f>
        <v>701250</v>
      </c>
      <c r="F56" s="55"/>
      <c r="G56" s="46">
        <f>(G$9*100000-G55)*H$55</f>
        <v>2982000</v>
      </c>
      <c r="H56" s="58"/>
      <c r="I56" s="220">
        <f>(G56-E56)*L$55</f>
        <v>574064.77499999991</v>
      </c>
      <c r="J56" s="220"/>
      <c r="K56" s="220"/>
    </row>
    <row r="57" spans="1:12" ht="24" customHeight="1">
      <c r="A57" s="7"/>
      <c r="B57" s="7"/>
      <c r="C57" s="7"/>
      <c r="D57" s="45">
        <v>3</v>
      </c>
      <c r="E57" s="49">
        <f>(E$4*100000-E56-E55)*F$55</f>
        <v>596062.5</v>
      </c>
      <c r="F57" s="55"/>
      <c r="G57" s="46">
        <f>(G$9*100000-G55-G56)*H$55</f>
        <v>1789200</v>
      </c>
      <c r="H57" s="58"/>
      <c r="I57" s="220">
        <f>(G57-E57)*L$55</f>
        <v>300312.70874999999</v>
      </c>
      <c r="J57" s="220"/>
      <c r="K57" s="220"/>
    </row>
    <row r="58" spans="1:12" ht="30" customHeight="1">
      <c r="A58" s="7"/>
      <c r="B58" s="7"/>
      <c r="C58" s="7"/>
      <c r="D58" s="45">
        <v>4</v>
      </c>
      <c r="E58" s="49">
        <f>(E$4*100000-E57-E55-E56)*F$55</f>
        <v>506653.125</v>
      </c>
      <c r="F58" s="55"/>
      <c r="G58" s="46">
        <f>E67-1863750</f>
        <v>820050</v>
      </c>
      <c r="I58" s="220">
        <f>(G58-E58)*L$55</f>
        <v>78881.993437499987</v>
      </c>
      <c r="J58" s="220"/>
      <c r="K58" s="220"/>
    </row>
    <row r="59" spans="1:12" ht="33.950000000000003" customHeight="1">
      <c r="A59" s="7"/>
      <c r="B59" s="7"/>
      <c r="C59" s="7"/>
      <c r="D59" s="45"/>
      <c r="E59" s="49"/>
      <c r="F59" s="56"/>
      <c r="G59" s="46"/>
      <c r="H59" s="59"/>
      <c r="I59" s="220"/>
      <c r="J59" s="220"/>
      <c r="K59" s="220"/>
    </row>
    <row r="60" spans="1:12" ht="15.95" customHeight="1">
      <c r="A60" s="7"/>
      <c r="B60" s="7"/>
      <c r="C60" s="7"/>
    </row>
    <row r="61" spans="1:12" ht="15.95" customHeight="1">
      <c r="A61" s="7"/>
      <c r="B61" s="7"/>
      <c r="C61" s="7"/>
    </row>
    <row r="62" spans="1:12" ht="15.95" customHeight="1">
      <c r="A62" s="7"/>
      <c r="B62" s="7"/>
      <c r="C62" s="7"/>
    </row>
    <row r="63" spans="1:12" ht="15.95" customHeight="1">
      <c r="A63" s="7"/>
      <c r="B63" s="7"/>
      <c r="C63" s="7"/>
      <c r="D63" s="188" t="s">
        <v>23</v>
      </c>
      <c r="E63" s="222" t="s">
        <v>145</v>
      </c>
      <c r="F63" s="224"/>
      <c r="G63" s="222" t="s">
        <v>146</v>
      </c>
      <c r="H63" s="223"/>
      <c r="I63" s="224"/>
      <c r="J63" s="222" t="s">
        <v>147</v>
      </c>
      <c r="K63" s="224"/>
    </row>
    <row r="64" spans="1:12" ht="17.100000000000001" customHeight="1">
      <c r="A64" s="7"/>
      <c r="B64" s="7"/>
      <c r="C64" s="7"/>
      <c r="D64" s="186">
        <v>1</v>
      </c>
      <c r="E64" s="202">
        <v>12425000</v>
      </c>
      <c r="F64" s="204"/>
      <c r="G64" s="202">
        <v>4970000</v>
      </c>
      <c r="H64" s="203"/>
      <c r="I64" s="204"/>
      <c r="J64" s="202">
        <v>7455000</v>
      </c>
      <c r="K64" s="204"/>
    </row>
    <row r="65" spans="1:11">
      <c r="A65" s="7"/>
      <c r="B65" s="7"/>
      <c r="C65" s="7"/>
      <c r="D65" s="186">
        <v>2</v>
      </c>
      <c r="E65" s="202">
        <v>7455000</v>
      </c>
      <c r="F65" s="204"/>
      <c r="G65" s="202">
        <v>2982000</v>
      </c>
      <c r="H65" s="203"/>
      <c r="I65" s="204"/>
      <c r="J65" s="202">
        <v>4473000</v>
      </c>
      <c r="K65" s="204"/>
    </row>
    <row r="66" spans="1:11">
      <c r="A66" s="7"/>
      <c r="B66" s="7"/>
      <c r="C66" s="7"/>
      <c r="D66" s="186">
        <v>3</v>
      </c>
      <c r="E66" s="202">
        <v>4473000</v>
      </c>
      <c r="F66" s="204"/>
      <c r="G66" s="202">
        <v>1789200</v>
      </c>
      <c r="H66" s="203"/>
      <c r="I66" s="204"/>
      <c r="J66" s="202">
        <v>2683800</v>
      </c>
      <c r="K66" s="204"/>
    </row>
    <row r="67" spans="1:11">
      <c r="A67" s="7"/>
      <c r="B67" s="7"/>
      <c r="C67" s="7"/>
      <c r="D67" s="186">
        <v>4</v>
      </c>
      <c r="E67" s="202">
        <v>2683800</v>
      </c>
      <c r="F67" s="204"/>
      <c r="G67" s="202">
        <v>1073520</v>
      </c>
      <c r="H67" s="203"/>
      <c r="I67" s="204"/>
      <c r="J67" s="205">
        <v>1610280</v>
      </c>
      <c r="K67" s="206"/>
    </row>
    <row r="68" spans="1:11">
      <c r="A68" s="7"/>
      <c r="B68" s="7"/>
      <c r="C68" s="7"/>
    </row>
    <row r="69" spans="1:11">
      <c r="A69" s="7"/>
      <c r="B69" s="7"/>
      <c r="C69" s="7"/>
      <c r="D69" t="s">
        <v>222</v>
      </c>
    </row>
    <row r="70" spans="1:11">
      <c r="A70" s="7"/>
      <c r="B70" s="7"/>
      <c r="C70" s="7"/>
      <c r="D70" t="s">
        <v>223</v>
      </c>
      <c r="K70" s="190"/>
    </row>
    <row r="71" spans="1:11">
      <c r="A71" s="7"/>
      <c r="B71" s="7"/>
      <c r="C71" s="7"/>
    </row>
    <row r="72" spans="1:11">
      <c r="A72" s="7"/>
      <c r="B72" s="7"/>
      <c r="C72" s="7"/>
      <c r="D72" s="100" t="s">
        <v>150</v>
      </c>
      <c r="K72" s="190"/>
    </row>
    <row r="73" spans="1:11">
      <c r="D73" t="s">
        <v>224</v>
      </c>
    </row>
    <row r="74" spans="1:11">
      <c r="D74" t="s">
        <v>225</v>
      </c>
    </row>
    <row r="76" spans="1:11">
      <c r="D76" s="50"/>
      <c r="E76" s="51"/>
      <c r="G76" s="52"/>
      <c r="I76" s="217"/>
      <c r="J76" s="217"/>
      <c r="K76" s="217"/>
    </row>
    <row r="77" spans="1:11">
      <c r="D77" s="188" t="s">
        <v>23</v>
      </c>
      <c r="E77" s="222" t="s">
        <v>145</v>
      </c>
      <c r="F77" s="224"/>
      <c r="G77" s="222" t="s">
        <v>226</v>
      </c>
      <c r="H77" s="223"/>
      <c r="I77" s="224"/>
      <c r="J77" s="222" t="s">
        <v>147</v>
      </c>
      <c r="K77" s="224"/>
    </row>
    <row r="78" spans="1:11">
      <c r="D78" s="186">
        <v>1</v>
      </c>
      <c r="E78" s="202">
        <v>12425000</v>
      </c>
      <c r="F78" s="204"/>
      <c r="G78" s="202">
        <v>4970000</v>
      </c>
      <c r="H78" s="203"/>
      <c r="I78" s="204"/>
      <c r="J78" s="202">
        <v>7455000</v>
      </c>
      <c r="K78" s="204"/>
    </row>
    <row r="79" spans="1:11">
      <c r="D79" s="186">
        <v>2</v>
      </c>
      <c r="E79" s="202">
        <v>7455000</v>
      </c>
      <c r="F79" s="204"/>
      <c r="G79" s="202">
        <v>2982000</v>
      </c>
      <c r="H79" s="203"/>
      <c r="I79" s="204"/>
      <c r="J79" s="202">
        <v>4473000</v>
      </c>
      <c r="K79" s="204"/>
    </row>
    <row r="80" spans="1:11">
      <c r="D80" s="186">
        <v>3</v>
      </c>
      <c r="E80" s="202">
        <v>4473000</v>
      </c>
      <c r="F80" s="204"/>
      <c r="G80" s="202">
        <v>1789200</v>
      </c>
      <c r="H80" s="203"/>
      <c r="I80" s="204"/>
      <c r="J80" s="202">
        <v>2683800</v>
      </c>
      <c r="K80" s="204"/>
    </row>
    <row r="81" spans="4:12">
      <c r="D81" s="186">
        <v>4</v>
      </c>
      <c r="E81" s="202">
        <v>2683800</v>
      </c>
      <c r="F81" s="204"/>
      <c r="G81" s="205">
        <v>820050</v>
      </c>
      <c r="H81" s="227"/>
      <c r="I81" s="206"/>
      <c r="J81" s="228">
        <v>1863750</v>
      </c>
      <c r="K81" s="229"/>
      <c r="L81" s="1" t="s">
        <v>153</v>
      </c>
    </row>
  </sheetData>
  <mergeCells count="49">
    <mergeCell ref="I59:K59"/>
    <mergeCell ref="I76:K76"/>
    <mergeCell ref="E47:F47"/>
    <mergeCell ref="E48:F48"/>
    <mergeCell ref="E49:F49"/>
    <mergeCell ref="D53:K53"/>
    <mergeCell ref="I54:K54"/>
    <mergeCell ref="E67:F67"/>
    <mergeCell ref="E66:F66"/>
    <mergeCell ref="E65:F65"/>
    <mergeCell ref="E64:F64"/>
    <mergeCell ref="E63:F63"/>
    <mergeCell ref="G63:I63"/>
    <mergeCell ref="G64:I64"/>
    <mergeCell ref="G65:I65"/>
    <mergeCell ref="G66:I66"/>
    <mergeCell ref="D1:G1"/>
    <mergeCell ref="E27:G27"/>
    <mergeCell ref="I56:K56"/>
    <mergeCell ref="I57:K57"/>
    <mergeCell ref="I58:K58"/>
    <mergeCell ref="I55:K55"/>
    <mergeCell ref="D20:G20"/>
    <mergeCell ref="E23:G23"/>
    <mergeCell ref="D29:G29"/>
    <mergeCell ref="E36:G36"/>
    <mergeCell ref="D38:G38"/>
    <mergeCell ref="E46:F46"/>
    <mergeCell ref="J77:K77"/>
    <mergeCell ref="J78:K78"/>
    <mergeCell ref="J79:K79"/>
    <mergeCell ref="J80:K80"/>
    <mergeCell ref="J81:K81"/>
    <mergeCell ref="G77:I77"/>
    <mergeCell ref="G78:I78"/>
    <mergeCell ref="G79:I79"/>
    <mergeCell ref="G80:I80"/>
    <mergeCell ref="G81:I81"/>
    <mergeCell ref="E81:F81"/>
    <mergeCell ref="E80:F80"/>
    <mergeCell ref="E79:F79"/>
    <mergeCell ref="E78:F78"/>
    <mergeCell ref="E77:F77"/>
    <mergeCell ref="J63:K63"/>
    <mergeCell ref="G67:I67"/>
    <mergeCell ref="J67:K67"/>
    <mergeCell ref="J66:K66"/>
    <mergeCell ref="J65:K65"/>
    <mergeCell ref="J64:K64"/>
  </mergeCells>
  <dataValidations count="1">
    <dataValidation type="list" allowBlank="1" showInputMessage="1" showErrorMessage="1" sqref="R22" xr:uid="{00000000-0002-0000-0100-000000000000}">
      <formula1>$Z$3:$Z$4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Z84"/>
  <sheetViews>
    <sheetView zoomScale="117" workbookViewId="0">
      <selection activeCell="K5" sqref="K5"/>
    </sheetView>
  </sheetViews>
  <sheetFormatPr defaultColWidth="10.875" defaultRowHeight="15.95"/>
  <cols>
    <col min="1" max="3" width="10.875" style="1"/>
    <col min="4" max="4" width="25.5" style="1" customWidth="1"/>
    <col min="5" max="5" width="12.125" style="1" customWidth="1"/>
    <col min="6" max="6" width="5.5" style="1" customWidth="1"/>
    <col min="7" max="7" width="15.375" style="1" customWidth="1"/>
    <col min="8" max="8" width="7.125" style="1" customWidth="1"/>
    <col min="9" max="9" width="3.125" style="1" customWidth="1"/>
    <col min="10" max="10" width="11.125" style="1" customWidth="1"/>
    <col min="11" max="11" width="11.625" style="1" bestFit="1" customWidth="1"/>
    <col min="12" max="12" width="16" style="1" customWidth="1"/>
    <col min="13" max="15" width="10.875" style="1"/>
    <col min="16" max="16" width="14.375" style="1" customWidth="1"/>
    <col min="17" max="17" width="10.875" style="1"/>
    <col min="18" max="18" width="14.5" style="1" customWidth="1"/>
    <col min="19" max="16384" width="10.875" style="1"/>
  </cols>
  <sheetData>
    <row r="3" spans="4:26">
      <c r="D3" s="230" t="s">
        <v>185</v>
      </c>
      <c r="E3" s="230"/>
      <c r="F3" s="230"/>
      <c r="G3" s="230"/>
    </row>
    <row r="4" spans="4:26">
      <c r="D4" s="8" t="s">
        <v>0</v>
      </c>
      <c r="E4" s="8" t="s">
        <v>1</v>
      </c>
      <c r="F4" s="9"/>
      <c r="G4" s="8" t="s">
        <v>2</v>
      </c>
    </row>
    <row r="5" spans="4:26" ht="44.1" customHeight="1">
      <c r="D5" s="10" t="s">
        <v>4</v>
      </c>
      <c r="E5" s="11" t="s">
        <v>5</v>
      </c>
      <c r="F5" s="30"/>
      <c r="G5" s="11" t="s">
        <v>6</v>
      </c>
      <c r="O5" s="165" t="s">
        <v>23</v>
      </c>
      <c r="P5" s="166" t="s">
        <v>24</v>
      </c>
      <c r="Q5" s="166" t="s">
        <v>25</v>
      </c>
      <c r="R5" s="166" t="s">
        <v>26</v>
      </c>
      <c r="S5" s="166" t="s">
        <v>27</v>
      </c>
      <c r="T5" s="166" t="s">
        <v>28</v>
      </c>
      <c r="U5" s="166" t="s">
        <v>29</v>
      </c>
      <c r="V5" s="82"/>
      <c r="W5" s="82"/>
      <c r="X5" s="82"/>
      <c r="Y5" s="82"/>
      <c r="Z5" s="82"/>
    </row>
    <row r="6" spans="4:26">
      <c r="D6" s="10" t="s">
        <v>8</v>
      </c>
      <c r="E6" s="11">
        <v>55</v>
      </c>
      <c r="F6" s="30"/>
      <c r="G6" s="11">
        <v>140.69999999999999</v>
      </c>
      <c r="O6" s="5">
        <v>1</v>
      </c>
      <c r="P6" s="65">
        <f>G$51*12</f>
        <v>2052669.5303175375</v>
      </c>
      <c r="Q6" s="62">
        <f>IF($P$18="Inc. Depreciation",I58,0)</f>
        <v>1206901.5</v>
      </c>
      <c r="R6" s="3"/>
      <c r="S6" s="94"/>
      <c r="T6" s="66">
        <f>SUM(P6:S6)</f>
        <v>3259571.0303175375</v>
      </c>
      <c r="U6" s="67">
        <f>T6/100000</f>
        <v>32.595710303175373</v>
      </c>
      <c r="V6" s="167">
        <f>$G$11-$E$11</f>
        <v>78.625</v>
      </c>
      <c r="W6" s="82">
        <f>V6/U6</f>
        <v>2.4121272176216575</v>
      </c>
      <c r="X6" s="82"/>
      <c r="Y6" s="82" t="s">
        <v>15</v>
      </c>
      <c r="Z6" s="82"/>
    </row>
    <row r="7" spans="4:26">
      <c r="D7" s="10" t="s">
        <v>227</v>
      </c>
      <c r="E7" s="34">
        <v>25</v>
      </c>
      <c r="F7" s="30"/>
      <c r="G7" s="34">
        <v>30</v>
      </c>
      <c r="O7" s="5">
        <v>2</v>
      </c>
      <c r="P7" s="65">
        <f t="shared" ref="P7:P15" si="0">G$51*12</f>
        <v>2052669.5303175375</v>
      </c>
      <c r="Q7" s="62">
        <f>IF($P$18="Inc. Depreciation",I59,0)</f>
        <v>661845.14999999991</v>
      </c>
      <c r="R7" s="62"/>
      <c r="S7" s="94"/>
      <c r="T7" s="66">
        <f t="shared" ref="T7:T15" si="1">SUM(P7:S7)</f>
        <v>2714514.6803175374</v>
      </c>
      <c r="U7" s="67">
        <f>T7/100000+U6</f>
        <v>59.740857106350745</v>
      </c>
      <c r="V7" s="167">
        <f t="shared" ref="V7:V15" si="2">$G$11-$E$11</f>
        <v>78.625</v>
      </c>
      <c r="W7" s="82"/>
      <c r="X7" s="82"/>
      <c r="Y7" s="82" t="s">
        <v>11</v>
      </c>
      <c r="Z7" s="82"/>
    </row>
    <row r="8" spans="4:26">
      <c r="D8" s="38" t="s">
        <v>14</v>
      </c>
      <c r="E8" s="11">
        <f>G7/E7</f>
        <v>1.2</v>
      </c>
      <c r="F8" s="30"/>
      <c r="G8" s="11">
        <v>1</v>
      </c>
      <c r="O8" s="5">
        <v>3</v>
      </c>
      <c r="P8" s="65">
        <f t="shared" si="0"/>
        <v>2052669.5303175375</v>
      </c>
      <c r="Q8" s="62">
        <f>IF($P$18="Inc. Depreciation",I60,0)</f>
        <v>344155.70249999996</v>
      </c>
      <c r="R8" s="62"/>
      <c r="S8" s="94"/>
      <c r="T8" s="66">
        <f t="shared" si="1"/>
        <v>2396825.2328175376</v>
      </c>
      <c r="U8" s="67">
        <f t="shared" ref="U8:U15" si="3">T8/100000+U7</f>
        <v>83.709109434526113</v>
      </c>
      <c r="V8" s="167">
        <f t="shared" si="2"/>
        <v>78.625</v>
      </c>
      <c r="W8" s="82"/>
      <c r="X8" s="82"/>
      <c r="Y8" s="82"/>
      <c r="Z8" s="82"/>
    </row>
    <row r="9" spans="4:26">
      <c r="D9" s="77" t="s">
        <v>22</v>
      </c>
      <c r="E9" s="200" t="s">
        <v>18</v>
      </c>
      <c r="F9" s="2"/>
      <c r="G9" s="200">
        <v>15.7</v>
      </c>
      <c r="H9" s="1" t="s">
        <v>228</v>
      </c>
      <c r="I9" s="101">
        <v>4</v>
      </c>
      <c r="J9" s="1" t="s">
        <v>4</v>
      </c>
      <c r="O9" s="5">
        <v>4</v>
      </c>
      <c r="P9" s="65">
        <f t="shared" si="0"/>
        <v>2052669.5303175375</v>
      </c>
      <c r="Q9" s="62">
        <f>IF($P$18="Inc. Depreciation",I61,0)</f>
        <v>87232.738724999988</v>
      </c>
      <c r="R9" s="62"/>
      <c r="S9" s="94"/>
      <c r="T9" s="66">
        <f t="shared" si="1"/>
        <v>2139902.2690425375</v>
      </c>
      <c r="U9" s="67">
        <f t="shared" si="3"/>
        <v>105.10813212495148</v>
      </c>
      <c r="V9" s="167">
        <f t="shared" si="2"/>
        <v>78.625</v>
      </c>
      <c r="W9" s="82"/>
      <c r="X9" s="82"/>
      <c r="Y9" s="82"/>
      <c r="Z9" s="82"/>
    </row>
    <row r="10" spans="4:26">
      <c r="D10" s="18" t="s">
        <v>186</v>
      </c>
      <c r="E10" s="200" t="s">
        <v>18</v>
      </c>
      <c r="F10" s="18"/>
      <c r="G10" s="200">
        <f>1/I9</f>
        <v>0.25</v>
      </c>
      <c r="O10" s="5">
        <v>5</v>
      </c>
      <c r="P10" s="65">
        <f t="shared" si="0"/>
        <v>2052669.5303175375</v>
      </c>
      <c r="Q10" s="62"/>
      <c r="R10" s="62">
        <f>(G13-E13)*100000</f>
        <v>1179374.9999999998</v>
      </c>
      <c r="S10" s="94"/>
      <c r="T10" s="66">
        <f t="shared" si="1"/>
        <v>3232044.5303175375</v>
      </c>
      <c r="U10" s="67">
        <f t="shared" si="3"/>
        <v>137.42857742812686</v>
      </c>
      <c r="V10" s="167">
        <f t="shared" si="2"/>
        <v>78.625</v>
      </c>
      <c r="W10" s="82"/>
      <c r="X10" s="82"/>
      <c r="Y10" s="82"/>
      <c r="Z10" s="82"/>
    </row>
    <row r="11" spans="4:26">
      <c r="D11" s="99" t="s">
        <v>32</v>
      </c>
      <c r="E11" s="104">
        <f>E8*E6</f>
        <v>66</v>
      </c>
      <c r="F11" s="105"/>
      <c r="G11" s="102">
        <f>(G6*G8)+(G9*G10)</f>
        <v>144.625</v>
      </c>
      <c r="O11" s="5">
        <v>6</v>
      </c>
      <c r="P11" s="65">
        <f t="shared" si="0"/>
        <v>2052669.5303175375</v>
      </c>
      <c r="Q11" s="62"/>
      <c r="R11" s="62"/>
      <c r="S11" s="94">
        <v>-4500000</v>
      </c>
      <c r="T11" s="66">
        <f t="shared" si="1"/>
        <v>-2447330.4696824625</v>
      </c>
      <c r="U11" s="67">
        <f t="shared" si="3"/>
        <v>112.95527273130223</v>
      </c>
      <c r="V11" s="167">
        <f t="shared" si="2"/>
        <v>78.625</v>
      </c>
      <c r="W11" s="82"/>
      <c r="X11" s="82"/>
      <c r="Y11" s="82"/>
      <c r="Z11" s="82"/>
    </row>
    <row r="12" spans="4:26">
      <c r="D12" s="38" t="s">
        <v>35</v>
      </c>
      <c r="E12" s="15">
        <f>E11*1.28</f>
        <v>84.48</v>
      </c>
      <c r="F12" s="31" t="s">
        <v>36</v>
      </c>
      <c r="G12" s="15">
        <f>G11*1.05</f>
        <v>151.85625000000002</v>
      </c>
      <c r="H12" s="48" t="s">
        <v>187</v>
      </c>
      <c r="O12" s="5">
        <v>7</v>
      </c>
      <c r="P12" s="65">
        <f t="shared" si="0"/>
        <v>2052669.5303175375</v>
      </c>
      <c r="Q12" s="62"/>
      <c r="R12" s="62"/>
      <c r="S12" s="94"/>
      <c r="T12" s="66">
        <f t="shared" si="1"/>
        <v>2052669.5303175375</v>
      </c>
      <c r="U12" s="67">
        <f t="shared" si="3"/>
        <v>133.4819680344776</v>
      </c>
      <c r="V12" s="167">
        <f t="shared" si="2"/>
        <v>78.625</v>
      </c>
      <c r="W12" s="82"/>
      <c r="X12" s="82"/>
      <c r="Y12" s="82"/>
      <c r="Z12" s="82"/>
    </row>
    <row r="13" spans="4:26">
      <c r="D13" s="10" t="s">
        <v>188</v>
      </c>
      <c r="E13" s="11">
        <f>E11*15%</f>
        <v>9.9</v>
      </c>
      <c r="F13" s="31"/>
      <c r="G13" s="11">
        <f>G11*15%</f>
        <v>21.693749999999998</v>
      </c>
      <c r="J13" s="2" t="s">
        <v>189</v>
      </c>
      <c r="K13" s="2" t="s">
        <v>44</v>
      </c>
      <c r="L13" s="3" t="s">
        <v>45</v>
      </c>
      <c r="M13" s="3" t="s">
        <v>46</v>
      </c>
      <c r="O13" s="5">
        <v>8</v>
      </c>
      <c r="P13" s="65">
        <f t="shared" si="0"/>
        <v>2052669.5303175375</v>
      </c>
      <c r="Q13" s="62"/>
      <c r="R13" s="62"/>
      <c r="S13" s="94"/>
      <c r="T13" s="66">
        <f t="shared" si="1"/>
        <v>2052669.5303175375</v>
      </c>
      <c r="U13" s="67">
        <f t="shared" si="3"/>
        <v>154.00866333765299</v>
      </c>
      <c r="V13" s="167">
        <f t="shared" si="2"/>
        <v>78.625</v>
      </c>
      <c r="W13" s="82"/>
      <c r="X13" s="82"/>
      <c r="Y13" s="82"/>
      <c r="Z13" s="82"/>
    </row>
    <row r="14" spans="4:26">
      <c r="D14" s="10" t="s">
        <v>42</v>
      </c>
      <c r="E14" s="11">
        <v>5</v>
      </c>
      <c r="F14" s="31"/>
      <c r="G14" s="11">
        <v>5</v>
      </c>
      <c r="J14" s="2" t="s">
        <v>5</v>
      </c>
      <c r="K14" s="94">
        <f>E12*100000</f>
        <v>8448000</v>
      </c>
      <c r="L14" s="29">
        <f>CUMIPMT(F17/12,60,K14,1,60,0)*-1</f>
        <v>2197423.4606685974</v>
      </c>
      <c r="M14" s="29">
        <f>L14+K14</f>
        <v>10645423.460668597</v>
      </c>
      <c r="O14" s="5">
        <v>9</v>
      </c>
      <c r="P14" s="65">
        <f t="shared" si="0"/>
        <v>2052669.5303175375</v>
      </c>
      <c r="Q14" s="62"/>
      <c r="R14" s="62"/>
      <c r="S14" s="94"/>
      <c r="T14" s="66">
        <f t="shared" si="1"/>
        <v>2052669.5303175375</v>
      </c>
      <c r="U14" s="67">
        <f t="shared" si="3"/>
        <v>174.53535864082838</v>
      </c>
      <c r="V14" s="167">
        <f t="shared" si="2"/>
        <v>78.625</v>
      </c>
      <c r="W14" s="82"/>
      <c r="X14" s="82"/>
      <c r="Y14" s="82"/>
      <c r="Z14" s="82"/>
    </row>
    <row r="15" spans="4:26">
      <c r="D15" s="38" t="s">
        <v>49</v>
      </c>
      <c r="E15" s="11">
        <f>E11-E13</f>
        <v>56.1</v>
      </c>
      <c r="F15" s="31"/>
      <c r="G15" s="11">
        <f>G11-G13</f>
        <v>122.93125000000001</v>
      </c>
      <c r="J15" s="2" t="s">
        <v>6</v>
      </c>
      <c r="K15" s="94">
        <f>G12*100000</f>
        <v>15185625.000000002</v>
      </c>
      <c r="L15" s="29">
        <f>CUMIPMT(F17/12,60,K15,1,60,0)*-1</f>
        <v>3949958.4090809133</v>
      </c>
      <c r="M15" s="29">
        <f>L15+K15</f>
        <v>19135583.409080915</v>
      </c>
      <c r="O15" s="5">
        <v>10</v>
      </c>
      <c r="P15" s="65">
        <f t="shared" si="0"/>
        <v>2052669.5303175375</v>
      </c>
      <c r="Q15" s="62"/>
      <c r="R15" s="62"/>
      <c r="S15" s="94"/>
      <c r="T15" s="66">
        <f t="shared" si="1"/>
        <v>2052669.5303175375</v>
      </c>
      <c r="U15" s="67">
        <f t="shared" si="3"/>
        <v>195.06205394400376</v>
      </c>
      <c r="V15" s="167">
        <f t="shared" si="2"/>
        <v>78.625</v>
      </c>
      <c r="W15" s="82"/>
      <c r="X15" s="82"/>
      <c r="Y15" s="82"/>
      <c r="Z15" s="82"/>
    </row>
    <row r="16" spans="4:26">
      <c r="D16" s="38" t="s">
        <v>52</v>
      </c>
      <c r="E16" s="11">
        <f>E15/E14</f>
        <v>11.22</v>
      </c>
      <c r="F16" s="31"/>
      <c r="G16" s="11">
        <f>G15/G14</f>
        <v>24.58625</v>
      </c>
      <c r="V16" s="82"/>
      <c r="W16" s="82"/>
      <c r="X16" s="82"/>
      <c r="Y16" s="82"/>
      <c r="Z16" s="82"/>
    </row>
    <row r="17" spans="4:26">
      <c r="D17" s="68" t="s">
        <v>55</v>
      </c>
      <c r="E17" s="11">
        <f>L14/5/100000</f>
        <v>4.3948469213371943</v>
      </c>
      <c r="F17" s="31" t="s">
        <v>56</v>
      </c>
      <c r="G17" s="11">
        <f>L15/5/100000</f>
        <v>7.8999168181618264</v>
      </c>
      <c r="V17" s="82"/>
      <c r="W17" s="82"/>
      <c r="X17" s="82"/>
      <c r="Y17" s="82"/>
      <c r="Z17" s="82"/>
    </row>
    <row r="18" spans="4:26">
      <c r="D18" s="68" t="s">
        <v>59</v>
      </c>
      <c r="E18" s="34">
        <f>0.8*E8</f>
        <v>0.96</v>
      </c>
      <c r="F18" s="16"/>
      <c r="G18" s="34">
        <f>1.2*G8</f>
        <v>1.2</v>
      </c>
      <c r="O18" s="145" t="s">
        <v>67</v>
      </c>
      <c r="P18" s="146" t="s">
        <v>11</v>
      </c>
      <c r="Q18" s="146" t="s">
        <v>68</v>
      </c>
      <c r="R18" s="145" t="s">
        <v>69</v>
      </c>
      <c r="S18" s="147" t="str">
        <f>CONCATENATE(ROUND(SUM(W6),1)," Years")</f>
        <v>2.4 Years</v>
      </c>
    </row>
    <row r="19" spans="4:26">
      <c r="D19" s="68" t="s">
        <v>190</v>
      </c>
      <c r="E19" s="11">
        <v>2</v>
      </c>
      <c r="F19" s="16"/>
      <c r="G19" s="11" t="s">
        <v>18</v>
      </c>
    </row>
    <row r="20" spans="4:26">
      <c r="D20" s="38" t="s">
        <v>63</v>
      </c>
      <c r="E20" s="11">
        <f>SUM(E16:E19)</f>
        <v>18.574846921337194</v>
      </c>
      <c r="F20" s="16"/>
      <c r="G20" s="11">
        <f>SUM(G16:G19)</f>
        <v>33.68616681816183</v>
      </c>
    </row>
    <row r="21" spans="4:26">
      <c r="D21" s="35"/>
      <c r="E21" s="36"/>
      <c r="F21" s="37"/>
      <c r="G21" s="7"/>
    </row>
    <row r="22" spans="4:26">
      <c r="D22" s="208" t="s">
        <v>191</v>
      </c>
      <c r="E22" s="209"/>
      <c r="F22" s="209"/>
      <c r="G22" s="209"/>
    </row>
    <row r="23" spans="4:26">
      <c r="D23" s="68" t="s">
        <v>10</v>
      </c>
      <c r="E23" s="196">
        <f>E7</f>
        <v>25</v>
      </c>
      <c r="F23" s="7"/>
      <c r="G23" s="196">
        <f>G7</f>
        <v>30</v>
      </c>
    </row>
    <row r="24" spans="4:26">
      <c r="D24" s="18" t="s">
        <v>71</v>
      </c>
      <c r="E24" s="200">
        <v>40</v>
      </c>
      <c r="F24" s="200"/>
      <c r="G24" s="200">
        <v>40</v>
      </c>
    </row>
    <row r="25" spans="4:26">
      <c r="D25" s="18" t="s">
        <v>195</v>
      </c>
      <c r="E25" s="214">
        <v>1</v>
      </c>
      <c r="F25" s="215"/>
      <c r="G25" s="216"/>
    </row>
    <row r="26" spans="4:26">
      <c r="D26" s="18" t="s">
        <v>75</v>
      </c>
      <c r="E26" s="200">
        <f>E24*E25</f>
        <v>40</v>
      </c>
      <c r="F26" s="200"/>
      <c r="G26" s="200">
        <f>E25*G24</f>
        <v>40</v>
      </c>
    </row>
    <row r="27" spans="4:26">
      <c r="D27" s="18" t="s">
        <v>78</v>
      </c>
      <c r="E27" s="200">
        <f>E23*E24*E8</f>
        <v>1200</v>
      </c>
      <c r="F27" s="200"/>
      <c r="G27" s="200">
        <f>G24*G23</f>
        <v>1200</v>
      </c>
    </row>
    <row r="28" spans="4:26">
      <c r="D28" s="18" t="s">
        <v>80</v>
      </c>
      <c r="E28" s="200">
        <f>E27*25</f>
        <v>30000</v>
      </c>
      <c r="F28" s="200"/>
      <c r="G28" s="200">
        <f>G27*25</f>
        <v>30000</v>
      </c>
    </row>
    <row r="29" spans="4:26">
      <c r="D29" s="18" t="s">
        <v>201</v>
      </c>
      <c r="E29" s="210">
        <v>25</v>
      </c>
      <c r="F29" s="210"/>
      <c r="G29" s="210"/>
    </row>
    <row r="30" spans="4:26">
      <c r="D30" s="35"/>
      <c r="E30" s="36"/>
      <c r="F30" s="36"/>
      <c r="G30" s="36"/>
    </row>
    <row r="31" spans="4:26">
      <c r="D31" s="208" t="s">
        <v>82</v>
      </c>
      <c r="E31" s="209"/>
      <c r="F31" s="209"/>
      <c r="G31" s="209"/>
    </row>
    <row r="32" spans="4:26">
      <c r="D32" s="18" t="s">
        <v>85</v>
      </c>
      <c r="E32" s="34">
        <f>H32/20</f>
        <v>4.4000000000000004</v>
      </c>
      <c r="F32" s="11"/>
      <c r="G32" s="34">
        <f>M43</f>
        <v>5.468</v>
      </c>
      <c r="H32" s="103">
        <v>88</v>
      </c>
      <c r="I32" s="7" t="s">
        <v>86</v>
      </c>
      <c r="L32" s="1" t="s">
        <v>173</v>
      </c>
      <c r="M32" s="1">
        <v>255</v>
      </c>
    </row>
    <row r="33" spans="4:13">
      <c r="D33" s="18" t="s">
        <v>88</v>
      </c>
      <c r="E33" s="11">
        <v>20</v>
      </c>
      <c r="F33" s="11"/>
      <c r="G33" s="11">
        <v>20</v>
      </c>
      <c r="L33" s="1" t="s">
        <v>174</v>
      </c>
      <c r="M33" s="1">
        <f>M32*15%</f>
        <v>38.25</v>
      </c>
    </row>
    <row r="34" spans="4:13">
      <c r="D34" s="18" t="s">
        <v>91</v>
      </c>
      <c r="E34" s="11">
        <v>95</v>
      </c>
      <c r="F34" s="11"/>
      <c r="G34" s="11">
        <v>3.81</v>
      </c>
      <c r="L34" s="1" t="s">
        <v>175</v>
      </c>
      <c r="M34" s="1">
        <f>M32-M33</f>
        <v>216.75</v>
      </c>
    </row>
    <row r="35" spans="4:13">
      <c r="D35" s="18" t="s">
        <v>206</v>
      </c>
      <c r="E35" s="53">
        <f>75000*E8</f>
        <v>90000</v>
      </c>
      <c r="F35" s="21"/>
      <c r="G35" s="53">
        <v>75000</v>
      </c>
      <c r="L35" s="1" t="s">
        <v>176</v>
      </c>
      <c r="M35" s="1">
        <v>125</v>
      </c>
    </row>
    <row r="36" spans="4:13">
      <c r="D36" s="18" t="s">
        <v>208</v>
      </c>
      <c r="E36" s="21">
        <f>35000*E8</f>
        <v>42000</v>
      </c>
      <c r="F36" s="21"/>
      <c r="G36" s="21">
        <v>35000</v>
      </c>
      <c r="L36" s="1" t="s">
        <v>177</v>
      </c>
      <c r="M36" s="1">
        <f>M34/M35</f>
        <v>1.734</v>
      </c>
    </row>
    <row r="37" spans="4:13">
      <c r="D37" s="18" t="s">
        <v>98</v>
      </c>
      <c r="E37" s="21">
        <f>40000*E8</f>
        <v>48000</v>
      </c>
      <c r="F37" s="21"/>
      <c r="G37" s="21">
        <v>20000</v>
      </c>
      <c r="L37" s="1" t="s">
        <v>178</v>
      </c>
      <c r="M37" s="1">
        <v>1</v>
      </c>
    </row>
    <row r="38" spans="4:13">
      <c r="D38" s="7"/>
      <c r="E38" s="231"/>
      <c r="F38" s="231"/>
      <c r="G38" s="231"/>
      <c r="L38" s="1" t="s">
        <v>179</v>
      </c>
      <c r="M38" s="1">
        <f>M36+M37</f>
        <v>2.734</v>
      </c>
    </row>
    <row r="39" spans="4:13">
      <c r="L39" s="1" t="s">
        <v>180</v>
      </c>
      <c r="M39" s="1">
        <v>1</v>
      </c>
    </row>
    <row r="40" spans="4:13">
      <c r="D40" s="211" t="s">
        <v>101</v>
      </c>
      <c r="E40" s="212"/>
      <c r="F40" s="212"/>
      <c r="G40" s="213"/>
      <c r="L40" s="1" t="s">
        <v>181</v>
      </c>
      <c r="M40" s="1">
        <v>40</v>
      </c>
    </row>
    <row r="41" spans="4:13">
      <c r="D41" s="18" t="s">
        <v>103</v>
      </c>
      <c r="E41" s="18" t="s">
        <v>104</v>
      </c>
      <c r="F41" s="18"/>
      <c r="G41" s="18" t="s">
        <v>105</v>
      </c>
      <c r="L41" s="1" t="s">
        <v>182</v>
      </c>
      <c r="M41" s="1">
        <f>M38*M40</f>
        <v>109.36</v>
      </c>
    </row>
    <row r="42" spans="4:13">
      <c r="D42" s="41" t="s">
        <v>5</v>
      </c>
      <c r="E42" s="41">
        <f>E32*E33*E34*E8</f>
        <v>10032</v>
      </c>
      <c r="F42" s="41"/>
      <c r="G42" s="41">
        <f>E42*E29</f>
        <v>250800</v>
      </c>
      <c r="L42" s="1" t="s">
        <v>183</v>
      </c>
      <c r="M42" s="1">
        <v>20</v>
      </c>
    </row>
    <row r="43" spans="4:13">
      <c r="D43" s="75" t="s">
        <v>108</v>
      </c>
      <c r="E43" s="41">
        <f>(E32*E33*E8)*5%*50</f>
        <v>264</v>
      </c>
      <c r="F43" s="41"/>
      <c r="G43" s="41">
        <f>E43*E29</f>
        <v>6600</v>
      </c>
      <c r="L43" s="1" t="s">
        <v>184</v>
      </c>
      <c r="M43" s="1">
        <f>M41/M42</f>
        <v>5.468</v>
      </c>
    </row>
    <row r="44" spans="4:13">
      <c r="D44" s="41" t="s">
        <v>110</v>
      </c>
      <c r="E44" s="41">
        <f>E42+E43</f>
        <v>10296</v>
      </c>
      <c r="F44" s="41"/>
      <c r="G44" s="42">
        <f>G42+G43</f>
        <v>257400</v>
      </c>
    </row>
    <row r="45" spans="4:13">
      <c r="D45" s="41" t="s">
        <v>112</v>
      </c>
      <c r="E45" s="41">
        <f>G32*G33*G34</f>
        <v>416.66160000000002</v>
      </c>
      <c r="F45" s="41"/>
      <c r="G45" s="42">
        <f>E45*E29</f>
        <v>10416.540000000001</v>
      </c>
    </row>
    <row r="46" spans="4:13">
      <c r="D46" s="22" t="s">
        <v>115</v>
      </c>
      <c r="E46" s="23"/>
      <c r="F46" s="23"/>
      <c r="G46" s="24">
        <f>G44+E35+E36+E37</f>
        <v>437400</v>
      </c>
      <c r="H46" s="60" t="s">
        <v>116</v>
      </c>
      <c r="I46" s="7"/>
    </row>
    <row r="47" spans="4:13">
      <c r="D47" s="22" t="s">
        <v>118</v>
      </c>
      <c r="E47" s="23"/>
      <c r="F47" s="23"/>
      <c r="G47" s="24">
        <f>G45+G35+G36+G37</f>
        <v>140416.54</v>
      </c>
      <c r="H47" s="60" t="s">
        <v>119</v>
      </c>
      <c r="I47" s="7"/>
    </row>
    <row r="48" spans="4:13">
      <c r="D48" s="111" t="s">
        <v>122</v>
      </c>
      <c r="E48" s="225"/>
      <c r="F48" s="226"/>
      <c r="G48" s="112">
        <f>G46-G47</f>
        <v>296983.45999999996</v>
      </c>
      <c r="H48" s="7"/>
      <c r="I48" s="7"/>
    </row>
    <row r="49" spans="4:12">
      <c r="D49" s="25" t="s">
        <v>125</v>
      </c>
      <c r="E49" s="215"/>
      <c r="F49" s="216"/>
      <c r="G49" s="19">
        <f>G46+(E20*100000/12)</f>
        <v>592190.39101114334</v>
      </c>
      <c r="H49" s="7" t="s">
        <v>126</v>
      </c>
      <c r="I49" s="7"/>
    </row>
    <row r="50" spans="4:12">
      <c r="D50" s="25" t="s">
        <v>129</v>
      </c>
      <c r="E50" s="215"/>
      <c r="F50" s="216"/>
      <c r="G50" s="19">
        <f>G47+(G20*100000/12)</f>
        <v>421134.59681801521</v>
      </c>
      <c r="H50" s="7" t="s">
        <v>130</v>
      </c>
      <c r="I50" s="7"/>
    </row>
    <row r="51" spans="4:12">
      <c r="D51" s="111" t="s">
        <v>133</v>
      </c>
      <c r="E51" s="225"/>
      <c r="F51" s="226"/>
      <c r="G51" s="112">
        <f>G49-G50</f>
        <v>171055.79419312812</v>
      </c>
      <c r="H51" s="7"/>
      <c r="I51" s="7"/>
    </row>
    <row r="56" spans="4:12">
      <c r="D56" s="218" t="s">
        <v>134</v>
      </c>
      <c r="E56" s="219"/>
      <c r="F56" s="219"/>
      <c r="G56" s="219"/>
      <c r="H56" s="219"/>
      <c r="I56" s="219"/>
      <c r="J56" s="219"/>
      <c r="K56" s="219"/>
    </row>
    <row r="57" spans="4:12" ht="32.1">
      <c r="D57" s="43" t="s">
        <v>23</v>
      </c>
      <c r="E57" s="199" t="s">
        <v>135</v>
      </c>
      <c r="F57" s="199" t="s">
        <v>136</v>
      </c>
      <c r="G57" s="44" t="s">
        <v>137</v>
      </c>
      <c r="H57" s="199" t="s">
        <v>138</v>
      </c>
      <c r="I57" s="221" t="s">
        <v>139</v>
      </c>
      <c r="J57" s="221"/>
      <c r="K57" s="221"/>
      <c r="L57" s="47" t="s">
        <v>140</v>
      </c>
    </row>
    <row r="58" spans="4:12" ht="21.95" customHeight="1">
      <c r="D58" s="45">
        <v>1</v>
      </c>
      <c r="E58" s="49">
        <f>E$11*100000*F$58</f>
        <v>990000</v>
      </c>
      <c r="F58" s="54" t="s">
        <v>40</v>
      </c>
      <c r="G58" s="46">
        <f>(G$11*100000)*H$58</f>
        <v>5785000</v>
      </c>
      <c r="H58" s="57" t="s">
        <v>141</v>
      </c>
      <c r="I58" s="220">
        <f>(G58-E58)*L$58</f>
        <v>1206901.5</v>
      </c>
      <c r="J58" s="220"/>
      <c r="K58" s="220"/>
      <c r="L58" s="48" t="s">
        <v>142</v>
      </c>
    </row>
    <row r="59" spans="4:12" ht="21" customHeight="1">
      <c r="D59" s="45">
        <v>2</v>
      </c>
      <c r="E59" s="49">
        <f>(E$11*100000-E58)*F$58</f>
        <v>841500</v>
      </c>
      <c r="F59" s="55"/>
      <c r="G59" s="46">
        <f>(G$11*100000-G58)*H$58</f>
        <v>3471000</v>
      </c>
      <c r="H59" s="58"/>
      <c r="I59" s="220">
        <f t="shared" ref="I59:I61" si="4">(G59-E59)*L$58</f>
        <v>661845.14999999991</v>
      </c>
      <c r="J59" s="220"/>
      <c r="K59" s="220"/>
    </row>
    <row r="60" spans="4:12" ht="18.95" customHeight="1">
      <c r="D60" s="45">
        <v>3</v>
      </c>
      <c r="E60" s="49">
        <f>(E$11*100000-E58-E59)*F$58</f>
        <v>715275</v>
      </c>
      <c r="F60" s="55"/>
      <c r="G60" s="46">
        <f>(G$11*100000-G58-G59)*H$58</f>
        <v>2082600</v>
      </c>
      <c r="H60" s="58"/>
      <c r="I60" s="220">
        <f t="shared" si="4"/>
        <v>344155.70249999996</v>
      </c>
      <c r="J60" s="220"/>
      <c r="K60" s="220"/>
    </row>
    <row r="61" spans="4:12" ht="23.1" customHeight="1">
      <c r="D61" s="45">
        <v>4</v>
      </c>
      <c r="E61" s="49">
        <f>(E$11*100000-E58-E59-E60)*F$58</f>
        <v>607983.75</v>
      </c>
      <c r="F61" s="55"/>
      <c r="G61" s="46">
        <f>E70-2169450</f>
        <v>954558</v>
      </c>
      <c r="I61" s="220">
        <f t="shared" si="4"/>
        <v>87232.738724999988</v>
      </c>
      <c r="J61" s="220"/>
      <c r="K61" s="220"/>
    </row>
    <row r="62" spans="4:12" ht="21" customHeight="1">
      <c r="D62" s="45"/>
      <c r="E62" s="49"/>
      <c r="F62" s="56"/>
      <c r="G62" s="46"/>
      <c r="H62" s="59"/>
      <c r="I62" s="220"/>
      <c r="J62" s="220"/>
      <c r="K62" s="220"/>
    </row>
    <row r="66" spans="4:10">
      <c r="D66" s="188" t="s">
        <v>23</v>
      </c>
      <c r="E66" s="222" t="s">
        <v>145</v>
      </c>
      <c r="F66" s="224"/>
      <c r="G66" s="188" t="s">
        <v>146</v>
      </c>
      <c r="H66" s="2"/>
      <c r="I66" s="234" t="s">
        <v>147</v>
      </c>
      <c r="J66" s="234"/>
    </row>
    <row r="67" spans="4:10">
      <c r="D67" s="186">
        <v>1</v>
      </c>
      <c r="E67" s="202">
        <v>14463000</v>
      </c>
      <c r="F67" s="204"/>
      <c r="G67" s="202">
        <v>5785200</v>
      </c>
      <c r="H67" s="204"/>
      <c r="I67" s="236">
        <v>8677800</v>
      </c>
      <c r="J67" s="236"/>
    </row>
    <row r="68" spans="4:10">
      <c r="D68" s="186">
        <v>2</v>
      </c>
      <c r="E68" s="202">
        <v>8677800</v>
      </c>
      <c r="F68" s="204"/>
      <c r="G68" s="202">
        <v>3471120</v>
      </c>
      <c r="H68" s="204"/>
      <c r="I68" s="236">
        <v>5206680</v>
      </c>
      <c r="J68" s="236"/>
    </row>
    <row r="69" spans="4:10">
      <c r="D69" s="186">
        <v>3</v>
      </c>
      <c r="E69" s="202">
        <v>5206680</v>
      </c>
      <c r="F69" s="204"/>
      <c r="G69" s="202">
        <v>2082672</v>
      </c>
      <c r="H69" s="204"/>
      <c r="I69" s="236">
        <v>3124008</v>
      </c>
      <c r="J69" s="236"/>
    </row>
    <row r="70" spans="4:10">
      <c r="D70" s="186">
        <v>4</v>
      </c>
      <c r="E70" s="202">
        <v>3124008</v>
      </c>
      <c r="F70" s="204"/>
      <c r="G70" s="232">
        <v>1249603.2</v>
      </c>
      <c r="H70" s="233"/>
      <c r="I70" s="235">
        <v>1874404.8</v>
      </c>
      <c r="J70" s="235"/>
    </row>
    <row r="72" spans="4:10">
      <c r="D72" t="s">
        <v>229</v>
      </c>
    </row>
    <row r="73" spans="4:10">
      <c r="D73" t="s">
        <v>230</v>
      </c>
    </row>
    <row r="75" spans="4:10">
      <c r="D75" s="100" t="s">
        <v>150</v>
      </c>
    </row>
    <row r="76" spans="4:10">
      <c r="D76" t="s">
        <v>231</v>
      </c>
    </row>
    <row r="77" spans="4:10">
      <c r="D77" t="s">
        <v>232</v>
      </c>
    </row>
    <row r="80" spans="4:10">
      <c r="D80" s="188" t="s">
        <v>23</v>
      </c>
      <c r="E80" s="222" t="s">
        <v>145</v>
      </c>
      <c r="F80" s="224"/>
      <c r="G80" s="222" t="s">
        <v>226</v>
      </c>
      <c r="H80" s="224"/>
      <c r="I80" s="234" t="s">
        <v>147</v>
      </c>
      <c r="J80" s="234"/>
    </row>
    <row r="81" spans="4:11">
      <c r="D81" s="186">
        <v>1</v>
      </c>
      <c r="E81" s="202">
        <v>14463000</v>
      </c>
      <c r="F81" s="204"/>
      <c r="G81" s="202">
        <v>5785200</v>
      </c>
      <c r="H81" s="204"/>
      <c r="I81" s="202">
        <v>8677800</v>
      </c>
      <c r="J81" s="204"/>
    </row>
    <row r="82" spans="4:11">
      <c r="D82" s="186">
        <v>2</v>
      </c>
      <c r="E82" s="202">
        <v>8677800</v>
      </c>
      <c r="F82" s="204"/>
      <c r="G82" s="202">
        <v>3471120</v>
      </c>
      <c r="H82" s="204"/>
      <c r="I82" s="202">
        <v>5206680</v>
      </c>
      <c r="J82" s="204"/>
    </row>
    <row r="83" spans="4:11">
      <c r="D83" s="186">
        <v>3</v>
      </c>
      <c r="E83" s="202">
        <v>5206680</v>
      </c>
      <c r="F83" s="204"/>
      <c r="G83" s="202">
        <v>2082672</v>
      </c>
      <c r="H83" s="204"/>
      <c r="I83" s="202">
        <v>3124008</v>
      </c>
      <c r="J83" s="204"/>
    </row>
    <row r="84" spans="4:11">
      <c r="D84" s="186">
        <v>4</v>
      </c>
      <c r="E84" s="202">
        <v>3124008</v>
      </c>
      <c r="F84" s="204"/>
      <c r="G84" s="205">
        <v>954558</v>
      </c>
      <c r="H84" s="206"/>
      <c r="I84" s="228">
        <v>2169450</v>
      </c>
      <c r="J84" s="229"/>
      <c r="K84" s="1" t="s">
        <v>153</v>
      </c>
    </row>
  </sheetData>
  <mergeCells count="47">
    <mergeCell ref="I58:K58"/>
    <mergeCell ref="E48:F48"/>
    <mergeCell ref="E49:F49"/>
    <mergeCell ref="E50:F50"/>
    <mergeCell ref="D3:G3"/>
    <mergeCell ref="D22:G22"/>
    <mergeCell ref="E25:G25"/>
    <mergeCell ref="E29:G29"/>
    <mergeCell ref="D31:G31"/>
    <mergeCell ref="E38:G38"/>
    <mergeCell ref="D40:G40"/>
    <mergeCell ref="E51:F51"/>
    <mergeCell ref="D56:K56"/>
    <mergeCell ref="I57:K57"/>
    <mergeCell ref="I66:J66"/>
    <mergeCell ref="I59:K59"/>
    <mergeCell ref="I60:K60"/>
    <mergeCell ref="I61:K61"/>
    <mergeCell ref="I62:K62"/>
    <mergeCell ref="E80:F80"/>
    <mergeCell ref="G80:H80"/>
    <mergeCell ref="E66:F66"/>
    <mergeCell ref="E67:F67"/>
    <mergeCell ref="E68:F68"/>
    <mergeCell ref="E69:F69"/>
    <mergeCell ref="E70:F70"/>
    <mergeCell ref="I84:J84"/>
    <mergeCell ref="I83:J83"/>
    <mergeCell ref="I82:J82"/>
    <mergeCell ref="I81:J81"/>
    <mergeCell ref="G67:H67"/>
    <mergeCell ref="G68:H68"/>
    <mergeCell ref="G69:H69"/>
    <mergeCell ref="G70:H70"/>
    <mergeCell ref="I80:J80"/>
    <mergeCell ref="I70:J70"/>
    <mergeCell ref="I67:J67"/>
    <mergeCell ref="I68:J68"/>
    <mergeCell ref="I69:J69"/>
    <mergeCell ref="E81:F81"/>
    <mergeCell ref="E82:F82"/>
    <mergeCell ref="E83:F83"/>
    <mergeCell ref="E84:F84"/>
    <mergeCell ref="G81:H81"/>
    <mergeCell ref="G82:H82"/>
    <mergeCell ref="G83:H83"/>
    <mergeCell ref="G84:H84"/>
  </mergeCells>
  <dataValidations count="1">
    <dataValidation type="list" allowBlank="1" showInputMessage="1" showErrorMessage="1" sqref="P18" xr:uid="{0D9C9377-689E-4944-B428-B087A8E465D1}">
      <formula1>$Y$6:$Y$7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49"/>
  <sheetViews>
    <sheetView tabSelected="1" topLeftCell="A4" zoomScale="125" workbookViewId="0">
      <selection activeCell="M16" sqref="M16"/>
    </sheetView>
  </sheetViews>
  <sheetFormatPr defaultColWidth="10.875" defaultRowHeight="15.95"/>
  <cols>
    <col min="1" max="1" width="13.375" style="1" customWidth="1"/>
    <col min="2" max="2" width="30.375" style="1" customWidth="1"/>
    <col min="3" max="3" width="16" style="1" customWidth="1"/>
    <col min="4" max="4" width="3.5" style="1" customWidth="1"/>
    <col min="5" max="5" width="16.875" style="1" customWidth="1"/>
    <col min="6" max="6" width="13.625" style="1" customWidth="1"/>
    <col min="7" max="7" width="4.625" style="1" customWidth="1"/>
    <col min="8" max="8" width="13.375" style="1" bestFit="1" customWidth="1"/>
    <col min="9" max="9" width="3.5" style="1" customWidth="1"/>
    <col min="10" max="10" width="4.875" style="1" customWidth="1"/>
    <col min="11" max="11" width="6.875" style="1" customWidth="1"/>
    <col min="12" max="13" width="10.875" style="1"/>
    <col min="14" max="14" width="11.625" style="1" bestFit="1" customWidth="1"/>
    <col min="15" max="15" width="21" style="1" customWidth="1"/>
    <col min="16" max="16" width="14.375" style="1" customWidth="1"/>
    <col min="17" max="16384" width="10.875" style="1"/>
  </cols>
  <sheetData>
    <row r="3" spans="1:14">
      <c r="B3" s="114" t="s">
        <v>0</v>
      </c>
      <c r="C3" s="114" t="s">
        <v>5</v>
      </c>
      <c r="D3" s="114"/>
      <c r="E3" s="131" t="s">
        <v>233</v>
      </c>
      <c r="F3" s="115" t="s">
        <v>234</v>
      </c>
      <c r="G3" s="114"/>
      <c r="H3" s="114" t="s">
        <v>235</v>
      </c>
    </row>
    <row r="4" spans="1:14">
      <c r="A4" s="1" t="s">
        <v>3</v>
      </c>
      <c r="B4" s="10" t="s">
        <v>4</v>
      </c>
      <c r="C4" s="106" t="s">
        <v>5</v>
      </c>
      <c r="D4" s="106"/>
      <c r="E4" s="11" t="s">
        <v>6</v>
      </c>
      <c r="F4" s="200" t="s">
        <v>6</v>
      </c>
      <c r="G4" s="11"/>
      <c r="H4" s="11" t="s">
        <v>6</v>
      </c>
    </row>
    <row r="5" spans="1:14">
      <c r="A5" s="1" t="s">
        <v>7</v>
      </c>
      <c r="B5" s="10" t="s">
        <v>8</v>
      </c>
      <c r="C5" s="170">
        <v>55</v>
      </c>
      <c r="D5" s="170"/>
      <c r="E5" s="122">
        <v>135</v>
      </c>
      <c r="F5" s="122">
        <f>14070000/100000</f>
        <v>140.69999999999999</v>
      </c>
      <c r="G5" s="120"/>
      <c r="H5" s="122">
        <v>120</v>
      </c>
    </row>
    <row r="6" spans="1:14" ht="18.95" customHeight="1">
      <c r="A6" s="1" t="s">
        <v>9</v>
      </c>
      <c r="B6" s="119" t="s">
        <v>10</v>
      </c>
      <c r="C6" s="122">
        <v>25</v>
      </c>
      <c r="D6" s="122"/>
      <c r="E6" s="168">
        <v>35</v>
      </c>
      <c r="F6" s="122">
        <v>30</v>
      </c>
      <c r="G6" s="120"/>
      <c r="H6" s="122">
        <v>25</v>
      </c>
    </row>
    <row r="7" spans="1:14" ht="18.95" customHeight="1">
      <c r="A7" s="1" t="s">
        <v>12</v>
      </c>
      <c r="B7" s="119" t="s">
        <v>236</v>
      </c>
      <c r="C7" s="185">
        <f>E6/C6</f>
        <v>1.4</v>
      </c>
      <c r="D7" s="122"/>
      <c r="E7" s="122">
        <v>1</v>
      </c>
      <c r="F7" s="122">
        <f>E6/F6</f>
        <v>1.1666666666666667</v>
      </c>
      <c r="G7" s="120"/>
      <c r="H7" s="122">
        <f>E6/H6</f>
        <v>1.4</v>
      </c>
    </row>
    <row r="8" spans="1:14" ht="20.100000000000001" customHeight="1">
      <c r="A8" s="1" t="s">
        <v>237</v>
      </c>
      <c r="B8" s="119" t="s">
        <v>238</v>
      </c>
      <c r="C8" s="122" t="s">
        <v>18</v>
      </c>
      <c r="D8" s="122"/>
      <c r="E8" s="122">
        <f>1/J8</f>
        <v>0.25</v>
      </c>
      <c r="F8" s="122">
        <f>1/J8</f>
        <v>0.25</v>
      </c>
      <c r="G8" s="122"/>
      <c r="H8" s="122">
        <f>1/J8</f>
        <v>0.25</v>
      </c>
      <c r="I8" s="107" t="s">
        <v>19</v>
      </c>
      <c r="J8" s="6">
        <v>4</v>
      </c>
      <c r="K8" s="1" t="s">
        <v>20</v>
      </c>
    </row>
    <row r="9" spans="1:14">
      <c r="A9" s="1" t="s">
        <v>21</v>
      </c>
      <c r="B9" s="119" t="s">
        <v>22</v>
      </c>
      <c r="C9" s="122" t="s">
        <v>18</v>
      </c>
      <c r="D9" s="122"/>
      <c r="E9" s="122">
        <v>10</v>
      </c>
      <c r="F9" s="122">
        <f>1570000/100000</f>
        <v>15.7</v>
      </c>
      <c r="G9" s="120"/>
      <c r="H9" s="122">
        <f>17</f>
        <v>17</v>
      </c>
    </row>
    <row r="10" spans="1:14">
      <c r="A10" s="1" t="s">
        <v>239</v>
      </c>
      <c r="B10" s="121" t="s">
        <v>32</v>
      </c>
      <c r="C10" s="168">
        <f>C5*C7</f>
        <v>77</v>
      </c>
      <c r="D10" s="177"/>
      <c r="E10" s="168">
        <f>(E5*E7)+(E8*E9)</f>
        <v>137.5</v>
      </c>
      <c r="F10" s="117">
        <f>(F5*F7)+(F8*F9)</f>
        <v>168.07500000000002</v>
      </c>
      <c r="G10" s="116"/>
      <c r="H10" s="176">
        <f>(H5*H7)+(H8*H9)</f>
        <v>172.25</v>
      </c>
    </row>
    <row r="11" spans="1:14">
      <c r="A11" s="1" t="s">
        <v>34</v>
      </c>
      <c r="B11" s="119" t="s">
        <v>35</v>
      </c>
      <c r="C11" s="122">
        <f>C10+(C10*D11)</f>
        <v>98.56</v>
      </c>
      <c r="D11" s="178" t="s">
        <v>36</v>
      </c>
      <c r="E11" s="122">
        <f>E10+(E10*G11)</f>
        <v>144.375</v>
      </c>
      <c r="F11" s="106">
        <f>F10+(F10*G11)</f>
        <v>176.47875000000002</v>
      </c>
      <c r="G11" s="132" t="s">
        <v>187</v>
      </c>
      <c r="H11" s="122">
        <f>H10+(H10*G11)</f>
        <v>180.86250000000001</v>
      </c>
      <c r="K11" s="2" t="s">
        <v>4</v>
      </c>
      <c r="L11" s="2" t="s">
        <v>44</v>
      </c>
      <c r="M11" s="2" t="s">
        <v>45</v>
      </c>
      <c r="N11" s="2" t="s">
        <v>240</v>
      </c>
    </row>
    <row r="12" spans="1:14">
      <c r="A12" s="1" t="s">
        <v>38</v>
      </c>
      <c r="B12" s="10" t="s">
        <v>188</v>
      </c>
      <c r="C12" s="171">
        <f>C10*15%</f>
        <v>11.549999999999999</v>
      </c>
      <c r="D12" s="171"/>
      <c r="E12" s="106">
        <f>E10*15%</f>
        <v>20.625</v>
      </c>
      <c r="F12" s="106">
        <f>F10*15%</f>
        <v>25.211250000000003</v>
      </c>
      <c r="G12" s="16"/>
      <c r="H12" s="106">
        <f>H10*15%</f>
        <v>25.837499999999999</v>
      </c>
      <c r="K12" s="2" t="s">
        <v>241</v>
      </c>
      <c r="L12" s="94">
        <f>H11*100000</f>
        <v>18086250</v>
      </c>
      <c r="M12" s="94">
        <f>CUMIPMT(G16/12,60,L12,1,60,0)*-1</f>
        <v>4704444.8467705287</v>
      </c>
      <c r="N12" s="94">
        <f>L12+M12</f>
        <v>22790694.846770529</v>
      </c>
    </row>
    <row r="13" spans="1:14">
      <c r="A13" s="1" t="s">
        <v>41</v>
      </c>
      <c r="B13" s="10" t="s">
        <v>42</v>
      </c>
      <c r="C13" s="171">
        <v>5</v>
      </c>
      <c r="D13" s="171"/>
      <c r="E13" s="106">
        <v>5</v>
      </c>
      <c r="F13" s="106">
        <v>5</v>
      </c>
      <c r="G13" s="16"/>
      <c r="H13" s="106">
        <v>5</v>
      </c>
      <c r="K13" s="133" t="s">
        <v>233</v>
      </c>
      <c r="L13" s="94">
        <f>E11*100000</f>
        <v>14437500</v>
      </c>
      <c r="M13" s="94">
        <f>CUMIPMT(G16/12,60,L13,1,60,0)*-1</f>
        <v>3755362.3595410604</v>
      </c>
      <c r="N13" s="94">
        <f>L13+M13</f>
        <v>18192862.359541059</v>
      </c>
    </row>
    <row r="14" spans="1:14">
      <c r="A14" s="1" t="s">
        <v>242</v>
      </c>
      <c r="B14" s="119" t="s">
        <v>49</v>
      </c>
      <c r="C14" s="122">
        <f>C10-C12</f>
        <v>65.45</v>
      </c>
      <c r="D14" s="122"/>
      <c r="E14" s="106">
        <f>E10-E12</f>
        <v>116.875</v>
      </c>
      <c r="F14" s="106">
        <f>F10-F12</f>
        <v>142.86375000000001</v>
      </c>
      <c r="G14" s="16"/>
      <c r="H14" s="106">
        <f>H10-H12</f>
        <v>146.41249999999999</v>
      </c>
      <c r="K14" s="2" t="s">
        <v>234</v>
      </c>
      <c r="L14" s="94">
        <f>F11*100000</f>
        <v>17647875.000000004</v>
      </c>
      <c r="M14" s="94">
        <f>CUMIPMT(G16/12,60,L14,1,60,0)*-1</f>
        <v>4590418.3896717392</v>
      </c>
      <c r="N14" s="94">
        <f>L14+M14</f>
        <v>22238293.389671743</v>
      </c>
    </row>
    <row r="15" spans="1:14">
      <c r="A15" s="1" t="s">
        <v>243</v>
      </c>
      <c r="B15" s="119" t="s">
        <v>244</v>
      </c>
      <c r="C15" s="122">
        <f>C14/C13</f>
        <v>13.09</v>
      </c>
      <c r="D15" s="122"/>
      <c r="E15" s="106">
        <f>E14/E13</f>
        <v>23.375</v>
      </c>
      <c r="F15" s="106">
        <f>F14/F13</f>
        <v>28.572750000000003</v>
      </c>
      <c r="G15" s="16"/>
      <c r="H15" s="106">
        <f>H14/H13</f>
        <v>29.282499999999999</v>
      </c>
      <c r="K15" s="2" t="s">
        <v>5</v>
      </c>
      <c r="L15" s="94">
        <f>C11*100000</f>
        <v>9856000</v>
      </c>
      <c r="M15" s="94">
        <f>CUMIPMT(G16/12,60,L15,1,60,0)*-1</f>
        <v>2563660.7041133624</v>
      </c>
      <c r="N15" s="94">
        <f>L15+M15</f>
        <v>12419660.704113362</v>
      </c>
    </row>
    <row r="16" spans="1:14">
      <c r="A16" s="1" t="s">
        <v>54</v>
      </c>
      <c r="B16" s="119" t="s">
        <v>55</v>
      </c>
      <c r="C16" s="122">
        <f>M15/C13/100000</f>
        <v>5.1273214082267247</v>
      </c>
      <c r="D16" s="122"/>
      <c r="E16" s="174">
        <f>M13/E13/100000</f>
        <v>7.5107247190821207</v>
      </c>
      <c r="F16" s="106">
        <f>M14/F13/100000</f>
        <v>9.180836779343478</v>
      </c>
      <c r="G16" s="16" t="s">
        <v>56</v>
      </c>
      <c r="H16" s="106">
        <f>M12/H13/100000</f>
        <v>9.4088896935410578</v>
      </c>
    </row>
    <row r="17" spans="1:8">
      <c r="A17" s="1" t="s">
        <v>58</v>
      </c>
      <c r="B17" s="119" t="s">
        <v>59</v>
      </c>
      <c r="C17" s="122">
        <f>0.8*C7</f>
        <v>1.1199999999999999</v>
      </c>
      <c r="D17" s="122"/>
      <c r="E17" s="106">
        <v>1.2</v>
      </c>
      <c r="F17" s="106">
        <f>1.2*F7</f>
        <v>1.4000000000000001</v>
      </c>
      <c r="G17" s="16"/>
      <c r="H17" s="106">
        <f>1.2*H7</f>
        <v>1.68</v>
      </c>
    </row>
    <row r="18" spans="1:8">
      <c r="A18" s="1" t="s">
        <v>60</v>
      </c>
      <c r="B18" s="119" t="s">
        <v>245</v>
      </c>
      <c r="C18" s="122">
        <v>1.5</v>
      </c>
      <c r="D18" s="122"/>
      <c r="E18" s="106" t="s">
        <v>18</v>
      </c>
      <c r="F18" s="106" t="s">
        <v>18</v>
      </c>
      <c r="G18" s="16"/>
      <c r="H18" s="106" t="s">
        <v>18</v>
      </c>
    </row>
    <row r="19" spans="1:8">
      <c r="A19" s="1" t="s">
        <v>62</v>
      </c>
      <c r="B19" s="119" t="s">
        <v>63</v>
      </c>
      <c r="C19" s="122">
        <f>SUM(C15:C18)</f>
        <v>20.837321408226725</v>
      </c>
      <c r="D19" s="122"/>
      <c r="E19" s="106">
        <f>SUM(E15:E17)</f>
        <v>32.085724719082123</v>
      </c>
      <c r="F19" s="106">
        <f>SUM(F15:F17)</f>
        <v>39.153586779343478</v>
      </c>
      <c r="G19" s="16"/>
      <c r="H19" s="106">
        <f>SUM(H15:H17)</f>
        <v>40.371389693541055</v>
      </c>
    </row>
    <row r="20" spans="1:8">
      <c r="A20" s="1" t="s">
        <v>246</v>
      </c>
      <c r="B20" s="135" t="s">
        <v>247</v>
      </c>
      <c r="C20" s="172">
        <f>C19/12</f>
        <v>1.7364434506855604</v>
      </c>
      <c r="D20" s="173"/>
      <c r="E20" s="137">
        <f>E19/12</f>
        <v>2.6738103932568436</v>
      </c>
      <c r="F20" s="137">
        <f>F19/12</f>
        <v>3.2627988982786231</v>
      </c>
      <c r="G20" s="136"/>
      <c r="H20" s="137">
        <f>H19/12</f>
        <v>3.3642824744617545</v>
      </c>
    </row>
    <row r="21" spans="1:8">
      <c r="B21" s="129" t="s">
        <v>248</v>
      </c>
      <c r="C21" s="180">
        <f>'Propel 470MEV'!$G$40</f>
        <v>301102.9411764706</v>
      </c>
      <c r="D21" s="173"/>
      <c r="E21" s="175">
        <f>'Propel 470MEV'!$G$41</f>
        <v>11430</v>
      </c>
      <c r="F21" s="169">
        <f>OLECTRA!$G$45</f>
        <v>10416.540000000001</v>
      </c>
      <c r="G21" s="130"/>
      <c r="H21" s="169">
        <f>'TATA PRIMA E.28k'!$G$43</f>
        <v>8676.4090909090919</v>
      </c>
    </row>
    <row r="22" spans="1:8" ht="20.100000000000001">
      <c r="B22" s="138" t="s">
        <v>249</v>
      </c>
      <c r="C22" s="182">
        <f>(C21+(C20*10^5))/10^5</f>
        <v>4.747472862450266</v>
      </c>
      <c r="D22" s="181"/>
      <c r="E22" s="183">
        <f>((E20*100000)+E21)/10^5</f>
        <v>2.7881103932568436</v>
      </c>
      <c r="F22" s="183">
        <f>((F20*100000)+F21)/10^5</f>
        <v>3.366964298278623</v>
      </c>
      <c r="G22" s="184"/>
      <c r="H22" s="183">
        <f>((H20*100000)+H21)/10^5</f>
        <v>3.4510465653708455</v>
      </c>
    </row>
    <row r="23" spans="1:8">
      <c r="B23" s="124"/>
      <c r="C23" s="124"/>
      <c r="D23" s="124"/>
      <c r="E23" s="237"/>
      <c r="F23" s="237"/>
      <c r="G23" s="237"/>
    </row>
    <row r="24" spans="1:8">
      <c r="B24" s="124"/>
      <c r="C24" s="124"/>
      <c r="D24" s="124"/>
      <c r="E24" s="201"/>
      <c r="F24" s="201"/>
      <c r="G24" s="201"/>
    </row>
    <row r="25" spans="1:8">
      <c r="B25" s="124"/>
      <c r="C25" s="124"/>
      <c r="D25" s="124"/>
      <c r="F25" s="201"/>
      <c r="G25" s="201"/>
    </row>
    <row r="26" spans="1:8">
      <c r="B26" s="124"/>
      <c r="C26" s="124"/>
      <c r="D26" s="124"/>
      <c r="E26" s="201"/>
      <c r="F26" s="201"/>
      <c r="G26" s="201"/>
    </row>
    <row r="27" spans="1:8">
      <c r="B27" s="118"/>
      <c r="C27" s="118"/>
      <c r="D27" s="118"/>
      <c r="E27" s="123"/>
      <c r="F27" s="123"/>
      <c r="G27" s="123"/>
    </row>
    <row r="28" spans="1:8">
      <c r="B28" s="238"/>
      <c r="C28" s="238"/>
      <c r="D28" s="238"/>
      <c r="E28" s="237"/>
      <c r="F28" s="237"/>
      <c r="G28" s="237"/>
    </row>
    <row r="29" spans="1:8">
      <c r="B29" s="124"/>
      <c r="C29" s="124"/>
      <c r="D29" s="124"/>
      <c r="E29" s="123"/>
      <c r="F29" s="123"/>
      <c r="G29" s="123"/>
    </row>
    <row r="30" spans="1:8">
      <c r="B30" s="124"/>
      <c r="C30" s="124"/>
      <c r="D30" s="124"/>
      <c r="E30" s="123"/>
      <c r="F30" s="123"/>
      <c r="G30" s="123"/>
    </row>
    <row r="31" spans="1:8">
      <c r="B31" s="124"/>
      <c r="C31" s="124"/>
      <c r="D31" s="124"/>
      <c r="E31" s="123"/>
      <c r="F31" s="123"/>
      <c r="G31" s="123"/>
    </row>
    <row r="32" spans="1:8">
      <c r="B32" s="124"/>
      <c r="C32" s="124"/>
      <c r="D32" s="124"/>
      <c r="E32" s="125"/>
      <c r="F32" s="125"/>
      <c r="G32" s="125"/>
    </row>
    <row r="33" spans="2:7">
      <c r="B33" s="124"/>
      <c r="C33" s="124"/>
      <c r="D33" s="124"/>
      <c r="E33" s="125"/>
      <c r="F33" s="125"/>
      <c r="G33" s="125"/>
    </row>
    <row r="34" spans="2:7">
      <c r="B34" s="124"/>
      <c r="C34" s="124"/>
      <c r="D34" s="124"/>
      <c r="E34" s="125"/>
      <c r="F34" s="125"/>
      <c r="G34" s="125"/>
    </row>
    <row r="35" spans="2:7">
      <c r="B35" s="124"/>
      <c r="C35" s="124"/>
      <c r="D35" s="124"/>
      <c r="E35" s="237"/>
      <c r="F35" s="237"/>
      <c r="G35" s="237"/>
    </row>
    <row r="36" spans="2:7">
      <c r="B36" s="126"/>
      <c r="C36" s="126"/>
      <c r="D36" s="126"/>
      <c r="E36" s="126"/>
      <c r="F36" s="126"/>
      <c r="G36" s="126"/>
    </row>
    <row r="37" spans="2:7">
      <c r="B37" s="238"/>
      <c r="C37" s="238"/>
      <c r="D37" s="238"/>
      <c r="E37" s="238"/>
      <c r="F37" s="238"/>
      <c r="G37" s="238"/>
    </row>
    <row r="38" spans="2:7">
      <c r="B38" s="124"/>
      <c r="C38" s="124"/>
      <c r="D38" s="124"/>
      <c r="E38" s="124"/>
      <c r="F38" s="124"/>
      <c r="G38" s="124"/>
    </row>
    <row r="39" spans="2:7">
      <c r="B39" s="127"/>
      <c r="C39" s="127"/>
      <c r="D39" s="127"/>
      <c r="E39" s="127"/>
      <c r="F39" s="127"/>
      <c r="G39" s="127"/>
    </row>
    <row r="40" spans="2:7">
      <c r="B40" s="127"/>
      <c r="C40" s="127"/>
      <c r="D40" s="127"/>
      <c r="E40" s="127"/>
      <c r="F40" s="127"/>
      <c r="G40" s="127"/>
    </row>
    <row r="41" spans="2:7">
      <c r="B41" s="124"/>
      <c r="C41" s="124"/>
      <c r="D41" s="124"/>
      <c r="E41" s="124"/>
      <c r="F41" s="124"/>
      <c r="G41" s="128"/>
    </row>
    <row r="42" spans="2:7">
      <c r="B42" s="124"/>
      <c r="C42" s="124"/>
      <c r="D42" s="124"/>
      <c r="E42" s="124"/>
      <c r="F42" s="124"/>
      <c r="G42" s="128"/>
    </row>
    <row r="43" spans="2:7">
      <c r="B43" s="124"/>
      <c r="C43" s="124"/>
      <c r="D43" s="124"/>
      <c r="E43" s="237"/>
      <c r="F43" s="237"/>
      <c r="G43" s="128"/>
    </row>
    <row r="44" spans="2:7">
      <c r="B44" s="124"/>
      <c r="C44" s="124"/>
      <c r="D44" s="124"/>
      <c r="E44" s="237"/>
      <c r="F44" s="237"/>
      <c r="G44" s="128"/>
    </row>
    <row r="45" spans="2:7">
      <c r="B45" s="124"/>
      <c r="C45" s="124"/>
      <c r="D45" s="124"/>
      <c r="E45" s="237"/>
      <c r="F45" s="237"/>
      <c r="G45" s="128"/>
    </row>
    <row r="46" spans="2:7">
      <c r="B46" s="124"/>
      <c r="C46" s="124"/>
      <c r="D46" s="124"/>
      <c r="E46" s="237"/>
      <c r="F46" s="237"/>
      <c r="G46" s="128"/>
    </row>
    <row r="47" spans="2:7">
      <c r="B47" s="126"/>
      <c r="C47" s="126"/>
      <c r="D47" s="126"/>
      <c r="E47" s="126"/>
      <c r="F47" s="126"/>
      <c r="G47" s="126"/>
    </row>
    <row r="48" spans="2:7">
      <c r="B48" s="126"/>
      <c r="C48" s="126"/>
      <c r="D48" s="126"/>
      <c r="E48" s="126"/>
      <c r="F48" s="126"/>
      <c r="G48" s="126"/>
    </row>
    <row r="49" spans="2:7">
      <c r="B49" s="126"/>
      <c r="C49" s="126"/>
      <c r="D49" s="126"/>
      <c r="E49" s="126"/>
      <c r="F49" s="126"/>
      <c r="G49" s="126"/>
    </row>
  </sheetData>
  <mergeCells count="8">
    <mergeCell ref="E44:F44"/>
    <mergeCell ref="E45:F45"/>
    <mergeCell ref="E46:F46"/>
    <mergeCell ref="E23:G23"/>
    <mergeCell ref="B28:G28"/>
    <mergeCell ref="E35:G35"/>
    <mergeCell ref="B37:G37"/>
    <mergeCell ref="E43:F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51"/>
  <sheetViews>
    <sheetView zoomScale="92" workbookViewId="0">
      <selection activeCell="M63" sqref="M63"/>
    </sheetView>
  </sheetViews>
  <sheetFormatPr defaultColWidth="8.875" defaultRowHeight="15.95"/>
  <cols>
    <col min="1" max="2" width="8.875" style="1"/>
    <col min="3" max="3" width="15.375" style="1" customWidth="1"/>
    <col min="4" max="4" width="11.125" style="1" bestFit="1" customWidth="1"/>
    <col min="5" max="5" width="16" style="1" customWidth="1"/>
    <col min="6" max="6" width="14" style="1" customWidth="1"/>
    <col min="7" max="7" width="12.5" style="1" customWidth="1"/>
    <col min="8" max="8" width="11" style="1" customWidth="1"/>
    <col min="9" max="9" width="12.5" style="1" customWidth="1"/>
    <col min="10" max="10" width="11.875" style="1" customWidth="1"/>
    <col min="11" max="11" width="14.625" style="1" customWidth="1"/>
    <col min="12" max="12" width="13" style="1" customWidth="1"/>
    <col min="13" max="13" width="14" style="1" customWidth="1"/>
    <col min="14" max="14" width="11.125" style="1" bestFit="1" customWidth="1"/>
    <col min="15" max="15" width="11" style="1" customWidth="1"/>
    <col min="16" max="16" width="11.625" style="1" customWidth="1"/>
    <col min="17" max="16384" width="8.875" style="1"/>
  </cols>
  <sheetData>
    <row r="1" spans="2:16">
      <c r="B1" s="161"/>
      <c r="C1" s="161"/>
      <c r="D1" s="162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2:16" ht="26.1">
      <c r="B2" s="239" t="s">
        <v>250</v>
      </c>
      <c r="C2" s="239"/>
      <c r="D2" s="239"/>
      <c r="E2" s="239"/>
      <c r="F2" s="239"/>
      <c r="G2" s="239"/>
      <c r="H2" s="161"/>
      <c r="J2" s="239" t="s">
        <v>251</v>
      </c>
      <c r="K2" s="239"/>
      <c r="L2" s="239"/>
      <c r="M2" s="239"/>
      <c r="N2" s="239"/>
      <c r="O2" s="239"/>
    </row>
    <row r="3" spans="2:16">
      <c r="C3" s="163"/>
      <c r="D3" s="163"/>
      <c r="E3" s="163"/>
      <c r="F3" s="163"/>
      <c r="G3" s="163"/>
      <c r="H3" s="163"/>
    </row>
    <row r="4" spans="2:16" ht="32.1" customHeight="1">
      <c r="B4" s="165" t="str">
        <f>'Propel 470MEV'!P7</f>
        <v>Year</v>
      </c>
      <c r="C4" s="166" t="str">
        <f>'Propel 470MEV'!Q7</f>
        <v>Operation Saving</v>
      </c>
      <c r="D4" s="166" t="str">
        <f>'Propel 470MEV'!R7</f>
        <v>Depreciation Saving</v>
      </c>
      <c r="E4" s="166" t="str">
        <f>'Propel 470MEV'!S7</f>
        <v>Additional Salvage value</v>
      </c>
      <c r="F4" s="166" t="str">
        <f>'Propel 470MEV'!T7</f>
        <v>Battery Replacement (Optional)</v>
      </c>
      <c r="G4" s="166" t="str">
        <f>'Propel 470MEV'!U7</f>
        <v>Total Saving/Year</v>
      </c>
      <c r="H4" s="166" t="str">
        <f>'Propel 470MEV'!V7</f>
        <v>Cumalative Saving(in lakh)</v>
      </c>
      <c r="J4" s="63" t="str">
        <f>'TATA PRIMA E.28k'!Q9</f>
        <v>Year</v>
      </c>
      <c r="K4" s="64" t="str">
        <f>'TATA PRIMA E.28k'!R9</f>
        <v>Operation Saving</v>
      </c>
      <c r="L4" s="64" t="str">
        <f>'TATA PRIMA E.28k'!S9</f>
        <v>Depreciation Saving</v>
      </c>
      <c r="M4" s="64" t="str">
        <f>'TATA PRIMA E.28k'!T9</f>
        <v>Additional Salvage value</v>
      </c>
      <c r="N4" s="64" t="str">
        <f>'TATA PRIMA E.28k'!U9</f>
        <v>Battery Replacement (Optional)</v>
      </c>
      <c r="O4" s="64" t="str">
        <f>'TATA PRIMA E.28k'!V9</f>
        <v>Total Saving/Year</v>
      </c>
      <c r="P4" s="64" t="str">
        <f>'TATA PRIMA E.28k'!W9</f>
        <v>Cumalative Saving(in lakh)</v>
      </c>
    </row>
    <row r="5" spans="2:16">
      <c r="B5" s="5">
        <f>'Propel 470MEV'!P8</f>
        <v>1</v>
      </c>
      <c r="C5" s="65">
        <f>'Propel 470MEV'!Q8</f>
        <v>3311234.9630321069</v>
      </c>
      <c r="D5" s="62">
        <f>'Propel 470MEV'!R8</f>
        <v>1093636.5</v>
      </c>
      <c r="E5" s="3"/>
      <c r="F5" s="94"/>
      <c r="G5" s="66">
        <f>'Propel 470MEV'!U8</f>
        <v>4404871.4630321069</v>
      </c>
      <c r="H5" s="67">
        <f>'Propel 470MEV'!V8</f>
        <v>44.048714630321072</v>
      </c>
      <c r="J5" s="5">
        <f>'TATA PRIMA E.28k'!Q10</f>
        <v>1</v>
      </c>
      <c r="K5" s="65">
        <f>'TATA PRIMA E.28k'!R10</f>
        <v>1380173.9370113451</v>
      </c>
      <c r="L5" s="62">
        <f>'TATA PRIMA E.28k'!S10</f>
        <v>1043296.4999999999</v>
      </c>
      <c r="M5" s="3"/>
      <c r="N5" s="94"/>
      <c r="O5" s="66">
        <f>'TATA PRIMA E.28k'!V10</f>
        <v>2423470.4370113448</v>
      </c>
      <c r="P5" s="67">
        <f>'TATA PRIMA E.28k'!W10</f>
        <v>24.234704370113448</v>
      </c>
    </row>
    <row r="6" spans="2:16">
      <c r="B6" s="5">
        <f>'Propel 470MEV'!P9</f>
        <v>2</v>
      </c>
      <c r="C6" s="65">
        <f>'Propel 470MEV'!Q9</f>
        <v>3311234.9630321069</v>
      </c>
      <c r="D6" s="62">
        <f>'Propel 470MEV'!R9</f>
        <v>583503.52499999991</v>
      </c>
      <c r="E6" s="62"/>
      <c r="F6" s="94"/>
      <c r="G6" s="66">
        <f>'Propel 470MEV'!U9</f>
        <v>3894738.4880321068</v>
      </c>
      <c r="H6" s="67">
        <f>'Propel 470MEV'!V9</f>
        <v>82.996099510642139</v>
      </c>
      <c r="J6" s="5">
        <f>'TATA PRIMA E.28k'!Q11</f>
        <v>2</v>
      </c>
      <c r="K6" s="65">
        <f>'TATA PRIMA E.28k'!R11</f>
        <v>1380173.9370113451</v>
      </c>
      <c r="L6" s="62">
        <f>'TATA PRIMA E.28k'!S11</f>
        <v>574064.77499999991</v>
      </c>
      <c r="M6" s="62"/>
      <c r="N6" s="94"/>
      <c r="O6" s="66">
        <f>'TATA PRIMA E.28k'!V11</f>
        <v>1954238.712011345</v>
      </c>
      <c r="P6" s="67">
        <f>'TATA PRIMA E.28k'!W11</f>
        <v>43.777091490226894</v>
      </c>
    </row>
    <row r="7" spans="2:16">
      <c r="B7" s="5">
        <f>'Propel 470MEV'!P10</f>
        <v>3</v>
      </c>
      <c r="C7" s="65">
        <f>'Propel 470MEV'!Q10</f>
        <v>3311234.9630321069</v>
      </c>
      <c r="D7" s="62">
        <f>'Propel 470MEV'!R10</f>
        <v>288325.49624999997</v>
      </c>
      <c r="E7" s="62"/>
      <c r="F7" s="94"/>
      <c r="G7" s="66">
        <f>'Propel 470MEV'!U10</f>
        <v>3599560.4592821067</v>
      </c>
      <c r="H7" s="67">
        <f>'Propel 470MEV'!V10</f>
        <v>118.99170410346321</v>
      </c>
      <c r="J7" s="5">
        <f>'TATA PRIMA E.28k'!Q12</f>
        <v>3</v>
      </c>
      <c r="K7" s="65">
        <f>'TATA PRIMA E.28k'!R12</f>
        <v>1380173.9370113451</v>
      </c>
      <c r="L7" s="62">
        <f>'TATA PRIMA E.28k'!S12</f>
        <v>300312.70874999999</v>
      </c>
      <c r="M7" s="62"/>
      <c r="N7" s="94"/>
      <c r="O7" s="66">
        <f>'TATA PRIMA E.28k'!V12</f>
        <v>1680486.645761345</v>
      </c>
      <c r="P7" s="67">
        <f>'TATA PRIMA E.28k'!W12</f>
        <v>60.581957947840344</v>
      </c>
    </row>
    <row r="8" spans="2:16">
      <c r="B8" s="5">
        <f>'Propel 470MEV'!P11</f>
        <v>4</v>
      </c>
      <c r="C8" s="65">
        <f>'Propel 470MEV'!Q11</f>
        <v>3311234.9630321069</v>
      </c>
      <c r="D8" s="62">
        <f>'Propel 470MEV'!R11</f>
        <v>49883.321812499998</v>
      </c>
      <c r="E8" s="62"/>
      <c r="F8" s="94"/>
      <c r="G8" s="66">
        <f>'Propel 470MEV'!U11</f>
        <v>3361118.2848446066</v>
      </c>
      <c r="H8" s="67">
        <f>'Propel 470MEV'!V11</f>
        <v>152.60288695190928</v>
      </c>
      <c r="J8" s="5">
        <f>'TATA PRIMA E.28k'!Q13</f>
        <v>4</v>
      </c>
      <c r="K8" s="65">
        <f>'TATA PRIMA E.28k'!R13</f>
        <v>1380173.9370113451</v>
      </c>
      <c r="L8" s="62">
        <f>'TATA PRIMA E.28k'!S13</f>
        <v>78881.993437499987</v>
      </c>
      <c r="M8" s="62"/>
      <c r="N8" s="94"/>
      <c r="O8" s="66">
        <f>'TATA PRIMA E.28k'!V13</f>
        <v>1459055.930448845</v>
      </c>
      <c r="P8" s="67">
        <f>'TATA PRIMA E.28k'!W13</f>
        <v>75.172517252328788</v>
      </c>
    </row>
    <row r="9" spans="2:16">
      <c r="B9" s="5">
        <f>'Propel 470MEV'!P12</f>
        <v>5</v>
      </c>
      <c r="C9" s="65">
        <f>'Propel 470MEV'!Q12</f>
        <v>3311234.9630321069</v>
      </c>
      <c r="D9" s="62">
        <f>'Propel 470MEV'!R12</f>
        <v>0</v>
      </c>
      <c r="E9" s="62">
        <f>'Propel 470MEV'!S12</f>
        <v>907500.00000000012</v>
      </c>
      <c r="F9" s="94"/>
      <c r="G9" s="66">
        <f>'Propel 470MEV'!U12</f>
        <v>4218734.9630321069</v>
      </c>
      <c r="H9" s="67">
        <f>'Propel 470MEV'!V12</f>
        <v>194.79023658223036</v>
      </c>
      <c r="J9" s="5">
        <f>'TATA PRIMA E.28k'!Q14</f>
        <v>5</v>
      </c>
      <c r="K9" s="65">
        <f>'TATA PRIMA E.28k'!R14</f>
        <v>1380173.9370113451</v>
      </c>
      <c r="L9" s="62">
        <f>'TATA PRIMA E.28k'!S14</f>
        <v>0</v>
      </c>
      <c r="M9" s="62">
        <f>'TATA PRIMA E.28k'!T14</f>
        <v>1038749.9999999999</v>
      </c>
      <c r="N9" s="94"/>
      <c r="O9" s="66">
        <f>'TATA PRIMA E.28k'!V14</f>
        <v>2418923.9370113448</v>
      </c>
      <c r="P9" s="67">
        <f>'TATA PRIMA E.28k'!W14</f>
        <v>99.361756622442243</v>
      </c>
    </row>
    <row r="10" spans="2:16">
      <c r="B10" s="5">
        <f>'Propel 470MEV'!P13</f>
        <v>6</v>
      </c>
      <c r="C10" s="65">
        <f>'Propel 470MEV'!Q13</f>
        <v>3311234.9630321069</v>
      </c>
      <c r="D10" s="62" t="s">
        <v>252</v>
      </c>
      <c r="E10" s="62"/>
      <c r="F10" s="94">
        <f>'Propel 470MEV'!T13</f>
        <v>-4500000</v>
      </c>
      <c r="G10" s="66">
        <f>'Propel 470MEV'!U13</f>
        <v>-1188765.0369678931</v>
      </c>
      <c r="H10" s="67">
        <f>'Propel 470MEV'!V13</f>
        <v>182.90258621255143</v>
      </c>
      <c r="J10" s="5">
        <f>'TATA PRIMA E.28k'!Q15</f>
        <v>6</v>
      </c>
      <c r="K10" s="65">
        <f>'TATA PRIMA E.28k'!R15</f>
        <v>1380173.9370113451</v>
      </c>
      <c r="L10" s="62"/>
      <c r="M10" s="62"/>
      <c r="N10" s="94">
        <f>'TATA PRIMA E.28k'!U15</f>
        <v>-4500000</v>
      </c>
      <c r="O10" s="66">
        <f>'TATA PRIMA E.28k'!V15</f>
        <v>-3119826.0629886547</v>
      </c>
      <c r="P10" s="67">
        <f>'TATA PRIMA E.28k'!W15</f>
        <v>68.163495992555696</v>
      </c>
    </row>
    <row r="11" spans="2:16">
      <c r="B11" s="5">
        <f>'Propel 470MEV'!P14</f>
        <v>7</v>
      </c>
      <c r="C11" s="65">
        <f>'Propel 470MEV'!Q14</f>
        <v>3311234.9630321069</v>
      </c>
      <c r="D11" s="62" t="s">
        <v>252</v>
      </c>
      <c r="E11" s="62"/>
      <c r="F11" s="94"/>
      <c r="G11" s="66">
        <f>'Propel 470MEV'!U14</f>
        <v>3311234.9630321069</v>
      </c>
      <c r="H11" s="67">
        <f>'Propel 470MEV'!V14</f>
        <v>216.01493584287249</v>
      </c>
      <c r="J11" s="5">
        <f>'TATA PRIMA E.28k'!Q16</f>
        <v>7</v>
      </c>
      <c r="K11" s="65">
        <f>'TATA PRIMA E.28k'!R16</f>
        <v>1380173.9370113451</v>
      </c>
      <c r="L11" s="62"/>
      <c r="M11" s="62"/>
      <c r="N11" s="94"/>
      <c r="O11" s="66">
        <f>'TATA PRIMA E.28k'!V16</f>
        <v>1380173.9370113451</v>
      </c>
      <c r="P11" s="67">
        <f>'TATA PRIMA E.28k'!W16</f>
        <v>81.965235362669148</v>
      </c>
    </row>
    <row r="12" spans="2:16">
      <c r="B12" s="5">
        <f>'Propel 470MEV'!P15</f>
        <v>8</v>
      </c>
      <c r="C12" s="65">
        <f>'Propel 470MEV'!Q15</f>
        <v>3311234.9630321069</v>
      </c>
      <c r="D12" s="62" t="s">
        <v>252</v>
      </c>
      <c r="E12" s="62"/>
      <c r="F12" s="94"/>
      <c r="G12" s="66">
        <f>'Propel 470MEV'!U15</f>
        <v>3311234.9630321069</v>
      </c>
      <c r="H12" s="67">
        <f>'Propel 470MEV'!V15</f>
        <v>249.12728547319355</v>
      </c>
      <c r="J12" s="5">
        <f>'TATA PRIMA E.28k'!Q17</f>
        <v>8</v>
      </c>
      <c r="K12" s="65">
        <f>'TATA PRIMA E.28k'!R17</f>
        <v>1380173.9370113451</v>
      </c>
      <c r="L12" s="62"/>
      <c r="M12" s="62"/>
      <c r="N12" s="94"/>
      <c r="O12" s="66">
        <f>'TATA PRIMA E.28k'!V17</f>
        <v>1380173.9370113451</v>
      </c>
      <c r="P12" s="67">
        <f>'TATA PRIMA E.28k'!W17</f>
        <v>95.7669747327826</v>
      </c>
    </row>
    <row r="13" spans="2:16">
      <c r="B13" s="5">
        <f>'Propel 470MEV'!P16</f>
        <v>9</v>
      </c>
      <c r="C13" s="65">
        <f>'Propel 470MEV'!Q16</f>
        <v>3311234.9630321069</v>
      </c>
      <c r="D13" s="62" t="s">
        <v>252</v>
      </c>
      <c r="E13" s="62"/>
      <c r="F13" s="94"/>
      <c r="G13" s="66">
        <f>'Propel 470MEV'!U16</f>
        <v>3311234.9630321069</v>
      </c>
      <c r="H13" s="67">
        <f>'Propel 470MEV'!V16</f>
        <v>282.23963510351462</v>
      </c>
      <c r="J13" s="5">
        <f>'TATA PRIMA E.28k'!Q18</f>
        <v>9</v>
      </c>
      <c r="K13" s="65">
        <f>'TATA PRIMA E.28k'!R18</f>
        <v>1380173.9370113451</v>
      </c>
      <c r="L13" s="62"/>
      <c r="M13" s="62"/>
      <c r="N13" s="94"/>
      <c r="O13" s="66">
        <f>'TATA PRIMA E.28k'!V18</f>
        <v>1380173.9370113451</v>
      </c>
      <c r="P13" s="67">
        <f>'TATA PRIMA E.28k'!W18</f>
        <v>109.56871410289605</v>
      </c>
    </row>
    <row r="14" spans="2:16">
      <c r="B14" s="5">
        <f>'Propel 470MEV'!P17</f>
        <v>10</v>
      </c>
      <c r="C14" s="65">
        <f>'Propel 470MEV'!Q17</f>
        <v>3311234.9630321069</v>
      </c>
      <c r="D14" s="62" t="s">
        <v>252</v>
      </c>
      <c r="E14" s="62"/>
      <c r="F14" s="94"/>
      <c r="G14" s="66">
        <f>'Propel 470MEV'!U17</f>
        <v>3311234.9630321069</v>
      </c>
      <c r="H14" s="67">
        <f>'Propel 470MEV'!V17</f>
        <v>315.35198473383571</v>
      </c>
      <c r="J14" s="5">
        <f>'TATA PRIMA E.28k'!Q19</f>
        <v>10</v>
      </c>
      <c r="K14" s="65">
        <f>'TATA PRIMA E.28k'!R19</f>
        <v>1380173.9370113451</v>
      </c>
      <c r="L14" s="62"/>
      <c r="M14" s="62"/>
      <c r="N14" s="94"/>
      <c r="O14" s="66">
        <f>'TATA PRIMA E.28k'!V19</f>
        <v>1380173.9370113451</v>
      </c>
      <c r="P14" s="67">
        <f>'TATA PRIMA E.28k'!W19</f>
        <v>123.3704534730095</v>
      </c>
    </row>
    <row r="17" spans="2:14">
      <c r="B17" s="145" t="str">
        <f>'Propel 470MEV'!P20</f>
        <v>Scenario:</v>
      </c>
      <c r="C17" s="146" t="str">
        <f>'Propel 470MEV'!Q20</f>
        <v>Inc. Depreciation</v>
      </c>
      <c r="D17" s="146" t="str">
        <f>'Propel 470MEV'!R20</f>
        <v>BASIC</v>
      </c>
      <c r="E17" s="145" t="str">
        <f>'Propel 470MEV'!S20</f>
        <v>Payback Period:</v>
      </c>
      <c r="F17" s="147" t="str">
        <f>'Propel 470MEV'!T20</f>
        <v>1.4 Years</v>
      </c>
      <c r="G17" s="163"/>
      <c r="J17" s="145" t="str">
        <f>'TATA PRIMA E.28k'!Q22</f>
        <v>Scenario:</v>
      </c>
      <c r="K17" s="146" t="str">
        <f>'TATA PRIMA E.28k'!R22</f>
        <v>Inc. Depreciation</v>
      </c>
      <c r="L17" s="146" t="str">
        <f>'TATA PRIMA E.28k'!S22</f>
        <v>BASIC</v>
      </c>
      <c r="M17" s="145" t="str">
        <f>'TATA PRIMA E.28k'!T22</f>
        <v>Payback Period:</v>
      </c>
      <c r="N17" s="147" t="str">
        <f>'TATA PRIMA E.28k'!U22</f>
        <v>2.9 Years</v>
      </c>
    </row>
    <row r="18" spans="2:14">
      <c r="B18" s="164"/>
      <c r="C18" s="164"/>
      <c r="D18" s="164"/>
      <c r="E18" s="164"/>
      <c r="F18" s="164"/>
      <c r="G18" s="164"/>
    </row>
    <row r="19" spans="2:14">
      <c r="B19" s="163"/>
      <c r="C19" s="163"/>
      <c r="D19" s="163"/>
      <c r="E19" s="163"/>
      <c r="F19" s="163"/>
      <c r="G19" s="163"/>
    </row>
    <row r="20" spans="2:14">
      <c r="B20" s="163"/>
      <c r="C20" s="163"/>
      <c r="D20" s="163"/>
      <c r="E20" s="163"/>
      <c r="F20" s="163"/>
      <c r="G20" s="163"/>
    </row>
    <row r="21" spans="2:14">
      <c r="B21" s="163"/>
      <c r="C21" s="163"/>
      <c r="D21" s="163"/>
      <c r="E21" s="163"/>
      <c r="F21" s="163"/>
      <c r="G21" s="163"/>
    </row>
    <row r="22" spans="2:14">
      <c r="B22" s="163"/>
      <c r="C22" s="163"/>
      <c r="D22" s="163"/>
      <c r="E22" s="163"/>
      <c r="F22" s="163"/>
      <c r="G22" s="163"/>
    </row>
    <row r="23" spans="2:14">
      <c r="B23" s="163"/>
      <c r="C23" s="163"/>
      <c r="D23" s="163"/>
      <c r="E23" s="163"/>
      <c r="F23" s="163"/>
      <c r="G23" s="163"/>
    </row>
    <row r="24" spans="2:14">
      <c r="B24" s="163"/>
      <c r="C24" s="163"/>
      <c r="D24" s="163"/>
      <c r="E24" s="163"/>
      <c r="F24" s="163"/>
      <c r="G24" s="163"/>
    </row>
    <row r="25" spans="2:14">
      <c r="B25" s="163"/>
      <c r="C25" s="163"/>
      <c r="D25" s="163"/>
      <c r="E25" s="163"/>
      <c r="F25" s="163"/>
      <c r="G25" s="163"/>
    </row>
    <row r="26" spans="2:14">
      <c r="B26" s="163"/>
      <c r="C26" s="163"/>
      <c r="D26" s="163"/>
      <c r="E26" s="163"/>
      <c r="F26" s="163"/>
      <c r="G26" s="163"/>
    </row>
    <row r="27" spans="2:14">
      <c r="B27" s="163"/>
      <c r="C27" s="163"/>
      <c r="D27" s="163"/>
      <c r="E27" s="163"/>
      <c r="F27" s="163"/>
      <c r="G27" s="163"/>
    </row>
    <row r="36" spans="5:11" ht="26.1">
      <c r="F36" s="239" t="s">
        <v>253</v>
      </c>
      <c r="G36" s="239"/>
      <c r="H36" s="239"/>
      <c r="I36" s="239"/>
      <c r="J36" s="239"/>
      <c r="K36" s="239"/>
    </row>
    <row r="38" spans="5:11" ht="51">
      <c r="E38" s="165" t="str">
        <f>OLECTRA!O5</f>
        <v>Year</v>
      </c>
      <c r="F38" s="166" t="str">
        <f>OLECTRA!P5</f>
        <v>Operation Saving</v>
      </c>
      <c r="G38" s="166" t="str">
        <f>OLECTRA!Q5</f>
        <v>Depreciation Saving</v>
      </c>
      <c r="H38" s="166" t="str">
        <f>OLECTRA!R5</f>
        <v>Additional Salvage value</v>
      </c>
      <c r="I38" s="166" t="str">
        <f>OLECTRA!S5</f>
        <v>Battery Replacement (Optional)</v>
      </c>
      <c r="J38" s="166" t="str">
        <f>OLECTRA!T5</f>
        <v>Total Saving/Year</v>
      </c>
      <c r="K38" s="166" t="str">
        <f>OLECTRA!U5</f>
        <v>Cumalative Saving(in lakh)</v>
      </c>
    </row>
    <row r="39" spans="5:11">
      <c r="E39" s="5">
        <f>OLECTRA!O6</f>
        <v>1</v>
      </c>
      <c r="F39" s="65">
        <f>OLECTRA!P6</f>
        <v>2052669.5303175375</v>
      </c>
      <c r="G39" s="62">
        <f>OLECTRA!Q6</f>
        <v>1206901.5</v>
      </c>
      <c r="H39" s="3"/>
      <c r="I39" s="94"/>
      <c r="J39" s="66">
        <f>OLECTRA!T6</f>
        <v>3259571.0303175375</v>
      </c>
      <c r="K39" s="67">
        <f>OLECTRA!U6</f>
        <v>32.595710303175373</v>
      </c>
    </row>
    <row r="40" spans="5:11">
      <c r="E40" s="5">
        <f>OLECTRA!O7</f>
        <v>2</v>
      </c>
      <c r="F40" s="65">
        <f>OLECTRA!P7</f>
        <v>2052669.5303175375</v>
      </c>
      <c r="G40" s="62">
        <f>OLECTRA!Q7</f>
        <v>661845.14999999991</v>
      </c>
      <c r="H40" s="62"/>
      <c r="I40" s="94"/>
      <c r="J40" s="66">
        <f>OLECTRA!T7</f>
        <v>2714514.6803175374</v>
      </c>
      <c r="K40" s="67">
        <f>OLECTRA!U7</f>
        <v>59.740857106350745</v>
      </c>
    </row>
    <row r="41" spans="5:11">
      <c r="E41" s="5">
        <f>OLECTRA!O8</f>
        <v>3</v>
      </c>
      <c r="F41" s="65">
        <f>OLECTRA!P8</f>
        <v>2052669.5303175375</v>
      </c>
      <c r="G41" s="62">
        <f>OLECTRA!Q8</f>
        <v>344155.70249999996</v>
      </c>
      <c r="H41" s="62"/>
      <c r="I41" s="94"/>
      <c r="J41" s="66">
        <f>OLECTRA!T8</f>
        <v>2396825.2328175376</v>
      </c>
      <c r="K41" s="67">
        <f>OLECTRA!U8</f>
        <v>83.709109434526113</v>
      </c>
    </row>
    <row r="42" spans="5:11">
      <c r="E42" s="5">
        <f>OLECTRA!O9</f>
        <v>4</v>
      </c>
      <c r="F42" s="65">
        <f>OLECTRA!P9</f>
        <v>2052669.5303175375</v>
      </c>
      <c r="G42" s="62">
        <f>OLECTRA!Q9</f>
        <v>87232.738724999988</v>
      </c>
      <c r="H42" s="62"/>
      <c r="I42" s="94"/>
      <c r="J42" s="66">
        <f>OLECTRA!T9</f>
        <v>2139902.2690425375</v>
      </c>
      <c r="K42" s="67">
        <f>OLECTRA!U9</f>
        <v>105.10813212495148</v>
      </c>
    </row>
    <row r="43" spans="5:11">
      <c r="E43" s="5">
        <f>OLECTRA!O10</f>
        <v>5</v>
      </c>
      <c r="F43" s="65">
        <f>OLECTRA!P10</f>
        <v>2052669.5303175375</v>
      </c>
      <c r="G43" s="62">
        <f>OLECTRA!Q10</f>
        <v>0</v>
      </c>
      <c r="H43" s="62">
        <f>OLECTRA!R10</f>
        <v>1179374.9999999998</v>
      </c>
      <c r="I43" s="94"/>
      <c r="J43" s="66">
        <f>OLECTRA!T10</f>
        <v>3232044.5303175375</v>
      </c>
      <c r="K43" s="67">
        <f>OLECTRA!U10</f>
        <v>137.42857742812686</v>
      </c>
    </row>
    <row r="44" spans="5:11">
      <c r="E44" s="5">
        <f>OLECTRA!O11</f>
        <v>6</v>
      </c>
      <c r="F44" s="65">
        <f>OLECTRA!P11</f>
        <v>2052669.5303175375</v>
      </c>
      <c r="G44" s="62"/>
      <c r="H44" s="62"/>
      <c r="I44" s="94">
        <f>OLECTRA!S11</f>
        <v>-4500000</v>
      </c>
      <c r="J44" s="66">
        <f>OLECTRA!T11</f>
        <v>-2447330.4696824625</v>
      </c>
      <c r="K44" s="67">
        <f>OLECTRA!U11</f>
        <v>112.95527273130223</v>
      </c>
    </row>
    <row r="45" spans="5:11">
      <c r="E45" s="5">
        <f>OLECTRA!O12</f>
        <v>7</v>
      </c>
      <c r="F45" s="65">
        <f>OLECTRA!P12</f>
        <v>2052669.5303175375</v>
      </c>
      <c r="G45" s="62"/>
      <c r="H45" s="62"/>
      <c r="I45" s="94"/>
      <c r="J45" s="66">
        <f>OLECTRA!T12</f>
        <v>2052669.5303175375</v>
      </c>
      <c r="K45" s="67">
        <f>OLECTRA!U12</f>
        <v>133.4819680344776</v>
      </c>
    </row>
    <row r="46" spans="5:11">
      <c r="E46" s="5">
        <f>OLECTRA!O13</f>
        <v>8</v>
      </c>
      <c r="F46" s="65">
        <f>OLECTRA!P13</f>
        <v>2052669.5303175375</v>
      </c>
      <c r="G46" s="62"/>
      <c r="H46" s="62"/>
      <c r="I46" s="94"/>
      <c r="J46" s="66">
        <f>OLECTRA!T13</f>
        <v>2052669.5303175375</v>
      </c>
      <c r="K46" s="67">
        <f>OLECTRA!U13</f>
        <v>154.00866333765299</v>
      </c>
    </row>
    <row r="47" spans="5:11">
      <c r="E47" s="5">
        <f>OLECTRA!O14</f>
        <v>9</v>
      </c>
      <c r="F47" s="65">
        <f>OLECTRA!P14</f>
        <v>2052669.5303175375</v>
      </c>
      <c r="G47" s="62"/>
      <c r="H47" s="62"/>
      <c r="I47" s="94"/>
      <c r="J47" s="66">
        <f>OLECTRA!T14</f>
        <v>2052669.5303175375</v>
      </c>
      <c r="K47" s="67">
        <f>OLECTRA!U14</f>
        <v>174.53535864082838</v>
      </c>
    </row>
    <row r="48" spans="5:11">
      <c r="E48" s="5">
        <f>OLECTRA!O15</f>
        <v>10</v>
      </c>
      <c r="F48" s="65">
        <f>OLECTRA!P15</f>
        <v>2052669.5303175375</v>
      </c>
      <c r="G48" s="62"/>
      <c r="H48" s="62"/>
      <c r="I48" s="94"/>
      <c r="J48" s="66">
        <f>OLECTRA!T15</f>
        <v>2052669.5303175375</v>
      </c>
      <c r="K48" s="67">
        <f>OLECTRA!U15</f>
        <v>195.06205394400376</v>
      </c>
    </row>
    <row r="51" spans="6:10">
      <c r="F51" s="145" t="str">
        <f>OLECTRA!O18</f>
        <v>Scenario:</v>
      </c>
      <c r="G51" s="146" t="str">
        <f>OLECTRA!P18</f>
        <v>Inc. Depreciation</v>
      </c>
      <c r="H51" s="146" t="str">
        <f>OLECTRA!Q18</f>
        <v>BASIC</v>
      </c>
      <c r="I51" s="145" t="str">
        <f>OLECTRA!R18</f>
        <v>Payback Period:</v>
      </c>
      <c r="J51" s="147" t="str">
        <f>OLECTRA!S18</f>
        <v>2.4 Years</v>
      </c>
    </row>
  </sheetData>
  <mergeCells count="3">
    <mergeCell ref="B2:G2"/>
    <mergeCell ref="J2:O2"/>
    <mergeCell ref="F36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G42"/>
  <sheetViews>
    <sheetView zoomScale="125" zoomScaleNormal="100" workbookViewId="0">
      <selection activeCell="C11" sqref="C11:G15"/>
    </sheetView>
  </sheetViews>
  <sheetFormatPr defaultColWidth="11" defaultRowHeight="15.95"/>
  <cols>
    <col min="3" max="3" width="22.625" bestFit="1" customWidth="1"/>
    <col min="4" max="4" width="22.375" bestFit="1" customWidth="1"/>
    <col min="5" max="5" width="25.5" bestFit="1" customWidth="1"/>
    <col min="6" max="6" width="35.5" customWidth="1"/>
    <col min="7" max="7" width="41.625" customWidth="1"/>
  </cols>
  <sheetData>
    <row r="5" spans="3:7">
      <c r="C5" s="194" t="s">
        <v>254</v>
      </c>
      <c r="D5" s="194" t="s">
        <v>255</v>
      </c>
      <c r="E5" s="194" t="s">
        <v>256</v>
      </c>
      <c r="F5" s="194" t="s">
        <v>257</v>
      </c>
      <c r="G5" s="100" t="s">
        <v>258</v>
      </c>
    </row>
    <row r="6" spans="3:7">
      <c r="C6" s="195" t="s">
        <v>259</v>
      </c>
      <c r="D6" s="194" t="s">
        <v>6</v>
      </c>
      <c r="E6" s="194" t="s">
        <v>6</v>
      </c>
      <c r="F6" s="194" t="s">
        <v>6</v>
      </c>
      <c r="G6" s="194" t="s">
        <v>5</v>
      </c>
    </row>
    <row r="7" spans="3:7">
      <c r="C7" s="139" t="s">
        <v>260</v>
      </c>
      <c r="D7" s="6">
        <v>35</v>
      </c>
      <c r="E7">
        <v>30</v>
      </c>
      <c r="F7">
        <v>25</v>
      </c>
      <c r="G7">
        <v>25</v>
      </c>
    </row>
    <row r="8" spans="3:7">
      <c r="C8" s="195" t="s">
        <v>261</v>
      </c>
      <c r="D8" s="197" t="s">
        <v>262</v>
      </c>
      <c r="E8" s="194" t="s">
        <v>263</v>
      </c>
      <c r="F8" s="194" t="s">
        <v>264</v>
      </c>
      <c r="G8" t="s">
        <v>265</v>
      </c>
    </row>
    <row r="9" spans="3:7">
      <c r="C9" s="195" t="s">
        <v>266</v>
      </c>
      <c r="D9" s="194" t="s">
        <v>267</v>
      </c>
      <c r="E9" s="194" t="s">
        <v>268</v>
      </c>
      <c r="F9" s="194" t="s">
        <v>269</v>
      </c>
      <c r="G9" s="194" t="s">
        <v>270</v>
      </c>
    </row>
    <row r="10" spans="3:7">
      <c r="C10" s="195" t="s">
        <v>271</v>
      </c>
      <c r="D10" s="194" t="s">
        <v>272</v>
      </c>
      <c r="E10" s="194" t="s">
        <v>273</v>
      </c>
      <c r="F10" s="194" t="s">
        <v>272</v>
      </c>
      <c r="G10" s="198" t="s">
        <v>274</v>
      </c>
    </row>
    <row r="11" spans="3:7">
      <c r="C11" s="195" t="s">
        <v>275</v>
      </c>
      <c r="D11" s="194" t="s">
        <v>276</v>
      </c>
      <c r="E11" s="194" t="s">
        <v>277</v>
      </c>
      <c r="F11" s="194" t="s">
        <v>278</v>
      </c>
    </row>
    <row r="12" spans="3:7">
      <c r="C12" s="195" t="s">
        <v>279</v>
      </c>
      <c r="D12" s="194" t="s">
        <v>280</v>
      </c>
      <c r="E12" s="194" t="s">
        <v>281</v>
      </c>
      <c r="F12" s="194" t="s">
        <v>282</v>
      </c>
    </row>
    <row r="13" spans="3:7">
      <c r="C13" s="195" t="s">
        <v>283</v>
      </c>
      <c r="D13" s="194" t="s">
        <v>284</v>
      </c>
      <c r="E13" s="194" t="s">
        <v>285</v>
      </c>
      <c r="F13" s="194" t="s">
        <v>286</v>
      </c>
    </row>
    <row r="14" spans="3:7">
      <c r="C14" s="195" t="s">
        <v>173</v>
      </c>
      <c r="D14" s="194" t="s">
        <v>287</v>
      </c>
      <c r="E14" s="194" t="s">
        <v>288</v>
      </c>
      <c r="F14" s="194" t="s">
        <v>289</v>
      </c>
      <c r="G14" s="192" t="s">
        <v>18</v>
      </c>
    </row>
    <row r="15" spans="3:7">
      <c r="C15" s="100" t="s">
        <v>290</v>
      </c>
      <c r="D15">
        <v>7.63</v>
      </c>
      <c r="F15" s="191">
        <v>6.14</v>
      </c>
    </row>
    <row r="16" spans="3:7">
      <c r="C16" s="100"/>
      <c r="F16" s="193"/>
      <c r="G16" s="98"/>
    </row>
    <row r="17" spans="3:6">
      <c r="C17" s="192"/>
    </row>
    <row r="18" spans="3:6">
      <c r="F18" s="191"/>
    </row>
    <row r="32" spans="3:6">
      <c r="C32" s="195"/>
      <c r="D32" s="194"/>
      <c r="E32" s="194"/>
      <c r="F32" s="194"/>
    </row>
    <row r="37" spans="3:6">
      <c r="C37" s="194"/>
      <c r="D37" s="194"/>
      <c r="E37" s="194"/>
      <c r="F37" s="194"/>
    </row>
    <row r="39" spans="3:6">
      <c r="C39" s="194"/>
      <c r="D39" s="194"/>
      <c r="E39" s="194"/>
      <c r="F39" s="194"/>
    </row>
    <row r="40" spans="3:6">
      <c r="C40" s="194"/>
      <c r="D40" s="194"/>
      <c r="E40" s="194"/>
      <c r="F40" s="194"/>
    </row>
    <row r="41" spans="3:6">
      <c r="C41" s="194"/>
      <c r="D41" s="194"/>
      <c r="E41" s="194"/>
      <c r="F41" s="194"/>
    </row>
    <row r="42" spans="3:6">
      <c r="C42" s="194"/>
      <c r="D42" s="194"/>
      <c r="E42" s="194"/>
      <c r="F42" s="19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N16"/>
  <sheetViews>
    <sheetView topLeftCell="C1" zoomScale="136" zoomScaleNormal="58" workbookViewId="0">
      <selection activeCell="G5" sqref="G5:H5"/>
    </sheetView>
  </sheetViews>
  <sheetFormatPr defaultColWidth="11" defaultRowHeight="15.95"/>
  <sheetData>
    <row r="5" spans="4:14">
      <c r="E5" t="s">
        <v>291</v>
      </c>
      <c r="F5" t="s">
        <v>291</v>
      </c>
      <c r="G5" t="s">
        <v>292</v>
      </c>
      <c r="H5" t="s">
        <v>293</v>
      </c>
    </row>
    <row r="6" spans="4:14">
      <c r="D6" t="s">
        <v>294</v>
      </c>
      <c r="E6">
        <v>16</v>
      </c>
      <c r="F6">
        <v>22</v>
      </c>
      <c r="G6">
        <v>18</v>
      </c>
      <c r="H6">
        <v>18</v>
      </c>
    </row>
    <row r="7" spans="4:14">
      <c r="F7" t="s">
        <v>295</v>
      </c>
      <c r="M7" t="s">
        <v>296</v>
      </c>
    </row>
    <row r="8" spans="4:14">
      <c r="D8" t="s">
        <v>297</v>
      </c>
      <c r="E8" t="s">
        <v>298</v>
      </c>
      <c r="F8" t="s">
        <v>299</v>
      </c>
      <c r="G8">
        <f>G16*18</f>
        <v>35.284090909090907</v>
      </c>
      <c r="H8">
        <v>35</v>
      </c>
    </row>
    <row r="9" spans="4:14">
      <c r="E9">
        <v>8</v>
      </c>
      <c r="F9">
        <v>15</v>
      </c>
      <c r="N9" t="s">
        <v>300</v>
      </c>
    </row>
    <row r="10" spans="4:14">
      <c r="M10" t="s">
        <v>301</v>
      </c>
    </row>
    <row r="11" spans="4:14">
      <c r="N11" t="s">
        <v>302</v>
      </c>
    </row>
    <row r="12" spans="4:14">
      <c r="E12" s="98">
        <f>25/16</f>
        <v>1.5625</v>
      </c>
      <c r="F12" s="98">
        <f>40/F6</f>
        <v>1.8181818181818181</v>
      </c>
    </row>
    <row r="15" spans="4:14">
      <c r="F15" s="98">
        <f>30/16</f>
        <v>1.875</v>
      </c>
      <c r="G15">
        <f>45/22</f>
        <v>2.0454545454545454</v>
      </c>
    </row>
    <row r="16" spans="4:14">
      <c r="G16">
        <f>(G15+F15)/2</f>
        <v>1.9602272727272727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snehal sahu</dc:creator>
  <cp:keywords/>
  <dc:description/>
  <cp:lastModifiedBy>Guest User</cp:lastModifiedBy>
  <cp:revision/>
  <dcterms:created xsi:type="dcterms:W3CDTF">2025-07-21T15:46:59Z</dcterms:created>
  <dcterms:modified xsi:type="dcterms:W3CDTF">2025-08-22T07:10:43Z</dcterms:modified>
  <cp:category/>
  <cp:contentStatus/>
</cp:coreProperties>
</file>