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jasob\Downloads\EV_Diesel_Project\data\raw\"/>
    </mc:Choice>
  </mc:AlternateContent>
  <xr:revisionPtr revIDLastSave="0" documentId="13_ncr:1_{50FE35A6-B763-43E6-B8DA-993AE58757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yback 8x4 " sheetId="1" r:id="rId1"/>
  </sheets>
  <definedNames>
    <definedName name="_xlnm.Print_Area" localSheetId="0">'Payback 8x4 '!$B$2:$Y$81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J74" i="1"/>
  <c r="G74" i="1"/>
  <c r="F74" i="1"/>
  <c r="E74" i="1"/>
  <c r="X73" i="1"/>
  <c r="W73" i="1"/>
  <c r="U73" i="1"/>
  <c r="T73" i="1"/>
  <c r="S73" i="1"/>
  <c r="R73" i="1"/>
  <c r="X72" i="1"/>
  <c r="W72" i="1"/>
  <c r="U72" i="1"/>
  <c r="T72" i="1"/>
  <c r="S72" i="1"/>
  <c r="R72" i="1"/>
  <c r="X71" i="1"/>
  <c r="W71" i="1"/>
  <c r="U71" i="1"/>
  <c r="T71" i="1"/>
  <c r="S71" i="1"/>
  <c r="R71" i="1"/>
  <c r="X70" i="1"/>
  <c r="W70" i="1"/>
  <c r="U70" i="1"/>
  <c r="T70" i="1"/>
  <c r="S70" i="1"/>
  <c r="R70" i="1"/>
  <c r="G70" i="1"/>
  <c r="X69" i="1"/>
  <c r="W69" i="1"/>
  <c r="V69" i="1"/>
  <c r="U69" i="1"/>
  <c r="T69" i="1"/>
  <c r="S69" i="1"/>
  <c r="R69" i="1"/>
  <c r="G69" i="1"/>
  <c r="X68" i="1"/>
  <c r="W68" i="1"/>
  <c r="U68" i="1"/>
  <c r="T68" i="1"/>
  <c r="S68" i="1"/>
  <c r="R68" i="1"/>
  <c r="G68" i="1"/>
  <c r="X67" i="1"/>
  <c r="W67" i="1"/>
  <c r="U67" i="1"/>
  <c r="T67" i="1"/>
  <c r="S67" i="1"/>
  <c r="R67" i="1"/>
  <c r="G67" i="1"/>
  <c r="F67" i="1"/>
  <c r="E67" i="1"/>
  <c r="X66" i="1"/>
  <c r="W66" i="1"/>
  <c r="U66" i="1"/>
  <c r="T66" i="1"/>
  <c r="S66" i="1"/>
  <c r="R66" i="1"/>
  <c r="G66" i="1"/>
  <c r="F66" i="1"/>
  <c r="E66" i="1"/>
  <c r="X65" i="1"/>
  <c r="W65" i="1"/>
  <c r="U65" i="1"/>
  <c r="T65" i="1"/>
  <c r="S65" i="1"/>
  <c r="R65" i="1"/>
  <c r="X64" i="1"/>
  <c r="W64" i="1"/>
  <c r="U64" i="1"/>
  <c r="T64" i="1"/>
  <c r="S64" i="1"/>
  <c r="R64" i="1"/>
  <c r="G62" i="1"/>
  <c r="G61" i="1"/>
  <c r="G60" i="1"/>
  <c r="G59" i="1"/>
  <c r="G58" i="1"/>
  <c r="G57" i="1"/>
  <c r="G56" i="1"/>
  <c r="G55" i="1"/>
  <c r="G54" i="1"/>
  <c r="G53" i="1"/>
  <c r="G52" i="1"/>
  <c r="F52" i="1"/>
  <c r="G51" i="1"/>
  <c r="F51" i="1"/>
  <c r="G50" i="1"/>
  <c r="F50" i="1"/>
  <c r="G49" i="1"/>
  <c r="F49" i="1"/>
  <c r="F38" i="1"/>
  <c r="E38" i="1"/>
  <c r="E35" i="1"/>
  <c r="F34" i="1"/>
  <c r="E34" i="1"/>
  <c r="F31" i="1"/>
  <c r="E31" i="1"/>
  <c r="F28" i="1"/>
  <c r="E28" i="1"/>
  <c r="F27" i="1"/>
  <c r="E27" i="1"/>
  <c r="F26" i="1"/>
  <c r="E26" i="1"/>
  <c r="F24" i="1"/>
  <c r="E24" i="1"/>
  <c r="F21" i="1"/>
  <c r="E21" i="1"/>
  <c r="F19" i="1"/>
  <c r="E19" i="1"/>
  <c r="X18" i="1"/>
  <c r="W18" i="1"/>
  <c r="V18" i="1"/>
  <c r="U18" i="1"/>
  <c r="T18" i="1"/>
  <c r="S18" i="1"/>
  <c r="R18" i="1"/>
  <c r="F18" i="1"/>
  <c r="E18" i="1"/>
  <c r="X17" i="1"/>
  <c r="W17" i="1"/>
  <c r="V17" i="1"/>
  <c r="U17" i="1"/>
  <c r="T17" i="1"/>
  <c r="S17" i="1"/>
  <c r="R17" i="1"/>
  <c r="F17" i="1"/>
  <c r="E17" i="1"/>
  <c r="AG16" i="1"/>
  <c r="AF16" i="1"/>
  <c r="AE16" i="1"/>
  <c r="AD16" i="1"/>
  <c r="AC16" i="1"/>
  <c r="AB16" i="1"/>
  <c r="AA16" i="1"/>
  <c r="Z16" i="1"/>
  <c r="X16" i="1"/>
  <c r="W16" i="1"/>
  <c r="V16" i="1"/>
  <c r="U16" i="1"/>
  <c r="T16" i="1"/>
  <c r="S16" i="1"/>
  <c r="R16" i="1"/>
  <c r="F16" i="1"/>
  <c r="E16" i="1"/>
  <c r="AG15" i="1"/>
  <c r="AF15" i="1"/>
  <c r="AE15" i="1"/>
  <c r="AD15" i="1"/>
  <c r="AC15" i="1"/>
  <c r="AB15" i="1"/>
  <c r="AA15" i="1"/>
  <c r="Z15" i="1"/>
  <c r="X15" i="1"/>
  <c r="W15" i="1"/>
  <c r="V15" i="1"/>
  <c r="U15" i="1"/>
  <c r="T15" i="1"/>
  <c r="S15" i="1"/>
  <c r="R15" i="1"/>
  <c r="F15" i="1"/>
  <c r="E15" i="1"/>
  <c r="AG14" i="1"/>
  <c r="AF14" i="1"/>
  <c r="AE14" i="1"/>
  <c r="AD14" i="1"/>
  <c r="AC14" i="1"/>
  <c r="AB14" i="1"/>
  <c r="AA14" i="1"/>
  <c r="Z14" i="1"/>
  <c r="X14" i="1"/>
  <c r="W14" i="1"/>
  <c r="V14" i="1"/>
  <c r="U14" i="1"/>
  <c r="T14" i="1"/>
  <c r="S14" i="1"/>
  <c r="R14" i="1"/>
  <c r="AG13" i="1"/>
  <c r="AF13" i="1"/>
  <c r="AE13" i="1"/>
  <c r="AD13" i="1"/>
  <c r="AC13" i="1"/>
  <c r="AB13" i="1"/>
  <c r="AA13" i="1"/>
  <c r="Z13" i="1"/>
  <c r="X13" i="1"/>
  <c r="W13" i="1"/>
  <c r="V13" i="1"/>
  <c r="U13" i="1"/>
  <c r="T13" i="1"/>
  <c r="S13" i="1"/>
  <c r="R13" i="1"/>
  <c r="F13" i="1"/>
  <c r="E13" i="1"/>
  <c r="AG12" i="1"/>
  <c r="AF12" i="1"/>
  <c r="AE12" i="1"/>
  <c r="AD12" i="1"/>
  <c r="AC12" i="1"/>
  <c r="AB12" i="1"/>
  <c r="AA12" i="1"/>
  <c r="Z12" i="1"/>
  <c r="X12" i="1"/>
  <c r="W12" i="1"/>
  <c r="V12" i="1"/>
  <c r="U12" i="1"/>
  <c r="T12" i="1"/>
  <c r="S12" i="1"/>
  <c r="R12" i="1"/>
  <c r="AG11" i="1"/>
  <c r="AF11" i="1"/>
  <c r="AE11" i="1"/>
  <c r="AD11" i="1"/>
  <c r="AC11" i="1"/>
  <c r="AB11" i="1"/>
  <c r="AA11" i="1"/>
  <c r="Z11" i="1"/>
  <c r="X11" i="1"/>
  <c r="W11" i="1"/>
  <c r="V11" i="1"/>
  <c r="U11" i="1"/>
  <c r="T11" i="1"/>
  <c r="S11" i="1"/>
  <c r="R11" i="1"/>
  <c r="F11" i="1"/>
  <c r="AG10" i="1"/>
  <c r="AF10" i="1"/>
  <c r="AE10" i="1"/>
  <c r="AD10" i="1"/>
  <c r="AC10" i="1"/>
  <c r="AB10" i="1"/>
  <c r="AA10" i="1"/>
  <c r="Z10" i="1"/>
  <c r="X10" i="1"/>
  <c r="W10" i="1"/>
  <c r="V10" i="1"/>
  <c r="U10" i="1"/>
  <c r="T10" i="1"/>
  <c r="S10" i="1"/>
  <c r="R10" i="1"/>
  <c r="E10" i="1"/>
  <c r="AG9" i="1"/>
  <c r="AF9" i="1"/>
  <c r="AE9" i="1"/>
  <c r="AD9" i="1"/>
  <c r="AC9" i="1"/>
  <c r="AB9" i="1"/>
  <c r="AA9" i="1"/>
  <c r="Z9" i="1"/>
  <c r="X9" i="1"/>
  <c r="W9" i="1"/>
  <c r="V9" i="1"/>
  <c r="U9" i="1"/>
  <c r="T9" i="1"/>
  <c r="S9" i="1"/>
  <c r="R9" i="1"/>
  <c r="AG8" i="1"/>
  <c r="AF8" i="1"/>
  <c r="AE8" i="1"/>
  <c r="AD8" i="1"/>
  <c r="AC8" i="1"/>
  <c r="AB8" i="1"/>
  <c r="AA8" i="1"/>
  <c r="Z8" i="1"/>
  <c r="AG7" i="1"/>
  <c r="AF7" i="1"/>
  <c r="AE7" i="1"/>
  <c r="AD7" i="1"/>
  <c r="AC7" i="1"/>
  <c r="AB7" i="1"/>
  <c r="AA7" i="1"/>
  <c r="Z7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E31" authorId="0" shapeId="0" xr:uid="{00000000-0006-0000-0000-000001000000}">
      <text>
        <r>
          <rPr>
            <b/>
            <sz val="9"/>
            <rFont val="Tahoma"/>
            <charset val="134"/>
          </rPr>
          <t>Propel:</t>
        </r>
        <r>
          <rPr>
            <sz val="9"/>
            <rFont val="Tahoma"/>
            <charset val="134"/>
          </rPr>
          <t xml:space="preserve">
L / Hr with AC</t>
        </r>
      </text>
    </comment>
    <comment ref="F31" authorId="0" shapeId="0" xr:uid="{00000000-0006-0000-0000-000002000000}">
      <text>
        <r>
          <rPr>
            <b/>
            <sz val="9"/>
            <rFont val="Tahoma"/>
            <charset val="134"/>
          </rPr>
          <t>Propel:</t>
        </r>
        <r>
          <rPr>
            <sz val="9"/>
            <rFont val="Tahoma"/>
            <charset val="134"/>
          </rPr>
          <t xml:space="preserve">
kWh </t>
        </r>
      </text>
    </comment>
  </commentList>
</comments>
</file>

<file path=xl/sharedStrings.xml><?xml version="1.0" encoding="utf-8"?>
<sst xmlns="http://schemas.openxmlformats.org/spreadsheetml/2006/main" count="115" uniqueCount="102">
  <si>
    <t>ROI - 470 MEV Vs MAN BS3</t>
  </si>
  <si>
    <t>Assumptions &amp; Inputs</t>
  </si>
  <si>
    <t>Option 1</t>
  </si>
  <si>
    <t xml:space="preserve">Without Battery replacment </t>
  </si>
  <si>
    <t>Parameter</t>
  </si>
  <si>
    <t>Diesel Vehicle</t>
  </si>
  <si>
    <t>Electric Vehicle</t>
  </si>
  <si>
    <t>*Select options from dropdown</t>
  </si>
  <si>
    <t>Inc. Depreciation</t>
  </si>
  <si>
    <t>Vehicle Parameters:</t>
  </si>
  <si>
    <t>Scenario:</t>
  </si>
  <si>
    <t>BASIC</t>
  </si>
  <si>
    <t>Payback Period:</t>
  </si>
  <si>
    <t xml:space="preserve">Overall Cost Savings </t>
  </si>
  <si>
    <t>W/O Depriciation</t>
  </si>
  <si>
    <t xml:space="preserve">Vehicle </t>
  </si>
  <si>
    <t>CLA 25 280</t>
  </si>
  <si>
    <t>470 MEV 171 kWH
with Taildoor and DGMS</t>
  </si>
  <si>
    <t>Year</t>
  </si>
  <si>
    <t>Operational Saving</t>
  </si>
  <si>
    <t>Additional Interest</t>
  </si>
  <si>
    <t>Depreciation Savings</t>
  </si>
  <si>
    <t>Additional Salvage Value</t>
  </si>
  <si>
    <t>Total Savings/Year</t>
  </si>
  <si>
    <t>Cumulative Savings (in Lakhs)</t>
  </si>
  <si>
    <t>Ex showroom cost/Vehicle (Lakhs)</t>
  </si>
  <si>
    <t>No of vehicles used</t>
  </si>
  <si>
    <t>Basic + GST</t>
  </si>
  <si>
    <t>No Of chargers</t>
  </si>
  <si>
    <t>NA</t>
  </si>
  <si>
    <t>Charger Price (Lakhs)</t>
  </si>
  <si>
    <t>On road Price (Lakhs)</t>
  </si>
  <si>
    <t>Vehicle Life (in Years)</t>
  </si>
  <si>
    <t>Salvage Value (Lakhs) 15%</t>
  </si>
  <si>
    <t>Total Decreciation</t>
  </si>
  <si>
    <t>A) Principal comp / Year</t>
  </si>
  <si>
    <t>B) Interest per year</t>
  </si>
  <si>
    <t>C) Insurance</t>
  </si>
  <si>
    <t>D) Tax + Permit + Registration</t>
  </si>
  <si>
    <t>Capex (A+B+C+D)/Year</t>
  </si>
  <si>
    <t>Operational Parameters:</t>
  </si>
  <si>
    <t>Tons Per Trip per Truck</t>
  </si>
  <si>
    <t>Diesel Truck 16 CuM took 167 T in 8 trips. EV, 18 CuM, took 262 T in 9 trips</t>
  </si>
  <si>
    <t>No of Trips per day</t>
  </si>
  <si>
    <t>9 trips done in 4.6 Hrs on the date of Back to Back 30/11/2024</t>
  </si>
  <si>
    <t>Distance Per trip</t>
  </si>
  <si>
    <t>Kms/ day</t>
  </si>
  <si>
    <t>Tons per day</t>
  </si>
  <si>
    <t>Tons per month</t>
  </si>
  <si>
    <t>Opex Parameters:</t>
  </si>
  <si>
    <t>Energy/ Hour</t>
  </si>
  <si>
    <t>Diesel taken 16.5 Lt in 4.1 Hrs. EV took 18% SOC in 4.6 Hrs</t>
  </si>
  <si>
    <t>Hours of Op/Day</t>
  </si>
  <si>
    <t>Energy cost</t>
  </si>
  <si>
    <t>Driver Cost (2 Drivers/Truck) pm</t>
  </si>
  <si>
    <t xml:space="preserve">Tyre Cost </t>
  </si>
  <si>
    <t>Days run in a month</t>
  </si>
  <si>
    <t>Maintanence Parameters:</t>
  </si>
  <si>
    <t>Wear &amp; Tear Cost/Month</t>
  </si>
  <si>
    <t>Considering 40k per Diesel vehicles per month.</t>
  </si>
  <si>
    <t>Financial Parameters:</t>
  </si>
  <si>
    <t>Interest rate</t>
  </si>
  <si>
    <t xml:space="preserve"> </t>
  </si>
  <si>
    <t>Down Payment</t>
  </si>
  <si>
    <t>Depreciation</t>
  </si>
  <si>
    <t>EMI Duration in months</t>
  </si>
  <si>
    <t>Income Tax Rates</t>
  </si>
  <si>
    <t>Operational Savings Calculation</t>
  </si>
  <si>
    <t>Vehicle Type</t>
  </si>
  <si>
    <t>Cost/Day</t>
  </si>
  <si>
    <t>Cost/Month</t>
  </si>
  <si>
    <t>Diesel Vehicle  Per Truck</t>
  </si>
  <si>
    <t>Ad Blue Cost/Per Truck (50/- per Lt)</t>
  </si>
  <si>
    <t>Total Energy cost (Diesel)</t>
  </si>
  <si>
    <t>Energy Cost Electric</t>
  </si>
  <si>
    <t>Total Opex Diesel</t>
  </si>
  <si>
    <t>`</t>
  </si>
  <si>
    <t>Total Opex Electric</t>
  </si>
  <si>
    <t>Opex per Ton (For Diesel)</t>
  </si>
  <si>
    <t>Opex per Ton (For Electric)</t>
  </si>
  <si>
    <t>Opex + Capex per Ton For Diesel</t>
  </si>
  <si>
    <t>Opex + Capex per Ton For Electric</t>
  </si>
  <si>
    <t>Savings per Ton</t>
  </si>
  <si>
    <t xml:space="preserve">With Battery replacment </t>
  </si>
  <si>
    <t>Savings in Tax per Ton, considering higher depreciation</t>
  </si>
  <si>
    <t>Battery replacment cost / vehicle</t>
  </si>
  <si>
    <t>Net savings per Ton</t>
  </si>
  <si>
    <t>Savings/Month</t>
  </si>
  <si>
    <t>Battery Replacement (Optional)</t>
  </si>
  <si>
    <t>Additional Average Interest Calculation</t>
  </si>
  <si>
    <t>Principle</t>
  </si>
  <si>
    <t>Interest</t>
  </si>
  <si>
    <t>Total</t>
  </si>
  <si>
    <t>Diesel Vehicle Price</t>
  </si>
  <si>
    <t>Electric Vehicle Price</t>
  </si>
  <si>
    <t>Difference in Interest/Month</t>
  </si>
  <si>
    <t>Tax Benefit/Month</t>
  </si>
  <si>
    <t>Additional Average Interest/Month</t>
  </si>
  <si>
    <t>Tax Benefit through Depriciation Calculation</t>
  </si>
  <si>
    <t>Diesel Vehicle Dep.</t>
  </si>
  <si>
    <t>EV Dep</t>
  </si>
  <si>
    <t>Tax Savings/Year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</si>
</sst>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 * #,##0.00_ ;_ * \-#,##0.00_ ;_ * &quot;-&quot;??_ ;_ @_ "/>
    <numFmt numFmtId="165" formatCode="_ &quot;₹&quot;\ * #,##0.00_ ;_ &quot;₹&quot;\ * \-#,##0.00_ ;_ &quot;₹&quot;\ * &quot;-&quot;??_ ;_ @_ "/>
    <numFmt numFmtId="168" formatCode="0.0"/>
    <numFmt numFmtId="169" formatCode="_ &quot;₹&quot;\ * #,##0_ ;_ &quot;₹&quot;\ * \-#,##0_ ;_ &quot;₹&quot;\ * &quot;-&quot;??_ ;_ @_ "/>
    <numFmt numFmtId="170" formatCode="0.0%"/>
    <numFmt numFmtId="171" formatCode="_ * #,##0_ ;_ * \-#,##0_ ;_ * &quot;-&quot;??_ ;_ @_ "/>
    <numFmt numFmtId="172" formatCode="_(* #,##0_);_(* \(#,##0\);_(* &quot;-&quot;??_);_(@_)"/>
    <numFmt numFmtId="173" formatCode="#,##0_ ;\-#,##0\ "/>
    <numFmt numFmtId="174" formatCode="_(* #,##0.0_);_(* \(#,##0.0\);_(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8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98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68" fontId="0" fillId="2" borderId="0" xfId="0" applyNumberFormat="1" applyFill="1" applyAlignment="1">
      <alignment vertical="center"/>
    </xf>
    <xf numFmtId="0" fontId="0" fillId="2" borderId="9" xfId="0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4" xfId="0" applyNumberFormat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8" fontId="0" fillId="2" borderId="10" xfId="0" applyNumberFormat="1" applyFill="1" applyBorder="1" applyAlignment="1">
      <alignment horizontal="center" vertical="center"/>
    </xf>
    <xf numFmtId="168" fontId="0" fillId="2" borderId="11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1" fontId="0" fillId="6" borderId="10" xfId="0" applyNumberFormat="1" applyFill="1" applyBorder="1" applyAlignment="1">
      <alignment horizontal="center" vertical="center"/>
    </xf>
    <xf numFmtId="1" fontId="0" fillId="6" borderId="11" xfId="0" applyNumberFormat="1" applyFill="1" applyBorder="1" applyAlignment="1">
      <alignment horizontal="center" vertical="center"/>
    </xf>
    <xf numFmtId="1" fontId="0" fillId="6" borderId="10" xfId="2" applyNumberFormat="1" applyFont="1" applyFill="1" applyBorder="1" applyAlignment="1">
      <alignment horizontal="center" vertical="center"/>
    </xf>
    <xf numFmtId="1" fontId="0" fillId="6" borderId="11" xfId="2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1" fontId="0" fillId="6" borderId="14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69" fontId="0" fillId="6" borderId="18" xfId="2" applyNumberFormat="1" applyFont="1" applyFill="1" applyBorder="1" applyAlignment="1">
      <alignment horizontal="center" vertical="center"/>
    </xf>
    <xf numFmtId="169" fontId="0" fillId="6" borderId="19" xfId="2" applyNumberFormat="1" applyFont="1" applyFill="1" applyBorder="1" applyAlignment="1">
      <alignment horizontal="center" vertical="center"/>
    </xf>
    <xf numFmtId="169" fontId="0" fillId="6" borderId="10" xfId="2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169" fontId="0" fillId="6" borderId="11" xfId="2" applyNumberFormat="1" applyFont="1" applyFill="1" applyBorder="1" applyAlignment="1">
      <alignment horizontal="center" vertical="center"/>
    </xf>
    <xf numFmtId="9" fontId="0" fillId="2" borderId="10" xfId="3" applyFont="1" applyFill="1" applyBorder="1" applyAlignment="1">
      <alignment horizontal="center" vertical="center"/>
    </xf>
    <xf numFmtId="9" fontId="0" fillId="2" borderId="11" xfId="3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10" fontId="0" fillId="2" borderId="21" xfId="3" applyNumberFormat="1" applyFont="1" applyFill="1" applyBorder="1" applyAlignment="1">
      <alignment vertical="center"/>
    </xf>
    <xf numFmtId="10" fontId="0" fillId="2" borderId="22" xfId="3" applyNumberFormat="1" applyFont="1" applyFill="1" applyBorder="1" applyAlignment="1">
      <alignment vertical="center"/>
    </xf>
    <xf numFmtId="171" fontId="0" fillId="2" borderId="0" xfId="1" applyNumberFormat="1" applyFont="1" applyFill="1" applyBorder="1"/>
    <xf numFmtId="172" fontId="1" fillId="2" borderId="0" xfId="0" applyNumberFormat="1" applyFont="1" applyFill="1"/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71" fontId="0" fillId="0" borderId="10" xfId="0" applyNumberFormat="1" applyBorder="1"/>
    <xf numFmtId="171" fontId="0" fillId="0" borderId="11" xfId="1" applyNumberFormat="1" applyFont="1" applyFill="1" applyBorder="1"/>
    <xf numFmtId="171" fontId="0" fillId="2" borderId="10" xfId="1" applyNumberFormat="1" applyFont="1" applyFill="1" applyBorder="1" applyAlignment="1">
      <alignment horizontal="center" vertical="center"/>
    </xf>
    <xf numFmtId="171" fontId="1" fillId="2" borderId="0" xfId="0" applyNumberFormat="1" applyFont="1" applyFill="1" applyAlignment="1">
      <alignment horizontal="left" vertical="center" indent="1"/>
    </xf>
    <xf numFmtId="173" fontId="0" fillId="0" borderId="10" xfId="0" applyNumberFormat="1" applyBorder="1"/>
    <xf numFmtId="164" fontId="0" fillId="0" borderId="11" xfId="1" applyFont="1" applyFill="1" applyBorder="1"/>
    <xf numFmtId="0" fontId="0" fillId="0" borderId="15" xfId="0" applyBorder="1"/>
    <xf numFmtId="0" fontId="0" fillId="0" borderId="25" xfId="0" applyBorder="1"/>
    <xf numFmtId="0" fontId="0" fillId="0" borderId="13" xfId="0" applyBorder="1" applyAlignment="1">
      <alignment wrapText="1"/>
    </xf>
    <xf numFmtId="164" fontId="0" fillId="0" borderId="11" xfId="1" applyFont="1" applyFill="1" applyBorder="1" applyAlignment="1">
      <alignment vertical="center"/>
    </xf>
    <xf numFmtId="0" fontId="0" fillId="0" borderId="3" xfId="0" applyBorder="1"/>
    <xf numFmtId="0" fontId="0" fillId="0" borderId="26" xfId="0" applyBorder="1"/>
    <xf numFmtId="0" fontId="1" fillId="0" borderId="3" xfId="0" applyFont="1" applyBorder="1"/>
    <xf numFmtId="0" fontId="1" fillId="0" borderId="26" xfId="0" applyFont="1" applyBorder="1"/>
    <xf numFmtId="174" fontId="1" fillId="7" borderId="11" xfId="0" applyNumberFormat="1" applyFont="1" applyFill="1" applyBorder="1"/>
    <xf numFmtId="0" fontId="1" fillId="0" borderId="27" xfId="0" applyFont="1" applyBorder="1"/>
    <xf numFmtId="0" fontId="1" fillId="0" borderId="28" xfId="0" applyFont="1" applyBorder="1"/>
    <xf numFmtId="174" fontId="1" fillId="7" borderId="19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9" xfId="0" applyFont="1" applyBorder="1"/>
    <xf numFmtId="0" fontId="0" fillId="0" borderId="12" xfId="0" applyBorder="1" applyAlignment="1">
      <alignment wrapText="1"/>
    </xf>
    <xf numFmtId="171" fontId="1" fillId="8" borderId="31" xfId="0" applyNumberFormat="1" applyFont="1" applyFill="1" applyBorder="1" applyAlignment="1">
      <alignment horizontal="left" vertical="center" indent="1"/>
    </xf>
    <xf numFmtId="171" fontId="0" fillId="2" borderId="0" xfId="0" applyNumberFormat="1" applyFill="1"/>
    <xf numFmtId="0" fontId="9" fillId="2" borderId="0" xfId="0" applyFont="1" applyFill="1"/>
    <xf numFmtId="0" fontId="0" fillId="9" borderId="0" xfId="0" applyFill="1" applyAlignment="1">
      <alignment horizontal="right" vertical="center"/>
    </xf>
    <xf numFmtId="0" fontId="1" fillId="10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9" fontId="0" fillId="2" borderId="0" xfId="0" applyNumberFormat="1" applyFill="1" applyAlignment="1">
      <alignment horizontal="left" vertical="center"/>
    </xf>
    <xf numFmtId="1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71" fontId="0" fillId="2" borderId="0" xfId="0" applyNumberFormat="1" applyFill="1" applyAlignment="1">
      <alignment vertical="center"/>
    </xf>
    <xf numFmtId="169" fontId="0" fillId="2" borderId="0" xfId="2" applyNumberFormat="1" applyFont="1" applyFill="1" applyBorder="1" applyAlignment="1">
      <alignment vertical="center"/>
    </xf>
    <xf numFmtId="171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0" fillId="2" borderId="9" xfId="0" applyFill="1" applyBorder="1" applyAlignment="1">
      <alignment horizontal="center" vertical="center"/>
    </xf>
    <xf numFmtId="171" fontId="11" fillId="2" borderId="10" xfId="0" applyNumberFormat="1" applyFont="1" applyFill="1" applyBorder="1" applyAlignment="1">
      <alignment horizontal="center" vertical="center"/>
    </xf>
    <xf numFmtId="171" fontId="12" fillId="2" borderId="10" xfId="0" applyNumberFormat="1" applyFont="1" applyFill="1" applyBorder="1" applyAlignment="1">
      <alignment horizontal="center" vertical="center"/>
    </xf>
    <xf numFmtId="171" fontId="1" fillId="11" borderId="10" xfId="0" applyNumberFormat="1" applyFont="1" applyFill="1" applyBorder="1" applyAlignment="1">
      <alignment horizontal="center" vertical="center"/>
    </xf>
    <xf numFmtId="171" fontId="1" fillId="8" borderId="1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0" fontId="0" fillId="2" borderId="20" xfId="0" applyFill="1" applyBorder="1" applyAlignment="1">
      <alignment horizontal="center" vertical="center"/>
    </xf>
    <xf numFmtId="171" fontId="11" fillId="2" borderId="30" xfId="0" applyNumberFormat="1" applyFont="1" applyFill="1" applyBorder="1" applyAlignment="1">
      <alignment horizontal="center" vertical="center"/>
    </xf>
    <xf numFmtId="171" fontId="12" fillId="2" borderId="30" xfId="0" applyNumberFormat="1" applyFont="1" applyFill="1" applyBorder="1" applyAlignment="1">
      <alignment horizontal="center" vertical="center"/>
    </xf>
    <xf numFmtId="171" fontId="1" fillId="11" borderId="30" xfId="0" applyNumberFormat="1" applyFont="1" applyFill="1" applyBorder="1" applyAlignment="1">
      <alignment horizontal="center" vertical="center"/>
    </xf>
    <xf numFmtId="171" fontId="1" fillId="8" borderId="3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3" fillId="2" borderId="35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171" fontId="3" fillId="2" borderId="0" xfId="0" applyNumberFormat="1" applyFont="1" applyFill="1" applyAlignment="1">
      <alignment vertical="center"/>
    </xf>
    <xf numFmtId="168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2" borderId="36" xfId="0" applyFont="1" applyFill="1" applyBorder="1" applyAlignment="1">
      <alignment vertical="center" wrapText="1"/>
    </xf>
    <xf numFmtId="0" fontId="15" fillId="2" borderId="36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36" xfId="0" applyFont="1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6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36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9" fontId="1" fillId="5" borderId="10" xfId="3" applyFont="1" applyFill="1" applyBorder="1" applyAlignment="1">
      <alignment horizontal="center" vertical="center"/>
    </xf>
    <xf numFmtId="0" fontId="0" fillId="0" borderId="9" xfId="0" applyBorder="1"/>
    <xf numFmtId="171" fontId="0" fillId="0" borderId="11" xfId="0" applyNumberFormat="1" applyBorder="1"/>
    <xf numFmtId="172" fontId="1" fillId="2" borderId="0" xfId="0" applyNumberFormat="1" applyFont="1" applyFill="1" applyAlignment="1">
      <alignment vertical="center"/>
    </xf>
    <xf numFmtId="0" fontId="0" fillId="0" borderId="9" xfId="0" applyBorder="1" applyAlignment="1">
      <alignment vertical="center"/>
    </xf>
    <xf numFmtId="171" fontId="0" fillId="0" borderId="10" xfId="0" applyNumberFormat="1" applyBorder="1" applyAlignment="1">
      <alignment vertical="center"/>
    </xf>
    <xf numFmtId="171" fontId="0" fillId="0" borderId="11" xfId="0" applyNumberFormat="1" applyBorder="1" applyAlignment="1">
      <alignment vertical="center"/>
    </xf>
    <xf numFmtId="172" fontId="1" fillId="7" borderId="11" xfId="0" applyNumberFormat="1" applyFont="1" applyFill="1" applyBorder="1"/>
    <xf numFmtId="171" fontId="1" fillId="8" borderId="11" xfId="0" applyNumberFormat="1" applyFont="1" applyFill="1" applyBorder="1" applyAlignment="1">
      <alignment horizontal="left" vertical="center" indent="1"/>
    </xf>
    <xf numFmtId="172" fontId="1" fillId="12" borderId="31" xfId="0" applyNumberFormat="1" applyFont="1" applyFill="1" applyBorder="1" applyAlignment="1">
      <alignment vertical="center"/>
    </xf>
    <xf numFmtId="171" fontId="0" fillId="2" borderId="10" xfId="1" applyNumberFormat="1" applyFont="1" applyFill="1" applyBorder="1" applyAlignment="1">
      <alignment vertical="center"/>
    </xf>
    <xf numFmtId="171" fontId="0" fillId="11" borderId="11" xfId="0" applyNumberFormat="1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171" fontId="0" fillId="2" borderId="30" xfId="1" applyNumberFormat="1" applyFont="1" applyFill="1" applyBorder="1" applyAlignment="1">
      <alignment vertical="center"/>
    </xf>
    <xf numFmtId="171" fontId="0" fillId="11" borderId="31" xfId="0" applyNumberForma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7" xfId="0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71" fontId="1" fillId="2" borderId="0" xfId="0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68" fontId="0" fillId="6" borderId="16" xfId="0" applyNumberFormat="1" applyFill="1" applyBorder="1" applyAlignment="1">
      <alignment horizontal="center" vertical="center"/>
    </xf>
    <xf numFmtId="168" fontId="0" fillId="6" borderId="14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170" fontId="0" fillId="6" borderId="16" xfId="3" applyNumberFormat="1" applyFont="1" applyFill="1" applyBorder="1" applyAlignment="1">
      <alignment horizontal="center" vertical="center"/>
    </xf>
    <xf numFmtId="170" fontId="0" fillId="6" borderId="14" xfId="3" applyNumberFormat="1" applyFont="1" applyFill="1" applyBorder="1" applyAlignment="1">
      <alignment horizontal="center" vertical="center"/>
    </xf>
    <xf numFmtId="1" fontId="0" fillId="6" borderId="16" xfId="3" applyNumberFormat="1" applyFont="1" applyFill="1" applyBorder="1" applyAlignment="1">
      <alignment horizontal="center" vertical="center"/>
    </xf>
    <xf numFmtId="1" fontId="0" fillId="6" borderId="14" xfId="3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1" fillId="0" borderId="20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Cumulative</a:t>
            </a:r>
            <a:r>
              <a:rPr lang="en-IN" sz="1200" baseline="0"/>
              <a:t> Savings (in Lakhs)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41655939875"/>
          <c:y val="0.138261023468149"/>
          <c:w val="0.86491636016087603"/>
          <c:h val="0.73669350919554299"/>
        </c:manualLayout>
      </c:layout>
      <c:barChart>
        <c:barDir val="col"/>
        <c:grouping val="clustered"/>
        <c:varyColors val="0"/>
        <c:ser>
          <c:idx val="5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'Payback 8x4 '!$W$9:$W$18</c:f>
              <c:numCache>
                <c:formatCode>_ * #,##0_ ;_ * \-#,##0_ ;_ * "-"??_ ;_ @_ </c:formatCode>
                <c:ptCount val="10"/>
                <c:pt idx="0">
                  <c:v>51.859983862368601</c:v>
                </c:pt>
                <c:pt idx="1">
                  <c:v>98.757882010451397</c:v>
                </c:pt>
                <c:pt idx="2">
                  <c:v>142.79718730139101</c:v>
                </c:pt>
                <c:pt idx="3">
                  <c:v>185.22219666376</c:v>
                </c:pt>
                <c:pt idx="4">
                  <c:v>234.94293071541401</c:v>
                </c:pt>
                <c:pt idx="5">
                  <c:v>277.853599523171</c:v>
                </c:pt>
                <c:pt idx="6">
                  <c:v>320.764268330927</c:v>
                </c:pt>
                <c:pt idx="7">
                  <c:v>363.67493713868402</c:v>
                </c:pt>
                <c:pt idx="8">
                  <c:v>406.58560594644001</c:v>
                </c:pt>
                <c:pt idx="9">
                  <c:v>449.49627475419601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2-47CA-9873-9FABC793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156007040"/>
        <c:axId val="156705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0"/>
                    <c:pt idx="0">
                      <c:v>4291066.8807756398</c:v>
                    </c:pt>
                    <c:pt idx="1">
                      <c:v>4291066.8807756398</c:v>
                    </c:pt>
                    <c:pt idx="2">
                      <c:v>4291066.8807756398</c:v>
                    </c:pt>
                    <c:pt idx="3">
                      <c:v>4291066.8807756398</c:v>
                    </c:pt>
                    <c:pt idx="4">
                      <c:v>4291066.8807756398</c:v>
                    </c:pt>
                    <c:pt idx="5">
                      <c:v>4291066.8807756398</c:v>
                    </c:pt>
                    <c:pt idx="6">
                      <c:v>4291066.8807756398</c:v>
                    </c:pt>
                    <c:pt idx="7">
                      <c:v>4291066.8807756398</c:v>
                    </c:pt>
                    <c:pt idx="8">
                      <c:v>4291066.8807756398</c:v>
                    </c:pt>
                    <c:pt idx="9">
                      <c:v>4291066.8807756398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E0E2-47CA-9873-9FABC793307E}"/>
                  </c:ext>
                </c:extLst>
              </c15:ser>
            </c15:filteredBarSeries>
            <c15:filteredBarSeries>
              <c15:ser>
                <c:idx val="2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0"/>
                    <c:pt idx="0">
                      <c:v>-147825.63739592701</c:v>
                    </c:pt>
                    <c:pt idx="1">
                      <c:v>-147825.63739592701</c:v>
                    </c:pt>
                    <c:pt idx="2">
                      <c:v>-147825.63739592701</c:v>
                    </c:pt>
                    <c:pt idx="3">
                      <c:v>-147825.63739592701</c:v>
                    </c:pt>
                    <c:pt idx="4">
                      <c:v>-147825.63739592701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3-E0E2-47CA-9873-9FABC793307E}"/>
                  </c:ext>
                </c:extLst>
              </c15:ser>
            </c15:filteredBarSeries>
            <c15:filteredBarSeries>
              <c15:ser>
                <c:idx val="3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0"/>
                    <c:pt idx="0">
                      <c:v>1042757.14285714</c:v>
                    </c:pt>
                    <c:pt idx="1">
                      <c:v>546548.57142857101</c:v>
                    </c:pt>
                    <c:pt idx="2">
                      <c:v>260689.285714286</c:v>
                    </c:pt>
                    <c:pt idx="3">
                      <c:v>99259.692857142902</c:v>
                    </c:pt>
                    <c:pt idx="4">
                      <c:v>10975.0189285714</c:v>
                    </c:pt>
                    <c:pt idx="5">
                      <c:v>0</c:v>
                    </c:pt>
                    <c:pt idx="6">
                      <c:v>0</c:v>
                    </c:pt>
                    <c:pt idx="7">
                      <c:v>0</c:v>
                    </c:pt>
                    <c:pt idx="8">
                      <c:v>0</c:v>
                    </c:pt>
                    <c:pt idx="9">
                      <c:v>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0E2-47CA-9873-9FABC793307E}"/>
                  </c:ext>
                </c:extLst>
              </c15:ser>
            </c15:filteredBarSeries>
            <c15:filteredBarSeries>
              <c15:ser>
                <c:idx val="4"/>
                <c:order val="3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Lit>
                    <c:formatCode>General</c:formatCode>
                    <c:ptCount val="10"/>
                    <c:pt idx="0">
                      <c:v>5185998.3862368502</c:v>
                    </c:pt>
                    <c:pt idx="1">
                      <c:v>4689789.8148082802</c:v>
                    </c:pt>
                    <c:pt idx="2">
                      <c:v>4403930.5290939901</c:v>
                    </c:pt>
                    <c:pt idx="3">
                      <c:v>4242500.93623685</c:v>
                    </c:pt>
                    <c:pt idx="4">
                      <c:v>4972073.4051654199</c:v>
                    </c:pt>
                    <c:pt idx="5">
                      <c:v>4291066.8807756398</c:v>
                    </c:pt>
                    <c:pt idx="6">
                      <c:v>4291066.8807756398</c:v>
                    </c:pt>
                    <c:pt idx="7">
                      <c:v>4291066.8807756398</c:v>
                    </c:pt>
                    <c:pt idx="8">
                      <c:v>4291066.8807756398</c:v>
                    </c:pt>
                    <c:pt idx="9">
                      <c:v>4291066.8807756398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5-E0E2-47CA-9873-9FABC79330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'Payback 8x4 '!$X$9:$X$18</c:f>
              <c:numCache>
                <c:formatCode>0</c:formatCode>
                <c:ptCount val="10"/>
                <c:pt idx="0">
                  <c:v>54.523809523809497</c:v>
                </c:pt>
                <c:pt idx="1">
                  <c:v>54.523809523809497</c:v>
                </c:pt>
                <c:pt idx="2">
                  <c:v>54.523809523809497</c:v>
                </c:pt>
                <c:pt idx="3">
                  <c:v>54.523809523809497</c:v>
                </c:pt>
                <c:pt idx="4">
                  <c:v>54.523809523809497</c:v>
                </c:pt>
                <c:pt idx="5">
                  <c:v>54.523809523809497</c:v>
                </c:pt>
                <c:pt idx="6">
                  <c:v>54.523809523809497</c:v>
                </c:pt>
                <c:pt idx="7">
                  <c:v>54.523809523809497</c:v>
                </c:pt>
                <c:pt idx="8">
                  <c:v>54.523809523809497</c:v>
                </c:pt>
                <c:pt idx="9">
                  <c:v>54.523809523809497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2-47CA-9873-9FABC793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7040"/>
        <c:axId val="156705536"/>
      </c:lineChart>
      <c:catAx>
        <c:axId val="1560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5536"/>
        <c:crosses val="autoZero"/>
        <c:auto val="1"/>
        <c:lblAlgn val="ctr"/>
        <c:lblOffset val="100"/>
        <c:noMultiLvlLbl val="0"/>
      </c:catAx>
      <c:valAx>
        <c:axId val="15670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Lakhs</a:t>
                </a:r>
              </a:p>
            </c:rich>
          </c:tx>
          <c:layout>
            <c:manualLayout>
              <c:xMode val="edge"/>
              <c:yMode val="edge"/>
              <c:x val="0"/>
              <c:y val="0.418462900563518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89ad1a3-1ec6-4ea2-9b05-72d6537b0391}"/>
      </c:ext>
    </c:extLst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</a:t>
            </a:r>
            <a:r>
              <a:rPr lang="en-IN" baseline="0"/>
              <a:t> Savings (in 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66517621532"/>
          <c:y val="0.17325757776385001"/>
          <c:w val="0.87356570567891301"/>
          <c:h val="0.7080765971345589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'Payback 8x4 '!$X$64:$X$73</c:f>
              <c:numCache>
                <c:formatCode>_ * #,##0_ ;_ * \-#,##0_ ;_ * "-"??_ ;_ @_ </c:formatCode>
                <c:ptCount val="10"/>
                <c:pt idx="0">
                  <c:v>46.554957018454701</c:v>
                </c:pt>
                <c:pt idx="1">
                  <c:v>88.147828322623695</c:v>
                </c:pt>
                <c:pt idx="2">
                  <c:v>126.88210676964999</c:v>
                </c:pt>
                <c:pt idx="3">
                  <c:v>164.002089288104</c:v>
                </c:pt>
                <c:pt idx="4">
                  <c:v>208.41779649584501</c:v>
                </c:pt>
                <c:pt idx="5">
                  <c:v>201.02343845968699</c:v>
                </c:pt>
                <c:pt idx="6">
                  <c:v>238.62908042353001</c:v>
                </c:pt>
                <c:pt idx="7">
                  <c:v>276.23472238737202</c:v>
                </c:pt>
                <c:pt idx="8">
                  <c:v>313.84036435121499</c:v>
                </c:pt>
                <c:pt idx="9">
                  <c:v>351.44600631505699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2-46DD-AB41-F1798BEC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156747648"/>
        <c:axId val="156762112"/>
      </c:barChart>
      <c:catAx>
        <c:axId val="15674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2112"/>
        <c:crosses val="autoZero"/>
        <c:auto val="1"/>
        <c:lblAlgn val="ctr"/>
        <c:lblOffset val="100"/>
        <c:noMultiLvlLbl val="0"/>
      </c:catAx>
      <c:valAx>
        <c:axId val="15676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Lakhs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c2af80-9061-4e10-9100-f76994f16c77}"/>
      </c:ext>
    </c:extLst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156883</xdr:colOff>
      <xdr:row>3</xdr:row>
      <xdr:rowOff>121920</xdr:rowOff>
    </xdr:from>
    <xdr:to>
      <xdr:col>6</xdr:col>
      <xdr:colOff>68580</xdr:colOff>
      <xdr:row>44</xdr:row>
      <xdr:rowOff>95249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7845" y="731520"/>
          <a:ext cx="4458335" cy="8426450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104277</xdr:colOff>
      <xdr:row>60</xdr:row>
      <xdr:rowOff>87828</xdr:rowOff>
    </xdr:from>
    <xdr:to>
      <xdr:col>24</xdr:col>
      <xdr:colOff>107324</xdr:colOff>
      <xdr:row>73</xdr:row>
      <xdr:rowOff>139520</xdr:rowOff>
    </xdr:to>
    <xdr:sp macro="" textlink="">
      <xdr:nvSpPr>
        <xdr:cNvPr id="3" name="Rectangl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93840" y="13192760"/>
          <a:ext cx="14754225" cy="3366135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165848</xdr:colOff>
      <xdr:row>7</xdr:row>
      <xdr:rowOff>53788</xdr:rowOff>
    </xdr:from>
    <xdr:to>
      <xdr:col>15</xdr:col>
      <xdr:colOff>2243</xdr:colOff>
      <xdr:row>18</xdr:row>
      <xdr:rowOff>26893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112058</xdr:colOff>
      <xdr:row>45</xdr:row>
      <xdr:rowOff>105834</xdr:rowOff>
    </xdr:from>
    <xdr:to>
      <xdr:col>8</xdr:col>
      <xdr:colOff>100852</xdr:colOff>
      <xdr:row>83</xdr:row>
      <xdr:rowOff>148167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2760" y="9365615"/>
          <a:ext cx="5697220" cy="9189720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193182</xdr:colOff>
      <xdr:row>61</xdr:row>
      <xdr:rowOff>96593</xdr:rowOff>
    </xdr:from>
    <xdr:to>
      <xdr:col>15</xdr:col>
      <xdr:colOff>25890</xdr:colOff>
      <xdr:row>73</xdr:row>
      <xdr:rowOff>37501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72080</xdr:colOff>
      <xdr:row>5</xdr:row>
      <xdr:rowOff>34165</xdr:rowOff>
    </xdr:from>
    <xdr:to>
      <xdr:col>23</xdr:col>
      <xdr:colOff>118056</xdr:colOff>
      <xdr:row>18</xdr:row>
      <xdr:rowOff>128789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561455" y="1046480"/>
          <a:ext cx="13647420" cy="3028315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2</xdr:col>
      <xdr:colOff>257735</xdr:colOff>
      <xdr:row>2</xdr:row>
      <xdr:rowOff>0</xdr:rowOff>
    </xdr:from>
    <xdr:to>
      <xdr:col>3</xdr:col>
      <xdr:colOff>806823</xdr:colOff>
      <xdr:row>3</xdr:row>
      <xdr:rowOff>100224</xdr:rowOff>
    </xdr:to>
    <xdr:pic>
      <xdr:nvPicPr>
        <xdr:cNvPr id="8" name="Picture 9" descr="image00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0550" y="403225"/>
          <a:ext cx="806450" cy="306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87"/>
  <sheetViews>
    <sheetView showGridLines="0" tabSelected="1" topLeftCell="A6" zoomScale="25" zoomScaleNormal="25" workbookViewId="0">
      <selection activeCell="E8" sqref="E8"/>
    </sheetView>
  </sheetViews>
  <sheetFormatPr defaultColWidth="8.77734375" defaultRowHeight="15.6"/>
  <cols>
    <col min="1" max="1" width="3.44140625" style="4" customWidth="1"/>
    <col min="2" max="2" width="2" style="4" customWidth="1"/>
    <col min="3" max="3" width="3" style="4" customWidth="1"/>
    <col min="4" max="4" width="31.21875" style="4" customWidth="1"/>
    <col min="5" max="5" width="14.21875" style="4" customWidth="1"/>
    <col min="6" max="6" width="16.77734375" style="4" customWidth="1"/>
    <col min="7" max="7" width="16.44140625" style="4" customWidth="1"/>
    <col min="8" max="8" width="0.21875" style="4" customWidth="1"/>
    <col min="9" max="9" width="5.77734375" style="4" customWidth="1"/>
    <col min="10" max="10" width="13.77734375" style="4" customWidth="1"/>
    <col min="11" max="11" width="8.21875" style="4" customWidth="1"/>
    <col min="12" max="12" width="16.44140625" style="4" customWidth="1"/>
    <col min="13" max="13" width="18.44140625" style="4" customWidth="1"/>
    <col min="14" max="14" width="16.5546875" style="4" customWidth="1"/>
    <col min="15" max="15" width="10.5546875" style="4" customWidth="1"/>
    <col min="16" max="16" width="7.77734375" style="4" customWidth="1"/>
    <col min="17" max="17" width="11.77734375" style="4" customWidth="1"/>
    <col min="18" max="20" width="13.77734375" style="4" customWidth="1"/>
    <col min="21" max="21" width="12.77734375" style="4" customWidth="1"/>
    <col min="22" max="22" width="17.21875" style="4" customWidth="1"/>
    <col min="23" max="23" width="19.77734375" style="4" customWidth="1"/>
    <col min="24" max="24" width="16.44140625" style="5" customWidth="1"/>
    <col min="25" max="26" width="24.44140625" style="6" customWidth="1"/>
    <col min="27" max="27" width="12.5546875" style="6" customWidth="1"/>
    <col min="28" max="33" width="8.77734375" style="6"/>
    <col min="34" max="37" width="8.77734375" style="7"/>
    <col min="38" max="16384" width="8.77734375" style="4"/>
  </cols>
  <sheetData>
    <row r="2" spans="2:37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01"/>
      <c r="Y2" s="118"/>
    </row>
    <row r="3" spans="2:37">
      <c r="B3" s="10"/>
      <c r="E3" s="158" t="s">
        <v>0</v>
      </c>
      <c r="F3" s="159"/>
      <c r="Y3" s="119"/>
      <c r="AH3" s="6"/>
    </row>
    <row r="4" spans="2:37">
      <c r="B4" s="10"/>
      <c r="Y4" s="119"/>
      <c r="AH4" s="6"/>
      <c r="AK4" s="6"/>
    </row>
    <row r="5" spans="2:37">
      <c r="B5" s="10"/>
      <c r="D5" s="160" t="s">
        <v>1</v>
      </c>
      <c r="E5" s="161"/>
      <c r="F5" s="162"/>
      <c r="J5" s="2" t="s">
        <v>2</v>
      </c>
      <c r="K5" s="4" t="s">
        <v>3</v>
      </c>
      <c r="Y5" s="119"/>
      <c r="AH5" s="6"/>
      <c r="AK5" s="6"/>
    </row>
    <row r="6" spans="2:37">
      <c r="B6" s="10"/>
      <c r="D6" s="11" t="s">
        <v>4</v>
      </c>
      <c r="E6" s="12" t="s">
        <v>5</v>
      </c>
      <c r="F6" s="13" t="s">
        <v>6</v>
      </c>
      <c r="L6" s="85" t="s">
        <v>7</v>
      </c>
      <c r="Y6" s="119" t="s">
        <v>8</v>
      </c>
      <c r="AH6" s="6"/>
      <c r="AK6" s="6"/>
    </row>
    <row r="7" spans="2:37">
      <c r="B7" s="10"/>
      <c r="D7" s="163" t="s">
        <v>9</v>
      </c>
      <c r="E7" s="164"/>
      <c r="F7" s="165"/>
      <c r="K7" s="86" t="s">
        <v>10</v>
      </c>
      <c r="L7" s="87" t="s">
        <v>8</v>
      </c>
      <c r="M7" s="87" t="s">
        <v>11</v>
      </c>
      <c r="N7" s="86" t="s">
        <v>12</v>
      </c>
      <c r="O7" s="88" t="str">
        <f>CONCATENATE(ROUND(SUM(AF7:AF16),1)," months")</f>
        <v>12.7 months</v>
      </c>
      <c r="Q7" s="160" t="s">
        <v>13</v>
      </c>
      <c r="R7" s="161"/>
      <c r="S7" s="161"/>
      <c r="T7" s="161"/>
      <c r="U7" s="161"/>
      <c r="V7" s="161"/>
      <c r="W7" s="162"/>
      <c r="Y7" s="119" t="s">
        <v>14</v>
      </c>
      <c r="Z7" s="120">
        <f t="shared" ref="Z7:Z16" si="0">IF(($F$13-$E$13)/W9&gt;1,1,0)</f>
        <v>0</v>
      </c>
      <c r="AA7" s="120">
        <f t="shared" ref="AA7:AA16" si="1">V9/12</f>
        <v>432166.53218640498</v>
      </c>
      <c r="AB7" s="121">
        <f t="shared" ref="AB7:AB16" si="2">$X$9-W9</f>
        <v>2.6638256614409599</v>
      </c>
      <c r="AC7" s="6">
        <f t="shared" ref="AC7:AC16" si="3">IF(AND(AB7&lt;1,AB8&lt;1),0,1)</f>
        <v>1</v>
      </c>
      <c r="AD7" s="122">
        <f t="shared" ref="AD7:AD16" si="4">AB7*100000/AA7</f>
        <v>0.61638869811695196</v>
      </c>
      <c r="AE7" s="6">
        <f t="shared" ref="AE7:AE16" si="5">IF(AD7&gt;0,12,AD7+12)</f>
        <v>12</v>
      </c>
      <c r="AF7" s="121">
        <f t="shared" ref="AF7:AF16" si="6">IF(AE7&gt;0,AE7,0)</f>
        <v>12</v>
      </c>
      <c r="AG7" s="6">
        <f t="shared" ref="AG7:AG16" si="7">IF(AD7&gt;0,AF7,0)</f>
        <v>12</v>
      </c>
      <c r="AH7" s="6"/>
      <c r="AK7" s="6"/>
    </row>
    <row r="8" spans="2:37" s="1" customFormat="1" ht="43.2">
      <c r="B8" s="14"/>
      <c r="D8" s="15" t="s">
        <v>15</v>
      </c>
      <c r="E8" s="16" t="s">
        <v>16</v>
      </c>
      <c r="F8" s="17" t="s">
        <v>17</v>
      </c>
      <c r="J8" s="4"/>
      <c r="K8" s="4"/>
      <c r="L8" s="4"/>
      <c r="M8" s="4"/>
      <c r="N8" s="4"/>
      <c r="O8" s="4"/>
      <c r="P8" s="4"/>
      <c r="Q8" s="11" t="s">
        <v>18</v>
      </c>
      <c r="R8" s="102" t="s">
        <v>19</v>
      </c>
      <c r="S8" s="102" t="s">
        <v>20</v>
      </c>
      <c r="T8" s="102" t="s">
        <v>21</v>
      </c>
      <c r="U8" s="102" t="s">
        <v>22</v>
      </c>
      <c r="V8" s="102" t="s">
        <v>23</v>
      </c>
      <c r="W8" s="103" t="s">
        <v>24</v>
      </c>
      <c r="X8" s="104"/>
      <c r="Y8" s="123"/>
      <c r="Z8" s="120">
        <f t="shared" si="0"/>
        <v>0</v>
      </c>
      <c r="AA8" s="120">
        <f t="shared" si="1"/>
        <v>390815.81790069002</v>
      </c>
      <c r="AB8" s="121">
        <f t="shared" si="2"/>
        <v>-44.2340724866419</v>
      </c>
      <c r="AC8" s="6">
        <f t="shared" si="3"/>
        <v>0</v>
      </c>
      <c r="AD8" s="122">
        <f t="shared" si="4"/>
        <v>-11.3183935911934</v>
      </c>
      <c r="AE8" s="6">
        <f t="shared" si="5"/>
        <v>0.68160640880658196</v>
      </c>
      <c r="AF8" s="121">
        <f t="shared" si="6"/>
        <v>0.68160640880658196</v>
      </c>
      <c r="AG8" s="6">
        <f t="shared" si="7"/>
        <v>0</v>
      </c>
      <c r="AH8" s="131"/>
      <c r="AI8" s="132"/>
      <c r="AJ8" s="132"/>
      <c r="AK8" s="131"/>
    </row>
    <row r="9" spans="2:37">
      <c r="B9" s="10"/>
      <c r="D9" s="15" t="s">
        <v>25</v>
      </c>
      <c r="E9" s="18">
        <v>55</v>
      </c>
      <c r="F9" s="19">
        <v>135</v>
      </c>
      <c r="G9" s="20"/>
      <c r="H9" s="20"/>
      <c r="I9" s="20"/>
      <c r="Q9" s="105">
        <v>1</v>
      </c>
      <c r="R9" s="106">
        <f t="shared" ref="R9:R18" si="8">($G$53-$G$54)*12</f>
        <v>4291066.8807756398</v>
      </c>
      <c r="S9" s="107">
        <f t="shared" ref="S9:S18" si="9">IF(Q9*12&gt;$E$43,0,$G$70*12*-1)</f>
        <v>-147825.63739592599</v>
      </c>
      <c r="T9" s="106">
        <f t="shared" ref="T9:T18" si="10">IF($L$7="Inc. Depreciation",G74,0)</f>
        <v>1042757.14285714</v>
      </c>
      <c r="U9" s="106">
        <f t="shared" ref="U9:U18" si="11">IF(Q9=E$14,$F$15-$E$15,0)*100000</f>
        <v>0</v>
      </c>
      <c r="V9" s="108">
        <f t="shared" ref="V9:V18" si="12">SUM(R9:U9)</f>
        <v>5185998.3862368604</v>
      </c>
      <c r="W9" s="109">
        <f>V9/100000</f>
        <v>51.859983862368601</v>
      </c>
      <c r="X9" s="110">
        <f t="shared" ref="X9:X18" si="13">IF($M$7="Basic + Gst",$F$13-$E$13,($F$9*$F$10)+($F$11*$F$12)-($E$9*$E$10))</f>
        <v>54.523809523809497</v>
      </c>
      <c r="Y9" s="119" t="s">
        <v>11</v>
      </c>
      <c r="Z9" s="120">
        <f t="shared" si="0"/>
        <v>0</v>
      </c>
      <c r="AA9" s="120">
        <f t="shared" si="1"/>
        <v>366994.21075783297</v>
      </c>
      <c r="AB9" s="121">
        <f t="shared" si="2"/>
        <v>-88.273377777581899</v>
      </c>
      <c r="AC9" s="6">
        <f t="shared" si="3"/>
        <v>0</v>
      </c>
      <c r="AD9" s="122">
        <f t="shared" si="4"/>
        <v>-24.053070917740001</v>
      </c>
      <c r="AE9" s="6">
        <f t="shared" si="5"/>
        <v>-12.05307091774</v>
      </c>
      <c r="AF9" s="121">
        <f t="shared" si="6"/>
        <v>0</v>
      </c>
      <c r="AG9" s="6">
        <f t="shared" si="7"/>
        <v>0</v>
      </c>
      <c r="AH9" s="6"/>
      <c r="AK9" s="6"/>
    </row>
    <row r="10" spans="2:37">
      <c r="B10" s="10"/>
      <c r="D10" s="21" t="s">
        <v>26</v>
      </c>
      <c r="E10" s="22">
        <f>F23/E23</f>
        <v>1.52380952380952</v>
      </c>
      <c r="F10" s="23">
        <v>1</v>
      </c>
      <c r="G10" s="20"/>
      <c r="H10" s="20"/>
      <c r="I10" s="20"/>
      <c r="J10" s="1"/>
      <c r="K10" s="1"/>
      <c r="L10" s="1"/>
      <c r="M10" s="1"/>
      <c r="N10" s="1"/>
      <c r="O10" s="1"/>
      <c r="P10" s="1"/>
      <c r="Q10" s="105">
        <v>2</v>
      </c>
      <c r="R10" s="106">
        <f t="shared" si="8"/>
        <v>4291066.8807756398</v>
      </c>
      <c r="S10" s="107">
        <f t="shared" si="9"/>
        <v>-147825.63739592599</v>
      </c>
      <c r="T10" s="106">
        <f t="shared" si="10"/>
        <v>546548.57142857101</v>
      </c>
      <c r="U10" s="106">
        <f t="shared" si="11"/>
        <v>0</v>
      </c>
      <c r="V10" s="108">
        <f t="shared" si="12"/>
        <v>4689789.8148082905</v>
      </c>
      <c r="W10" s="109">
        <f t="shared" ref="W10:W18" si="14">(V10/100000+W9)</f>
        <v>98.757882010451397</v>
      </c>
      <c r="X10" s="110">
        <f t="shared" si="13"/>
        <v>54.523809523809497</v>
      </c>
      <c r="Y10" s="119" t="s">
        <v>27</v>
      </c>
      <c r="Z10" s="120">
        <f t="shared" si="0"/>
        <v>0</v>
      </c>
      <c r="AA10" s="120">
        <f t="shared" si="1"/>
        <v>353541.744686405</v>
      </c>
      <c r="AB10" s="121">
        <f t="shared" si="2"/>
        <v>-130.69838713995</v>
      </c>
      <c r="AC10" s="6">
        <f t="shared" si="3"/>
        <v>0</v>
      </c>
      <c r="AD10" s="122">
        <f t="shared" si="4"/>
        <v>-36.968304055828298</v>
      </c>
      <c r="AE10" s="6">
        <f t="shared" si="5"/>
        <v>-24.968304055828298</v>
      </c>
      <c r="AF10" s="121">
        <f t="shared" si="6"/>
        <v>0</v>
      </c>
      <c r="AG10" s="6">
        <f t="shared" si="7"/>
        <v>0</v>
      </c>
      <c r="AH10" s="6"/>
      <c r="AK10" s="6"/>
    </row>
    <row r="11" spans="2:37">
      <c r="B11" s="10"/>
      <c r="D11" s="21" t="s">
        <v>28</v>
      </c>
      <c r="E11" s="24" t="s">
        <v>29</v>
      </c>
      <c r="F11" s="25">
        <f>1/3</f>
        <v>0.33333333333333298</v>
      </c>
      <c r="G11" s="20"/>
      <c r="Q11" s="105">
        <v>3</v>
      </c>
      <c r="R11" s="106">
        <f t="shared" si="8"/>
        <v>4291066.8807756398</v>
      </c>
      <c r="S11" s="107">
        <f t="shared" si="9"/>
        <v>-147825.63739592599</v>
      </c>
      <c r="T11" s="106">
        <f t="shared" si="10"/>
        <v>260689.285714286</v>
      </c>
      <c r="U11" s="106">
        <f t="shared" si="11"/>
        <v>0</v>
      </c>
      <c r="V11" s="108">
        <f t="shared" si="12"/>
        <v>4403930.5290940003</v>
      </c>
      <c r="W11" s="109">
        <f t="shared" si="14"/>
        <v>142.79718730139101</v>
      </c>
      <c r="X11" s="110">
        <f t="shared" si="13"/>
        <v>54.523809523809497</v>
      </c>
      <c r="Y11" s="119"/>
      <c r="Z11" s="120">
        <f t="shared" si="0"/>
        <v>0</v>
      </c>
      <c r="AA11" s="122">
        <f t="shared" si="1"/>
        <v>414339.45043045201</v>
      </c>
      <c r="AB11" s="121">
        <f t="shared" si="2"/>
        <v>-180.419121191605</v>
      </c>
      <c r="AC11" s="6">
        <f t="shared" si="3"/>
        <v>0</v>
      </c>
      <c r="AD11" s="122">
        <f t="shared" si="4"/>
        <v>-43.543795070483696</v>
      </c>
      <c r="AE11" s="6">
        <f t="shared" si="5"/>
        <v>-31.5437950704837</v>
      </c>
      <c r="AF11" s="121">
        <f t="shared" si="6"/>
        <v>0</v>
      </c>
      <c r="AG11" s="6">
        <f t="shared" si="7"/>
        <v>0</v>
      </c>
      <c r="AH11" s="6"/>
      <c r="AK11" s="6"/>
    </row>
    <row r="12" spans="2:37">
      <c r="B12" s="10"/>
      <c r="D12" s="21" t="s">
        <v>30</v>
      </c>
      <c r="E12" s="24" t="s">
        <v>29</v>
      </c>
      <c r="F12" s="26">
        <v>10</v>
      </c>
      <c r="G12" s="20"/>
      <c r="Q12" s="105">
        <v>4</v>
      </c>
      <c r="R12" s="106">
        <f t="shared" si="8"/>
        <v>4291066.8807756398</v>
      </c>
      <c r="S12" s="107">
        <f t="shared" si="9"/>
        <v>-147825.63739592599</v>
      </c>
      <c r="T12" s="106">
        <f t="shared" si="10"/>
        <v>99259.692857142902</v>
      </c>
      <c r="U12" s="106">
        <f t="shared" si="11"/>
        <v>0</v>
      </c>
      <c r="V12" s="108">
        <f t="shared" si="12"/>
        <v>4242500.9362368602</v>
      </c>
      <c r="W12" s="109">
        <f t="shared" si="14"/>
        <v>185.22219666376</v>
      </c>
      <c r="X12" s="110">
        <f t="shared" si="13"/>
        <v>54.523809523809497</v>
      </c>
      <c r="Y12" s="119"/>
      <c r="Z12" s="120">
        <f t="shared" si="0"/>
        <v>0</v>
      </c>
      <c r="AA12" s="120">
        <f t="shared" si="1"/>
        <v>357588.90673130302</v>
      </c>
      <c r="AB12" s="121">
        <f t="shared" si="2"/>
        <v>-223.329789999361</v>
      </c>
      <c r="AC12" s="6">
        <f t="shared" si="3"/>
        <v>0</v>
      </c>
      <c r="AD12" s="122">
        <f t="shared" si="4"/>
        <v>-62.454339548954202</v>
      </c>
      <c r="AE12" s="6">
        <f t="shared" si="5"/>
        <v>-50.454339548954202</v>
      </c>
      <c r="AF12" s="121">
        <f t="shared" si="6"/>
        <v>0</v>
      </c>
      <c r="AG12" s="6">
        <f t="shared" si="7"/>
        <v>0</v>
      </c>
      <c r="AH12" s="6"/>
      <c r="AK12" s="6"/>
    </row>
    <row r="13" spans="2:37">
      <c r="B13" s="10"/>
      <c r="D13" s="21" t="s">
        <v>31</v>
      </c>
      <c r="E13" s="27">
        <f>E9*1.28*E10</f>
        <v>107.27619047619</v>
      </c>
      <c r="F13" s="28">
        <f>((F9*F10)+(F11*F12))*1.05</f>
        <v>145.25</v>
      </c>
      <c r="Q13" s="105">
        <v>5</v>
      </c>
      <c r="R13" s="106">
        <f t="shared" si="8"/>
        <v>4291066.8807756398</v>
      </c>
      <c r="S13" s="107">
        <f t="shared" si="9"/>
        <v>-147825.63739592599</v>
      </c>
      <c r="T13" s="106">
        <f t="shared" si="10"/>
        <v>10975.0189285714</v>
      </c>
      <c r="U13" s="106">
        <f t="shared" si="11"/>
        <v>817857.14285714296</v>
      </c>
      <c r="V13" s="108">
        <f t="shared" si="12"/>
        <v>4972073.4051654302</v>
      </c>
      <c r="W13" s="109">
        <f t="shared" si="14"/>
        <v>234.94293071541401</v>
      </c>
      <c r="X13" s="110">
        <f t="shared" si="13"/>
        <v>54.523809523809497</v>
      </c>
      <c r="Y13" s="119"/>
      <c r="Z13" s="120">
        <f t="shared" si="0"/>
        <v>0</v>
      </c>
      <c r="AA13" s="120">
        <f t="shared" si="1"/>
        <v>357588.90673130302</v>
      </c>
      <c r="AB13" s="121">
        <f t="shared" si="2"/>
        <v>-266.24045880711799</v>
      </c>
      <c r="AC13" s="6">
        <f t="shared" si="3"/>
        <v>0</v>
      </c>
      <c r="AD13" s="122">
        <f t="shared" si="4"/>
        <v>-74.454339548954195</v>
      </c>
      <c r="AE13" s="6">
        <f t="shared" si="5"/>
        <v>-62.454339548954202</v>
      </c>
      <c r="AF13" s="121">
        <f t="shared" si="6"/>
        <v>0</v>
      </c>
      <c r="AG13" s="6">
        <f t="shared" si="7"/>
        <v>0</v>
      </c>
      <c r="AH13" s="6"/>
      <c r="AK13" s="6"/>
    </row>
    <row r="14" spans="2:37">
      <c r="B14" s="10"/>
      <c r="D14" s="21" t="s">
        <v>32</v>
      </c>
      <c r="E14" s="18">
        <v>5</v>
      </c>
      <c r="F14" s="29">
        <v>5</v>
      </c>
      <c r="Q14" s="105">
        <v>6</v>
      </c>
      <c r="R14" s="106">
        <f t="shared" si="8"/>
        <v>4291066.8807756398</v>
      </c>
      <c r="S14" s="107">
        <f t="shared" si="9"/>
        <v>0</v>
      </c>
      <c r="T14" s="106">
        <f t="shared" si="10"/>
        <v>0</v>
      </c>
      <c r="U14" s="106">
        <f t="shared" si="11"/>
        <v>0</v>
      </c>
      <c r="V14" s="108">
        <f t="shared" si="12"/>
        <v>4291066.8807756398</v>
      </c>
      <c r="W14" s="109">
        <f t="shared" si="14"/>
        <v>277.853599523171</v>
      </c>
      <c r="X14" s="110">
        <f t="shared" si="13"/>
        <v>54.523809523809497</v>
      </c>
      <c r="Y14" s="119"/>
      <c r="Z14" s="120">
        <f t="shared" si="0"/>
        <v>0</v>
      </c>
      <c r="AA14" s="120">
        <f t="shared" si="1"/>
        <v>357588.90673130302</v>
      </c>
      <c r="AB14" s="121">
        <f t="shared" si="2"/>
        <v>-309.15112761487399</v>
      </c>
      <c r="AC14" s="6">
        <f t="shared" si="3"/>
        <v>0</v>
      </c>
      <c r="AD14" s="122">
        <f t="shared" si="4"/>
        <v>-86.454339548954195</v>
      </c>
      <c r="AE14" s="6">
        <f t="shared" si="5"/>
        <v>-74.454339548954195</v>
      </c>
      <c r="AF14" s="121">
        <f t="shared" si="6"/>
        <v>0</v>
      </c>
      <c r="AG14" s="6">
        <f t="shared" si="7"/>
        <v>0</v>
      </c>
      <c r="AH14" s="6"/>
      <c r="AK14" s="6"/>
    </row>
    <row r="15" spans="2:37">
      <c r="B15" s="10"/>
      <c r="D15" s="10" t="s">
        <v>33</v>
      </c>
      <c r="E15" s="30">
        <f>(E9*E10)*15%</f>
        <v>12.5714285714286</v>
      </c>
      <c r="F15" s="31">
        <f>((F9*F10)+(F12*F11))*15%</f>
        <v>20.75</v>
      </c>
      <c r="Q15" s="105">
        <v>7</v>
      </c>
      <c r="R15" s="106">
        <f t="shared" si="8"/>
        <v>4291066.8807756398</v>
      </c>
      <c r="S15" s="107">
        <f t="shared" si="9"/>
        <v>0</v>
      </c>
      <c r="T15" s="106">
        <f t="shared" si="10"/>
        <v>0</v>
      </c>
      <c r="U15" s="106">
        <f t="shared" si="11"/>
        <v>0</v>
      </c>
      <c r="V15" s="108">
        <f t="shared" si="12"/>
        <v>4291066.8807756398</v>
      </c>
      <c r="W15" s="109">
        <f t="shared" si="14"/>
        <v>320.764268330927</v>
      </c>
      <c r="X15" s="110">
        <f t="shared" si="13"/>
        <v>54.523809523809497</v>
      </c>
      <c r="Y15" s="119"/>
      <c r="Z15" s="120">
        <f t="shared" si="0"/>
        <v>0</v>
      </c>
      <c r="AA15" s="120">
        <f t="shared" si="1"/>
        <v>357588.90673130302</v>
      </c>
      <c r="AB15" s="121">
        <f t="shared" si="2"/>
        <v>-352.06179642262998</v>
      </c>
      <c r="AC15" s="6">
        <f t="shared" si="3"/>
        <v>0</v>
      </c>
      <c r="AD15" s="122">
        <f t="shared" si="4"/>
        <v>-98.454339548954195</v>
      </c>
      <c r="AE15" s="6">
        <f t="shared" si="5"/>
        <v>-86.454339548954195</v>
      </c>
      <c r="AF15" s="121">
        <f t="shared" si="6"/>
        <v>0</v>
      </c>
      <c r="AG15" s="6">
        <f t="shared" si="7"/>
        <v>0</v>
      </c>
      <c r="AH15" s="6"/>
      <c r="AK15" s="6"/>
    </row>
    <row r="16" spans="2:37">
      <c r="B16" s="10"/>
      <c r="D16" s="21" t="s">
        <v>34</v>
      </c>
      <c r="E16" s="30">
        <f>(E9*E10)-E15</f>
        <v>71.238095238095198</v>
      </c>
      <c r="F16" s="31">
        <f>(F9*F10)+(F12*F11)-F15</f>
        <v>117.583333333333</v>
      </c>
      <c r="Q16" s="105">
        <v>8</v>
      </c>
      <c r="R16" s="106">
        <f t="shared" si="8"/>
        <v>4291066.8807756398</v>
      </c>
      <c r="S16" s="107">
        <f t="shared" si="9"/>
        <v>0</v>
      </c>
      <c r="T16" s="106">
        <f t="shared" si="10"/>
        <v>0</v>
      </c>
      <c r="U16" s="106">
        <f t="shared" si="11"/>
        <v>0</v>
      </c>
      <c r="V16" s="108">
        <f t="shared" si="12"/>
        <v>4291066.8807756398</v>
      </c>
      <c r="W16" s="109">
        <f t="shared" si="14"/>
        <v>363.67493713868402</v>
      </c>
      <c r="X16" s="110">
        <f t="shared" si="13"/>
        <v>54.523809523809497</v>
      </c>
      <c r="Y16" s="119"/>
      <c r="Z16" s="120">
        <f t="shared" si="0"/>
        <v>0</v>
      </c>
      <c r="AA16" s="120">
        <f t="shared" si="1"/>
        <v>357588.90673130302</v>
      </c>
      <c r="AB16" s="121">
        <f t="shared" si="2"/>
        <v>-394.972465230387</v>
      </c>
      <c r="AC16" s="6">
        <f t="shared" si="3"/>
        <v>0</v>
      </c>
      <c r="AD16" s="122">
        <f t="shared" si="4"/>
        <v>-110.454339548954</v>
      </c>
      <c r="AE16" s="6">
        <f t="shared" si="5"/>
        <v>-98.454339548954195</v>
      </c>
      <c r="AF16" s="121">
        <f t="shared" si="6"/>
        <v>0</v>
      </c>
      <c r="AG16" s="6">
        <f t="shared" si="7"/>
        <v>0</v>
      </c>
      <c r="AH16" s="6"/>
      <c r="AK16" s="6"/>
    </row>
    <row r="17" spans="2:37">
      <c r="B17" s="10"/>
      <c r="D17" s="21" t="s">
        <v>35</v>
      </c>
      <c r="E17" s="30">
        <f>E16/E14</f>
        <v>14.247619047619001</v>
      </c>
      <c r="F17" s="31">
        <f>F16/F14</f>
        <v>23.516666666666701</v>
      </c>
      <c r="Q17" s="105">
        <v>9</v>
      </c>
      <c r="R17" s="106">
        <f t="shared" si="8"/>
        <v>4291066.8807756398</v>
      </c>
      <c r="S17" s="107">
        <f t="shared" si="9"/>
        <v>0</v>
      </c>
      <c r="T17" s="106">
        <f t="shared" si="10"/>
        <v>0</v>
      </c>
      <c r="U17" s="106">
        <f t="shared" si="11"/>
        <v>0</v>
      </c>
      <c r="V17" s="108">
        <f t="shared" si="12"/>
        <v>4291066.8807756398</v>
      </c>
      <c r="W17" s="109">
        <f t="shared" si="14"/>
        <v>406.58560594644001</v>
      </c>
      <c r="X17" s="110">
        <f t="shared" si="13"/>
        <v>54.523809523809497</v>
      </c>
      <c r="Y17" s="119"/>
      <c r="AH17" s="6"/>
      <c r="AK17" s="6"/>
    </row>
    <row r="18" spans="2:37">
      <c r="B18" s="10"/>
      <c r="D18" s="32" t="s">
        <v>36</v>
      </c>
      <c r="E18" s="27">
        <f>(F66/(E43/12))/100000</f>
        <v>5.5807579953488204</v>
      </c>
      <c r="F18" s="28">
        <f>(F67/(E43/12))/100000</f>
        <v>7.55624426283413</v>
      </c>
      <c r="Q18" s="111">
        <v>10</v>
      </c>
      <c r="R18" s="112">
        <f t="shared" si="8"/>
        <v>4291066.8807756398</v>
      </c>
      <c r="S18" s="113">
        <f t="shared" si="9"/>
        <v>0</v>
      </c>
      <c r="T18" s="112">
        <f t="shared" si="10"/>
        <v>0</v>
      </c>
      <c r="U18" s="112">
        <f t="shared" si="11"/>
        <v>0</v>
      </c>
      <c r="V18" s="114">
        <f t="shared" si="12"/>
        <v>4291066.8807756398</v>
      </c>
      <c r="W18" s="115">
        <f t="shared" si="14"/>
        <v>449.49627475419601</v>
      </c>
      <c r="X18" s="110">
        <f t="shared" si="13"/>
        <v>54.523809523809497</v>
      </c>
      <c r="Y18" s="119"/>
      <c r="AH18" s="6"/>
      <c r="AK18" s="6"/>
    </row>
    <row r="19" spans="2:37">
      <c r="B19" s="10"/>
      <c r="D19" s="32" t="s">
        <v>37</v>
      </c>
      <c r="E19" s="27">
        <f>0.8*E10</f>
        <v>1.21904761904762</v>
      </c>
      <c r="F19" s="28">
        <f>1.2*F10</f>
        <v>1.2</v>
      </c>
      <c r="X19" s="104"/>
      <c r="Y19" s="124"/>
      <c r="Z19" s="125"/>
      <c r="AH19" s="6"/>
      <c r="AK19" s="6"/>
    </row>
    <row r="20" spans="2:37">
      <c r="B20" s="10"/>
      <c r="D20" s="32" t="s">
        <v>38</v>
      </c>
      <c r="E20" s="27">
        <v>2</v>
      </c>
      <c r="F20" s="28"/>
      <c r="Y20" s="119"/>
      <c r="AH20" s="6"/>
      <c r="AK20" s="6"/>
    </row>
    <row r="21" spans="2:37">
      <c r="B21" s="10"/>
      <c r="D21" s="32" t="s">
        <v>39</v>
      </c>
      <c r="E21" s="30">
        <f>E17+E18+E19+E20</f>
        <v>23.047424662015501</v>
      </c>
      <c r="F21" s="31">
        <f>F17+F18+F19+F20</f>
        <v>32.272910929500803</v>
      </c>
      <c r="Y21" s="119"/>
      <c r="AH21" s="6"/>
      <c r="AK21" s="6"/>
    </row>
    <row r="22" spans="2:37">
      <c r="B22" s="10"/>
      <c r="D22" s="166" t="s">
        <v>40</v>
      </c>
      <c r="E22" s="167"/>
      <c r="F22" s="168"/>
      <c r="K22" s="89"/>
      <c r="X22" s="104"/>
      <c r="Y22" s="124"/>
      <c r="Z22" s="125"/>
      <c r="AA22" s="125"/>
      <c r="AB22" s="125"/>
      <c r="AC22" s="125"/>
      <c r="AD22" s="125"/>
      <c r="AE22" s="125"/>
      <c r="AF22" s="125"/>
      <c r="AG22" s="7"/>
      <c r="AK22" s="6"/>
    </row>
    <row r="23" spans="2:37">
      <c r="B23" s="10"/>
      <c r="D23" s="32" t="s">
        <v>41</v>
      </c>
      <c r="E23" s="33">
        <v>21</v>
      </c>
      <c r="F23" s="34">
        <v>32</v>
      </c>
      <c r="G23" s="4" t="s">
        <v>42</v>
      </c>
      <c r="K23" s="89"/>
      <c r="X23" s="104"/>
      <c r="Y23" s="124"/>
      <c r="Z23" s="125"/>
      <c r="AA23" s="125"/>
      <c r="AB23" s="125"/>
      <c r="AC23" s="125"/>
      <c r="AD23" s="125"/>
      <c r="AE23" s="125"/>
      <c r="AF23" s="125"/>
      <c r="AG23" s="7"/>
      <c r="AK23" s="6"/>
    </row>
    <row r="24" spans="2:37">
      <c r="B24" s="10"/>
      <c r="D24" s="32" t="s">
        <v>43</v>
      </c>
      <c r="E24" s="33">
        <f>E32*2.17</f>
        <v>34.72</v>
      </c>
      <c r="F24" s="33">
        <f>F32*2.17</f>
        <v>34.72</v>
      </c>
      <c r="G24" s="4" t="s">
        <v>44</v>
      </c>
      <c r="M24" s="90"/>
      <c r="N24" s="91"/>
      <c r="X24" s="104"/>
      <c r="Y24" s="124"/>
      <c r="Z24" s="125"/>
      <c r="AA24" s="125"/>
      <c r="AB24" s="125"/>
      <c r="AC24" s="125"/>
      <c r="AD24" s="125"/>
      <c r="AE24" s="125"/>
      <c r="AF24" s="125"/>
      <c r="AG24" s="7"/>
      <c r="AK24" s="6"/>
    </row>
    <row r="25" spans="2:37">
      <c r="B25" s="10"/>
      <c r="D25" s="32" t="s">
        <v>45</v>
      </c>
      <c r="E25" s="169">
        <v>1</v>
      </c>
      <c r="F25" s="170"/>
      <c r="M25" s="90"/>
      <c r="N25" s="91"/>
      <c r="P25" s="91"/>
      <c r="X25" s="104"/>
      <c r="Y25" s="124"/>
      <c r="Z25" s="125"/>
      <c r="AA25" s="125"/>
      <c r="AB25" s="125"/>
      <c r="AC25" s="125"/>
      <c r="AD25" s="125"/>
      <c r="AE25" s="125"/>
      <c r="AF25" s="125"/>
      <c r="AG25" s="7"/>
      <c r="AK25" s="6"/>
    </row>
    <row r="26" spans="2:37">
      <c r="B26" s="10"/>
      <c r="D26" s="32" t="s">
        <v>46</v>
      </c>
      <c r="E26" s="33">
        <f>E24*E25</f>
        <v>34.72</v>
      </c>
      <c r="F26" s="34">
        <f>F24*E25</f>
        <v>34.72</v>
      </c>
      <c r="M26" s="90"/>
      <c r="N26" s="91"/>
      <c r="P26" s="91"/>
      <c r="X26" s="116"/>
      <c r="Y26" s="126"/>
      <c r="Z26" s="7"/>
      <c r="AA26" s="7"/>
      <c r="AB26" s="7"/>
      <c r="AC26" s="7"/>
      <c r="AD26" s="7"/>
      <c r="AE26" s="7"/>
      <c r="AF26" s="7"/>
      <c r="AG26" s="7"/>
      <c r="AK26" s="6"/>
    </row>
    <row r="27" spans="2:37">
      <c r="B27" s="10"/>
      <c r="D27" s="32" t="s">
        <v>47</v>
      </c>
      <c r="E27" s="33">
        <f>E23*E24*E10</f>
        <v>1111.04</v>
      </c>
      <c r="F27" s="34">
        <f>F23*F24*F10</f>
        <v>1111.04</v>
      </c>
      <c r="M27" s="90"/>
      <c r="N27" s="91"/>
      <c r="X27" s="116"/>
      <c r="Y27" s="126"/>
      <c r="Z27" s="7"/>
      <c r="AA27" s="7"/>
      <c r="AB27" s="7"/>
      <c r="AC27" s="7"/>
      <c r="AD27" s="7"/>
      <c r="AE27" s="7"/>
      <c r="AF27" s="7"/>
      <c r="AG27" s="7"/>
      <c r="AK27" s="6"/>
    </row>
    <row r="28" spans="2:37">
      <c r="B28" s="10"/>
      <c r="D28" s="32" t="s">
        <v>48</v>
      </c>
      <c r="E28" s="35">
        <f>E27*E36</f>
        <v>33331.199999999997</v>
      </c>
      <c r="F28" s="36">
        <f>F27*E36</f>
        <v>33331.199999999997</v>
      </c>
      <c r="M28" s="90"/>
      <c r="N28" s="92"/>
      <c r="X28" s="116"/>
      <c r="Y28" s="126"/>
      <c r="Z28" s="7"/>
      <c r="AA28" s="7"/>
      <c r="AB28" s="7"/>
      <c r="AC28" s="7"/>
      <c r="AD28" s="7"/>
      <c r="AE28" s="7"/>
      <c r="AF28" s="7"/>
      <c r="AG28" s="7"/>
      <c r="AK28" s="6"/>
    </row>
    <row r="29" spans="2:37">
      <c r="B29" s="10"/>
      <c r="D29" s="32"/>
      <c r="E29" s="37"/>
      <c r="F29" s="38"/>
      <c r="M29" s="90"/>
      <c r="N29" s="91"/>
      <c r="P29" s="93"/>
      <c r="X29" s="116"/>
      <c r="Y29" s="126"/>
      <c r="Z29" s="7"/>
      <c r="AA29" s="7"/>
      <c r="AB29" s="7"/>
      <c r="AC29" s="7"/>
      <c r="AD29" s="7"/>
      <c r="AE29" s="7"/>
      <c r="AF29" s="7"/>
      <c r="AG29" s="7"/>
      <c r="AK29" s="6"/>
    </row>
    <row r="30" spans="2:37">
      <c r="B30" s="10"/>
      <c r="D30" s="166" t="s">
        <v>49</v>
      </c>
      <c r="E30" s="167"/>
      <c r="F30" s="168"/>
      <c r="K30" s="94"/>
      <c r="M30" s="95"/>
      <c r="N30" s="96"/>
      <c r="P30" s="91"/>
      <c r="Y30" s="119"/>
      <c r="AH30" s="6"/>
      <c r="AI30" s="6"/>
      <c r="AJ30" s="6"/>
      <c r="AK30" s="6"/>
    </row>
    <row r="31" spans="2:37">
      <c r="B31" s="10"/>
      <c r="D31" s="21" t="s">
        <v>50</v>
      </c>
      <c r="E31" s="39">
        <f>16.5/4.1</f>
        <v>4.0243902439024399</v>
      </c>
      <c r="F31" s="40">
        <f>18/4.6*1.37</f>
        <v>5.3608695652173903</v>
      </c>
      <c r="G31" s="4" t="s">
        <v>51</v>
      </c>
      <c r="K31" s="94"/>
      <c r="M31" s="97"/>
      <c r="N31" s="96"/>
      <c r="P31" s="91"/>
      <c r="X31" s="117"/>
      <c r="Y31" s="127"/>
      <c r="Z31" s="4"/>
      <c r="AA31" s="4"/>
      <c r="AB31" s="4"/>
      <c r="AC31" s="4"/>
      <c r="AD31" s="4"/>
      <c r="AE31" s="4"/>
      <c r="AF31" s="4"/>
      <c r="AG31" s="4"/>
      <c r="AH31" s="4"/>
    </row>
    <row r="32" spans="2:37">
      <c r="B32" s="10"/>
      <c r="D32" s="41" t="s">
        <v>52</v>
      </c>
      <c r="E32" s="33">
        <v>16</v>
      </c>
      <c r="F32" s="42">
        <v>16</v>
      </c>
      <c r="M32" s="97"/>
      <c r="N32" s="96"/>
      <c r="O32" s="97"/>
      <c r="P32" s="96"/>
      <c r="Y32" s="119"/>
      <c r="Z32" s="7"/>
      <c r="AA32" s="7"/>
      <c r="AB32" s="7"/>
      <c r="AC32" s="7"/>
      <c r="AD32" s="7"/>
      <c r="AE32" s="7"/>
      <c r="AF32" s="7"/>
      <c r="AG32" s="7"/>
    </row>
    <row r="33" spans="2:38" ht="15.6" customHeight="1">
      <c r="B33" s="10"/>
      <c r="D33" s="41" t="s">
        <v>53</v>
      </c>
      <c r="E33" s="43">
        <v>95</v>
      </c>
      <c r="F33" s="44">
        <v>7.5</v>
      </c>
      <c r="K33" s="94"/>
      <c r="M33" s="95"/>
      <c r="N33" s="96"/>
      <c r="Y33" s="119"/>
      <c r="Z33" s="7"/>
      <c r="AA33" s="7"/>
      <c r="AB33" s="7"/>
      <c r="AC33" s="7"/>
      <c r="AD33" s="7"/>
      <c r="AE33" s="7"/>
      <c r="AF33" s="7"/>
      <c r="AG33" s="7"/>
    </row>
    <row r="34" spans="2:38">
      <c r="B34" s="10"/>
      <c r="D34" s="41" t="s">
        <v>54</v>
      </c>
      <c r="E34" s="45">
        <f>50000*E10</f>
        <v>76190.476190476198</v>
      </c>
      <c r="F34" s="46">
        <f>50000*F10</f>
        <v>50000</v>
      </c>
      <c r="K34" s="94"/>
      <c r="M34" s="95"/>
      <c r="N34" s="96"/>
      <c r="Y34" s="119"/>
      <c r="AH34" s="6"/>
      <c r="AL34" s="7"/>
    </row>
    <row r="35" spans="2:38">
      <c r="B35" s="10"/>
      <c r="D35" s="41" t="s">
        <v>55</v>
      </c>
      <c r="E35" s="47">
        <f>F35*E10</f>
        <v>53333.333333333299</v>
      </c>
      <c r="F35" s="47">
        <v>35000</v>
      </c>
      <c r="M35" s="95"/>
      <c r="N35" s="96"/>
      <c r="Y35" s="119"/>
      <c r="AH35" s="6"/>
      <c r="AL35" s="7"/>
    </row>
    <row r="36" spans="2:38">
      <c r="B36" s="10"/>
      <c r="D36" s="48" t="s">
        <v>56</v>
      </c>
      <c r="E36" s="171">
        <v>30</v>
      </c>
      <c r="F36" s="172"/>
      <c r="K36" s="94"/>
      <c r="Y36" s="119"/>
      <c r="AH36" s="6"/>
      <c r="AL36" s="7"/>
    </row>
    <row r="37" spans="2:38">
      <c r="B37" s="10"/>
      <c r="D37" s="166" t="s">
        <v>57</v>
      </c>
      <c r="E37" s="167"/>
      <c r="F37" s="168"/>
      <c r="Y37" s="119"/>
      <c r="AH37" s="6"/>
      <c r="AL37" s="7"/>
    </row>
    <row r="38" spans="2:38">
      <c r="B38" s="10"/>
      <c r="D38" s="21" t="s">
        <v>58</v>
      </c>
      <c r="E38" s="47">
        <f>40000*E10</f>
        <v>60952.380952380903</v>
      </c>
      <c r="F38" s="49">
        <f>20000*F10</f>
        <v>20000</v>
      </c>
      <c r="G38" s="4" t="s">
        <v>59</v>
      </c>
      <c r="Y38" s="119"/>
      <c r="AH38" s="6"/>
      <c r="AL38" s="7"/>
    </row>
    <row r="39" spans="2:38">
      <c r="B39" s="10"/>
      <c r="D39" s="166" t="s">
        <v>60</v>
      </c>
      <c r="E39" s="167"/>
      <c r="F39" s="168"/>
      <c r="Y39" s="119"/>
      <c r="AH39" s="6"/>
      <c r="AL39" s="7"/>
    </row>
    <row r="40" spans="2:38">
      <c r="B40" s="10"/>
      <c r="D40" s="41" t="s">
        <v>61</v>
      </c>
      <c r="E40" s="173">
        <v>9.5000000000000001E-2</v>
      </c>
      <c r="F40" s="174"/>
      <c r="I40" s="4" t="s">
        <v>62</v>
      </c>
      <c r="Y40" s="119"/>
      <c r="AH40" s="6"/>
      <c r="AL40" s="7"/>
    </row>
    <row r="41" spans="2:38">
      <c r="B41" s="10"/>
      <c r="D41" s="41" t="s">
        <v>63</v>
      </c>
      <c r="E41" s="173">
        <v>0.15</v>
      </c>
      <c r="F41" s="174"/>
      <c r="Y41" s="119"/>
      <c r="AH41" s="6"/>
      <c r="AL41" s="7"/>
    </row>
    <row r="42" spans="2:38">
      <c r="B42" s="10"/>
      <c r="D42" s="21" t="s">
        <v>64</v>
      </c>
      <c r="E42" s="50">
        <v>0.15</v>
      </c>
      <c r="F42" s="51">
        <v>0.4</v>
      </c>
      <c r="Y42" s="119"/>
      <c r="AH42" s="6"/>
      <c r="AL42" s="7"/>
    </row>
    <row r="43" spans="2:38">
      <c r="B43" s="10"/>
      <c r="D43" s="41" t="s">
        <v>65</v>
      </c>
      <c r="E43" s="175">
        <v>60</v>
      </c>
      <c r="F43" s="176"/>
      <c r="H43" s="52"/>
      <c r="I43" s="52"/>
      <c r="Y43" s="119"/>
      <c r="AH43" s="6"/>
      <c r="AL43" s="7"/>
    </row>
    <row r="44" spans="2:38" s="2" customFormat="1" ht="14.4">
      <c r="B44" s="53"/>
      <c r="D44" s="54" t="s">
        <v>66</v>
      </c>
      <c r="E44" s="55">
        <v>0.25169999999999998</v>
      </c>
      <c r="F44" s="56"/>
      <c r="G44" s="4"/>
      <c r="H44" s="3"/>
      <c r="I44" s="3"/>
      <c r="Y44" s="128"/>
      <c r="Z44" s="129"/>
      <c r="AA44" s="129"/>
      <c r="AB44" s="129"/>
      <c r="AC44" s="129"/>
      <c r="AD44" s="129"/>
      <c r="AE44" s="129"/>
      <c r="AF44" s="129"/>
      <c r="AG44" s="129"/>
      <c r="AH44" s="129"/>
      <c r="AI44" s="133"/>
      <c r="AJ44" s="133"/>
      <c r="AK44" s="133"/>
      <c r="AL44" s="133"/>
    </row>
    <row r="45" spans="2:38">
      <c r="B45" s="10"/>
      <c r="H45" s="57"/>
      <c r="I45" s="57"/>
      <c r="Y45" s="119"/>
      <c r="AH45" s="6"/>
      <c r="AL45" s="7"/>
    </row>
    <row r="46" spans="2:38">
      <c r="B46" s="10"/>
      <c r="H46" s="57"/>
      <c r="I46" s="57"/>
      <c r="Y46" s="119"/>
      <c r="AH46" s="6"/>
      <c r="AL46" s="7"/>
    </row>
    <row r="47" spans="2:38">
      <c r="B47" s="10"/>
      <c r="D47" s="160" t="s">
        <v>67</v>
      </c>
      <c r="E47" s="161"/>
      <c r="F47" s="161"/>
      <c r="G47" s="162"/>
      <c r="H47" s="58"/>
      <c r="I47" s="58"/>
      <c r="J47" s="98"/>
      <c r="X47" s="4"/>
      <c r="Y47" s="130"/>
      <c r="AH47" s="6"/>
      <c r="AL47" s="7"/>
    </row>
    <row r="48" spans="2:38">
      <c r="B48" s="10"/>
      <c r="D48" s="177" t="s">
        <v>68</v>
      </c>
      <c r="E48" s="178"/>
      <c r="F48" s="12" t="s">
        <v>69</v>
      </c>
      <c r="G48" s="13" t="s">
        <v>70</v>
      </c>
      <c r="H48" s="58"/>
      <c r="I48" s="58"/>
      <c r="X48" s="4"/>
      <c r="Y48" s="130"/>
      <c r="AH48" s="6"/>
      <c r="AL48" s="7"/>
    </row>
    <row r="49" spans="2:38">
      <c r="B49" s="10"/>
      <c r="D49" s="179" t="s">
        <v>71</v>
      </c>
      <c r="E49" s="180"/>
      <c r="F49" s="62">
        <f>E31*E32*E33*E10</f>
        <v>9321.2543554007007</v>
      </c>
      <c r="G49" s="63">
        <f>F49*E36</f>
        <v>279637.63066202099</v>
      </c>
      <c r="H49" s="58"/>
      <c r="I49" s="58"/>
      <c r="X49" s="4"/>
      <c r="Y49" s="130"/>
      <c r="AH49" s="6"/>
      <c r="AL49" s="7"/>
    </row>
    <row r="50" spans="2:38">
      <c r="B50" s="10"/>
      <c r="D50" s="21" t="s">
        <v>72</v>
      </c>
      <c r="E50" s="61"/>
      <c r="F50" s="64">
        <f>(E31*E32*E10)*8%*50</f>
        <v>392.473867595819</v>
      </c>
      <c r="G50" s="63">
        <f>F50*E36</f>
        <v>11774.2160278746</v>
      </c>
      <c r="H50" s="58"/>
      <c r="I50" s="58"/>
      <c r="X50" s="4"/>
      <c r="Y50" s="130"/>
      <c r="AH50" s="6"/>
      <c r="AL50" s="7"/>
    </row>
    <row r="51" spans="2:38">
      <c r="B51" s="10"/>
      <c r="D51" s="60" t="s">
        <v>73</v>
      </c>
      <c r="E51" s="61"/>
      <c r="F51" s="62">
        <f>F49+F50</f>
        <v>9713.7282229965203</v>
      </c>
      <c r="G51" s="63">
        <f>F51*E36</f>
        <v>291411.84668989503</v>
      </c>
      <c r="H51" s="58"/>
      <c r="I51" s="58"/>
      <c r="J51" s="98"/>
      <c r="X51" s="4"/>
      <c r="Y51" s="130"/>
      <c r="AH51" s="6"/>
      <c r="AL51" s="7"/>
    </row>
    <row r="52" spans="2:38">
      <c r="B52" s="10"/>
      <c r="D52" s="60" t="s">
        <v>74</v>
      </c>
      <c r="E52" s="61"/>
      <c r="F52" s="62">
        <f>F31*F32*F33*F10</f>
        <v>643.304347826087</v>
      </c>
      <c r="G52" s="63">
        <f>F52*E36</f>
        <v>19299.130434782601</v>
      </c>
      <c r="H52" s="65"/>
      <c r="I52" s="65"/>
      <c r="X52" s="116"/>
      <c r="Y52" s="126"/>
      <c r="AH52" s="6"/>
      <c r="AL52" s="7"/>
    </row>
    <row r="53" spans="2:38">
      <c r="B53" s="10"/>
      <c r="D53" s="60" t="s">
        <v>75</v>
      </c>
      <c r="E53" s="61"/>
      <c r="F53" s="62" t="s">
        <v>76</v>
      </c>
      <c r="G53" s="63">
        <f>G51+E34+E35+E38</f>
        <v>481888.03716608603</v>
      </c>
      <c r="H53" s="65"/>
      <c r="I53" s="65"/>
      <c r="X53" s="116"/>
      <c r="Y53" s="126"/>
      <c r="AH53" s="6"/>
      <c r="AL53" s="7"/>
    </row>
    <row r="54" spans="2:38">
      <c r="B54" s="10"/>
      <c r="D54" s="181" t="s">
        <v>77</v>
      </c>
      <c r="E54" s="182"/>
      <c r="F54" s="66"/>
      <c r="G54" s="63">
        <f>G52+F34+F35+F38</f>
        <v>124299.130434783</v>
      </c>
      <c r="H54" s="65"/>
      <c r="I54" s="65"/>
      <c r="X54" s="116"/>
      <c r="Y54" s="126"/>
      <c r="AH54" s="6"/>
      <c r="AL54" s="7"/>
    </row>
    <row r="55" spans="2:38">
      <c r="B55" s="10"/>
      <c r="D55" s="183" t="s">
        <v>78</v>
      </c>
      <c r="E55" s="184"/>
      <c r="F55" s="185"/>
      <c r="G55" s="67">
        <f>G53/E28</f>
        <v>14.4575663992321</v>
      </c>
      <c r="H55" s="65"/>
      <c r="I55" s="65"/>
      <c r="X55" s="116"/>
      <c r="Y55" s="126"/>
      <c r="AH55" s="6"/>
      <c r="AL55" s="7"/>
    </row>
    <row r="56" spans="2:38">
      <c r="B56" s="10"/>
      <c r="D56" s="186" t="s">
        <v>79</v>
      </c>
      <c r="E56" s="187"/>
      <c r="F56" s="185"/>
      <c r="G56" s="67">
        <f>G54/F28</f>
        <v>3.7292125826487701</v>
      </c>
      <c r="H56" s="65"/>
      <c r="I56" s="65"/>
      <c r="X56" s="116"/>
      <c r="Y56" s="126"/>
      <c r="AH56" s="6"/>
      <c r="AL56" s="7"/>
    </row>
    <row r="57" spans="2:38" ht="28.8">
      <c r="B57" s="10"/>
      <c r="D57" s="68"/>
      <c r="E57" s="69"/>
      <c r="F57" s="70" t="s">
        <v>80</v>
      </c>
      <c r="G57" s="71">
        <f>((E21*100000/12)+G53)/E28</f>
        <v>20.219791347132698</v>
      </c>
      <c r="J57" s="2"/>
      <c r="X57" s="116"/>
      <c r="Y57" s="126"/>
    </row>
    <row r="58" spans="2:38" ht="28.8">
      <c r="B58" s="10"/>
      <c r="D58" s="72"/>
      <c r="E58" s="73"/>
      <c r="F58" s="70" t="s">
        <v>81</v>
      </c>
      <c r="G58" s="71">
        <f>((F21*100000/12)+G54)/F28</f>
        <v>11.7979567146484</v>
      </c>
      <c r="J58" s="2"/>
      <c r="K58" s="91"/>
      <c r="L58" s="91"/>
      <c r="X58" s="116"/>
      <c r="Y58" s="126"/>
    </row>
    <row r="59" spans="2:38">
      <c r="B59" s="10"/>
      <c r="D59" s="74"/>
      <c r="E59" s="75"/>
      <c r="F59" s="70" t="s">
        <v>82</v>
      </c>
      <c r="G59" s="76">
        <f>G57-G58</f>
        <v>8.4218346324842503</v>
      </c>
      <c r="J59" s="188" t="s">
        <v>83</v>
      </c>
      <c r="K59" s="188"/>
      <c r="L59" s="91"/>
      <c r="X59" s="116"/>
      <c r="Y59" s="126"/>
    </row>
    <row r="60" spans="2:38" ht="43.2">
      <c r="B60" s="10"/>
      <c r="D60" s="77"/>
      <c r="E60" s="78"/>
      <c r="F60" s="70" t="s">
        <v>84</v>
      </c>
      <c r="G60" s="79">
        <f>SUM(G74:G78)/5/12/F28</f>
        <v>0.98017758725844195</v>
      </c>
      <c r="H60" s="52"/>
      <c r="I60" s="52"/>
      <c r="J60" s="189" t="s">
        <v>85</v>
      </c>
      <c r="K60" s="189"/>
      <c r="L60" s="189"/>
      <c r="M60" s="99">
        <v>4500000</v>
      </c>
      <c r="X60" s="116"/>
      <c r="Y60" s="126"/>
    </row>
    <row r="61" spans="2:38" s="3" customFormat="1" ht="28.8">
      <c r="B61" s="80"/>
      <c r="D61" s="77"/>
      <c r="E61" s="81"/>
      <c r="F61" s="82" t="s">
        <v>86</v>
      </c>
      <c r="G61" s="79">
        <f>G59+G60</f>
        <v>9.4020122197426907</v>
      </c>
      <c r="J61" s="1"/>
      <c r="K61" s="1"/>
      <c r="L61" s="1"/>
      <c r="M61" s="99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130"/>
      <c r="Z61" s="52"/>
      <c r="AA61" s="52"/>
      <c r="AB61" s="52"/>
      <c r="AC61" s="52"/>
      <c r="AD61" s="52"/>
      <c r="AE61" s="52"/>
      <c r="AF61" s="52"/>
      <c r="AG61" s="52"/>
      <c r="AH61" s="134"/>
      <c r="AI61" s="134"/>
      <c r="AJ61" s="134"/>
      <c r="AK61" s="134"/>
    </row>
    <row r="62" spans="2:38">
      <c r="B62" s="10"/>
      <c r="D62" s="190" t="s">
        <v>87</v>
      </c>
      <c r="E62" s="191"/>
      <c r="F62" s="191"/>
      <c r="G62" s="83">
        <f>G61*F28</f>
        <v>313380.34969868802</v>
      </c>
      <c r="H62" s="84"/>
      <c r="I62" s="84"/>
      <c r="L62" s="192"/>
      <c r="M62" s="192"/>
      <c r="N62" s="192"/>
      <c r="Q62" s="193" t="s">
        <v>13</v>
      </c>
      <c r="R62" s="194"/>
      <c r="S62" s="194"/>
      <c r="T62" s="194"/>
      <c r="U62" s="194"/>
      <c r="V62" s="194"/>
      <c r="W62" s="194"/>
      <c r="X62" s="195"/>
      <c r="Y62" s="130"/>
    </row>
    <row r="63" spans="2:38" ht="43.2">
      <c r="B63" s="10"/>
      <c r="H63" s="84"/>
      <c r="I63" s="84"/>
      <c r="N63" s="3"/>
      <c r="Q63" s="11" t="s">
        <v>18</v>
      </c>
      <c r="R63" s="102" t="s">
        <v>19</v>
      </c>
      <c r="S63" s="102" t="s">
        <v>20</v>
      </c>
      <c r="T63" s="102" t="s">
        <v>21</v>
      </c>
      <c r="U63" s="102" t="s">
        <v>22</v>
      </c>
      <c r="V63" s="102" t="s">
        <v>88</v>
      </c>
      <c r="W63" s="102" t="s">
        <v>23</v>
      </c>
      <c r="X63" s="103" t="s">
        <v>24</v>
      </c>
      <c r="Y63" s="130"/>
    </row>
    <row r="64" spans="2:38">
      <c r="B64" s="10"/>
      <c r="D64" s="160" t="s">
        <v>89</v>
      </c>
      <c r="E64" s="161"/>
      <c r="F64" s="161"/>
      <c r="G64" s="162"/>
      <c r="H64" s="58"/>
      <c r="I64" s="58"/>
      <c r="L64" s="1"/>
      <c r="M64" s="100"/>
      <c r="N64" s="100"/>
      <c r="Q64" s="105">
        <v>1</v>
      </c>
      <c r="R64" s="106">
        <f t="shared" ref="R64:R73" si="15">$G$62*12</f>
        <v>3760564.1963842502</v>
      </c>
      <c r="S64" s="107">
        <f t="shared" ref="S64:S73" si="16">IF(Q64*12&gt;$E$43,0,$G$70*12*-1)</f>
        <v>-147825.63739592599</v>
      </c>
      <c r="T64" s="106">
        <f t="shared" ref="T64:T73" si="17">T9</f>
        <v>1042757.14285714</v>
      </c>
      <c r="U64" s="106">
        <f t="shared" ref="U64:U73" si="18">IF(Q64=E$14,$F$15-$E$15,0)*100000</f>
        <v>0</v>
      </c>
      <c r="V64" s="106"/>
      <c r="W64" s="108">
        <f t="shared" ref="W64:W73" si="19">SUM(R64:V64)</f>
        <v>4655495.7018454699</v>
      </c>
      <c r="X64" s="109">
        <f>W64/100000</f>
        <v>46.554957018454701</v>
      </c>
      <c r="Y64" s="130"/>
    </row>
    <row r="65" spans="2:37">
      <c r="B65" s="10"/>
      <c r="D65" s="59" t="s">
        <v>68</v>
      </c>
      <c r="E65" s="135" t="s">
        <v>90</v>
      </c>
      <c r="F65" s="12" t="s">
        <v>91</v>
      </c>
      <c r="G65" s="13" t="s">
        <v>92</v>
      </c>
      <c r="H65" s="65"/>
      <c r="I65" s="65"/>
      <c r="M65" s="100"/>
      <c r="N65" s="100"/>
      <c r="Q65" s="105">
        <v>2</v>
      </c>
      <c r="R65" s="106">
        <f t="shared" si="15"/>
        <v>3760564.1963842502</v>
      </c>
      <c r="S65" s="107">
        <f t="shared" si="16"/>
        <v>-147825.63739592599</v>
      </c>
      <c r="T65" s="106">
        <f t="shared" si="17"/>
        <v>546548.57142857101</v>
      </c>
      <c r="U65" s="106">
        <f t="shared" si="18"/>
        <v>0</v>
      </c>
      <c r="V65" s="106"/>
      <c r="W65" s="108">
        <f t="shared" si="19"/>
        <v>4159287.1304168999</v>
      </c>
      <c r="X65" s="109">
        <f t="shared" ref="X65:X73" si="20">(W65/100000+X64)</f>
        <v>88.147828322623695</v>
      </c>
      <c r="Y65" s="130"/>
    </row>
    <row r="66" spans="2:37">
      <c r="B66" s="10"/>
      <c r="D66" s="136" t="s">
        <v>93</v>
      </c>
      <c r="E66" s="62">
        <f>'Payback 8x4 '!E13*100000</f>
        <v>10727619.047619</v>
      </c>
      <c r="F66" s="62">
        <f>CUMIPMT($E$40/12,$E$43,E66,1,$E$43,0)*-1</f>
        <v>2790378.9976744102</v>
      </c>
      <c r="G66" s="137">
        <f>E66+F66</f>
        <v>13517998.045293501</v>
      </c>
      <c r="H66" s="138"/>
      <c r="I66" s="138"/>
      <c r="M66" s="100"/>
      <c r="N66" s="100"/>
      <c r="Q66" s="105">
        <v>3</v>
      </c>
      <c r="R66" s="106">
        <f t="shared" si="15"/>
        <v>3760564.1963842502</v>
      </c>
      <c r="S66" s="107">
        <f t="shared" si="16"/>
        <v>-147825.63739592599</v>
      </c>
      <c r="T66" s="106">
        <f t="shared" si="17"/>
        <v>260689.285714286</v>
      </c>
      <c r="U66" s="106">
        <f t="shared" si="18"/>
        <v>0</v>
      </c>
      <c r="V66" s="106"/>
      <c r="W66" s="108">
        <f t="shared" si="19"/>
        <v>3873427.8447026098</v>
      </c>
      <c r="X66" s="109">
        <f t="shared" si="20"/>
        <v>126.88210676964999</v>
      </c>
      <c r="Y66" s="130"/>
    </row>
    <row r="67" spans="2:37">
      <c r="B67" s="10"/>
      <c r="D67" s="139" t="s">
        <v>94</v>
      </c>
      <c r="E67" s="140">
        <f>'Payback 8x4 '!F13*100000</f>
        <v>14525000</v>
      </c>
      <c r="F67" s="140">
        <f>CUMIPMT($E$40/12,$E$43,E67,1,$E$43,0)*-1</f>
        <v>3778122.13141707</v>
      </c>
      <c r="G67" s="141">
        <f>E67+F67</f>
        <v>18303122.131417099</v>
      </c>
      <c r="L67" s="152"/>
      <c r="M67" s="153"/>
      <c r="N67" s="153"/>
      <c r="Q67" s="105">
        <v>4</v>
      </c>
      <c r="R67" s="106">
        <f t="shared" si="15"/>
        <v>3760564.1963842502</v>
      </c>
      <c r="S67" s="107">
        <f t="shared" si="16"/>
        <v>-147825.63739592599</v>
      </c>
      <c r="T67" s="106">
        <f t="shared" si="17"/>
        <v>99259.692857142902</v>
      </c>
      <c r="U67" s="106">
        <f t="shared" si="18"/>
        <v>0</v>
      </c>
      <c r="V67" s="106"/>
      <c r="W67" s="108">
        <f t="shared" si="19"/>
        <v>3711998.2518454702</v>
      </c>
      <c r="X67" s="109">
        <f t="shared" si="20"/>
        <v>164.002089288104</v>
      </c>
      <c r="Y67" s="130"/>
    </row>
    <row r="68" spans="2:37">
      <c r="B68" s="10"/>
      <c r="D68" s="196" t="s">
        <v>95</v>
      </c>
      <c r="E68" s="197"/>
      <c r="F68" s="197"/>
      <c r="G68" s="142">
        <f>(F67-F66)/E43</f>
        <v>16462.385562377702</v>
      </c>
      <c r="H68" s="52"/>
      <c r="I68" s="52"/>
      <c r="M68" s="98"/>
      <c r="N68" s="98"/>
      <c r="Q68" s="105">
        <v>5</v>
      </c>
      <c r="R68" s="106">
        <f t="shared" si="15"/>
        <v>3760564.1963842502</v>
      </c>
      <c r="S68" s="107">
        <f t="shared" si="16"/>
        <v>-147825.63739592599</v>
      </c>
      <c r="T68" s="106">
        <f t="shared" si="17"/>
        <v>10975.0189285714</v>
      </c>
      <c r="U68" s="106">
        <f t="shared" si="18"/>
        <v>817857.14285714296</v>
      </c>
      <c r="V68" s="106"/>
      <c r="W68" s="108">
        <f t="shared" si="19"/>
        <v>4441570.7207740396</v>
      </c>
      <c r="X68" s="109">
        <f t="shared" si="20"/>
        <v>208.41779649584501</v>
      </c>
      <c r="Y68" s="130"/>
    </row>
    <row r="69" spans="2:37" s="3" customFormat="1">
      <c r="B69" s="80"/>
      <c r="D69" s="196" t="s">
        <v>96</v>
      </c>
      <c r="E69" s="197"/>
      <c r="F69" s="197"/>
      <c r="G69" s="143">
        <f>IF(L7="Inc. Depreciation",G68*E44,0)</f>
        <v>4143.58244605046</v>
      </c>
      <c r="J69" s="4"/>
      <c r="K69" s="4"/>
      <c r="L69" s="4"/>
      <c r="M69" s="4"/>
      <c r="N69" s="4"/>
      <c r="O69" s="4"/>
      <c r="P69" s="4"/>
      <c r="Q69" s="105">
        <v>6</v>
      </c>
      <c r="R69" s="106">
        <f t="shared" si="15"/>
        <v>3760564.1963842502</v>
      </c>
      <c r="S69" s="107">
        <f t="shared" si="16"/>
        <v>0</v>
      </c>
      <c r="T69" s="106">
        <f t="shared" si="17"/>
        <v>0</v>
      </c>
      <c r="U69" s="106">
        <f t="shared" si="18"/>
        <v>0</v>
      </c>
      <c r="V69" s="107">
        <f>(M60*F10)*-1</f>
        <v>-4500000</v>
      </c>
      <c r="W69" s="108">
        <f t="shared" si="19"/>
        <v>-739435.80361574795</v>
      </c>
      <c r="X69" s="109">
        <f t="shared" si="20"/>
        <v>201.02343845968699</v>
      </c>
      <c r="Y69" s="130"/>
      <c r="Z69" s="52"/>
      <c r="AA69" s="52"/>
      <c r="AB69" s="52"/>
      <c r="AC69" s="52"/>
      <c r="AD69" s="52"/>
      <c r="AE69" s="52"/>
      <c r="AF69" s="52"/>
      <c r="AG69" s="52"/>
      <c r="AH69" s="134"/>
      <c r="AI69" s="134"/>
      <c r="AJ69" s="134"/>
      <c r="AK69" s="134"/>
    </row>
    <row r="70" spans="2:37">
      <c r="B70" s="10"/>
      <c r="D70" s="190" t="s">
        <v>97</v>
      </c>
      <c r="E70" s="191"/>
      <c r="F70" s="191"/>
      <c r="G70" s="144">
        <f>G68-G69</f>
        <v>12318.803116327201</v>
      </c>
      <c r="H70" s="98"/>
      <c r="I70" s="98"/>
      <c r="Q70" s="105">
        <v>7</v>
      </c>
      <c r="R70" s="106">
        <f t="shared" si="15"/>
        <v>3760564.1963842502</v>
      </c>
      <c r="S70" s="107">
        <f t="shared" si="16"/>
        <v>0</v>
      </c>
      <c r="T70" s="106">
        <f t="shared" si="17"/>
        <v>0</v>
      </c>
      <c r="U70" s="106">
        <f t="shared" si="18"/>
        <v>0</v>
      </c>
      <c r="V70" s="106"/>
      <c r="W70" s="108">
        <f t="shared" si="19"/>
        <v>3760564.1963842502</v>
      </c>
      <c r="X70" s="109">
        <f t="shared" si="20"/>
        <v>238.62908042353001</v>
      </c>
      <c r="Y70" s="130"/>
    </row>
    <row r="71" spans="2:37">
      <c r="B71" s="10"/>
      <c r="H71" s="98"/>
      <c r="I71" s="98"/>
      <c r="Q71" s="105">
        <v>8</v>
      </c>
      <c r="R71" s="106">
        <f t="shared" si="15"/>
        <v>3760564.1963842502</v>
      </c>
      <c r="S71" s="107">
        <f t="shared" si="16"/>
        <v>0</v>
      </c>
      <c r="T71" s="106">
        <f t="shared" si="17"/>
        <v>0</v>
      </c>
      <c r="U71" s="106">
        <f t="shared" si="18"/>
        <v>0</v>
      </c>
      <c r="V71" s="106"/>
      <c r="W71" s="108">
        <f t="shared" si="19"/>
        <v>3760564.1963842502</v>
      </c>
      <c r="X71" s="109">
        <f t="shared" si="20"/>
        <v>276.23472238737202</v>
      </c>
      <c r="Y71" s="130"/>
    </row>
    <row r="72" spans="2:37">
      <c r="B72" s="10"/>
      <c r="D72" s="160" t="s">
        <v>98</v>
      </c>
      <c r="E72" s="161"/>
      <c r="F72" s="161"/>
      <c r="G72" s="162"/>
      <c r="H72" s="98"/>
      <c r="I72" s="98"/>
      <c r="Q72" s="105">
        <v>9</v>
      </c>
      <c r="R72" s="106">
        <f t="shared" si="15"/>
        <v>3760564.1963842502</v>
      </c>
      <c r="S72" s="107">
        <f t="shared" si="16"/>
        <v>0</v>
      </c>
      <c r="T72" s="106">
        <f t="shared" si="17"/>
        <v>0</v>
      </c>
      <c r="U72" s="106">
        <f t="shared" si="18"/>
        <v>0</v>
      </c>
      <c r="V72" s="106"/>
      <c r="W72" s="108">
        <f t="shared" si="19"/>
        <v>3760564.1963842502</v>
      </c>
      <c r="X72" s="109">
        <f t="shared" si="20"/>
        <v>313.84036435121499</v>
      </c>
      <c r="Y72" s="130"/>
    </row>
    <row r="73" spans="2:37" ht="28.8">
      <c r="B73" s="10"/>
      <c r="D73" s="11" t="s">
        <v>18</v>
      </c>
      <c r="E73" s="102" t="s">
        <v>99</v>
      </c>
      <c r="F73" s="12" t="s">
        <v>100</v>
      </c>
      <c r="G73" s="103" t="s">
        <v>101</v>
      </c>
      <c r="H73" s="98"/>
      <c r="I73" s="98"/>
      <c r="J73" s="2"/>
      <c r="K73" s="2"/>
      <c r="L73" s="2"/>
      <c r="M73" s="2"/>
      <c r="N73" s="2"/>
      <c r="O73" s="2"/>
      <c r="P73" s="2"/>
      <c r="Q73" s="111">
        <v>10</v>
      </c>
      <c r="R73" s="112">
        <f t="shared" si="15"/>
        <v>3760564.1963842502</v>
      </c>
      <c r="S73" s="113">
        <f t="shared" si="16"/>
        <v>0</v>
      </c>
      <c r="T73" s="112">
        <f t="shared" si="17"/>
        <v>0</v>
      </c>
      <c r="U73" s="112">
        <f t="shared" si="18"/>
        <v>0</v>
      </c>
      <c r="V73" s="112"/>
      <c r="W73" s="114">
        <f t="shared" si="19"/>
        <v>3760564.1963842502</v>
      </c>
      <c r="X73" s="115">
        <f t="shared" si="20"/>
        <v>351.44600631505699</v>
      </c>
      <c r="Y73" s="156"/>
    </row>
    <row r="74" spans="2:37">
      <c r="B74" s="10"/>
      <c r="D74" s="105">
        <v>1</v>
      </c>
      <c r="E74" s="145">
        <f>E9*E42*100000*E10</f>
        <v>1257142.8571428601</v>
      </c>
      <c r="F74" s="145">
        <f>F9*F42*100000*F10</f>
        <v>5400000</v>
      </c>
      <c r="G74" s="146">
        <f t="shared" ref="G74:G83" si="21">(F74-E74)*E$44</f>
        <v>1042757.14285714</v>
      </c>
      <c r="H74" s="98"/>
      <c r="I74" s="98"/>
      <c r="J74" s="98">
        <f>SUM(F74:F78)</f>
        <v>12450240</v>
      </c>
      <c r="Y74" s="119"/>
    </row>
    <row r="75" spans="2:37">
      <c r="B75" s="10"/>
      <c r="D75" s="105">
        <v>2</v>
      </c>
      <c r="E75" s="145">
        <f>((E$9*E10*100000)-E74)*E$42</f>
        <v>1068571.42857143</v>
      </c>
      <c r="F75" s="145">
        <f>((F$9*F10*100000)-F74)*F$42</f>
        <v>3240000</v>
      </c>
      <c r="G75" s="146">
        <f t="shared" si="21"/>
        <v>546548.57142857101</v>
      </c>
      <c r="H75" s="98"/>
      <c r="I75" s="98"/>
      <c r="Y75" s="119"/>
    </row>
    <row r="76" spans="2:37">
      <c r="B76" s="10"/>
      <c r="D76" s="105">
        <v>3</v>
      </c>
      <c r="E76" s="145">
        <f>IF($D76&lt;=E$14,((E$9*E$10*100000)-SUM(E$74:E75))*E$42,0)</f>
        <v>908285.71428571397</v>
      </c>
      <c r="F76" s="145">
        <f>IF($D76&lt;=F$14,((F$9*F$10*100000)-SUM(F$74:F75))*F$42,0)</f>
        <v>1944000</v>
      </c>
      <c r="G76" s="146">
        <f t="shared" si="21"/>
        <v>260689.285714286</v>
      </c>
      <c r="H76" s="98"/>
      <c r="I76" s="98"/>
      <c r="Y76" s="119"/>
    </row>
    <row r="77" spans="2:37">
      <c r="B77" s="10"/>
      <c r="D77" s="105">
        <v>4</v>
      </c>
      <c r="E77" s="145">
        <f>IF($D77&lt;=E$14,((E$9*E$10*100000)-SUM(E$74:E76))*E$42,0)</f>
        <v>772042.85714285704</v>
      </c>
      <c r="F77" s="145">
        <f>IF($D77&lt;=F$14,((F$9*F$10*100000)-SUM(F$74:F76))*F$42,0)</f>
        <v>1166400</v>
      </c>
      <c r="G77" s="146">
        <f t="shared" si="21"/>
        <v>99259.692857142902</v>
      </c>
      <c r="H77" s="98"/>
      <c r="I77" s="98"/>
      <c r="J77" s="98"/>
      <c r="L77" s="98"/>
      <c r="Y77" s="119"/>
    </row>
    <row r="78" spans="2:37">
      <c r="B78" s="10"/>
      <c r="D78" s="105">
        <v>5</v>
      </c>
      <c r="E78" s="145">
        <f>IF($D78&lt;=E$14,((E$9*E$10*100000)-SUM(E$74:E77))*E$42,0)</f>
        <v>656236.42857142899</v>
      </c>
      <c r="F78" s="145">
        <f>IF($D78&lt;=F$14,((F$9*F$10*100000)-SUM(F$74:F77))*F$42,0)</f>
        <v>699840</v>
      </c>
      <c r="G78" s="146">
        <f t="shared" si="21"/>
        <v>10975.0189285714</v>
      </c>
      <c r="H78" s="98"/>
      <c r="I78" s="98"/>
      <c r="L78" s="154"/>
      <c r="Y78" s="119"/>
    </row>
    <row r="79" spans="2:37">
      <c r="B79" s="10"/>
      <c r="D79" s="105">
        <v>6</v>
      </c>
      <c r="E79" s="145">
        <f>IF($D79&lt;=E$14,((E$9*E$10*100000)-SUM(E$74:E78))*E$42,0)</f>
        <v>0</v>
      </c>
      <c r="F79" s="145">
        <f>IF($D79&lt;=F$14,((F$9*F$10*100000)-SUM(F$74:F78))*F$42,0)</f>
        <v>0</v>
      </c>
      <c r="G79" s="146">
        <f t="shared" si="21"/>
        <v>0</v>
      </c>
      <c r="H79" s="98"/>
      <c r="I79" s="98"/>
      <c r="Y79" s="119"/>
    </row>
    <row r="80" spans="2:37">
      <c r="B80" s="10"/>
      <c r="D80" s="105">
        <v>7</v>
      </c>
      <c r="E80" s="145">
        <f>IF($D80&lt;=E$14,((E$9*E$10*100000)-SUM(E$74:E79))*E$42,0)</f>
        <v>0</v>
      </c>
      <c r="F80" s="145">
        <f>IF($D80&lt;=F$14,((F$9*F$10*100000)-SUM(F$74:F79))*F$42,0)</f>
        <v>0</v>
      </c>
      <c r="G80" s="146">
        <f t="shared" si="21"/>
        <v>0</v>
      </c>
      <c r="Y80" s="119"/>
    </row>
    <row r="81" spans="2:25" s="4" customFormat="1">
      <c r="B81" s="10"/>
      <c r="D81" s="105">
        <v>8</v>
      </c>
      <c r="E81" s="145">
        <f>IF($D81&lt;=E$14,((E$9*E$10*100000)-SUM(E$74:E80))*E$42,0)</f>
        <v>0</v>
      </c>
      <c r="F81" s="145">
        <f>IF($D81&lt;=F$14,((F$9*F$10*100000)-SUM(F$74:F80))*F$42,0)</f>
        <v>0</v>
      </c>
      <c r="G81" s="146">
        <f t="shared" si="21"/>
        <v>0</v>
      </c>
      <c r="H81" s="147"/>
      <c r="X81" s="5"/>
      <c r="Y81" s="119"/>
    </row>
    <row r="82" spans="2:25" s="4" customFormat="1">
      <c r="B82" s="10"/>
      <c r="D82" s="105">
        <v>9</v>
      </c>
      <c r="E82" s="145">
        <f>IF($D82&lt;=E$14,((E$9*E$10*100000)-SUM(E$74:E81))*E$42,0)</f>
        <v>0</v>
      </c>
      <c r="F82" s="145">
        <f>IF($D82&lt;=F$14,((F$9*F$10*100000)-SUM(F$74:F81))*F$42,0)</f>
        <v>0</v>
      </c>
      <c r="G82" s="146">
        <f t="shared" si="21"/>
        <v>0</v>
      </c>
      <c r="X82" s="5"/>
      <c r="Y82" s="119"/>
    </row>
    <row r="83" spans="2:25" s="4" customFormat="1">
      <c r="B83" s="10"/>
      <c r="D83" s="111">
        <v>10</v>
      </c>
      <c r="E83" s="148">
        <f>IF($D83&lt;=E$14,((E$9*E$10*100000)-SUM(E$74:E82))*E$42,0)</f>
        <v>0</v>
      </c>
      <c r="F83" s="148">
        <f>IF($D83&lt;=F$14,((F$9*F$10*100000)-SUM(F$74:F82))*F$42,0)</f>
        <v>0</v>
      </c>
      <c r="G83" s="149">
        <f t="shared" si="21"/>
        <v>0</v>
      </c>
      <c r="X83" s="5"/>
      <c r="Y83" s="119"/>
    </row>
    <row r="84" spans="2:25" s="4" customFormat="1">
      <c r="B84" s="150"/>
      <c r="C84" s="147"/>
      <c r="D84" s="151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55"/>
      <c r="Y84" s="157"/>
    </row>
    <row r="85" spans="2:25" s="4" customFormat="1">
      <c r="D85" s="2"/>
      <c r="X85" s="5"/>
      <c r="Y85" s="6"/>
    </row>
    <row r="86" spans="2:25">
      <c r="D86" s="2"/>
    </row>
    <row r="87" spans="2:25">
      <c r="D87" s="2"/>
    </row>
  </sheetData>
  <mergeCells count="29">
    <mergeCell ref="D68:F68"/>
    <mergeCell ref="D69:F69"/>
    <mergeCell ref="D70:F70"/>
    <mergeCell ref="D72:G72"/>
    <mergeCell ref="J60:L60"/>
    <mergeCell ref="D62:F62"/>
    <mergeCell ref="L62:N62"/>
    <mergeCell ref="Q62:X62"/>
    <mergeCell ref="D64:G64"/>
    <mergeCell ref="D49:E49"/>
    <mergeCell ref="D54:E54"/>
    <mergeCell ref="D55:F55"/>
    <mergeCell ref="D56:F56"/>
    <mergeCell ref="J59:K59"/>
    <mergeCell ref="E40:F40"/>
    <mergeCell ref="E41:F41"/>
    <mergeCell ref="E43:F43"/>
    <mergeCell ref="D47:G47"/>
    <mergeCell ref="D48:E48"/>
    <mergeCell ref="E25:F25"/>
    <mergeCell ref="D30:F30"/>
    <mergeCell ref="E36:F36"/>
    <mergeCell ref="D37:F37"/>
    <mergeCell ref="D39:F39"/>
    <mergeCell ref="E3:F3"/>
    <mergeCell ref="D5:F5"/>
    <mergeCell ref="D7:F7"/>
    <mergeCell ref="Q7:W7"/>
    <mergeCell ref="D22:F22"/>
  </mergeCells>
  <dataValidations count="2">
    <dataValidation type="list" allowBlank="1" showInputMessage="1" showErrorMessage="1" sqref="L7" xr:uid="{00000000-0002-0000-0000-000000000000}">
      <formula1>$Y$6:$Y$7</formula1>
    </dataValidation>
    <dataValidation type="list" allowBlank="1" showInputMessage="1" showErrorMessage="1" sqref="M7" xr:uid="{00000000-0002-0000-0000-000001000000}">
      <formula1>$Y$9:$Y$10</formula1>
    </dataValidation>
  </dataValidations>
  <pageMargins left="0.25" right="0.25" top="0.75" bottom="0.75" header="0.3" footer="0.3"/>
  <pageSetup paperSize="9" scale="44" fitToWidth="0" orientation="landscape"/>
  <colBreaks count="1" manualBreakCount="1">
    <brk id="25" max="63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Payback 8x4 </vt:lpstr>
      <vt:lpstr>'Payback 8x4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Propel</dc:creator>
  <cp:lastModifiedBy>Jasobant Nayak</cp:lastModifiedBy>
  <dcterms:created xsi:type="dcterms:W3CDTF">2025-07-10T11:07:32Z</dcterms:created>
  <dcterms:modified xsi:type="dcterms:W3CDTF">2025-09-06T05:04:40Z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284A5548AA1A496F882068467E0B562B_11</vt:lpwstr>
  </property>
  <property fmtid="{D5CDD505-2E9C-101B-9397-08002B2CF9AE}" pid="3" name="KSOProductBuildVer">
    <vt:lpwstr>1033-12.2.0.21546</vt:lpwstr>
  </property>
</Properties>
</file>