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son/Documents/"/>
    </mc:Choice>
  </mc:AlternateContent>
  <xr:revisionPtr revIDLastSave="0" documentId="8_{C13AE4D3-FAF4-8A4F-B51B-D618A1F688AF}" xr6:coauthVersionLast="47" xr6:coauthVersionMax="47" xr10:uidLastSave="{00000000-0000-0000-0000-000000000000}"/>
  <bookViews>
    <workbookView xWindow="0" yWindow="760" windowWidth="30240" windowHeight="17960" xr2:uid="{5E66CE96-70C3-C44F-8A39-004D75ABBC13}"/>
  </bookViews>
  <sheets>
    <sheet name="Program Budget Mod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M66" i="1"/>
  <c r="L48" i="1"/>
  <c r="L47" i="1"/>
  <c r="L39" i="1"/>
  <c r="L46" i="1" s="1"/>
  <c r="D39" i="1"/>
  <c r="M73" i="1" s="1"/>
  <c r="O37" i="1"/>
  <c r="O35" i="1"/>
  <c r="N35" i="1"/>
  <c r="K35" i="1"/>
  <c r="J35" i="1"/>
  <c r="O34" i="1"/>
  <c r="N34" i="1"/>
  <c r="K34" i="1"/>
  <c r="J34" i="1"/>
  <c r="O33" i="1"/>
  <c r="N33" i="1"/>
  <c r="K33" i="1"/>
  <c r="J33" i="1"/>
  <c r="M33" i="1" s="1"/>
  <c r="O32" i="1"/>
  <c r="N32" i="1"/>
  <c r="K32" i="1"/>
  <c r="J32" i="1"/>
  <c r="M32" i="1" s="1"/>
  <c r="O31" i="1"/>
  <c r="N31" i="1"/>
  <c r="K31" i="1"/>
  <c r="J31" i="1"/>
  <c r="M31" i="1" s="1"/>
  <c r="O30" i="1"/>
  <c r="N30" i="1"/>
  <c r="K30" i="1"/>
  <c r="J30" i="1"/>
  <c r="M30" i="1" s="1"/>
  <c r="O29" i="1"/>
  <c r="N29" i="1"/>
  <c r="K29" i="1"/>
  <c r="J29" i="1"/>
  <c r="O28" i="1"/>
  <c r="N28" i="1"/>
  <c r="J28" i="1"/>
  <c r="M28" i="1" s="1"/>
  <c r="O27" i="1"/>
  <c r="N27" i="1"/>
  <c r="J27" i="1"/>
  <c r="M27" i="1" s="1"/>
  <c r="K26" i="1"/>
  <c r="K48" i="1" s="1"/>
  <c r="J26" i="1"/>
  <c r="J48" i="1" s="1"/>
  <c r="K25" i="1"/>
  <c r="J25" i="1"/>
  <c r="M25" i="1" s="1"/>
  <c r="E39" i="1"/>
  <c r="Q6" i="1"/>
  <c r="P4" i="1"/>
  <c r="P6" i="1" s="1"/>
  <c r="M34" i="1" l="1"/>
  <c r="L43" i="1"/>
  <c r="L45" i="1"/>
  <c r="M29" i="1"/>
  <c r="J47" i="1"/>
  <c r="K39" i="1"/>
  <c r="K44" i="1" s="1"/>
  <c r="P8" i="1"/>
  <c r="P9" i="1" s="1"/>
  <c r="Q10" i="1" s="1"/>
  <c r="Q8" i="1"/>
  <c r="Q9" i="1" s="1"/>
  <c r="L49" i="1"/>
  <c r="M57" i="1"/>
  <c r="K46" i="1"/>
  <c r="M39" i="1"/>
  <c r="E48" i="1"/>
  <c r="M48" i="1" s="1"/>
  <c r="E46" i="1"/>
  <c r="E44" i="1"/>
  <c r="E49" i="1"/>
  <c r="E47" i="1"/>
  <c r="E45" i="1"/>
  <c r="E43" i="1"/>
  <c r="M26" i="1"/>
  <c r="K47" i="1"/>
  <c r="J39" i="1"/>
  <c r="L44" i="1"/>
  <c r="K45" i="1" l="1"/>
  <c r="K49" i="1"/>
  <c r="K43" i="1"/>
  <c r="J46" i="1"/>
  <c r="M46" i="1" s="1"/>
  <c r="J44" i="1"/>
  <c r="M44" i="1" s="1"/>
  <c r="J49" i="1"/>
  <c r="M49" i="1" s="1"/>
  <c r="J45" i="1"/>
  <c r="J43" i="1"/>
  <c r="M43" i="1"/>
  <c r="M45" i="1"/>
  <c r="M47" i="1"/>
  <c r="M51" i="1" l="1"/>
  <c r="M53" i="1" l="1"/>
  <c r="M100" i="1" s="1"/>
  <c r="M102" i="1" s="1"/>
  <c r="N51" i="1"/>
  <c r="M56" i="1" l="1"/>
  <c r="M78" i="1"/>
  <c r="M90" i="1" l="1"/>
  <c r="M92" i="1" s="1"/>
  <c r="M94" i="1" s="1"/>
  <c r="M104" i="1" s="1"/>
  <c r="M2" i="1" s="1"/>
</calcChain>
</file>

<file path=xl/sharedStrings.xml><?xml version="1.0" encoding="utf-8"?>
<sst xmlns="http://schemas.openxmlformats.org/spreadsheetml/2006/main" count="133" uniqueCount="118">
  <si>
    <t># of days</t>
  </si>
  <si>
    <t>daily # of hours</t>
  </si>
  <si>
    <t>SDD # of hours</t>
  </si>
  <si>
    <t>School</t>
  </si>
  <si>
    <t>Summer</t>
  </si>
  <si>
    <t>Ratio 1:15</t>
  </si>
  <si>
    <t>Required direct hours</t>
  </si>
  <si>
    <t>Total Direct Hours Required</t>
  </si>
  <si>
    <t xml:space="preserve">DYCD </t>
  </si>
  <si>
    <t>Budgeted</t>
  </si>
  <si>
    <t>Variance</t>
  </si>
  <si>
    <t>Ratio: 1:15 / # of slots</t>
  </si>
  <si>
    <t>Title</t>
  </si>
  <si>
    <t>Name</t>
  </si>
  <si>
    <t>FTE</t>
  </si>
  <si>
    <t>Salary Amount</t>
  </si>
  <si>
    <t>One Time Payment Differencial (OCFS STABILIZATION GRANT-GL ONYL, THE REST - SUMMER RISING)</t>
  </si>
  <si>
    <t>$/Hrs</t>
  </si>
  <si>
    <t>Hrs/Wk 10 month</t>
  </si>
  <si>
    <t>Hrs/Wk Summer Program</t>
  </si>
  <si>
    <t>10 Month Program (Sept-June)</t>
  </si>
  <si>
    <t xml:space="preserve">Summer Program </t>
  </si>
  <si>
    <t xml:space="preserve"> OST days (Out of School Time)+SDD</t>
  </si>
  <si>
    <t>TOTAL</t>
  </si>
  <si>
    <t># of Weeks</t>
  </si>
  <si>
    <t># of Days</t>
  </si>
  <si>
    <t>PERSONNEL</t>
  </si>
  <si>
    <t>Director / Associate Executive Director</t>
  </si>
  <si>
    <t>Supervisor / Senior Program Director</t>
  </si>
  <si>
    <t xml:space="preserve">lowered my allocation and will move to another site </t>
  </si>
  <si>
    <t>Program Director</t>
  </si>
  <si>
    <t>Jason completed his Bachelor's degree and I was not able to increase his salary last year</t>
  </si>
  <si>
    <t>Clinical Social Worker</t>
  </si>
  <si>
    <t>Program Assistant</t>
  </si>
  <si>
    <t>DIRECT</t>
  </si>
  <si>
    <t>School Hrs</t>
  </si>
  <si>
    <t>Summer Hrs</t>
  </si>
  <si>
    <t>Service Coordinator</t>
  </si>
  <si>
    <t>Program Aide</t>
  </si>
  <si>
    <t>Instructors/Activity Specialist</t>
  </si>
  <si>
    <t>lowered hours</t>
  </si>
  <si>
    <t>Group Leader</t>
  </si>
  <si>
    <t>WE are contracted for 80 students, we can delete this GL, with 6 group leaders we meet our 1:15 ratioo</t>
  </si>
  <si>
    <t>Youth Workers (SYEP)</t>
  </si>
  <si>
    <t>TOTAL PERSONNEL EXPENSES</t>
  </si>
  <si>
    <t>FRINGES</t>
  </si>
  <si>
    <t>FICA</t>
  </si>
  <si>
    <t xml:space="preserve">Unemployment </t>
  </si>
  <si>
    <t>Disability Insurance</t>
  </si>
  <si>
    <t>Workman's Compensation</t>
  </si>
  <si>
    <t>Pension</t>
  </si>
  <si>
    <t>Health, Life, Dental Insurance</t>
  </si>
  <si>
    <t>NYS Commuter Tax</t>
  </si>
  <si>
    <t>TOTAL FRINGES</t>
  </si>
  <si>
    <t>TOTAL PERSONNEL &amp; FRINGES</t>
  </si>
  <si>
    <t>OTPS</t>
  </si>
  <si>
    <t>DYCD Title</t>
  </si>
  <si>
    <t>Consultant - Audit</t>
  </si>
  <si>
    <t>$245,094 x Program Budget / $52,000,000</t>
  </si>
  <si>
    <t>Payroll Fees - $17/payroll/FTE</t>
  </si>
  <si>
    <t>Contracted Services - Vendor</t>
  </si>
  <si>
    <t>Consultant - Other</t>
  </si>
  <si>
    <t>Contracted Services - Consultants</t>
  </si>
  <si>
    <t>Consultant - Subcontractors</t>
  </si>
  <si>
    <t>Contracted Services - Sub-Contractors</t>
  </si>
  <si>
    <t>Office Supplies</t>
  </si>
  <si>
    <t>Supplies</t>
  </si>
  <si>
    <t>Fencing, bowling, maybe steamworks</t>
  </si>
  <si>
    <t>Program Supplies</t>
  </si>
  <si>
    <t>$6.50/participant x 80 participants</t>
  </si>
  <si>
    <t>Medical Supplies</t>
  </si>
  <si>
    <t>Computer Supplies</t>
  </si>
  <si>
    <t>Recreational Supplies</t>
  </si>
  <si>
    <t>Client Supplies &amp; Activities</t>
  </si>
  <si>
    <t>$20/participant x 80 participants</t>
  </si>
  <si>
    <t>Telephone</t>
  </si>
  <si>
    <t>Telephone - Cell Phones</t>
  </si>
  <si>
    <t>Internet Service</t>
  </si>
  <si>
    <t>Printing and Duplicating</t>
  </si>
  <si>
    <t>Building Maintenance Supplies</t>
  </si>
  <si>
    <t>Building Maintenance Contracts</t>
  </si>
  <si>
    <t>Facilities Repairs &amp; Maintenance</t>
  </si>
  <si>
    <t>Subscriptions and Reference Materials</t>
  </si>
  <si>
    <t>Conferences and Meetings</t>
  </si>
  <si>
    <t>Other</t>
  </si>
  <si>
    <t>Training</t>
  </si>
  <si>
    <t>Staff Training</t>
  </si>
  <si>
    <t xml:space="preserve">$1,500 (CPR Training and $1,131 Staff Development) Includes expenses for professional development workshops, conferences and licenses required to maintain professional credentials relevant to the DYCD contract.  </t>
  </si>
  <si>
    <t>Youth Events</t>
  </si>
  <si>
    <t>$30/participant x 80 participants</t>
  </si>
  <si>
    <t>Membership Dues</t>
  </si>
  <si>
    <t>Staff Travel</t>
  </si>
  <si>
    <t>Participant Travel</t>
  </si>
  <si>
    <t>Client Transportation</t>
  </si>
  <si>
    <t>Insurance - General Liability</t>
  </si>
  <si>
    <t>$148,945 x Program Budget / $52,000,000</t>
  </si>
  <si>
    <t>Equipment Maintenance</t>
  </si>
  <si>
    <t>Copier Rental</t>
  </si>
  <si>
    <t>Software Maintenance</t>
  </si>
  <si>
    <t>Equipment Purchased</t>
  </si>
  <si>
    <t>Equipment Rental</t>
  </si>
  <si>
    <t>Staff Uniforms</t>
  </si>
  <si>
    <t>Participant Uniforms</t>
  </si>
  <si>
    <t>Miscellaneous</t>
  </si>
  <si>
    <t xml:space="preserve">Food </t>
  </si>
  <si>
    <t>Food - Prepared Meals</t>
  </si>
  <si>
    <t>Total OTPS</t>
  </si>
  <si>
    <t>Indirect Cost</t>
  </si>
  <si>
    <t>Not including participant travel</t>
  </si>
  <si>
    <t>TOTAL EXPENSES</t>
  </si>
  <si>
    <t>Revenue</t>
  </si>
  <si>
    <t>Summer Rising</t>
  </si>
  <si>
    <t>3% COLA Increase</t>
  </si>
  <si>
    <t>TOTAL REVENUE</t>
  </si>
  <si>
    <t>SURPLUS/(DEFICIT)</t>
  </si>
  <si>
    <t>Notes:</t>
  </si>
  <si>
    <t>Summer Rising Reduced from $132,000</t>
  </si>
  <si>
    <t>Program-Afterschool Manhattan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</si>
</sst>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&quot;$&quot;#,##0.00_);\(&quot;$&quot;#,##0.00\)"/>
    <numFmt numFmtId="43" formatCode="_(* #,##0.00_);_(* \(#,##0.00\);_(* &quot;-&quot;??_);_(@_)"/>
    <numFmt numFmtId="164" formatCode="_(* #,##0_);_(* \(#,##0\);_(* &quot;-&quot;??_);_(@_)"/>
    <numFmt numFmtId="165" formatCode="&quot;$&quot;#,##0.00"/>
    <numFmt numFmtId="166" formatCode="_(* #,##0.000_);_(* \(#,##0.000\);_(* &quot;-&quot;??_);_(@_)"/>
    <numFmt numFmtId="167" formatCode="_(* #,##0.0000_);_(* \(#,##0.0000\);_(* &quot;-&quot;??_);_(@_)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name val="Cambria"/>
      <family val="1"/>
    </font>
    <font>
      <b/>
      <sz val="10"/>
      <name val="Cambria"/>
      <family val="1"/>
    </font>
    <font>
      <sz val="11"/>
      <name val="Cambria"/>
      <family val="1"/>
    </font>
    <font>
      <b/>
      <u val="singleAccounting"/>
      <sz val="11"/>
      <name val="Cambria"/>
      <family val="1"/>
    </font>
    <font>
      <sz val="10.5"/>
      <name val="Cambria"/>
      <family val="1"/>
    </font>
    <font>
      <b/>
      <sz val="18"/>
      <name val="Cambria"/>
      <family val="1"/>
    </font>
    <font>
      <sz val="18"/>
      <name val="Cambria"/>
      <family val="1"/>
    </font>
    <font>
      <sz val="12"/>
      <name val="Cambria"/>
      <family val="1"/>
    </font>
    <font>
      <b/>
      <sz val="11"/>
      <name val="Cambria"/>
      <family val="1"/>
    </font>
    <font>
      <sz val="10"/>
      <color theme="0" tint="-0.249977111117893"/>
      <name val="Cambria"/>
      <family val="1"/>
    </font>
    <font>
      <sz val="11"/>
      <color theme="0" tint="-0.249977111117893"/>
      <name val="Cambria"/>
      <family val="1"/>
    </font>
    <font>
      <sz val="11"/>
      <color theme="0"/>
      <name val="Cambria"/>
      <family val="1"/>
    </font>
    <font>
      <b/>
      <u val="singleAccounting"/>
      <sz val="10"/>
      <name val="Cambria"/>
      <family val="1"/>
    </font>
    <font>
      <sz val="11"/>
      <color rgb="FF000000"/>
      <name val="Cambria"/>
      <family val="1"/>
    </font>
    <font>
      <sz val="10"/>
      <name val="Arial"/>
      <family val="2"/>
    </font>
    <font>
      <b/>
      <sz val="11"/>
      <color rgb="FF0033CC"/>
      <name val="Cambria"/>
      <family val="1"/>
    </font>
    <font>
      <b/>
      <u val="singleAccounting"/>
      <sz val="11"/>
      <color rgb="FF0000FF"/>
      <name val="Cambria"/>
      <family val="1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8FCB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0"/>
  </cellStyleXfs>
  <cellXfs count="110">
    <xf numFmtId="0" fontId="0" fillId="0" borderId="0" xfId="0"/>
    <xf numFmtId="43" fontId="2" fillId="0" borderId="1" xfId="1" applyFont="1" applyFill="1" applyBorder="1"/>
    <xf numFmtId="43" fontId="2" fillId="0" borderId="0" xfId="1" applyFont="1" applyFill="1" applyAlignment="1">
      <alignment vertical="center"/>
    </xf>
    <xf numFmtId="43" fontId="2" fillId="0" borderId="0" xfId="1" applyFont="1" applyFill="1"/>
    <xf numFmtId="7" fontId="3" fillId="0" borderId="0" xfId="1" applyNumberFormat="1" applyFont="1" applyFill="1"/>
    <xf numFmtId="164" fontId="2" fillId="0" borderId="0" xfId="1" applyNumberFormat="1" applyFont="1" applyFill="1" applyAlignment="1">
      <alignment vertical="center"/>
    </xf>
    <xf numFmtId="43" fontId="2" fillId="0" borderId="2" xfId="1" applyFont="1" applyFill="1" applyBorder="1"/>
    <xf numFmtId="43" fontId="4" fillId="0" borderId="3" xfId="1" applyFont="1" applyFill="1" applyBorder="1"/>
    <xf numFmtId="43" fontId="5" fillId="0" borderId="4" xfId="1" applyFont="1" applyFill="1" applyBorder="1" applyAlignment="1">
      <alignment horizontal="center"/>
    </xf>
    <xf numFmtId="43" fontId="4" fillId="0" borderId="5" xfId="1" applyFont="1" applyFill="1" applyBorder="1"/>
    <xf numFmtId="43" fontId="2" fillId="2" borderId="0" xfId="1" applyFont="1" applyFill="1"/>
    <xf numFmtId="43" fontId="2" fillId="0" borderId="6" xfId="1" applyFont="1" applyFill="1" applyBorder="1"/>
    <xf numFmtId="43" fontId="6" fillId="0" borderId="7" xfId="1" applyFont="1" applyFill="1" applyBorder="1"/>
    <xf numFmtId="0" fontId="4" fillId="0" borderId="0" xfId="1" applyNumberFormat="1" applyFont="1" applyFill="1" applyBorder="1" applyAlignment="1">
      <alignment horizontal="center" vertical="center"/>
    </xf>
    <xf numFmtId="43" fontId="4" fillId="0" borderId="8" xfId="1" applyFont="1" applyFill="1" applyBorder="1"/>
    <xf numFmtId="43" fontId="2" fillId="3" borderId="0" xfId="1" applyFont="1" applyFill="1"/>
    <xf numFmtId="37" fontId="4" fillId="0" borderId="9" xfId="1" applyNumberFormat="1" applyFont="1" applyFill="1" applyBorder="1" applyAlignment="1">
      <alignment horizontal="center" vertical="center"/>
    </xf>
    <xf numFmtId="43" fontId="4" fillId="0" borderId="7" xfId="1" applyFont="1" applyFill="1" applyBorder="1"/>
    <xf numFmtId="43" fontId="4" fillId="0" borderId="0" xfId="1" applyFont="1" applyFill="1" applyBorder="1"/>
    <xf numFmtId="37" fontId="4" fillId="0" borderId="0" xfId="1" applyNumberFormat="1" applyFont="1" applyFill="1" applyBorder="1" applyAlignment="1">
      <alignment horizontal="center" vertical="center"/>
    </xf>
    <xf numFmtId="43" fontId="10" fillId="0" borderId="8" xfId="1" applyFont="1" applyFill="1" applyBorder="1" applyAlignment="1">
      <alignment horizontal="center"/>
    </xf>
    <xf numFmtId="43" fontId="6" fillId="0" borderId="7" xfId="1" applyFont="1" applyFill="1" applyBorder="1" applyAlignment="1">
      <alignment vertical="center" wrapText="1"/>
    </xf>
    <xf numFmtId="43" fontId="10" fillId="0" borderId="8" xfId="1" applyFont="1" applyFill="1" applyBorder="1"/>
    <xf numFmtId="43" fontId="11" fillId="0" borderId="0" xfId="1" applyFont="1" applyFill="1" applyAlignment="1">
      <alignment horizontal="center"/>
    </xf>
    <xf numFmtId="43" fontId="10" fillId="0" borderId="0" xfId="1" applyFont="1" applyFill="1"/>
    <xf numFmtId="0" fontId="10" fillId="0" borderId="0" xfId="1" applyNumberFormat="1" applyFont="1" applyFill="1" applyAlignment="1">
      <alignment horizontal="center" vertical="center"/>
    </xf>
    <xf numFmtId="43" fontId="12" fillId="0" borderId="10" xfId="1" applyFont="1" applyFill="1" applyBorder="1"/>
    <xf numFmtId="43" fontId="12" fillId="0" borderId="11" xfId="1" applyFont="1" applyFill="1" applyBorder="1"/>
    <xf numFmtId="37" fontId="10" fillId="0" borderId="11" xfId="1" applyNumberFormat="1" applyFont="1" applyFill="1" applyBorder="1" applyAlignment="1">
      <alignment horizontal="center" vertical="center"/>
    </xf>
    <xf numFmtId="43" fontId="12" fillId="0" borderId="12" xfId="1" applyFont="1" applyFill="1" applyBorder="1"/>
    <xf numFmtId="43" fontId="11" fillId="3" borderId="0" xfId="1" applyFont="1" applyFill="1" applyAlignment="1">
      <alignment horizontal="center"/>
    </xf>
    <xf numFmtId="43" fontId="3" fillId="0" borderId="0" xfId="1" applyFont="1" applyFill="1"/>
    <xf numFmtId="43" fontId="3" fillId="4" borderId="13" xfId="1" applyFont="1" applyFill="1" applyBorder="1" applyAlignment="1">
      <alignment horizontal="center" vertical="center"/>
    </xf>
    <xf numFmtId="43" fontId="10" fillId="4" borderId="13" xfId="1" applyFont="1" applyFill="1" applyBorder="1" applyAlignment="1">
      <alignment horizontal="center" vertical="center"/>
    </xf>
    <xf numFmtId="43" fontId="3" fillId="4" borderId="13" xfId="1" applyFont="1" applyFill="1" applyBorder="1" applyAlignment="1">
      <alignment horizontal="center" vertical="center" wrapText="1"/>
    </xf>
    <xf numFmtId="43" fontId="3" fillId="3" borderId="0" xfId="1" applyFont="1" applyFill="1"/>
    <xf numFmtId="43" fontId="11" fillId="0" borderId="0" xfId="1" applyFont="1" applyFill="1"/>
    <xf numFmtId="43" fontId="3" fillId="0" borderId="13" xfId="1" applyFont="1" applyFill="1" applyBorder="1"/>
    <xf numFmtId="43" fontId="11" fillId="3" borderId="0" xfId="1" applyFont="1" applyFill="1"/>
    <xf numFmtId="43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 vertical="center"/>
    </xf>
    <xf numFmtId="0" fontId="2" fillId="0" borderId="0" xfId="1" applyNumberFormat="1" applyFont="1" applyFill="1" applyAlignment="1">
      <alignment horizontal="center" vertical="center"/>
    </xf>
    <xf numFmtId="43" fontId="13" fillId="0" borderId="0" xfId="1" applyFont="1" applyFill="1"/>
    <xf numFmtId="43" fontId="4" fillId="0" borderId="0" xfId="1" applyFont="1" applyFill="1" applyBorder="1" applyAlignment="1">
      <alignment horizontal="left"/>
    </xf>
    <xf numFmtId="43" fontId="4" fillId="0" borderId="0" xfId="1" applyFont="1" applyBorder="1" applyAlignment="1">
      <alignment horizontal="left"/>
    </xf>
    <xf numFmtId="165" fontId="4" fillId="0" borderId="0" xfId="1" applyNumberFormat="1" applyFont="1" applyFill="1" applyBorder="1"/>
    <xf numFmtId="165" fontId="4" fillId="0" borderId="0" xfId="1" applyNumberFormat="1" applyFont="1" applyFill="1"/>
    <xf numFmtId="0" fontId="4" fillId="0" borderId="0" xfId="1" applyNumberFormat="1" applyFont="1" applyFill="1" applyAlignment="1">
      <alignment horizontal="center" vertical="center"/>
    </xf>
    <xf numFmtId="43" fontId="4" fillId="0" borderId="0" xfId="1" applyFont="1" applyFill="1"/>
    <xf numFmtId="43" fontId="4" fillId="3" borderId="0" xfId="1" applyFont="1" applyFill="1"/>
    <xf numFmtId="43" fontId="4" fillId="5" borderId="0" xfId="1" applyFont="1" applyFill="1"/>
    <xf numFmtId="43" fontId="4" fillId="5" borderId="0" xfId="1" applyFont="1" applyFill="1" applyBorder="1" applyAlignment="1">
      <alignment horizontal="left"/>
    </xf>
    <xf numFmtId="165" fontId="4" fillId="5" borderId="0" xfId="1" applyNumberFormat="1" applyFont="1" applyFill="1" applyBorder="1"/>
    <xf numFmtId="165" fontId="4" fillId="5" borderId="0" xfId="1" applyNumberFormat="1" applyFont="1" applyFill="1"/>
    <xf numFmtId="166" fontId="4" fillId="0" borderId="0" xfId="1" applyNumberFormat="1" applyFont="1" applyFill="1"/>
    <xf numFmtId="166" fontId="4" fillId="0" borderId="0" xfId="1" applyNumberFormat="1" applyFont="1" applyBorder="1" applyAlignment="1">
      <alignment horizontal="left"/>
    </xf>
    <xf numFmtId="43" fontId="14" fillId="0" borderId="7" xfId="1" applyFont="1" applyFill="1" applyBorder="1" applyAlignment="1">
      <alignment horizontal="center"/>
    </xf>
    <xf numFmtId="43" fontId="14" fillId="0" borderId="8" xfId="1" applyFont="1" applyFill="1" applyBorder="1" applyAlignment="1">
      <alignment horizontal="center"/>
    </xf>
    <xf numFmtId="2" fontId="4" fillId="0" borderId="0" xfId="1" applyNumberFormat="1" applyFont="1" applyFill="1"/>
    <xf numFmtId="164" fontId="4" fillId="0" borderId="0" xfId="1" applyNumberFormat="1" applyFont="1" applyFill="1" applyAlignment="1">
      <alignment horizontal="left"/>
    </xf>
    <xf numFmtId="165" fontId="4" fillId="6" borderId="0" xfId="1" applyNumberFormat="1" applyFont="1" applyFill="1"/>
    <xf numFmtId="43" fontId="2" fillId="0" borderId="7" xfId="1" applyFont="1" applyFill="1" applyBorder="1" applyAlignment="1">
      <alignment horizontal="left"/>
    </xf>
    <xf numFmtId="43" fontId="2" fillId="0" borderId="8" xfId="1" applyFont="1" applyFill="1" applyBorder="1" applyAlignment="1">
      <alignment horizontal="left"/>
    </xf>
    <xf numFmtId="164" fontId="4" fillId="5" borderId="0" xfId="1" applyNumberFormat="1" applyFont="1" applyFill="1" applyAlignment="1">
      <alignment horizontal="left"/>
    </xf>
    <xf numFmtId="2" fontId="4" fillId="5" borderId="0" xfId="1" applyNumberFormat="1" applyFont="1" applyFill="1"/>
    <xf numFmtId="43" fontId="2" fillId="5" borderId="7" xfId="1" applyFont="1" applyFill="1" applyBorder="1" applyAlignment="1">
      <alignment horizontal="left"/>
    </xf>
    <xf numFmtId="43" fontId="2" fillId="5" borderId="8" xfId="1" applyFont="1" applyFill="1" applyBorder="1" applyAlignment="1">
      <alignment horizontal="left"/>
    </xf>
    <xf numFmtId="165" fontId="4" fillId="7" borderId="0" xfId="1" applyNumberFormat="1" applyFont="1" applyFill="1"/>
    <xf numFmtId="43" fontId="4" fillId="0" borderId="0" xfId="1" applyFont="1" applyFill="1" applyAlignment="1">
      <alignment horizontal="left"/>
    </xf>
    <xf numFmtId="43" fontId="4" fillId="0" borderId="0" xfId="1" applyFont="1"/>
    <xf numFmtId="43" fontId="4" fillId="8" borderId="0" xfId="1" applyFont="1" applyFill="1" applyAlignment="1">
      <alignment horizontal="left"/>
    </xf>
    <xf numFmtId="0" fontId="3" fillId="8" borderId="0" xfId="1" applyNumberFormat="1" applyFont="1" applyFill="1" applyAlignment="1">
      <alignment horizontal="center" vertical="center"/>
    </xf>
    <xf numFmtId="43" fontId="2" fillId="0" borderId="0" xfId="1" applyFont="1"/>
    <xf numFmtId="165" fontId="2" fillId="0" borderId="0" xfId="1" applyNumberFormat="1" applyFont="1" applyFill="1"/>
    <xf numFmtId="2" fontId="4" fillId="8" borderId="0" xfId="1" applyNumberFormat="1" applyFont="1" applyFill="1"/>
    <xf numFmtId="43" fontId="4" fillId="0" borderId="10" xfId="1" applyFont="1" applyFill="1" applyBorder="1"/>
    <xf numFmtId="43" fontId="2" fillId="8" borderId="12" xfId="1" applyFont="1" applyFill="1" applyBorder="1" applyAlignment="1">
      <alignment horizontal="left"/>
    </xf>
    <xf numFmtId="43" fontId="10" fillId="0" borderId="0" xfId="1" applyFont="1" applyFill="1" applyBorder="1" applyAlignment="1">
      <alignment horizontal="left"/>
    </xf>
    <xf numFmtId="43" fontId="10" fillId="0" borderId="0" xfId="1" applyFont="1" applyFill="1" applyAlignment="1">
      <alignment horizontal="left"/>
    </xf>
    <xf numFmtId="43" fontId="4" fillId="0" borderId="14" xfId="1" applyFont="1" applyFill="1" applyBorder="1" applyAlignment="1">
      <alignment horizontal="left"/>
    </xf>
    <xf numFmtId="165" fontId="10" fillId="3" borderId="14" xfId="1" applyNumberFormat="1" applyFont="1" applyFill="1" applyBorder="1" applyAlignment="1">
      <alignment horizontal="right"/>
    </xf>
    <xf numFmtId="43" fontId="10" fillId="0" borderId="0" xfId="1" applyFont="1" applyFill="1" applyAlignment="1">
      <alignment horizontal="center"/>
    </xf>
    <xf numFmtId="0" fontId="15" fillId="0" borderId="0" xfId="0" applyFont="1" applyAlignment="1">
      <alignment horizontal="left" vertical="top" indent="1"/>
    </xf>
    <xf numFmtId="167" fontId="4" fillId="0" borderId="0" xfId="1" applyNumberFormat="1" applyFont="1" applyFill="1"/>
    <xf numFmtId="165" fontId="10" fillId="3" borderId="9" xfId="1" applyNumberFormat="1" applyFont="1" applyFill="1" applyBorder="1" applyAlignment="1">
      <alignment horizontal="right"/>
    </xf>
    <xf numFmtId="10" fontId="10" fillId="0" borderId="0" xfId="2" applyNumberFormat="1" applyFont="1" applyFill="1"/>
    <xf numFmtId="9" fontId="4" fillId="0" borderId="0" xfId="2" applyFont="1" applyFill="1"/>
    <xf numFmtId="43" fontId="10" fillId="0" borderId="9" xfId="1" applyFont="1" applyFill="1" applyBorder="1"/>
    <xf numFmtId="43" fontId="10" fillId="0" borderId="0" xfId="1" applyFont="1" applyFill="1" applyBorder="1"/>
    <xf numFmtId="165" fontId="10" fillId="0" borderId="9" xfId="1" applyNumberFormat="1" applyFont="1" applyFill="1" applyBorder="1"/>
    <xf numFmtId="165" fontId="10" fillId="0" borderId="0" xfId="1" applyNumberFormat="1" applyFont="1" applyFill="1" applyBorder="1"/>
    <xf numFmtId="165" fontId="2" fillId="9" borderId="0" xfId="1" applyNumberFormat="1" applyFont="1" applyFill="1" applyBorder="1"/>
    <xf numFmtId="164" fontId="4" fillId="0" borderId="0" xfId="1" applyNumberFormat="1" applyFont="1" applyFill="1"/>
    <xf numFmtId="0" fontId="17" fillId="0" borderId="0" xfId="3" applyFont="1" applyAlignment="1">
      <alignment horizontal="center"/>
    </xf>
    <xf numFmtId="0" fontId="10" fillId="0" borderId="0" xfId="3" applyFont="1"/>
    <xf numFmtId="0" fontId="4" fillId="0" borderId="0" xfId="0" applyFont="1" applyAlignment="1">
      <alignment horizontal="left" indent="2"/>
    </xf>
    <xf numFmtId="10" fontId="4" fillId="0" borderId="0" xfId="2" applyNumberFormat="1" applyFont="1" applyFill="1"/>
    <xf numFmtId="165" fontId="4" fillId="0" borderId="0" xfId="1" applyNumberFormat="1" applyFont="1" applyFill="1" applyBorder="1" applyAlignment="1"/>
    <xf numFmtId="165" fontId="10" fillId="0" borderId="0" xfId="1" applyNumberFormat="1" applyFont="1" applyFill="1" applyBorder="1" applyAlignment="1"/>
    <xf numFmtId="7" fontId="10" fillId="0" borderId="9" xfId="1" applyNumberFormat="1" applyFont="1" applyFill="1" applyBorder="1"/>
    <xf numFmtId="43" fontId="18" fillId="0" borderId="0" xfId="1" applyFont="1" applyFill="1"/>
    <xf numFmtId="43" fontId="7" fillId="2" borderId="0" xfId="1" applyFont="1" applyFill="1" applyBorder="1" applyAlignment="1">
      <alignment horizontal="center"/>
    </xf>
    <xf numFmtId="43" fontId="8" fillId="2" borderId="0" xfId="1" applyFont="1" applyFill="1" applyBorder="1" applyAlignment="1">
      <alignment horizontal="center"/>
    </xf>
    <xf numFmtId="43" fontId="9" fillId="2" borderId="2" xfId="1" applyFont="1" applyFill="1" applyBorder="1" applyAlignment="1">
      <alignment horizontal="center"/>
    </xf>
    <xf numFmtId="43" fontId="3" fillId="0" borderId="13" xfId="1" applyFont="1" applyFill="1" applyBorder="1" applyAlignment="1">
      <alignment horizontal="center"/>
    </xf>
    <xf numFmtId="43" fontId="3" fillId="0" borderId="3" xfId="1" applyFont="1" applyFill="1" applyBorder="1" applyAlignment="1">
      <alignment horizontal="center"/>
    </xf>
    <xf numFmtId="43" fontId="3" fillId="0" borderId="5" xfId="1" applyFont="1" applyFill="1" applyBorder="1" applyAlignment="1">
      <alignment horizontal="center"/>
    </xf>
    <xf numFmtId="43" fontId="4" fillId="10" borderId="0" xfId="1" applyFont="1" applyFill="1" applyBorder="1" applyAlignment="1">
      <alignment horizontal="left"/>
    </xf>
    <xf numFmtId="43" fontId="4" fillId="10" borderId="0" xfId="1" applyFont="1" applyFill="1"/>
    <xf numFmtId="165" fontId="4" fillId="10" borderId="0" xfId="1" applyNumberFormat="1" applyFont="1" applyFill="1" applyBorder="1"/>
  </cellXfs>
  <cellStyles count="4">
    <cellStyle name="Comma" xfId="1" builtinId="3"/>
    <cellStyle name="Normal" xfId="0" builtinId="0"/>
    <cellStyle name="Normal_YOUTH02" xfId="3" xr:uid="{62FC1D27-79CC-B14C-B1F2-B6D476E88EE7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aff/Downloads/07-FY25%20DRAFT%20Budgets%20-%20Afterschool%20Manhattan%20with%20NOTES-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gram Budget Mods"/>
    </sheetNames>
    <sheetDataSet>
      <sheetData sheetId="0" refreshError="1">
        <row r="7">
          <cell r="B7" t="str">
            <v>FY 25 DRAFT BUDGET (7/1/24-6/30/25)</v>
          </cell>
          <cell r="C7"/>
          <cell r="D7"/>
          <cell r="E7"/>
          <cell r="F7"/>
          <cell r="G7"/>
          <cell r="H7"/>
          <cell r="I7"/>
          <cell r="J7"/>
          <cell r="K7"/>
          <cell r="L7"/>
          <cell r="M7"/>
          <cell r="N7"/>
          <cell r="O7"/>
          <cell r="P7"/>
          <cell r="Q7"/>
          <cell r="R7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6FBC6-209C-B447-98DA-EAFC3F4F1AEC}">
  <dimension ref="A1:AB112"/>
  <sheetViews>
    <sheetView tabSelected="1" topLeftCell="A5" zoomScaleNormal="100" workbookViewId="0">
      <selection activeCell="M104" sqref="M104"/>
    </sheetView>
  </sheetViews>
  <sheetFormatPr baseColWidth="10" defaultColWidth="9.1640625" defaultRowHeight="13" x14ac:dyDescent="0.15"/>
  <cols>
    <col min="1" max="1" width="9.5" style="3" bestFit="1" customWidth="1"/>
    <col min="2" max="2" width="34.33203125" style="3" customWidth="1"/>
    <col min="3" max="3" width="21.5" style="3" customWidth="1"/>
    <col min="4" max="4" width="10" style="3" bestFit="1" customWidth="1"/>
    <col min="5" max="5" width="13.6640625" style="3" bestFit="1" customWidth="1"/>
    <col min="6" max="6" width="11.33203125" style="3" hidden="1" customWidth="1"/>
    <col min="7" max="7" width="10.33203125" style="3" customWidth="1"/>
    <col min="8" max="9" width="11.6640625" style="3" customWidth="1"/>
    <col min="10" max="10" width="13.6640625" style="3" bestFit="1" customWidth="1"/>
    <col min="11" max="11" width="12.33203125" style="3" bestFit="1" customWidth="1"/>
    <col min="12" max="12" width="11" style="3" customWidth="1"/>
    <col min="13" max="13" width="15.5" style="3" bestFit="1" customWidth="1"/>
    <col min="14" max="15" width="13.5" style="3" customWidth="1"/>
    <col min="16" max="16" width="12.6640625" style="3" bestFit="1" customWidth="1"/>
    <col min="17" max="17" width="15.1640625" style="3" bestFit="1" customWidth="1"/>
    <col min="18" max="28" width="9.1640625" style="3"/>
    <col min="29" max="16384" width="9.1640625" style="15"/>
  </cols>
  <sheetData>
    <row r="1" spans="1:28" s="1" customFormat="1" x14ac:dyDescent="0.15">
      <c r="O1" s="2" t="s">
        <v>0</v>
      </c>
      <c r="P1" s="2" t="s">
        <v>1</v>
      </c>
      <c r="Q1" s="3" t="s">
        <v>2</v>
      </c>
      <c r="S1" s="3"/>
    </row>
    <row r="2" spans="1:28" s="3" customFormat="1" ht="14" thickBot="1" x14ac:dyDescent="0.2">
      <c r="M2" s="4">
        <f>M104</f>
        <v>136250</v>
      </c>
      <c r="O2" s="5">
        <v>14</v>
      </c>
      <c r="P2" s="2">
        <v>3.5</v>
      </c>
      <c r="Q2" s="3">
        <v>7</v>
      </c>
    </row>
    <row r="3" spans="1:28" s="3" customFormat="1" ht="17" x14ac:dyDescent="0.3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O3" s="7"/>
      <c r="P3" s="8" t="s">
        <v>3</v>
      </c>
      <c r="Q3" s="8" t="s">
        <v>4</v>
      </c>
      <c r="R3" s="9"/>
    </row>
    <row r="4" spans="1:28" ht="14" x14ac:dyDescent="0.15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1"/>
      <c r="O4" s="12" t="s">
        <v>5</v>
      </c>
      <c r="P4" s="13">
        <f>ROUND(H10/15,0)</f>
        <v>7</v>
      </c>
      <c r="Q4" s="13"/>
      <c r="R4" s="14"/>
    </row>
    <row r="5" spans="1:28" ht="14" x14ac:dyDescent="0.15"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1"/>
      <c r="O5" s="12" t="s">
        <v>6</v>
      </c>
      <c r="P5" s="13">
        <v>670</v>
      </c>
      <c r="Q5" s="13">
        <v>350</v>
      </c>
      <c r="R5" s="14"/>
    </row>
    <row r="6" spans="1:28" ht="24" thickBot="1" x14ac:dyDescent="0.3">
      <c r="B6" s="101" t="s">
        <v>117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1"/>
      <c r="O6" s="12" t="s">
        <v>7</v>
      </c>
      <c r="P6" s="16">
        <f>ROUND(P4*P5,0)</f>
        <v>4690</v>
      </c>
      <c r="Q6" s="16">
        <f>ROUND(Q4*Q5,0)</f>
        <v>0</v>
      </c>
      <c r="R6" s="14"/>
    </row>
    <row r="7" spans="1:28" ht="24" thickTop="1" x14ac:dyDescent="0.25">
      <c r="B7" s="102" t="str">
        <f>'[1]Program Budget Mods'!B7:AB7</f>
        <v>FY 25 DRAFT BUDGET (7/1/24-6/30/25)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1"/>
      <c r="O7" s="17"/>
      <c r="P7" s="18"/>
      <c r="Q7" s="18"/>
      <c r="R7" s="14"/>
    </row>
    <row r="8" spans="1:28" ht="15.75" customHeight="1" x14ac:dyDescent="0.2">
      <c r="B8" s="103" t="s">
        <v>8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1"/>
      <c r="O8" s="12" t="s">
        <v>9</v>
      </c>
      <c r="P8" s="19">
        <f>SUM(N24:N37)</f>
        <v>4698</v>
      </c>
      <c r="Q8" s="19">
        <f>SUM(O24:O37)</f>
        <v>0</v>
      </c>
      <c r="R8" s="20"/>
    </row>
    <row r="9" spans="1:28" ht="16" thickBot="1" x14ac:dyDescent="0.2">
      <c r="O9" s="21" t="s">
        <v>10</v>
      </c>
      <c r="P9" s="16">
        <f>P8-P6</f>
        <v>8</v>
      </c>
      <c r="Q9" s="16">
        <f>Q8-Q6</f>
        <v>0</v>
      </c>
      <c r="R9" s="22"/>
    </row>
    <row r="10" spans="1:28" s="30" customFormat="1" ht="16" thickTop="1" thickBot="1" x14ac:dyDescent="0.2">
      <c r="A10" s="23"/>
      <c r="B10" s="24" t="s">
        <v>11</v>
      </c>
      <c r="C10" s="23"/>
      <c r="D10" s="23"/>
      <c r="E10" s="23"/>
      <c r="F10" s="23"/>
      <c r="G10" s="23"/>
      <c r="H10" s="25">
        <v>100</v>
      </c>
      <c r="I10" s="25">
        <v>100</v>
      </c>
      <c r="J10" s="23"/>
      <c r="K10" s="23"/>
      <c r="L10" s="23"/>
      <c r="M10" s="23"/>
      <c r="N10" s="23"/>
      <c r="O10" s="26"/>
      <c r="P10" s="27"/>
      <c r="Q10" s="28">
        <f>+P9+Q9</f>
        <v>8</v>
      </c>
      <c r="R10" s="29"/>
      <c r="S10" s="23"/>
      <c r="T10" s="23"/>
      <c r="U10" s="23"/>
      <c r="V10" s="23"/>
      <c r="W10" s="23"/>
      <c r="X10" s="23"/>
      <c r="Y10" s="23"/>
      <c r="Z10" s="23"/>
      <c r="AA10" s="23"/>
      <c r="AB10" s="23"/>
    </row>
    <row r="11" spans="1:28" s="35" customFormat="1" ht="59.25" customHeight="1" x14ac:dyDescent="0.15">
      <c r="A11" s="31"/>
      <c r="B11" s="32" t="s">
        <v>12</v>
      </c>
      <c r="C11" s="33" t="s">
        <v>13</v>
      </c>
      <c r="D11" s="34" t="s">
        <v>14</v>
      </c>
      <c r="E11" s="34" t="s">
        <v>15</v>
      </c>
      <c r="F11" s="34" t="s">
        <v>16</v>
      </c>
      <c r="G11" s="34" t="s">
        <v>17</v>
      </c>
      <c r="H11" s="34" t="s">
        <v>18</v>
      </c>
      <c r="I11" s="34" t="s">
        <v>19</v>
      </c>
      <c r="J11" s="34" t="s">
        <v>20</v>
      </c>
      <c r="K11" s="34" t="s">
        <v>21</v>
      </c>
      <c r="L11" s="34" t="s">
        <v>22</v>
      </c>
      <c r="M11" s="34" t="s">
        <v>23</v>
      </c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</row>
    <row r="12" spans="1:28" s="38" customFormat="1" x14ac:dyDescent="0.15">
      <c r="A12" s="36"/>
      <c r="B12" s="36"/>
      <c r="C12" s="36"/>
      <c r="D12" s="36"/>
      <c r="E12" s="36">
        <v>1.03</v>
      </c>
      <c r="F12" s="36"/>
      <c r="G12" s="36"/>
      <c r="H12" s="36"/>
      <c r="I12" s="36"/>
      <c r="J12" s="104" t="s">
        <v>24</v>
      </c>
      <c r="K12" s="104"/>
      <c r="L12" s="37" t="s">
        <v>25</v>
      </c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</row>
    <row r="13" spans="1:28" x14ac:dyDescent="0.15">
      <c r="B13" s="39" t="s">
        <v>26</v>
      </c>
      <c r="C13" s="39"/>
      <c r="J13" s="40">
        <v>36</v>
      </c>
      <c r="K13" s="40"/>
      <c r="L13" s="40">
        <v>1</v>
      </c>
      <c r="P13" s="36"/>
      <c r="Q13" s="36"/>
    </row>
    <row r="14" spans="1:28" x14ac:dyDescent="0.15">
      <c r="B14" s="39"/>
      <c r="C14" s="39"/>
      <c r="J14" s="40">
        <v>17</v>
      </c>
      <c r="K14" s="40"/>
      <c r="L14" s="40"/>
      <c r="P14" s="36"/>
      <c r="Q14" s="36"/>
    </row>
    <row r="15" spans="1:28" x14ac:dyDescent="0.15">
      <c r="B15" s="39"/>
      <c r="C15" s="39"/>
      <c r="J15" s="40">
        <v>33</v>
      </c>
      <c r="K15" s="40"/>
      <c r="L15" s="40"/>
      <c r="P15" s="36"/>
      <c r="Q15" s="36"/>
    </row>
    <row r="16" spans="1:28" x14ac:dyDescent="0.15">
      <c r="B16" s="39"/>
      <c r="C16" s="39"/>
      <c r="J16" s="41"/>
      <c r="K16" s="41"/>
      <c r="L16" s="41"/>
    </row>
    <row r="17" spans="1:28" s="49" customFormat="1" ht="14" x14ac:dyDescent="0.15">
      <c r="A17" s="42">
        <v>85.72</v>
      </c>
      <c r="B17" s="43" t="s">
        <v>27</v>
      </c>
      <c r="C17" s="107"/>
      <c r="D17" s="44">
        <v>0.1</v>
      </c>
      <c r="E17" s="109"/>
      <c r="F17" s="46"/>
      <c r="G17" s="46"/>
      <c r="H17" s="46"/>
      <c r="I17" s="46"/>
      <c r="J17" s="47"/>
      <c r="K17" s="48"/>
      <c r="L17" s="48"/>
      <c r="M17" s="109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</row>
    <row r="18" spans="1:28" s="50" customFormat="1" ht="14" x14ac:dyDescent="0.15">
      <c r="B18" s="51" t="s">
        <v>28</v>
      </c>
      <c r="C18" s="107"/>
      <c r="D18" s="51">
        <v>0.05</v>
      </c>
      <c r="E18" s="109"/>
      <c r="F18" s="53"/>
      <c r="G18" s="53"/>
      <c r="H18" s="53"/>
      <c r="I18" s="53"/>
      <c r="M18" s="109"/>
      <c r="N18" s="108" t="s">
        <v>29</v>
      </c>
      <c r="O18" s="108"/>
      <c r="P18" s="108"/>
      <c r="Q18" s="108"/>
      <c r="R18" s="108"/>
      <c r="S18" s="108"/>
      <c r="T18" s="108"/>
    </row>
    <row r="19" spans="1:28" s="49" customFormat="1" ht="14" x14ac:dyDescent="0.15">
      <c r="A19" s="48"/>
      <c r="B19" s="51" t="s">
        <v>30</v>
      </c>
      <c r="C19" s="107"/>
      <c r="D19" s="51">
        <v>1</v>
      </c>
      <c r="E19" s="109"/>
      <c r="F19" s="50"/>
      <c r="G19" s="53"/>
      <c r="H19" s="53"/>
      <c r="I19" s="53"/>
      <c r="J19" s="50"/>
      <c r="K19" s="50"/>
      <c r="L19" s="50"/>
      <c r="M19" s="109"/>
      <c r="N19" s="108" t="s">
        <v>31</v>
      </c>
      <c r="O19" s="108"/>
      <c r="P19" s="108"/>
      <c r="Q19" s="108"/>
      <c r="R19" s="108"/>
      <c r="S19" s="108"/>
      <c r="T19" s="108"/>
      <c r="U19" s="48"/>
      <c r="V19" s="48"/>
      <c r="W19" s="48"/>
      <c r="X19" s="48"/>
      <c r="Y19" s="48"/>
      <c r="Z19" s="48"/>
      <c r="AA19" s="48"/>
      <c r="AB19" s="48"/>
    </row>
    <row r="20" spans="1:28" s="49" customFormat="1" ht="14" x14ac:dyDescent="0.15">
      <c r="A20" s="48"/>
      <c r="B20" s="44" t="s">
        <v>32</v>
      </c>
      <c r="C20" s="107"/>
      <c r="D20" s="54"/>
      <c r="E20" s="109"/>
      <c r="F20" s="46"/>
      <c r="G20" s="46"/>
      <c r="H20" s="46"/>
      <c r="I20" s="46"/>
      <c r="J20" s="48"/>
      <c r="K20" s="48"/>
      <c r="L20" s="48"/>
      <c r="M20" s="109"/>
      <c r="N20" s="48"/>
      <c r="O20" s="48"/>
      <c r="P20" s="48"/>
      <c r="Q20" s="46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</row>
    <row r="21" spans="1:28" s="49" customFormat="1" ht="15" thickBot="1" x14ac:dyDescent="0.2">
      <c r="A21" s="48"/>
      <c r="B21" s="44" t="s">
        <v>33</v>
      </c>
      <c r="C21" s="107"/>
      <c r="D21" s="55">
        <v>0.22500000000000001</v>
      </c>
      <c r="E21" s="109"/>
      <c r="F21" s="46"/>
      <c r="G21" s="46"/>
      <c r="H21" s="46"/>
      <c r="I21" s="46"/>
      <c r="J21" s="48"/>
      <c r="K21" s="48"/>
      <c r="L21" s="48"/>
      <c r="M21" s="109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</row>
    <row r="22" spans="1:28" s="49" customFormat="1" ht="14" x14ac:dyDescent="0.15">
      <c r="A22" s="48"/>
      <c r="B22" s="44"/>
      <c r="C22" s="44"/>
      <c r="D22" s="48"/>
      <c r="E22" s="46"/>
      <c r="F22" s="48"/>
      <c r="G22" s="46"/>
      <c r="H22" s="46"/>
      <c r="I22" s="46"/>
      <c r="J22" s="48"/>
      <c r="K22" s="48"/>
      <c r="L22" s="48"/>
      <c r="M22" s="45"/>
      <c r="N22" s="105" t="s">
        <v>34</v>
      </c>
      <c r="O22" s="106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</row>
    <row r="23" spans="1:28" s="49" customFormat="1" ht="17" x14ac:dyDescent="0.3">
      <c r="A23" s="48"/>
      <c r="B23" s="44"/>
      <c r="C23" s="44"/>
      <c r="D23" s="48"/>
      <c r="E23" s="48"/>
      <c r="F23" s="48"/>
      <c r="G23" s="46"/>
      <c r="H23" s="46"/>
      <c r="I23" s="46"/>
      <c r="J23" s="48"/>
      <c r="K23" s="48"/>
      <c r="L23" s="48"/>
      <c r="M23" s="45"/>
      <c r="N23" s="56" t="s">
        <v>35</v>
      </c>
      <c r="O23" s="57" t="s">
        <v>36</v>
      </c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</row>
    <row r="24" spans="1:28" s="49" customFormat="1" ht="14" x14ac:dyDescent="0.15">
      <c r="A24" s="48"/>
      <c r="B24" s="46"/>
      <c r="C24" s="46"/>
      <c r="D24" s="48"/>
      <c r="E24" s="48"/>
      <c r="F24" s="46"/>
      <c r="G24" s="46"/>
      <c r="H24" s="46"/>
      <c r="I24" s="46"/>
      <c r="J24" s="48"/>
      <c r="K24" s="48"/>
      <c r="L24" s="48"/>
      <c r="M24" s="18"/>
      <c r="N24" s="17"/>
      <c r="O24" s="14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</row>
    <row r="25" spans="1:28" s="49" customFormat="1" ht="14" x14ac:dyDescent="0.15">
      <c r="A25" s="48"/>
      <c r="B25" s="44" t="s">
        <v>37</v>
      </c>
      <c r="C25" s="107"/>
      <c r="D25" s="44">
        <v>1</v>
      </c>
      <c r="E25" s="46"/>
      <c r="F25" s="46"/>
      <c r="G25" s="46">
        <v>25.63</v>
      </c>
      <c r="H25" s="58">
        <v>17.5</v>
      </c>
      <c r="I25" s="58">
        <v>0</v>
      </c>
      <c r="J25" s="46">
        <f>G25*$J$13*H25</f>
        <v>16146.9</v>
      </c>
      <c r="K25" s="46">
        <f>G25*$K$13*I25</f>
        <v>0</v>
      </c>
      <c r="L25" s="46"/>
      <c r="M25" s="45">
        <f>ROUND(SUM(J25:L25)+F25,0)</f>
        <v>16147</v>
      </c>
      <c r="N25" s="17"/>
      <c r="O25" s="14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</row>
    <row r="26" spans="1:28" s="49" customFormat="1" ht="14" x14ac:dyDescent="0.15">
      <c r="A26" s="48"/>
      <c r="B26" s="44" t="s">
        <v>38</v>
      </c>
      <c r="C26" s="107"/>
      <c r="D26" s="44">
        <v>1</v>
      </c>
      <c r="E26" s="46"/>
      <c r="F26" s="46"/>
      <c r="G26" s="46">
        <v>22</v>
      </c>
      <c r="H26" s="58">
        <v>25</v>
      </c>
      <c r="I26" s="58">
        <v>25</v>
      </c>
      <c r="J26" s="46">
        <f>G26*$J$13*H26</f>
        <v>19800</v>
      </c>
      <c r="K26" s="46">
        <f>G26*$K$13*I26</f>
        <v>0</v>
      </c>
      <c r="L26" s="46"/>
      <c r="M26" s="45">
        <f t="shared" ref="M26:M34" si="0">ROUND(SUM(J26:L26)+F26,0)</f>
        <v>19800</v>
      </c>
      <c r="N26" s="17"/>
      <c r="O26" s="14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</row>
    <row r="27" spans="1:28" s="49" customFormat="1" ht="14" x14ac:dyDescent="0.15">
      <c r="A27" s="59">
        <v>1</v>
      </c>
      <c r="B27" s="43" t="s">
        <v>39</v>
      </c>
      <c r="C27" s="107"/>
      <c r="D27" s="44">
        <v>1</v>
      </c>
      <c r="E27" s="46"/>
      <c r="F27" s="46"/>
      <c r="G27" s="46">
        <v>43.03</v>
      </c>
      <c r="H27" s="58">
        <v>4</v>
      </c>
      <c r="I27" s="60"/>
      <c r="J27" s="46">
        <f>G27*$J$15*H27</f>
        <v>5679.96</v>
      </c>
      <c r="K27" s="60"/>
      <c r="L27" s="60"/>
      <c r="M27" s="45">
        <f t="shared" si="0"/>
        <v>5680</v>
      </c>
      <c r="N27" s="61">
        <f>H27*$J$13</f>
        <v>144</v>
      </c>
      <c r="O27" s="62">
        <f>I27*$K$13</f>
        <v>0</v>
      </c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</row>
    <row r="28" spans="1:28" s="50" customFormat="1" ht="14" x14ac:dyDescent="0.15">
      <c r="A28" s="63">
        <v>2</v>
      </c>
      <c r="B28" s="51" t="s">
        <v>39</v>
      </c>
      <c r="C28" s="107"/>
      <c r="D28" s="51">
        <v>1</v>
      </c>
      <c r="E28" s="53"/>
      <c r="F28" s="53"/>
      <c r="G28" s="53">
        <v>43.03</v>
      </c>
      <c r="H28" s="64">
        <v>4</v>
      </c>
      <c r="I28" s="53"/>
      <c r="J28" s="53">
        <f>G28*$J$15*H28</f>
        <v>5679.96</v>
      </c>
      <c r="K28" s="53"/>
      <c r="L28" s="53"/>
      <c r="M28" s="52">
        <f t="shared" si="0"/>
        <v>5680</v>
      </c>
      <c r="N28" s="65">
        <f t="shared" ref="N28:N35" si="1">H28*$J$13</f>
        <v>144</v>
      </c>
      <c r="O28" s="66">
        <f t="shared" ref="O28:O35" si="2">I28*$K$13</f>
        <v>0</v>
      </c>
      <c r="Q28" s="50" t="s">
        <v>40</v>
      </c>
    </row>
    <row r="29" spans="1:28" s="49" customFormat="1" ht="14" x14ac:dyDescent="0.15">
      <c r="A29" s="59">
        <v>1</v>
      </c>
      <c r="B29" s="44" t="s">
        <v>41</v>
      </c>
      <c r="C29" s="107"/>
      <c r="D29" s="44">
        <v>1</v>
      </c>
      <c r="E29" s="46"/>
      <c r="F29" s="67"/>
      <c r="G29" s="67">
        <v>20</v>
      </c>
      <c r="H29" s="58">
        <v>17.5</v>
      </c>
      <c r="I29" s="58">
        <v>0</v>
      </c>
      <c r="J29" s="46">
        <f>G29*$J$13*H29</f>
        <v>12600</v>
      </c>
      <c r="K29" s="46">
        <f>G29*$K$13*I29</f>
        <v>0</v>
      </c>
      <c r="L29" s="46"/>
      <c r="M29" s="45">
        <f t="shared" si="0"/>
        <v>12600</v>
      </c>
      <c r="N29" s="61">
        <f t="shared" si="1"/>
        <v>630</v>
      </c>
      <c r="O29" s="62">
        <f t="shared" si="2"/>
        <v>0</v>
      </c>
      <c r="P29" s="48"/>
      <c r="Q29" s="48"/>
      <c r="R29" s="46"/>
      <c r="S29" s="48"/>
      <c r="T29" s="48"/>
      <c r="U29" s="48"/>
      <c r="V29" s="48"/>
      <c r="W29" s="48"/>
      <c r="X29" s="48"/>
      <c r="Y29" s="48"/>
      <c r="Z29" s="48"/>
      <c r="AA29" s="48"/>
      <c r="AB29" s="48"/>
    </row>
    <row r="30" spans="1:28" s="49" customFormat="1" ht="14" x14ac:dyDescent="0.15">
      <c r="A30" s="59">
        <v>2</v>
      </c>
      <c r="B30" s="44" t="s">
        <v>41</v>
      </c>
      <c r="C30" s="107"/>
      <c r="D30" s="44">
        <v>1</v>
      </c>
      <c r="E30" s="46"/>
      <c r="F30" s="67"/>
      <c r="G30" s="67">
        <v>20</v>
      </c>
      <c r="H30" s="58">
        <v>17.5</v>
      </c>
      <c r="I30" s="58">
        <v>0</v>
      </c>
      <c r="J30" s="46">
        <f t="shared" ref="J30:J35" si="3">G30*$J$13*H30</f>
        <v>12600</v>
      </c>
      <c r="K30" s="46">
        <f t="shared" ref="K30:K35" si="4">G30*$K$13*I30</f>
        <v>0</v>
      </c>
      <c r="L30" s="46"/>
      <c r="M30" s="45">
        <f t="shared" si="0"/>
        <v>12600</v>
      </c>
      <c r="N30" s="61">
        <f t="shared" si="1"/>
        <v>630</v>
      </c>
      <c r="O30" s="62">
        <f t="shared" si="2"/>
        <v>0</v>
      </c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</row>
    <row r="31" spans="1:28" s="49" customFormat="1" ht="14" x14ac:dyDescent="0.15">
      <c r="A31" s="59">
        <v>3</v>
      </c>
      <c r="B31" s="44" t="s">
        <v>41</v>
      </c>
      <c r="C31" s="107"/>
      <c r="D31" s="44">
        <v>1</v>
      </c>
      <c r="E31" s="46"/>
      <c r="F31" s="67"/>
      <c r="G31" s="46">
        <v>20</v>
      </c>
      <c r="H31" s="58">
        <v>17.5</v>
      </c>
      <c r="I31" s="58">
        <v>0</v>
      </c>
      <c r="J31" s="46">
        <f t="shared" si="3"/>
        <v>12600</v>
      </c>
      <c r="K31" s="46">
        <f t="shared" si="4"/>
        <v>0</v>
      </c>
      <c r="L31" s="46"/>
      <c r="M31" s="45">
        <f t="shared" si="0"/>
        <v>12600</v>
      </c>
      <c r="N31" s="61">
        <f t="shared" si="1"/>
        <v>630</v>
      </c>
      <c r="O31" s="62">
        <f t="shared" si="2"/>
        <v>0</v>
      </c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</row>
    <row r="32" spans="1:28" s="49" customFormat="1" ht="14" x14ac:dyDescent="0.15">
      <c r="A32" s="59">
        <v>4</v>
      </c>
      <c r="B32" s="44" t="s">
        <v>41</v>
      </c>
      <c r="C32" s="107"/>
      <c r="D32" s="44">
        <v>1</v>
      </c>
      <c r="E32" s="46"/>
      <c r="F32" s="67"/>
      <c r="G32" s="46">
        <v>17.5</v>
      </c>
      <c r="H32" s="58">
        <v>17.5</v>
      </c>
      <c r="I32" s="58">
        <v>0</v>
      </c>
      <c r="J32" s="46">
        <f t="shared" si="3"/>
        <v>11025</v>
      </c>
      <c r="K32" s="46">
        <f t="shared" si="4"/>
        <v>0</v>
      </c>
      <c r="L32" s="46"/>
      <c r="M32" s="45">
        <f t="shared" si="0"/>
        <v>11025</v>
      </c>
      <c r="N32" s="61">
        <f t="shared" si="1"/>
        <v>630</v>
      </c>
      <c r="O32" s="62">
        <f t="shared" si="2"/>
        <v>0</v>
      </c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</row>
    <row r="33" spans="1:28" s="49" customFormat="1" ht="14" x14ac:dyDescent="0.15">
      <c r="A33" s="59">
        <v>5</v>
      </c>
      <c r="B33" s="44" t="s">
        <v>41</v>
      </c>
      <c r="C33" s="107"/>
      <c r="D33" s="44">
        <v>1</v>
      </c>
      <c r="E33" s="46"/>
      <c r="F33" s="67"/>
      <c r="G33" s="46">
        <v>17.5</v>
      </c>
      <c r="H33" s="58">
        <v>17.5</v>
      </c>
      <c r="I33" s="58">
        <v>0</v>
      </c>
      <c r="J33" s="46">
        <f t="shared" si="3"/>
        <v>11025</v>
      </c>
      <c r="K33" s="46">
        <f t="shared" si="4"/>
        <v>0</v>
      </c>
      <c r="L33" s="46"/>
      <c r="M33" s="45">
        <f t="shared" si="0"/>
        <v>11025</v>
      </c>
      <c r="N33" s="61">
        <f t="shared" si="1"/>
        <v>630</v>
      </c>
      <c r="O33" s="62">
        <f t="shared" si="2"/>
        <v>0</v>
      </c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</row>
    <row r="34" spans="1:28" s="49" customFormat="1" ht="14" x14ac:dyDescent="0.15">
      <c r="A34" s="59">
        <v>6</v>
      </c>
      <c r="B34" s="44" t="s">
        <v>41</v>
      </c>
      <c r="C34" s="107"/>
      <c r="D34" s="44">
        <v>1</v>
      </c>
      <c r="E34" s="46"/>
      <c r="F34" s="67"/>
      <c r="G34" s="46">
        <v>17.5</v>
      </c>
      <c r="H34" s="58">
        <v>17.5</v>
      </c>
      <c r="I34" s="58">
        <v>0</v>
      </c>
      <c r="J34" s="46">
        <f t="shared" si="3"/>
        <v>11025</v>
      </c>
      <c r="K34" s="46">
        <f t="shared" si="4"/>
        <v>0</v>
      </c>
      <c r="L34" s="46"/>
      <c r="M34" s="45">
        <f t="shared" si="0"/>
        <v>11025</v>
      </c>
      <c r="N34" s="61">
        <f t="shared" si="1"/>
        <v>630</v>
      </c>
      <c r="O34" s="62">
        <f t="shared" si="2"/>
        <v>0</v>
      </c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</row>
    <row r="35" spans="1:28" s="50" customFormat="1" ht="14" x14ac:dyDescent="0.15">
      <c r="A35" s="63">
        <v>7</v>
      </c>
      <c r="B35" s="51" t="s">
        <v>41</v>
      </c>
      <c r="C35" s="51"/>
      <c r="D35" s="51">
        <v>1</v>
      </c>
      <c r="E35" s="53"/>
      <c r="F35" s="53"/>
      <c r="G35" s="53">
        <v>17.5</v>
      </c>
      <c r="H35" s="64">
        <v>17.5</v>
      </c>
      <c r="I35" s="64"/>
      <c r="J35" s="53">
        <f t="shared" si="3"/>
        <v>11025</v>
      </c>
      <c r="K35" s="53">
        <f t="shared" si="4"/>
        <v>0</v>
      </c>
      <c r="L35" s="53"/>
      <c r="M35" s="52">
        <v>0</v>
      </c>
      <c r="N35" s="65">
        <f t="shared" si="1"/>
        <v>630</v>
      </c>
      <c r="O35" s="66">
        <f t="shared" si="2"/>
        <v>0</v>
      </c>
      <c r="Q35" s="50" t="s">
        <v>42</v>
      </c>
    </row>
    <row r="36" spans="1:28" s="69" customFormat="1" ht="14" x14ac:dyDescent="0.15">
      <c r="A36" s="48"/>
      <c r="B36" s="43"/>
      <c r="C36" s="68"/>
      <c r="D36" s="68"/>
      <c r="E36" s="46"/>
      <c r="F36" s="46"/>
      <c r="G36" s="46"/>
      <c r="H36" s="46"/>
      <c r="I36" s="46"/>
      <c r="J36" s="48"/>
      <c r="K36" s="48"/>
      <c r="L36" s="48"/>
      <c r="M36" s="48"/>
      <c r="N36" s="17"/>
      <c r="O36" s="14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</row>
    <row r="37" spans="1:28" s="69" customFormat="1" ht="15" thickBot="1" x14ac:dyDescent="0.2">
      <c r="A37" s="48"/>
      <c r="B37" s="70" t="s">
        <v>43</v>
      </c>
      <c r="C37" s="71"/>
      <c r="D37" s="72"/>
      <c r="E37" s="72"/>
      <c r="F37" s="73"/>
      <c r="G37" s="73"/>
      <c r="H37" s="73"/>
      <c r="I37" s="74">
        <v>26</v>
      </c>
      <c r="J37" s="48"/>
      <c r="K37" s="48"/>
      <c r="L37" s="48"/>
      <c r="M37" s="48"/>
      <c r="N37" s="75"/>
      <c r="O37" s="76">
        <f>I37*$K$13*C37</f>
        <v>0</v>
      </c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</row>
    <row r="38" spans="1:28" s="69" customFormat="1" ht="14" x14ac:dyDescent="0.15">
      <c r="A38" s="48"/>
      <c r="B38" s="43"/>
      <c r="C38" s="68"/>
      <c r="D38" s="68"/>
      <c r="E38" s="46"/>
      <c r="F38" s="46"/>
      <c r="G38" s="46"/>
      <c r="H38" s="46"/>
      <c r="I38" s="46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</row>
    <row r="39" spans="1:28" s="49" customFormat="1" ht="15" thickBot="1" x14ac:dyDescent="0.2">
      <c r="A39" s="48"/>
      <c r="B39" s="77" t="s">
        <v>44</v>
      </c>
      <c r="C39" s="78"/>
      <c r="D39" s="79">
        <f>SUM(D17:D36)</f>
        <v>12.375</v>
      </c>
      <c r="E39" s="80">
        <f>SUM(E17:E33)</f>
        <v>0</v>
      </c>
      <c r="F39" s="67"/>
      <c r="G39" s="46"/>
      <c r="H39" s="46"/>
      <c r="I39" s="46"/>
      <c r="J39" s="80">
        <f>SUM(J17:J35)</f>
        <v>129206.82</v>
      </c>
      <c r="K39" s="80">
        <f>SUM(K17:K35)</f>
        <v>0</v>
      </c>
      <c r="L39" s="80">
        <f>SUM(L17:L35)</f>
        <v>0</v>
      </c>
      <c r="M39" s="80">
        <f>SUM(M17:M35)</f>
        <v>118182</v>
      </c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</row>
    <row r="40" spans="1:28" s="49" customFormat="1" ht="14" x14ac:dyDescent="0.15">
      <c r="A40" s="48"/>
      <c r="B40" s="43"/>
      <c r="C40" s="68"/>
      <c r="D40" s="68"/>
      <c r="E40" s="46"/>
      <c r="F40" s="46"/>
      <c r="G40" s="46"/>
      <c r="H40" s="46"/>
      <c r="I40" s="46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</row>
    <row r="41" spans="1:28" s="49" customFormat="1" ht="14" x14ac:dyDescent="0.15">
      <c r="A41" s="48"/>
      <c r="B41" s="43"/>
      <c r="C41" s="68"/>
      <c r="D41" s="68"/>
      <c r="E41" s="46"/>
      <c r="F41" s="46"/>
      <c r="G41" s="46"/>
      <c r="H41" s="46"/>
      <c r="I41" s="46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</row>
    <row r="42" spans="1:28" s="49" customFormat="1" ht="14" x14ac:dyDescent="0.15">
      <c r="A42" s="48"/>
      <c r="B42" s="81" t="s">
        <v>45</v>
      </c>
      <c r="C42" s="44"/>
      <c r="D42" s="48"/>
      <c r="E42" s="46"/>
      <c r="F42" s="46"/>
      <c r="G42" s="46"/>
      <c r="H42" s="46"/>
      <c r="I42" s="46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</row>
    <row r="43" spans="1:28" s="49" customFormat="1" ht="14" x14ac:dyDescent="0.15">
      <c r="A43" s="48"/>
      <c r="B43" s="82" t="s">
        <v>46</v>
      </c>
      <c r="C43" s="44"/>
      <c r="D43" s="83">
        <v>7.6499999999999999E-2</v>
      </c>
      <c r="E43" s="46">
        <f>$E$39*D43</f>
        <v>0</v>
      </c>
      <c r="F43" s="46"/>
      <c r="G43" s="46"/>
      <c r="H43" s="46"/>
      <c r="I43" s="46"/>
      <c r="J43" s="46">
        <f>$J$39*D43</f>
        <v>9884.3217299999997</v>
      </c>
      <c r="K43" s="46">
        <f>$K$39*D43</f>
        <v>0</v>
      </c>
      <c r="L43" s="46">
        <f>$L$39*D43</f>
        <v>0</v>
      </c>
      <c r="M43" s="45">
        <f>ROUND(SUM(E43:L43),0)</f>
        <v>9884</v>
      </c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</row>
    <row r="44" spans="1:28" s="49" customFormat="1" ht="14" x14ac:dyDescent="0.15">
      <c r="A44" s="48"/>
      <c r="B44" s="82" t="s">
        <v>47</v>
      </c>
      <c r="C44" s="44"/>
      <c r="D44" s="83">
        <v>0.02</v>
      </c>
      <c r="E44" s="46">
        <f t="shared" ref="E44:E49" si="5">$E$39*D44</f>
        <v>0</v>
      </c>
      <c r="F44" s="46"/>
      <c r="G44" s="46"/>
      <c r="H44" s="46"/>
      <c r="I44" s="46"/>
      <c r="J44" s="46">
        <f>$J$39*D44</f>
        <v>2584.1364000000003</v>
      </c>
      <c r="K44" s="46">
        <f t="shared" ref="K44:K49" si="6">$K$39*D44</f>
        <v>0</v>
      </c>
      <c r="L44" s="46">
        <f t="shared" ref="L44:L49" si="7">$L$39*D44</f>
        <v>0</v>
      </c>
      <c r="M44" s="45">
        <f t="shared" ref="M44:M49" si="8">ROUND(SUM(E44:L44),0)</f>
        <v>2584</v>
      </c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</row>
    <row r="45" spans="1:28" s="49" customFormat="1" ht="14" x14ac:dyDescent="0.15">
      <c r="A45" s="48"/>
      <c r="B45" s="82" t="s">
        <v>48</v>
      </c>
      <c r="C45" s="44"/>
      <c r="D45" s="83">
        <v>1.0999999999999999E-2</v>
      </c>
      <c r="E45" s="46">
        <f t="shared" si="5"/>
        <v>0</v>
      </c>
      <c r="F45" s="46"/>
      <c r="G45" s="46"/>
      <c r="H45" s="46"/>
      <c r="I45" s="46"/>
      <c r="J45" s="46">
        <f t="shared" ref="J45:J49" si="9">$J$39*D45</f>
        <v>1421.27502</v>
      </c>
      <c r="K45" s="46">
        <f t="shared" si="6"/>
        <v>0</v>
      </c>
      <c r="L45" s="46">
        <f t="shared" si="7"/>
        <v>0</v>
      </c>
      <c r="M45" s="45">
        <f t="shared" si="8"/>
        <v>1421</v>
      </c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</row>
    <row r="46" spans="1:28" s="49" customFormat="1" ht="14" x14ac:dyDescent="0.15">
      <c r="A46" s="48"/>
      <c r="B46" s="82" t="s">
        <v>49</v>
      </c>
      <c r="C46" s="44"/>
      <c r="D46" s="83">
        <v>1.0699999999999999E-2</v>
      </c>
      <c r="E46" s="46">
        <f t="shared" si="5"/>
        <v>0</v>
      </c>
      <c r="F46" s="46"/>
      <c r="G46" s="46"/>
      <c r="H46" s="46"/>
      <c r="I46" s="46"/>
      <c r="J46" s="46">
        <f t="shared" si="9"/>
        <v>1382.512974</v>
      </c>
      <c r="K46" s="46">
        <f t="shared" si="6"/>
        <v>0</v>
      </c>
      <c r="L46" s="46">
        <f t="shared" si="7"/>
        <v>0</v>
      </c>
      <c r="M46" s="45">
        <f t="shared" si="8"/>
        <v>1383</v>
      </c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</row>
    <row r="47" spans="1:28" s="49" customFormat="1" ht="14" x14ac:dyDescent="0.15">
      <c r="A47" s="48"/>
      <c r="B47" s="82" t="s">
        <v>50</v>
      </c>
      <c r="C47" s="44"/>
      <c r="D47" s="83">
        <v>0.06</v>
      </c>
      <c r="E47" s="46">
        <f t="shared" si="5"/>
        <v>0</v>
      </c>
      <c r="F47" s="46"/>
      <c r="G47" s="46"/>
      <c r="H47" s="46"/>
      <c r="I47" s="46"/>
      <c r="J47" s="46">
        <f>(J26)*D47</f>
        <v>1188</v>
      </c>
      <c r="K47" s="46">
        <f>K26*D47</f>
        <v>0</v>
      </c>
      <c r="L47" s="46">
        <f>L26*D47</f>
        <v>0</v>
      </c>
      <c r="M47" s="45">
        <f t="shared" si="8"/>
        <v>1188</v>
      </c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</row>
    <row r="48" spans="1:28" s="49" customFormat="1" ht="14" x14ac:dyDescent="0.15">
      <c r="A48" s="48"/>
      <c r="B48" s="82" t="s">
        <v>51</v>
      </c>
      <c r="C48" s="44"/>
      <c r="D48" s="83">
        <v>0.1</v>
      </c>
      <c r="E48" s="46">
        <f>$E$39*D48</f>
        <v>0</v>
      </c>
      <c r="F48" s="46"/>
      <c r="G48" s="46"/>
      <c r="H48" s="46"/>
      <c r="I48" s="46"/>
      <c r="J48" s="46">
        <f>J26*D48</f>
        <v>1980</v>
      </c>
      <c r="K48" s="46">
        <f>K26*D48</f>
        <v>0</v>
      </c>
      <c r="L48" s="46">
        <f>L26*D48</f>
        <v>0</v>
      </c>
      <c r="M48" s="45">
        <f t="shared" si="8"/>
        <v>1980</v>
      </c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</row>
    <row r="49" spans="1:28" s="49" customFormat="1" ht="14" x14ac:dyDescent="0.15">
      <c r="A49" s="48"/>
      <c r="B49" s="82" t="s">
        <v>52</v>
      </c>
      <c r="C49" s="44"/>
      <c r="D49" s="83">
        <v>6.0000000000000001E-3</v>
      </c>
      <c r="E49" s="46">
        <f t="shared" si="5"/>
        <v>0</v>
      </c>
      <c r="F49" s="46"/>
      <c r="G49" s="46"/>
      <c r="H49" s="46"/>
      <c r="I49" s="46"/>
      <c r="J49" s="46">
        <f t="shared" si="9"/>
        <v>775.24092000000007</v>
      </c>
      <c r="K49" s="46">
        <f t="shared" si="6"/>
        <v>0</v>
      </c>
      <c r="L49" s="46">
        <f t="shared" si="7"/>
        <v>0</v>
      </c>
      <c r="M49" s="45">
        <f t="shared" si="8"/>
        <v>775</v>
      </c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</row>
    <row r="50" spans="1:28" s="69" customFormat="1" ht="14" x14ac:dyDescent="0.15">
      <c r="A50" s="48"/>
      <c r="B50" s="48"/>
      <c r="C50" s="48"/>
      <c r="D50" s="48"/>
      <c r="E50" s="46"/>
      <c r="F50" s="46"/>
      <c r="G50" s="46"/>
      <c r="H50" s="46"/>
      <c r="I50" s="46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</row>
    <row r="51" spans="1:28" s="49" customFormat="1" ht="15" thickBot="1" x14ac:dyDescent="0.2">
      <c r="A51" s="48"/>
      <c r="B51" s="24" t="s">
        <v>53</v>
      </c>
      <c r="C51" s="24"/>
      <c r="D51" s="48"/>
      <c r="E51" s="46"/>
      <c r="F51" s="46"/>
      <c r="G51" s="46"/>
      <c r="H51" s="46"/>
      <c r="I51" s="46"/>
      <c r="J51" s="48"/>
      <c r="K51" s="48"/>
      <c r="L51" s="48"/>
      <c r="M51" s="84">
        <f>SUM(M43:M49)+13</f>
        <v>19228</v>
      </c>
      <c r="N51" s="85">
        <f>M51/M39</f>
        <v>0.16269821123352118</v>
      </c>
      <c r="O51" s="86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</row>
    <row r="52" spans="1:28" s="69" customFormat="1" ht="15" thickTop="1" x14ac:dyDescent="0.15">
      <c r="A52" s="48"/>
      <c r="B52" s="48"/>
      <c r="C52" s="48"/>
      <c r="D52" s="48"/>
      <c r="E52" s="46"/>
      <c r="F52" s="46"/>
      <c r="G52" s="46"/>
      <c r="H52" s="46"/>
      <c r="I52" s="46"/>
      <c r="J52" s="48"/>
      <c r="K52" s="48"/>
      <c r="L52" s="48"/>
      <c r="M52" s="46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</row>
    <row r="53" spans="1:28" s="49" customFormat="1" ht="15" thickBot="1" x14ac:dyDescent="0.2">
      <c r="A53" s="48"/>
      <c r="B53" s="87" t="s">
        <v>54</v>
      </c>
      <c r="C53" s="88"/>
      <c r="D53" s="48"/>
      <c r="E53" s="46"/>
      <c r="F53" s="46"/>
      <c r="G53" s="46"/>
      <c r="H53" s="46"/>
      <c r="I53" s="46"/>
      <c r="J53" s="48"/>
      <c r="K53" s="48"/>
      <c r="L53" s="48"/>
      <c r="M53" s="89">
        <f>M51+M39</f>
        <v>137410</v>
      </c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</row>
    <row r="54" spans="1:28" s="69" customFormat="1" ht="15" thickTop="1" x14ac:dyDescent="0.15">
      <c r="A54" s="48"/>
      <c r="B54" s="48"/>
      <c r="C54" s="48"/>
      <c r="D54" s="48"/>
      <c r="E54" s="46"/>
      <c r="F54" s="46"/>
      <c r="G54" s="46"/>
      <c r="H54" s="46"/>
      <c r="I54" s="46"/>
      <c r="J54" s="48"/>
      <c r="K54" s="48"/>
      <c r="L54" s="48"/>
      <c r="M54" s="46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</row>
    <row r="55" spans="1:28" s="69" customFormat="1" ht="14" x14ac:dyDescent="0.15">
      <c r="A55" s="48"/>
      <c r="B55" s="81" t="s">
        <v>55</v>
      </c>
      <c r="C55" s="81" t="s">
        <v>56</v>
      </c>
      <c r="D55" s="48"/>
      <c r="E55" s="48"/>
      <c r="F55" s="48"/>
      <c r="G55" s="48"/>
      <c r="H55" s="48"/>
      <c r="I55" s="48"/>
      <c r="J55" s="48"/>
      <c r="K55" s="48"/>
      <c r="L55" s="48"/>
      <c r="M55" s="46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</row>
    <row r="56" spans="1:28" s="49" customFormat="1" ht="14" x14ac:dyDescent="0.15">
      <c r="A56" s="82">
        <v>53140</v>
      </c>
      <c r="B56" s="82" t="s">
        <v>57</v>
      </c>
      <c r="C56" s="43"/>
      <c r="D56" s="48"/>
      <c r="E56" s="48" t="s">
        <v>58</v>
      </c>
      <c r="F56" s="48"/>
      <c r="G56" s="48"/>
      <c r="H56" s="48"/>
      <c r="I56" s="48"/>
      <c r="J56" s="48"/>
      <c r="K56" s="48"/>
      <c r="L56" s="48"/>
      <c r="M56" s="45">
        <f>ROUND(245094*$M$102/52000000,0)</f>
        <v>1557</v>
      </c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</row>
    <row r="57" spans="1:28" s="48" customFormat="1" ht="14" x14ac:dyDescent="0.15">
      <c r="A57" s="82">
        <v>53190</v>
      </c>
      <c r="B57" s="82" t="s">
        <v>59</v>
      </c>
      <c r="C57" s="43" t="s">
        <v>60</v>
      </c>
      <c r="M57" s="46">
        <f>ROUND(17*D39*26,0)</f>
        <v>5470</v>
      </c>
      <c r="N57" s="18"/>
      <c r="O57" s="18"/>
    </row>
    <row r="58" spans="1:28" s="48" customFormat="1" ht="14" x14ac:dyDescent="0.15">
      <c r="A58" s="82">
        <v>53210</v>
      </c>
      <c r="B58" s="82" t="s">
        <v>61</v>
      </c>
      <c r="C58" s="43" t="s">
        <v>62</v>
      </c>
      <c r="M58" s="90"/>
      <c r="N58" s="18"/>
      <c r="O58" s="18"/>
    </row>
    <row r="59" spans="1:28" s="48" customFormat="1" ht="14" x14ac:dyDescent="0.15">
      <c r="A59" s="82">
        <v>53211</v>
      </c>
      <c r="B59" s="82" t="s">
        <v>63</v>
      </c>
      <c r="C59" s="43" t="s">
        <v>64</v>
      </c>
      <c r="M59" s="90"/>
      <c r="N59" s="18"/>
      <c r="O59" s="18"/>
    </row>
    <row r="60" spans="1:28" s="48" customFormat="1" ht="14" x14ac:dyDescent="0.15">
      <c r="A60" s="82">
        <v>60100</v>
      </c>
      <c r="B60" s="82" t="s">
        <v>65</v>
      </c>
      <c r="C60" s="43" t="s">
        <v>66</v>
      </c>
      <c r="M60" s="67">
        <v>500</v>
      </c>
      <c r="N60" s="18"/>
      <c r="O60" s="18"/>
      <c r="P60" s="48" t="s">
        <v>67</v>
      </c>
    </row>
    <row r="61" spans="1:28" s="48" customFormat="1" ht="14" x14ac:dyDescent="0.15">
      <c r="A61" s="82">
        <v>60110</v>
      </c>
      <c r="B61" s="82" t="s">
        <v>68</v>
      </c>
      <c r="C61" s="43" t="s">
        <v>66</v>
      </c>
      <c r="M61" s="67">
        <v>520</v>
      </c>
      <c r="N61" s="18" t="s">
        <v>69</v>
      </c>
      <c r="O61" s="18"/>
    </row>
    <row r="62" spans="1:28" s="48" customFormat="1" ht="14" x14ac:dyDescent="0.15">
      <c r="A62" s="82">
        <v>60130</v>
      </c>
      <c r="B62" s="82" t="s">
        <v>70</v>
      </c>
      <c r="C62" s="43" t="s">
        <v>66</v>
      </c>
      <c r="M62" s="67"/>
      <c r="N62" s="18"/>
      <c r="O62" s="18"/>
    </row>
    <row r="63" spans="1:28" s="48" customFormat="1" ht="14" x14ac:dyDescent="0.15">
      <c r="A63" s="82">
        <v>60150</v>
      </c>
      <c r="B63" s="82" t="s">
        <v>71</v>
      </c>
      <c r="C63" s="43" t="s">
        <v>66</v>
      </c>
      <c r="M63" s="46"/>
      <c r="N63" s="18"/>
      <c r="O63" s="18"/>
    </row>
    <row r="64" spans="1:28" s="48" customFormat="1" ht="14" x14ac:dyDescent="0.15">
      <c r="A64" s="82">
        <v>60190</v>
      </c>
      <c r="B64" s="82" t="s">
        <v>72</v>
      </c>
      <c r="C64" s="43" t="s">
        <v>73</v>
      </c>
      <c r="M64" s="67">
        <v>1600</v>
      </c>
      <c r="N64" s="18" t="s">
        <v>74</v>
      </c>
      <c r="O64" s="18"/>
    </row>
    <row r="65" spans="1:28" s="49" customFormat="1" ht="14" x14ac:dyDescent="0.15">
      <c r="A65" s="82">
        <v>62100</v>
      </c>
      <c r="B65" s="82" t="s">
        <v>75</v>
      </c>
      <c r="C65" s="43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18"/>
      <c r="O65" s="1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</row>
    <row r="66" spans="1:28" ht="14" x14ac:dyDescent="0.15">
      <c r="A66" s="82">
        <v>62140</v>
      </c>
      <c r="B66" s="82" t="s">
        <v>76</v>
      </c>
      <c r="C66" s="82"/>
      <c r="D66" s="48"/>
      <c r="E66" s="48"/>
      <c r="F66" s="48"/>
      <c r="G66" s="48"/>
      <c r="M66" s="46">
        <f>60*12</f>
        <v>720</v>
      </c>
    </row>
    <row r="67" spans="1:28" s="49" customFormat="1" ht="14" x14ac:dyDescent="0.15">
      <c r="A67" s="82">
        <v>62150</v>
      </c>
      <c r="B67" s="82" t="s">
        <v>77</v>
      </c>
      <c r="C67" s="43"/>
      <c r="D67" s="48"/>
      <c r="E67" s="48"/>
      <c r="F67" s="48"/>
      <c r="G67" s="48"/>
      <c r="H67" s="48"/>
      <c r="I67" s="48"/>
      <c r="J67" s="48"/>
      <c r="K67" s="48"/>
      <c r="L67" s="48"/>
      <c r="M67" s="3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</row>
    <row r="68" spans="1:28" ht="14" x14ac:dyDescent="0.15">
      <c r="A68" s="82">
        <v>64100</v>
      </c>
      <c r="B68" s="82" t="s">
        <v>78</v>
      </c>
      <c r="C68" s="43"/>
      <c r="D68" s="48"/>
      <c r="E68" s="48"/>
      <c r="F68" s="48"/>
      <c r="G68" s="48"/>
      <c r="M68" s="46"/>
    </row>
    <row r="69" spans="1:28" s="48" customFormat="1" ht="14" x14ac:dyDescent="0.15">
      <c r="A69" s="82">
        <v>67200</v>
      </c>
      <c r="B69" s="82" t="s">
        <v>79</v>
      </c>
      <c r="C69" s="43" t="s">
        <v>66</v>
      </c>
      <c r="M69" s="46"/>
      <c r="N69" s="18"/>
      <c r="O69" s="18"/>
    </row>
    <row r="70" spans="1:28" s="48" customFormat="1" ht="14" x14ac:dyDescent="0.15">
      <c r="A70" s="82">
        <v>67300</v>
      </c>
      <c r="B70" s="82" t="s">
        <v>80</v>
      </c>
      <c r="C70" s="43" t="s">
        <v>81</v>
      </c>
      <c r="M70" s="46"/>
      <c r="N70" s="18"/>
      <c r="O70" s="18"/>
    </row>
    <row r="71" spans="1:28" s="48" customFormat="1" ht="14" x14ac:dyDescent="0.15">
      <c r="A71" s="82">
        <v>70100</v>
      </c>
      <c r="B71" s="82" t="s">
        <v>82</v>
      </c>
      <c r="C71" s="43"/>
      <c r="M71" s="46"/>
      <c r="N71" s="18"/>
      <c r="O71" s="18"/>
    </row>
    <row r="72" spans="1:28" s="48" customFormat="1" ht="14" x14ac:dyDescent="0.15">
      <c r="A72" s="82">
        <v>71100</v>
      </c>
      <c r="B72" s="82" t="s">
        <v>83</v>
      </c>
      <c r="C72" s="43" t="s">
        <v>84</v>
      </c>
      <c r="M72" s="46"/>
      <c r="N72" s="18"/>
      <c r="O72" s="18"/>
    </row>
    <row r="73" spans="1:28" s="48" customFormat="1" ht="14" x14ac:dyDescent="0.15">
      <c r="A73" s="82">
        <v>71300</v>
      </c>
      <c r="B73" s="82" t="s">
        <v>85</v>
      </c>
      <c r="C73" s="43" t="s">
        <v>86</v>
      </c>
      <c r="M73" s="67">
        <f>1500+(50*D39)+0.25</f>
        <v>2119</v>
      </c>
      <c r="N73" s="91" t="s">
        <v>87</v>
      </c>
      <c r="O73" s="18"/>
    </row>
    <row r="74" spans="1:28" s="48" customFormat="1" ht="14" x14ac:dyDescent="0.15">
      <c r="A74" s="82">
        <v>71500</v>
      </c>
      <c r="B74" s="82" t="s">
        <v>88</v>
      </c>
      <c r="C74" s="43" t="s">
        <v>73</v>
      </c>
      <c r="M74" s="67">
        <v>2400</v>
      </c>
      <c r="N74" s="18" t="s">
        <v>89</v>
      </c>
      <c r="O74" s="18"/>
    </row>
    <row r="75" spans="1:28" s="49" customFormat="1" ht="14" x14ac:dyDescent="0.15">
      <c r="A75" s="82">
        <v>72100</v>
      </c>
      <c r="B75" s="82" t="s">
        <v>90</v>
      </c>
      <c r="C75" s="43"/>
      <c r="D75" s="48"/>
      <c r="E75" s="48"/>
      <c r="F75" s="48"/>
      <c r="G75" s="48"/>
      <c r="H75" s="48"/>
      <c r="I75" s="48"/>
      <c r="J75" s="48"/>
      <c r="K75" s="48"/>
      <c r="L75" s="48"/>
      <c r="M75" s="46"/>
      <c r="N75" s="18"/>
      <c r="O75" s="1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</row>
    <row r="76" spans="1:28" s="48" customFormat="1" ht="14" x14ac:dyDescent="0.15">
      <c r="A76" s="82">
        <v>74100</v>
      </c>
      <c r="B76" s="82" t="s">
        <v>91</v>
      </c>
      <c r="C76" s="43"/>
      <c r="M76" s="46"/>
      <c r="N76" s="18"/>
      <c r="O76" s="18"/>
    </row>
    <row r="77" spans="1:28" s="48" customFormat="1" ht="14" x14ac:dyDescent="0.15">
      <c r="A77" s="82">
        <v>74200</v>
      </c>
      <c r="B77" s="82" t="s">
        <v>92</v>
      </c>
      <c r="C77" s="43" t="s">
        <v>93</v>
      </c>
      <c r="M77" s="67">
        <v>3000</v>
      </c>
      <c r="N77" s="18"/>
      <c r="O77" s="18"/>
    </row>
    <row r="78" spans="1:28" s="49" customFormat="1" ht="14" x14ac:dyDescent="0.15">
      <c r="A78" s="82">
        <v>76100</v>
      </c>
      <c r="B78" s="82" t="s">
        <v>94</v>
      </c>
      <c r="C78" s="43"/>
      <c r="D78" s="92">
        <v>148945</v>
      </c>
      <c r="E78" s="48" t="s">
        <v>95</v>
      </c>
      <c r="F78" s="48"/>
      <c r="G78" s="48"/>
      <c r="H78" s="48"/>
      <c r="I78" s="48"/>
      <c r="J78" s="48"/>
      <c r="K78" s="48"/>
      <c r="L78" s="48"/>
      <c r="M78" s="45">
        <f>ROUND(D78*$M$102/52000000,0)</f>
        <v>946</v>
      </c>
      <c r="N78" s="18"/>
      <c r="O78" s="1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</row>
    <row r="79" spans="1:28" s="49" customFormat="1" ht="14" x14ac:dyDescent="0.15">
      <c r="A79" s="82">
        <v>80100</v>
      </c>
      <c r="B79" s="82" t="s">
        <v>96</v>
      </c>
      <c r="C79" s="82"/>
      <c r="D79" s="48"/>
      <c r="E79" s="48"/>
      <c r="F79" s="48"/>
      <c r="G79" s="48"/>
      <c r="H79" s="48"/>
      <c r="I79" s="48"/>
      <c r="J79" s="48"/>
      <c r="K79" s="48"/>
      <c r="L79" s="48"/>
      <c r="M79" s="3"/>
      <c r="N79" s="18"/>
      <c r="O79" s="1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</row>
    <row r="80" spans="1:28" ht="14" x14ac:dyDescent="0.15">
      <c r="A80" s="82">
        <v>80101</v>
      </c>
      <c r="B80" s="82" t="s">
        <v>97</v>
      </c>
      <c r="C80" s="82"/>
      <c r="D80" s="48"/>
      <c r="E80" s="48"/>
      <c r="F80" s="48"/>
      <c r="G80" s="48"/>
    </row>
    <row r="81" spans="1:28" ht="14" x14ac:dyDescent="0.15">
      <c r="A81" s="82">
        <v>80120</v>
      </c>
      <c r="B81" s="82" t="s">
        <v>98</v>
      </c>
      <c r="C81" s="82"/>
      <c r="D81" s="48"/>
      <c r="E81" s="48"/>
      <c r="F81" s="48"/>
      <c r="G81" s="48"/>
      <c r="M81" s="46">
        <v>3000</v>
      </c>
    </row>
    <row r="82" spans="1:28" s="49" customFormat="1" ht="14" x14ac:dyDescent="0.15">
      <c r="A82" s="82">
        <v>80200</v>
      </c>
      <c r="B82" s="82" t="s">
        <v>99</v>
      </c>
      <c r="C82" s="43"/>
      <c r="D82" s="48"/>
      <c r="E82" s="48"/>
      <c r="F82" s="48"/>
      <c r="G82" s="48"/>
      <c r="H82" s="48"/>
      <c r="I82" s="48"/>
      <c r="J82" s="48"/>
      <c r="K82" s="48"/>
      <c r="L82" s="48"/>
      <c r="M82" s="3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</row>
    <row r="83" spans="1:28" ht="14" x14ac:dyDescent="0.15">
      <c r="A83" s="82">
        <v>80210</v>
      </c>
      <c r="B83" s="82" t="s">
        <v>100</v>
      </c>
      <c r="C83" s="43"/>
      <c r="D83" s="48"/>
      <c r="E83" s="48"/>
      <c r="F83" s="48"/>
      <c r="G83" s="48"/>
    </row>
    <row r="84" spans="1:28" ht="14" x14ac:dyDescent="0.15">
      <c r="A84" s="82">
        <v>81100</v>
      </c>
      <c r="B84" s="82" t="s">
        <v>101</v>
      </c>
      <c r="C84" s="43" t="s">
        <v>84</v>
      </c>
      <c r="D84" s="48"/>
      <c r="E84" s="48"/>
      <c r="F84" s="48"/>
      <c r="G84" s="48"/>
      <c r="M84" s="67">
        <v>1000</v>
      </c>
    </row>
    <row r="85" spans="1:28" s="49" customFormat="1" ht="14" x14ac:dyDescent="0.15">
      <c r="A85" s="82">
        <v>81110</v>
      </c>
      <c r="B85" s="82" t="s">
        <v>102</v>
      </c>
      <c r="C85" s="43" t="s">
        <v>73</v>
      </c>
      <c r="D85" s="48"/>
      <c r="E85" s="48"/>
      <c r="F85" s="48"/>
      <c r="G85" s="48"/>
      <c r="H85" s="48"/>
      <c r="I85" s="48"/>
      <c r="J85" s="48"/>
      <c r="K85" s="48"/>
      <c r="L85" s="48"/>
      <c r="M85" s="67">
        <v>2000</v>
      </c>
      <c r="N85" s="18"/>
      <c r="O85" s="1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</row>
    <row r="86" spans="1:28" s="49" customFormat="1" ht="14" x14ac:dyDescent="0.15">
      <c r="A86" s="82">
        <v>81600</v>
      </c>
      <c r="B86" s="82" t="s">
        <v>103</v>
      </c>
      <c r="C86" s="43"/>
      <c r="D86" s="48"/>
      <c r="E86" s="48"/>
      <c r="F86" s="48"/>
      <c r="G86" s="48"/>
      <c r="H86" s="24"/>
      <c r="I86" s="24"/>
      <c r="J86" s="24"/>
      <c r="K86" s="24"/>
      <c r="L86" s="24"/>
      <c r="M86" s="46"/>
      <c r="N86" s="18"/>
      <c r="O86" s="1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</row>
    <row r="87" spans="1:28" s="49" customFormat="1" ht="14" x14ac:dyDescent="0.15">
      <c r="A87" s="82">
        <v>83100</v>
      </c>
      <c r="B87" s="82" t="s">
        <v>104</v>
      </c>
      <c r="C87" s="43"/>
      <c r="D87" s="48"/>
      <c r="E87" s="48"/>
      <c r="F87" s="48"/>
      <c r="G87" s="48"/>
      <c r="H87" s="24"/>
      <c r="I87" s="24"/>
      <c r="J87" s="24"/>
      <c r="K87" s="24"/>
      <c r="L87" s="24"/>
      <c r="M87" s="67">
        <v>1500</v>
      </c>
      <c r="N87" s="18"/>
      <c r="O87" s="1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</row>
    <row r="88" spans="1:28" s="49" customFormat="1" ht="14" x14ac:dyDescent="0.15">
      <c r="A88" s="82">
        <v>83120</v>
      </c>
      <c r="B88" s="82" t="s">
        <v>105</v>
      </c>
      <c r="C88" s="82"/>
      <c r="D88" s="48"/>
      <c r="E88" s="48"/>
      <c r="F88" s="48"/>
      <c r="G88" s="48"/>
      <c r="H88" s="48"/>
      <c r="I88" s="48"/>
      <c r="J88" s="48"/>
      <c r="K88" s="48"/>
      <c r="L88" s="48"/>
      <c r="M88" s="67">
        <v>2330</v>
      </c>
      <c r="N88" s="18"/>
      <c r="O88" s="1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</row>
    <row r="89" spans="1:28" s="49" customFormat="1" ht="14" x14ac:dyDescent="0.15">
      <c r="A89" s="48"/>
      <c r="B89" s="93"/>
      <c r="C89" s="93"/>
      <c r="D89" s="48"/>
      <c r="E89" s="48"/>
      <c r="F89" s="48"/>
      <c r="G89" s="48"/>
      <c r="H89" s="48"/>
      <c r="I89" s="48"/>
      <c r="J89" s="48"/>
      <c r="K89" s="48"/>
      <c r="L89" s="48"/>
      <c r="M89" s="46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</row>
    <row r="90" spans="1:28" s="49" customFormat="1" ht="15" thickBot="1" x14ac:dyDescent="0.2">
      <c r="A90" s="48"/>
      <c r="B90" s="94" t="s">
        <v>106</v>
      </c>
      <c r="C90" s="94"/>
      <c r="D90" s="48"/>
      <c r="E90" s="48"/>
      <c r="F90" s="48"/>
      <c r="G90" s="48"/>
      <c r="H90" s="48"/>
      <c r="I90" s="48"/>
      <c r="J90" s="48"/>
      <c r="K90" s="48"/>
      <c r="L90" s="48"/>
      <c r="M90" s="89">
        <f>SUM(M55:M89)</f>
        <v>28662</v>
      </c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</row>
    <row r="91" spans="1:28" s="49" customFormat="1" ht="15" thickTop="1" x14ac:dyDescent="0.15">
      <c r="A91" s="48"/>
      <c r="B91" s="95"/>
      <c r="C91" s="95"/>
      <c r="D91" s="48"/>
      <c r="E91" s="48"/>
      <c r="F91" s="48"/>
      <c r="G91" s="48"/>
      <c r="H91" s="48"/>
      <c r="I91" s="48"/>
      <c r="J91" s="48"/>
      <c r="K91" s="48"/>
      <c r="L91" s="48"/>
      <c r="M91" s="46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</row>
    <row r="92" spans="1:28" s="49" customFormat="1" ht="14" x14ac:dyDescent="0.15">
      <c r="A92" s="82">
        <v>90100</v>
      </c>
      <c r="B92" s="82" t="s">
        <v>107</v>
      </c>
      <c r="C92" s="82"/>
      <c r="D92" s="96">
        <v>0.1714</v>
      </c>
      <c r="E92" s="48"/>
      <c r="F92" s="48"/>
      <c r="G92" s="48"/>
      <c r="H92" s="48"/>
      <c r="I92" s="48"/>
      <c r="J92" s="48"/>
      <c r="K92" s="48"/>
      <c r="L92" s="48"/>
      <c r="M92" s="46">
        <f>ROUND((M90+M53-M77)*D92,0)-1</f>
        <v>27950</v>
      </c>
      <c r="N92" s="3" t="s">
        <v>108</v>
      </c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</row>
    <row r="93" spans="1:28" s="49" customFormat="1" ht="14" x14ac:dyDescent="0.15">
      <c r="A93" s="48"/>
      <c r="B93" s="95"/>
      <c r="C93" s="95"/>
      <c r="D93" s="48"/>
      <c r="E93" s="48"/>
      <c r="F93" s="48"/>
      <c r="G93" s="48"/>
      <c r="H93" s="48"/>
      <c r="I93" s="48"/>
      <c r="J93" s="48"/>
      <c r="K93" s="48"/>
      <c r="L93" s="48"/>
      <c r="M93" s="46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</row>
    <row r="94" spans="1:28" s="49" customFormat="1" ht="15" thickBot="1" x14ac:dyDescent="0.2">
      <c r="A94" s="48"/>
      <c r="B94" s="87" t="s">
        <v>109</v>
      </c>
      <c r="C94" s="82"/>
      <c r="D94" s="48"/>
      <c r="E94" s="48"/>
      <c r="F94" s="48"/>
      <c r="G94" s="48"/>
      <c r="H94" s="48"/>
      <c r="I94" s="48"/>
      <c r="J94" s="48"/>
      <c r="K94" s="48"/>
      <c r="L94" s="48"/>
      <c r="M94" s="89">
        <f>M92+M90+M53</f>
        <v>194022</v>
      </c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</row>
    <row r="95" spans="1:28" s="49" customFormat="1" ht="15" thickTop="1" x14ac:dyDescent="0.15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6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</row>
    <row r="96" spans="1:28" s="49" customFormat="1" ht="14" x14ac:dyDescent="0.15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6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</row>
    <row r="97" spans="1:28" s="69" customFormat="1" ht="14" x14ac:dyDescent="0.15">
      <c r="A97" s="48"/>
      <c r="B97" s="24" t="s">
        <v>110</v>
      </c>
      <c r="C97" s="24"/>
      <c r="D97" s="48"/>
      <c r="E97" s="48"/>
      <c r="F97" s="48"/>
      <c r="G97" s="48"/>
      <c r="H97" s="48"/>
      <c r="I97" s="48"/>
      <c r="J97" s="48"/>
      <c r="K97" s="48"/>
      <c r="L97" s="48"/>
      <c r="M97" s="46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</row>
    <row r="98" spans="1:28" s="69" customFormat="1" ht="14" x14ac:dyDescent="0.15">
      <c r="A98" s="48"/>
      <c r="B98" s="48" t="s">
        <v>8</v>
      </c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97">
        <v>326150</v>
      </c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</row>
    <row r="99" spans="1:28" s="69" customFormat="1" ht="14" x14ac:dyDescent="0.15">
      <c r="A99" s="48"/>
      <c r="B99" s="48" t="s">
        <v>111</v>
      </c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97">
        <v>0</v>
      </c>
      <c r="N99" s="48"/>
      <c r="O99" s="48"/>
      <c r="P99" s="48"/>
      <c r="Q99" s="46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</row>
    <row r="100" spans="1:28" s="69" customFormat="1" ht="14" x14ac:dyDescent="0.15">
      <c r="A100" s="48"/>
      <c r="B100" s="48" t="s">
        <v>112</v>
      </c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97">
        <f>ROUND(M53*3%,0)</f>
        <v>4122</v>
      </c>
      <c r="N100" s="48"/>
      <c r="O100" s="48"/>
      <c r="P100" s="48"/>
      <c r="Q100" s="46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</row>
    <row r="101" spans="1:28" s="69" customFormat="1" ht="14" x14ac:dyDescent="0.15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98"/>
      <c r="N101" s="48"/>
      <c r="O101" s="48"/>
      <c r="P101" s="48"/>
      <c r="Q101" s="46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</row>
    <row r="102" spans="1:28" s="69" customFormat="1" ht="15" thickBot="1" x14ac:dyDescent="0.2">
      <c r="A102" s="48"/>
      <c r="B102" s="87" t="s">
        <v>113</v>
      </c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89">
        <f>SUM(M97:M101)</f>
        <v>330272</v>
      </c>
      <c r="N102" s="48"/>
      <c r="O102" s="48"/>
      <c r="P102" s="48"/>
      <c r="Q102" s="46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</row>
    <row r="103" spans="1:28" s="69" customFormat="1" ht="15" thickTop="1" x14ac:dyDescent="0.15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6"/>
      <c r="N103" s="48"/>
      <c r="O103" s="48"/>
      <c r="P103" s="48"/>
      <c r="Q103" s="46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</row>
    <row r="104" spans="1:28" s="49" customFormat="1" ht="15" thickBot="1" x14ac:dyDescent="0.2">
      <c r="A104" s="48"/>
      <c r="B104" s="87" t="s">
        <v>114</v>
      </c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99">
        <f>M102-M94</f>
        <v>136250</v>
      </c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</row>
    <row r="105" spans="1:28" s="49" customFormat="1" ht="15" thickTop="1" x14ac:dyDescent="0.15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</row>
    <row r="106" spans="1:28" s="49" customFormat="1" ht="14" x14ac:dyDescent="0.15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</row>
    <row r="107" spans="1:28" ht="17" x14ac:dyDescent="0.3">
      <c r="B107" s="100" t="s">
        <v>115</v>
      </c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</row>
    <row r="108" spans="1:28" ht="14" x14ac:dyDescent="0.15">
      <c r="B108" s="48" t="s">
        <v>116</v>
      </c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</row>
    <row r="109" spans="1:28" ht="14" x14ac:dyDescent="0.15"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</row>
    <row r="110" spans="1:28" ht="14" x14ac:dyDescent="0.15"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</row>
    <row r="111" spans="1:28" ht="14" x14ac:dyDescent="0.15">
      <c r="B111" s="48"/>
    </row>
    <row r="112" spans="1:28" ht="14" x14ac:dyDescent="0.15">
      <c r="B112" s="48"/>
    </row>
  </sheetData>
  <mergeCells count="5">
    <mergeCell ref="B6:M6"/>
    <mergeCell ref="B7:M7"/>
    <mergeCell ref="B8:M8"/>
    <mergeCell ref="J12:K12"/>
    <mergeCell ref="N22:O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 Budget Mods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Robertson</dc:creator>
  <cp:lastModifiedBy>Jason Crowell</cp:lastModifiedBy>
  <dcterms:created xsi:type="dcterms:W3CDTF">2024-09-05T17:25:15Z</dcterms:created>
  <dcterms:modified xsi:type="dcterms:W3CDTF">2025-01-09T16:45:38Z</dcterms:modified>
</cp:coreProperties>
</file>