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jbarron\Downloads\"/>
    </mc:Choice>
  </mc:AlternateContent>
  <xr:revisionPtr revIDLastSave="0" documentId="13_ncr:1_{0CE66D64-1D6F-4FCE-95B1-D5C68B0A3D37}" xr6:coauthVersionLast="47" xr6:coauthVersionMax="47" xr10:uidLastSave="{00000000-0000-0000-0000-000000000000}"/>
  <bookViews>
    <workbookView xWindow="14290" yWindow="-110" windowWidth="19420" windowHeight="11500" tabRatio="588" activeTab="1" xr2:uid="{36057B65-2056-488B-8041-D16D77DE9767}"/>
  </bookViews>
  <sheets>
    <sheet name="Prototype Tracker" sheetId="1" r:id="rId1"/>
    <sheet name="New" sheetId="8" r:id="rId2"/>
    <sheet name="PreSales Prototype" sheetId="6" r:id="rId3"/>
    <sheet name="Construction Prototype" sheetId="4" r:id="rId4"/>
    <sheet name="Old" sheetId="2" r:id="rId5"/>
    <sheet name="Departmental Milestones" sheetId="7" r:id="rId6"/>
    <sheet name="OV Milestones" sheetId="9" r:id="rId7"/>
    <sheet name="Construction Milestone (AC)" sheetId="10" r:id="rId8"/>
  </sheets>
  <definedNames>
    <definedName name="_xlnm._FilterDatabase" localSheetId="4" hidden="1">Old!$A$2:$BR$2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9" l="1" a="1"/>
  <c r="E2" i="9" s="1"/>
  <c r="E2" i="10" a="1"/>
  <c r="E2" i="10" s="1"/>
  <c r="D8" i="8"/>
  <c r="E8" i="8"/>
  <c r="H8" i="8"/>
  <c r="J8" i="8"/>
  <c r="K8" i="8"/>
  <c r="M8" i="8"/>
  <c r="N8" i="8"/>
  <c r="W8" i="8"/>
  <c r="X8" i="8"/>
  <c r="Z8" i="8"/>
  <c r="AA8" i="8"/>
  <c r="AC8" i="8"/>
  <c r="AD8" i="8"/>
  <c r="AF8" i="8"/>
  <c r="AG8" i="8"/>
  <c r="AI8" i="8"/>
  <c r="AJ8" i="8"/>
  <c r="AL8" i="8"/>
  <c r="AM8" i="8"/>
  <c r="AO8" i="8"/>
  <c r="AP8" i="8"/>
  <c r="AR8" i="8"/>
  <c r="AS8" i="8"/>
  <c r="AU8" i="8"/>
  <c r="AV8" i="8"/>
  <c r="AX8" i="8"/>
  <c r="AY8" i="8"/>
  <c r="BA8" i="8"/>
  <c r="BB8" i="8"/>
  <c r="BD8" i="8"/>
  <c r="BE8" i="8"/>
  <c r="BG8" i="8"/>
  <c r="BH8" i="8"/>
  <c r="BJ8" i="8"/>
  <c r="BK8" i="8"/>
  <c r="BM8" i="8"/>
  <c r="BN8" i="8"/>
  <c r="BP8" i="8"/>
  <c r="BQ8" i="8"/>
  <c r="BS8" i="8"/>
  <c r="BT8" i="8"/>
  <c r="BV8" i="8"/>
  <c r="BW8" i="8"/>
  <c r="BZ8" i="8"/>
  <c r="CB8" i="8"/>
  <c r="CC8" i="8"/>
  <c r="CE8" i="8"/>
  <c r="CF8" i="8"/>
  <c r="CH8" i="8"/>
  <c r="CI8" i="8"/>
  <c r="CK8" i="8"/>
  <c r="CL8" i="8"/>
  <c r="CN8" i="8"/>
  <c r="CO8" i="8"/>
  <c r="CQ8" i="8"/>
  <c r="CR8" i="8"/>
  <c r="CT8" i="8"/>
  <c r="CU8" i="8"/>
  <c r="CW8" i="8"/>
  <c r="CX8" i="8"/>
  <c r="CZ8" i="8"/>
  <c r="DA8" i="8"/>
  <c r="DC8" i="8"/>
  <c r="DD8" i="8"/>
  <c r="DF8" i="8"/>
  <c r="DG8" i="8"/>
  <c r="DI8" i="8"/>
  <c r="DJ8" i="8"/>
  <c r="DL8" i="8"/>
  <c r="DM8" i="8"/>
  <c r="DO8" i="8"/>
  <c r="DP8" i="8"/>
  <c r="DR8" i="8"/>
  <c r="DS8" i="8"/>
  <c r="DU8" i="8"/>
  <c r="DV8" i="8"/>
  <c r="DX8" i="8"/>
  <c r="DY8" i="8"/>
  <c r="EB8" i="8"/>
  <c r="EC8" i="8"/>
  <c r="EE8" i="8"/>
  <c r="EF8" i="8"/>
  <c r="EH8" i="8"/>
  <c r="EI8" i="8"/>
  <c r="EK8" i="8"/>
  <c r="EL8" i="8"/>
  <c r="EN8" i="8"/>
  <c r="EO8" i="8"/>
  <c r="DM5" i="8"/>
  <c r="DM6" i="8"/>
  <c r="DM7" i="8"/>
  <c r="DV5" i="8"/>
  <c r="DV6" i="8"/>
  <c r="DV7" i="8"/>
  <c r="BV7" i="8"/>
  <c r="AO5" i="8"/>
  <c r="AO6" i="8"/>
  <c r="AO7" i="8"/>
  <c r="D7" i="8"/>
  <c r="E7" i="8"/>
  <c r="H7" i="8"/>
  <c r="J7" i="8"/>
  <c r="K7" i="8"/>
  <c r="M7" i="8"/>
  <c r="N7" i="8"/>
  <c r="W7" i="8"/>
  <c r="X7" i="8"/>
  <c r="Z7" i="8"/>
  <c r="AA7" i="8"/>
  <c r="AC7" i="8"/>
  <c r="AD7" i="8"/>
  <c r="AF7" i="8"/>
  <c r="AG7" i="8"/>
  <c r="AI7" i="8"/>
  <c r="AJ7" i="8"/>
  <c r="AL7" i="8"/>
  <c r="AM7" i="8"/>
  <c r="AP7" i="8"/>
  <c r="AR7" i="8"/>
  <c r="AS7" i="8"/>
  <c r="AU7" i="8"/>
  <c r="AV7" i="8"/>
  <c r="AX7" i="8"/>
  <c r="AY7" i="8"/>
  <c r="BA7" i="8"/>
  <c r="BB7" i="8"/>
  <c r="BD7" i="8"/>
  <c r="BE7" i="8"/>
  <c r="BG7" i="8"/>
  <c r="BH7" i="8"/>
  <c r="BJ7" i="8"/>
  <c r="BK7" i="8"/>
  <c r="BM7" i="8"/>
  <c r="BN7" i="8"/>
  <c r="BP7" i="8"/>
  <c r="BQ7" i="8"/>
  <c r="BS7" i="8"/>
  <c r="BT7" i="8"/>
  <c r="BW7" i="8"/>
  <c r="BZ7" i="8"/>
  <c r="CB7" i="8"/>
  <c r="CC7" i="8"/>
  <c r="CE7" i="8"/>
  <c r="CF7" i="8"/>
  <c r="CH7" i="8"/>
  <c r="CI7" i="8"/>
  <c r="CK7" i="8"/>
  <c r="CL7" i="8"/>
  <c r="CN7" i="8"/>
  <c r="CO7" i="8"/>
  <c r="CQ7" i="8"/>
  <c r="CR7" i="8"/>
  <c r="CT7" i="8"/>
  <c r="CU7" i="8"/>
  <c r="CW7" i="8"/>
  <c r="CX7" i="8"/>
  <c r="CZ7" i="8"/>
  <c r="DA7" i="8"/>
  <c r="DC7" i="8"/>
  <c r="DD7" i="8"/>
  <c r="DF7" i="8"/>
  <c r="DG7" i="8"/>
  <c r="DI7" i="8"/>
  <c r="DJ7" i="8"/>
  <c r="DL7" i="8"/>
  <c r="DO7" i="8"/>
  <c r="DP7" i="8"/>
  <c r="DR7" i="8"/>
  <c r="DS7" i="8"/>
  <c r="DU7" i="8"/>
  <c r="DX7" i="8"/>
  <c r="DY7" i="8"/>
  <c r="EB7" i="8"/>
  <c r="EC7" i="8"/>
  <c r="EE7" i="8"/>
  <c r="EF7" i="8"/>
  <c r="EH7" i="8"/>
  <c r="EI7" i="8"/>
  <c r="EK7" i="8"/>
  <c r="EL7" i="8"/>
  <c r="EN7" i="8"/>
  <c r="EO7" i="8"/>
  <c r="D5" i="8"/>
  <c r="E5" i="8"/>
  <c r="H5" i="8"/>
  <c r="J5" i="8"/>
  <c r="K5" i="8"/>
  <c r="M5" i="8"/>
  <c r="N5" i="8"/>
  <c r="W5" i="8"/>
  <c r="X5" i="8"/>
  <c r="Z5" i="8"/>
  <c r="AA5" i="8"/>
  <c r="AC5" i="8"/>
  <c r="AD5" i="8"/>
  <c r="AF5" i="8"/>
  <c r="AG5" i="8"/>
  <c r="AI5" i="8"/>
  <c r="AJ5" i="8"/>
  <c r="AL5" i="8"/>
  <c r="AM5" i="8"/>
  <c r="AP5" i="8"/>
  <c r="AR5" i="8"/>
  <c r="AS5" i="8"/>
  <c r="AU5" i="8"/>
  <c r="AV5" i="8"/>
  <c r="AX5" i="8"/>
  <c r="AY5" i="8"/>
  <c r="BA5" i="8"/>
  <c r="BB5" i="8"/>
  <c r="BD5" i="8"/>
  <c r="BE5" i="8"/>
  <c r="BG5" i="8"/>
  <c r="BH5" i="8"/>
  <c r="BJ5" i="8"/>
  <c r="BK5" i="8"/>
  <c r="BM5" i="8"/>
  <c r="BN5" i="8"/>
  <c r="BP5" i="8"/>
  <c r="BQ5" i="8"/>
  <c r="BS5" i="8"/>
  <c r="BT5" i="8"/>
  <c r="BV5" i="8"/>
  <c r="BW5" i="8"/>
  <c r="BZ5" i="8"/>
  <c r="CB5" i="8"/>
  <c r="CC5" i="8"/>
  <c r="CE5" i="8"/>
  <c r="CF5" i="8"/>
  <c r="CH5" i="8"/>
  <c r="CI5" i="8"/>
  <c r="CK5" i="8"/>
  <c r="CL5" i="8"/>
  <c r="CN5" i="8"/>
  <c r="CO5" i="8"/>
  <c r="CQ5" i="8"/>
  <c r="CR5" i="8"/>
  <c r="CT5" i="8"/>
  <c r="CU5" i="8"/>
  <c r="CW5" i="8"/>
  <c r="CX5" i="8"/>
  <c r="CZ5" i="8"/>
  <c r="DA5" i="8"/>
  <c r="DC5" i="8"/>
  <c r="DD5" i="8"/>
  <c r="DF5" i="8"/>
  <c r="DG5" i="8"/>
  <c r="DI5" i="8"/>
  <c r="DJ5" i="8"/>
  <c r="DL5" i="8"/>
  <c r="DO5" i="8"/>
  <c r="DP5" i="8"/>
  <c r="DR5" i="8"/>
  <c r="DS5" i="8"/>
  <c r="DU5" i="8"/>
  <c r="DX5" i="8"/>
  <c r="DY5" i="8"/>
  <c r="EB5" i="8"/>
  <c r="EC5" i="8"/>
  <c r="EE5" i="8"/>
  <c r="EF5" i="8"/>
  <c r="EH5" i="8"/>
  <c r="EI5" i="8"/>
  <c r="EK5" i="8"/>
  <c r="EL5" i="8"/>
  <c r="EN5" i="8"/>
  <c r="EO5" i="8"/>
  <c r="EO6" i="8"/>
  <c r="EN6" i="8"/>
  <c r="EK6" i="8"/>
  <c r="EH6" i="8"/>
  <c r="EE6" i="8"/>
  <c r="EB6" i="8"/>
  <c r="DY6" i="8"/>
  <c r="CZ6" i="8"/>
  <c r="DO6" i="8"/>
  <c r="DU6" i="8"/>
  <c r="DX6" i="8"/>
  <c r="DP6" i="8"/>
  <c r="DL6" i="8"/>
  <c r="DR6" i="8"/>
  <c r="DI6" i="8"/>
  <c r="DF6" i="8"/>
  <c r="DC6" i="8"/>
  <c r="CW6" i="8"/>
  <c r="CT6" i="8"/>
  <c r="AV6" i="8"/>
  <c r="CQ6" i="8"/>
  <c r="CN6" i="8"/>
  <c r="CK6" i="8"/>
  <c r="CH6" i="8"/>
  <c r="CE6" i="8"/>
  <c r="CB6" i="8"/>
  <c r="BV6" i="8"/>
  <c r="BS6" i="8"/>
  <c r="BP6" i="8"/>
  <c r="BM6" i="8"/>
  <c r="BJ6" i="8"/>
  <c r="BG6" i="8"/>
  <c r="BD6" i="8"/>
  <c r="BA6" i="8"/>
  <c r="AX6" i="8"/>
  <c r="AU6" i="8"/>
  <c r="AP6" i="8"/>
  <c r="AS6" i="8"/>
  <c r="AR6" i="8"/>
  <c r="AM6" i="8"/>
  <c r="AL6" i="8"/>
  <c r="AG6" i="8"/>
  <c r="AI6" i="8"/>
  <c r="AF6" i="8"/>
  <c r="AD6" i="8"/>
  <c r="AC6" i="8"/>
  <c r="AA6" i="8"/>
  <c r="Z6" i="8"/>
  <c r="W6" i="8"/>
  <c r="N6" i="8"/>
  <c r="X6" i="8"/>
  <c r="DG6" i="8"/>
  <c r="J6" i="8"/>
  <c r="M6" i="8"/>
  <c r="D6" i="8"/>
  <c r="EL6" i="8"/>
  <c r="EI6" i="8"/>
  <c r="EF6" i="8"/>
  <c r="EC6" i="8"/>
  <c r="DS6" i="8"/>
  <c r="DJ6" i="8"/>
  <c r="DD6" i="8"/>
  <c r="DA6" i="8"/>
  <c r="CX6" i="8"/>
  <c r="CU6" i="8"/>
  <c r="CR6" i="8"/>
  <c r="CO6" i="8"/>
  <c r="CL6" i="8"/>
  <c r="CI6" i="8"/>
  <c r="CF6" i="8"/>
  <c r="CC6" i="8"/>
  <c r="BZ6" i="8"/>
  <c r="BW6" i="8"/>
  <c r="BT6" i="8"/>
  <c r="BQ6" i="8"/>
  <c r="BN6" i="8"/>
  <c r="BK6" i="8"/>
  <c r="BH6" i="8"/>
  <c r="BE6" i="8"/>
  <c r="BB6" i="8"/>
  <c r="AY6" i="8"/>
  <c r="AJ6" i="8"/>
  <c r="K6" i="8"/>
  <c r="H6" i="8"/>
  <c r="E6" i="8"/>
  <c r="AO4" i="1"/>
  <c r="AP5" i="1"/>
  <c r="AP6" i="1"/>
  <c r="AP7" i="1"/>
  <c r="AP8" i="1"/>
  <c r="AP9" i="1"/>
  <c r="AP10" i="1"/>
  <c r="AP11" i="1"/>
  <c r="AP12" i="1"/>
  <c r="AP13" i="1"/>
  <c r="AP14" i="1"/>
  <c r="AP15" i="1"/>
  <c r="AP16" i="1"/>
  <c r="AP17"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EZ4" i="1"/>
  <c r="EZ5" i="1"/>
  <c r="EZ6" i="1"/>
  <c r="EZ7" i="1"/>
  <c r="EZ8" i="1"/>
  <c r="EZ9" i="1"/>
  <c r="EZ10" i="1"/>
  <c r="EZ11" i="1"/>
  <c r="EZ12" i="1"/>
  <c r="EZ13" i="1"/>
  <c r="EZ14" i="1"/>
  <c r="EX15" i="1"/>
  <c r="EZ15" i="1" s="1"/>
  <c r="EX16" i="1"/>
  <c r="FB16" i="1" s="1"/>
  <c r="EX17" i="1"/>
  <c r="EZ17" i="1" s="1"/>
  <c r="EZ18" i="1"/>
  <c r="EZ19" i="1"/>
  <c r="EZ20" i="1"/>
  <c r="EZ21" i="1"/>
  <c r="EZ22" i="1"/>
  <c r="EZ23" i="1"/>
  <c r="EZ24" i="1"/>
  <c r="EZ25" i="1"/>
  <c r="EZ26" i="1"/>
  <c r="EZ27" i="1"/>
  <c r="EZ28" i="1"/>
  <c r="EZ29" i="1"/>
  <c r="EZ30" i="1"/>
  <c r="EZ31" i="1"/>
  <c r="EZ32" i="1"/>
  <c r="EZ33" i="1"/>
  <c r="EZ34" i="1"/>
  <c r="EZ35" i="1"/>
  <c r="EZ36" i="1"/>
  <c r="EZ37" i="1"/>
  <c r="EZ38" i="1"/>
  <c r="EZ39" i="1"/>
  <c r="EZ40" i="1"/>
  <c r="EZ41" i="1"/>
  <c r="EZ42" i="1"/>
  <c r="EZ43" i="1"/>
  <c r="EZ44" i="1"/>
  <c r="EZ45" i="1"/>
  <c r="EZ46" i="1"/>
  <c r="EZ47" i="1"/>
  <c r="EZ48" i="1"/>
  <c r="EZ49" i="1"/>
  <c r="EZ50" i="1"/>
  <c r="EZ51" i="1"/>
  <c r="EZ52" i="1"/>
  <c r="EZ53" i="1"/>
  <c r="EZ54" i="1"/>
  <c r="EZ55" i="1"/>
  <c r="EW4" i="1"/>
  <c r="EW5" i="1"/>
  <c r="EW6" i="1"/>
  <c r="EW7" i="1"/>
  <c r="EW8" i="1"/>
  <c r="EW9" i="1"/>
  <c r="EW10" i="1"/>
  <c r="EW11" i="1"/>
  <c r="EW12" i="1"/>
  <c r="EW13" i="1"/>
  <c r="EW14" i="1"/>
  <c r="EW15" i="1"/>
  <c r="EW16" i="1"/>
  <c r="EW17" i="1"/>
  <c r="EW18" i="1"/>
  <c r="EW19"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T4" i="1"/>
  <c r="ET5" i="1"/>
  <c r="ET6" i="1"/>
  <c r="ET7" i="1"/>
  <c r="ET8" i="1"/>
  <c r="ET9" i="1"/>
  <c r="ET10" i="1"/>
  <c r="ET11" i="1"/>
  <c r="ET12" i="1"/>
  <c r="ET13" i="1"/>
  <c r="ET14" i="1"/>
  <c r="ET18" i="1"/>
  <c r="ET19" i="1"/>
  <c r="ET20" i="1"/>
  <c r="ET21" i="1"/>
  <c r="ET22" i="1"/>
  <c r="ET23" i="1"/>
  <c r="ET24" i="1"/>
  <c r="ET25" i="1"/>
  <c r="ET26" i="1"/>
  <c r="ET27" i="1"/>
  <c r="ET28" i="1"/>
  <c r="ET29" i="1"/>
  <c r="ET30" i="1"/>
  <c r="ET31" i="1"/>
  <c r="ET32" i="1"/>
  <c r="ET33" i="1"/>
  <c r="ET34" i="1"/>
  <c r="ET35" i="1"/>
  <c r="ET36" i="1"/>
  <c r="ET37" i="1"/>
  <c r="ET38" i="1"/>
  <c r="ET39" i="1"/>
  <c r="ET40" i="1"/>
  <c r="ET41" i="1"/>
  <c r="ET42" i="1"/>
  <c r="ET43" i="1"/>
  <c r="ET45" i="1"/>
  <c r="ET46" i="1"/>
  <c r="ET47" i="1"/>
  <c r="ET48" i="1"/>
  <c r="ET49" i="1"/>
  <c r="ET50" i="1"/>
  <c r="ET51" i="1"/>
  <c r="ET52" i="1"/>
  <c r="ET53" i="1"/>
  <c r="ET54" i="1"/>
  <c r="ET55" i="1"/>
  <c r="EQ4" i="1"/>
  <c r="EQ5" i="1"/>
  <c r="EQ6" i="1"/>
  <c r="EQ7" i="1"/>
  <c r="EQ8" i="1"/>
  <c r="EQ9" i="1"/>
  <c r="EQ10" i="1"/>
  <c r="EQ11" i="1"/>
  <c r="EQ12" i="1"/>
  <c r="EQ13" i="1"/>
  <c r="EQ14" i="1"/>
  <c r="EQ18" i="1"/>
  <c r="EQ19" i="1"/>
  <c r="EQ20" i="1"/>
  <c r="EQ21" i="1"/>
  <c r="EQ22" i="1"/>
  <c r="EQ23" i="1"/>
  <c r="EQ24" i="1"/>
  <c r="EQ25" i="1"/>
  <c r="EQ26" i="1"/>
  <c r="EQ27" i="1"/>
  <c r="EQ28" i="1"/>
  <c r="EQ29" i="1"/>
  <c r="EQ30" i="1"/>
  <c r="EQ31" i="1"/>
  <c r="EQ32" i="1"/>
  <c r="EQ33" i="1"/>
  <c r="EQ34" i="1"/>
  <c r="EQ35" i="1"/>
  <c r="EQ36" i="1"/>
  <c r="EQ37" i="1"/>
  <c r="EQ38" i="1"/>
  <c r="EQ39" i="1"/>
  <c r="EQ40" i="1"/>
  <c r="EQ41" i="1"/>
  <c r="EQ42" i="1"/>
  <c r="EQ43" i="1"/>
  <c r="EQ45" i="1"/>
  <c r="EQ46" i="1"/>
  <c r="EQ47" i="1"/>
  <c r="EQ48" i="1"/>
  <c r="EQ49" i="1"/>
  <c r="EQ50" i="1"/>
  <c r="EQ51" i="1"/>
  <c r="EQ52" i="1"/>
  <c r="EQ53" i="1"/>
  <c r="EQ54" i="1"/>
  <c r="EQ55" i="1"/>
  <c r="EN4" i="1"/>
  <c r="EN5" i="1"/>
  <c r="EN6" i="1"/>
  <c r="EN7" i="1"/>
  <c r="EN8" i="1"/>
  <c r="EN9" i="1"/>
  <c r="EN10" i="1"/>
  <c r="EN11" i="1"/>
  <c r="EN12" i="1"/>
  <c r="EN13" i="1"/>
  <c r="EN14" i="1"/>
  <c r="EN16" i="1"/>
  <c r="EN18" i="1"/>
  <c r="EN19" i="1"/>
  <c r="EN20" i="1"/>
  <c r="EN21" i="1"/>
  <c r="EN22" i="1"/>
  <c r="EN23" i="1"/>
  <c r="EN24" i="1"/>
  <c r="EN25" i="1"/>
  <c r="EN26" i="1"/>
  <c r="EN27" i="1"/>
  <c r="EN28" i="1"/>
  <c r="EN29" i="1"/>
  <c r="EN30" i="1"/>
  <c r="EN31" i="1"/>
  <c r="EN32" i="1"/>
  <c r="EN33" i="1"/>
  <c r="EN34" i="1"/>
  <c r="EN35" i="1"/>
  <c r="EN36" i="1"/>
  <c r="EN37" i="1"/>
  <c r="EN38" i="1"/>
  <c r="EN39" i="1"/>
  <c r="EN40" i="1"/>
  <c r="EN41" i="1"/>
  <c r="EN42" i="1"/>
  <c r="EN43" i="1"/>
  <c r="EN45" i="1"/>
  <c r="EN46" i="1"/>
  <c r="EN47" i="1"/>
  <c r="EN48" i="1"/>
  <c r="EN49" i="1"/>
  <c r="EN50" i="1"/>
  <c r="EN51" i="1"/>
  <c r="EN52" i="1"/>
  <c r="EN53" i="1"/>
  <c r="EN54" i="1"/>
  <c r="EN55" i="1"/>
  <c r="EK4" i="1"/>
  <c r="EK5" i="1"/>
  <c r="EK6" i="1"/>
  <c r="EK7" i="1"/>
  <c r="EK8" i="1"/>
  <c r="EK9" i="1"/>
  <c r="EK10" i="1"/>
  <c r="EK11" i="1"/>
  <c r="EK12" i="1"/>
  <c r="EK13" i="1"/>
  <c r="EK14" i="1"/>
  <c r="EK18" i="1"/>
  <c r="EK19" i="1"/>
  <c r="EK20" i="1"/>
  <c r="EK21" i="1"/>
  <c r="EK22" i="1"/>
  <c r="EK23" i="1"/>
  <c r="EK24" i="1"/>
  <c r="EK25" i="1"/>
  <c r="EK26" i="1"/>
  <c r="EK27" i="1"/>
  <c r="EK28" i="1"/>
  <c r="EK29" i="1"/>
  <c r="EK30" i="1"/>
  <c r="EK31" i="1"/>
  <c r="EK32" i="1"/>
  <c r="EK33" i="1"/>
  <c r="EK34" i="1"/>
  <c r="EK35" i="1"/>
  <c r="EK36" i="1"/>
  <c r="EK37" i="1"/>
  <c r="EK38" i="1"/>
  <c r="EK39" i="1"/>
  <c r="EK40" i="1"/>
  <c r="EK41" i="1"/>
  <c r="EK42" i="1"/>
  <c r="EK43" i="1"/>
  <c r="EK45" i="1"/>
  <c r="EK46" i="1"/>
  <c r="EK47" i="1"/>
  <c r="EK48" i="1"/>
  <c r="EK49" i="1"/>
  <c r="EK50" i="1"/>
  <c r="EK51" i="1"/>
  <c r="EK52" i="1"/>
  <c r="EK53" i="1"/>
  <c r="EK54" i="1"/>
  <c r="EK55" i="1"/>
  <c r="EH4" i="1"/>
  <c r="EH5" i="1"/>
  <c r="EH6" i="1"/>
  <c r="EH7" i="1"/>
  <c r="EH8" i="1"/>
  <c r="EH9" i="1"/>
  <c r="EH10" i="1"/>
  <c r="EH11" i="1"/>
  <c r="EH12" i="1"/>
  <c r="EH13" i="1"/>
  <c r="EH14" i="1"/>
  <c r="EH18" i="1"/>
  <c r="EH19" i="1"/>
  <c r="EH20" i="1"/>
  <c r="EH21" i="1"/>
  <c r="EH22" i="1"/>
  <c r="EH23" i="1"/>
  <c r="EH24" i="1"/>
  <c r="EH25" i="1"/>
  <c r="EH26" i="1"/>
  <c r="EH27" i="1"/>
  <c r="EH28" i="1"/>
  <c r="EH29" i="1"/>
  <c r="EH30" i="1"/>
  <c r="EH31" i="1"/>
  <c r="EH32" i="1"/>
  <c r="EH33" i="1"/>
  <c r="EH34" i="1"/>
  <c r="EH35" i="1"/>
  <c r="EH36" i="1"/>
  <c r="EH37" i="1"/>
  <c r="EH38" i="1"/>
  <c r="EH39" i="1"/>
  <c r="EH40" i="1"/>
  <c r="EH41" i="1"/>
  <c r="EH42" i="1"/>
  <c r="EH43" i="1"/>
  <c r="EH45" i="1"/>
  <c r="EH46" i="1"/>
  <c r="EH47" i="1"/>
  <c r="EH48" i="1"/>
  <c r="EH49" i="1"/>
  <c r="EH50" i="1"/>
  <c r="EH51" i="1"/>
  <c r="EH52" i="1"/>
  <c r="EH53" i="1"/>
  <c r="EH54" i="1"/>
  <c r="EH55" i="1"/>
  <c r="EE4" i="1"/>
  <c r="EE5" i="1"/>
  <c r="EE6" i="1"/>
  <c r="EE7" i="1"/>
  <c r="EE8" i="1"/>
  <c r="EE9" i="1"/>
  <c r="EE10" i="1"/>
  <c r="EE11" i="1"/>
  <c r="EE12" i="1"/>
  <c r="EE13" i="1"/>
  <c r="EE14" i="1"/>
  <c r="EE15" i="1"/>
  <c r="EE16" i="1"/>
  <c r="EE17" i="1"/>
  <c r="EE18" i="1"/>
  <c r="EE19" i="1"/>
  <c r="EE20" i="1"/>
  <c r="EE21" i="1"/>
  <c r="EE22" i="1"/>
  <c r="EE23" i="1"/>
  <c r="EE24" i="1"/>
  <c r="EE25" i="1"/>
  <c r="EE26" i="1"/>
  <c r="EE27" i="1"/>
  <c r="EE28" i="1"/>
  <c r="EE29" i="1"/>
  <c r="EE30" i="1"/>
  <c r="EE31" i="1"/>
  <c r="EE32" i="1"/>
  <c r="EE33" i="1"/>
  <c r="EE34" i="1"/>
  <c r="EE35" i="1"/>
  <c r="EE36" i="1"/>
  <c r="EE37" i="1"/>
  <c r="EE38" i="1"/>
  <c r="EE39" i="1"/>
  <c r="EE40" i="1"/>
  <c r="EE41" i="1"/>
  <c r="EE42" i="1"/>
  <c r="EE43" i="1"/>
  <c r="EE44" i="1"/>
  <c r="EE45" i="1"/>
  <c r="EE46" i="1"/>
  <c r="EE47" i="1"/>
  <c r="EE48" i="1"/>
  <c r="EE49" i="1"/>
  <c r="EE50" i="1"/>
  <c r="EE51" i="1"/>
  <c r="EE52" i="1"/>
  <c r="EE53" i="1"/>
  <c r="EE54" i="1"/>
  <c r="EE55" i="1"/>
  <c r="EA4" i="1"/>
  <c r="EA5" i="1"/>
  <c r="EA6" i="1"/>
  <c r="EA7" i="1"/>
  <c r="EA8" i="1"/>
  <c r="EA9" i="1"/>
  <c r="EA10" i="1"/>
  <c r="EA11" i="1"/>
  <c r="EA12" i="1"/>
  <c r="EA13" i="1"/>
  <c r="EA14" i="1"/>
  <c r="EA15" i="1"/>
  <c r="EA16" i="1"/>
  <c r="EA17" i="1"/>
  <c r="EA18" i="1"/>
  <c r="EA19" i="1"/>
  <c r="EA20" i="1"/>
  <c r="EA21" i="1"/>
  <c r="EA22" i="1"/>
  <c r="EA23" i="1"/>
  <c r="EA24" i="1"/>
  <c r="EA25" i="1"/>
  <c r="EA26" i="1"/>
  <c r="EA27" i="1"/>
  <c r="EA28" i="1"/>
  <c r="EA29" i="1"/>
  <c r="EA30" i="1"/>
  <c r="EA31" i="1"/>
  <c r="EA32" i="1"/>
  <c r="EA33" i="1"/>
  <c r="EA34" i="1"/>
  <c r="EA35" i="1"/>
  <c r="EA36" i="1"/>
  <c r="EA37" i="1"/>
  <c r="EA38" i="1"/>
  <c r="EA39" i="1"/>
  <c r="EA40" i="1"/>
  <c r="EA41" i="1"/>
  <c r="EA42" i="1"/>
  <c r="EA43" i="1"/>
  <c r="EA44" i="1"/>
  <c r="EA45" i="1"/>
  <c r="EA46" i="1"/>
  <c r="EA47" i="1"/>
  <c r="EA48" i="1"/>
  <c r="EA49" i="1"/>
  <c r="EA50" i="1"/>
  <c r="EA51" i="1"/>
  <c r="EA52" i="1"/>
  <c r="EA53" i="1"/>
  <c r="EA54" i="1"/>
  <c r="EA55" i="1"/>
  <c r="DX4" i="1"/>
  <c r="DX5" i="1"/>
  <c r="DX6" i="1"/>
  <c r="DX7" i="1"/>
  <c r="DX8" i="1"/>
  <c r="DX9" i="1"/>
  <c r="DX10" i="1"/>
  <c r="DX11" i="1"/>
  <c r="DX12" i="1"/>
  <c r="DX13" i="1"/>
  <c r="DX14" i="1"/>
  <c r="DX15" i="1"/>
  <c r="DX16" i="1"/>
  <c r="DX17" i="1"/>
  <c r="DX18" i="1"/>
  <c r="DX19" i="1"/>
  <c r="DX20" i="1"/>
  <c r="DX21" i="1"/>
  <c r="DX22" i="1"/>
  <c r="DX23" i="1"/>
  <c r="DX24" i="1"/>
  <c r="DX25" i="1"/>
  <c r="DX26" i="1"/>
  <c r="DX27" i="1"/>
  <c r="DX28" i="1"/>
  <c r="DX29" i="1"/>
  <c r="DX30" i="1"/>
  <c r="DX31" i="1"/>
  <c r="DX32" i="1"/>
  <c r="DX33" i="1"/>
  <c r="DX34" i="1"/>
  <c r="DX35" i="1"/>
  <c r="DX36" i="1"/>
  <c r="DX37" i="1"/>
  <c r="DX38" i="1"/>
  <c r="DX39" i="1"/>
  <c r="DX40" i="1"/>
  <c r="DX41" i="1"/>
  <c r="DX42" i="1"/>
  <c r="DX43" i="1"/>
  <c r="DX44" i="1"/>
  <c r="DX45" i="1"/>
  <c r="DX46" i="1"/>
  <c r="DX47" i="1"/>
  <c r="DX48" i="1"/>
  <c r="DX49" i="1"/>
  <c r="DX50" i="1"/>
  <c r="DX51" i="1"/>
  <c r="DX52" i="1"/>
  <c r="DX53" i="1"/>
  <c r="DX54" i="1"/>
  <c r="DX55" i="1"/>
  <c r="DU4" i="1"/>
  <c r="DU5" i="1"/>
  <c r="DU6" i="1"/>
  <c r="DU7" i="1"/>
  <c r="DU8" i="1"/>
  <c r="DU9" i="1"/>
  <c r="DU10" i="1"/>
  <c r="DU11" i="1"/>
  <c r="DU12" i="1"/>
  <c r="DU13" i="1"/>
  <c r="DU14" i="1"/>
  <c r="DU15" i="1"/>
  <c r="DU16" i="1"/>
  <c r="DU17" i="1"/>
  <c r="DU18" i="1"/>
  <c r="DU19" i="1"/>
  <c r="DU20" i="1"/>
  <c r="DU21" i="1"/>
  <c r="DU22" i="1"/>
  <c r="DU23" i="1"/>
  <c r="DU24" i="1"/>
  <c r="DU25" i="1"/>
  <c r="DU26" i="1"/>
  <c r="DU27" i="1"/>
  <c r="DU28" i="1"/>
  <c r="DU29" i="1"/>
  <c r="DU30" i="1"/>
  <c r="DU31" i="1"/>
  <c r="DU32" i="1"/>
  <c r="DU33" i="1"/>
  <c r="DU34" i="1"/>
  <c r="DU35" i="1"/>
  <c r="DU36" i="1"/>
  <c r="DU37" i="1"/>
  <c r="DU38" i="1"/>
  <c r="DU39" i="1"/>
  <c r="DU40" i="1"/>
  <c r="DU41" i="1"/>
  <c r="DU42" i="1"/>
  <c r="DU43" i="1"/>
  <c r="DU44" i="1"/>
  <c r="DU45" i="1"/>
  <c r="DU46" i="1"/>
  <c r="DU47" i="1"/>
  <c r="DU48" i="1"/>
  <c r="DU49" i="1"/>
  <c r="DU50" i="1"/>
  <c r="DU51" i="1"/>
  <c r="DU52" i="1"/>
  <c r="DU53" i="1"/>
  <c r="DU54" i="1"/>
  <c r="DU55" i="1"/>
  <c r="DR4" i="1"/>
  <c r="DR5" i="1"/>
  <c r="DR6" i="1"/>
  <c r="DR7" i="1"/>
  <c r="DR8" i="1"/>
  <c r="DR9" i="1"/>
  <c r="DR10" i="1"/>
  <c r="DR11" i="1"/>
  <c r="DR12" i="1"/>
  <c r="DR13" i="1"/>
  <c r="DR14" i="1"/>
  <c r="DR15" i="1"/>
  <c r="DR16" i="1"/>
  <c r="DR17" i="1"/>
  <c r="DR18" i="1"/>
  <c r="DR19" i="1"/>
  <c r="DR20" i="1"/>
  <c r="DR21" i="1"/>
  <c r="DR22" i="1"/>
  <c r="DR23" i="1"/>
  <c r="DR24" i="1"/>
  <c r="DR25" i="1"/>
  <c r="DR26" i="1"/>
  <c r="DR27" i="1"/>
  <c r="DR28" i="1"/>
  <c r="DR29" i="1"/>
  <c r="DR30" i="1"/>
  <c r="DR31" i="1"/>
  <c r="DR32" i="1"/>
  <c r="DR33" i="1"/>
  <c r="DR34" i="1"/>
  <c r="DR35" i="1"/>
  <c r="DR36" i="1"/>
  <c r="DR37" i="1"/>
  <c r="DR38" i="1"/>
  <c r="DR39" i="1"/>
  <c r="DR40" i="1"/>
  <c r="DR41" i="1"/>
  <c r="DR42" i="1"/>
  <c r="DR43" i="1"/>
  <c r="DR44" i="1"/>
  <c r="DR45" i="1"/>
  <c r="DR46" i="1"/>
  <c r="DR47" i="1"/>
  <c r="DR48" i="1"/>
  <c r="DR49" i="1"/>
  <c r="DR50" i="1"/>
  <c r="DR51" i="1"/>
  <c r="DR52" i="1"/>
  <c r="DR53" i="1"/>
  <c r="DR54" i="1"/>
  <c r="DR55" i="1"/>
  <c r="DO4" i="1"/>
  <c r="DO5" i="1"/>
  <c r="DO6" i="1"/>
  <c r="DO7" i="1"/>
  <c r="DO8" i="1"/>
  <c r="DO9" i="1"/>
  <c r="DO10" i="1"/>
  <c r="DO11" i="1"/>
  <c r="DO12" i="1"/>
  <c r="DO13" i="1"/>
  <c r="DO14" i="1"/>
  <c r="DO15" i="1"/>
  <c r="DO16" i="1"/>
  <c r="DO17" i="1"/>
  <c r="DO20" i="1"/>
  <c r="DO21" i="1"/>
  <c r="DO22" i="1"/>
  <c r="DO23" i="1"/>
  <c r="DO24" i="1"/>
  <c r="DO25" i="1"/>
  <c r="DO26" i="1"/>
  <c r="DO27" i="1"/>
  <c r="DO28" i="1"/>
  <c r="DO29" i="1"/>
  <c r="DO30" i="1"/>
  <c r="DO31" i="1"/>
  <c r="DO32" i="1"/>
  <c r="DO33" i="1"/>
  <c r="DO34" i="1"/>
  <c r="DO35" i="1"/>
  <c r="DO36" i="1"/>
  <c r="DO37" i="1"/>
  <c r="DO38" i="1"/>
  <c r="DO39" i="1"/>
  <c r="DO40" i="1"/>
  <c r="DO41" i="1"/>
  <c r="DO42" i="1"/>
  <c r="DO43" i="1"/>
  <c r="DO44" i="1"/>
  <c r="DO45" i="1"/>
  <c r="DO46" i="1"/>
  <c r="DO47" i="1"/>
  <c r="DO48" i="1"/>
  <c r="DO49" i="1"/>
  <c r="DO50" i="1"/>
  <c r="DO51" i="1"/>
  <c r="DO52" i="1"/>
  <c r="DO53" i="1"/>
  <c r="DO54" i="1"/>
  <c r="DO55" i="1"/>
  <c r="DL4" i="1"/>
  <c r="DL5" i="1"/>
  <c r="DL6" i="1"/>
  <c r="DL7" i="1"/>
  <c r="DL8" i="1"/>
  <c r="DL9" i="1"/>
  <c r="DL10" i="1"/>
  <c r="DL11" i="1"/>
  <c r="DL12" i="1"/>
  <c r="DL13" i="1"/>
  <c r="DL14" i="1"/>
  <c r="DL15" i="1"/>
  <c r="DL16" i="1"/>
  <c r="DL17" i="1"/>
  <c r="DL18" i="1"/>
  <c r="DL19" i="1"/>
  <c r="DL20" i="1"/>
  <c r="DL21" i="1"/>
  <c r="DL22" i="1"/>
  <c r="DL23" i="1"/>
  <c r="DL24" i="1"/>
  <c r="DL25" i="1"/>
  <c r="DL26" i="1"/>
  <c r="DL27" i="1"/>
  <c r="DL28" i="1"/>
  <c r="DL29" i="1"/>
  <c r="DL30" i="1"/>
  <c r="DL31" i="1"/>
  <c r="DL32" i="1"/>
  <c r="DL33" i="1"/>
  <c r="DL34" i="1"/>
  <c r="DL35" i="1"/>
  <c r="DL36" i="1"/>
  <c r="DL37" i="1"/>
  <c r="DL38" i="1"/>
  <c r="DL39" i="1"/>
  <c r="DL40" i="1"/>
  <c r="DL41" i="1"/>
  <c r="DL42" i="1"/>
  <c r="DL43" i="1"/>
  <c r="DL44" i="1"/>
  <c r="DL45" i="1"/>
  <c r="DL46" i="1"/>
  <c r="DL47" i="1"/>
  <c r="DL48" i="1"/>
  <c r="DL49" i="1"/>
  <c r="DL50" i="1"/>
  <c r="DL51" i="1"/>
  <c r="DL52" i="1"/>
  <c r="DL53" i="1"/>
  <c r="DL54" i="1"/>
  <c r="DL55" i="1"/>
  <c r="DI4" i="1"/>
  <c r="DI5" i="1"/>
  <c r="DI6" i="1"/>
  <c r="DI7" i="1"/>
  <c r="DI8" i="1"/>
  <c r="DI9" i="1"/>
  <c r="DI10" i="1"/>
  <c r="DI11" i="1"/>
  <c r="DI12" i="1"/>
  <c r="DI13" i="1"/>
  <c r="DI14" i="1"/>
  <c r="DI15" i="1"/>
  <c r="DI16" i="1"/>
  <c r="DI17" i="1"/>
  <c r="DI18" i="1"/>
  <c r="DI19" i="1"/>
  <c r="DI20" i="1"/>
  <c r="DI21" i="1"/>
  <c r="DI24" i="1"/>
  <c r="DI25" i="1"/>
  <c r="DI26" i="1"/>
  <c r="DI27" i="1"/>
  <c r="DI28" i="1"/>
  <c r="DI29" i="1"/>
  <c r="DI30" i="1"/>
  <c r="DI31" i="1"/>
  <c r="DI32" i="1"/>
  <c r="DI33" i="1"/>
  <c r="DI34" i="1"/>
  <c r="DI35" i="1"/>
  <c r="DI36" i="1"/>
  <c r="DI37" i="1"/>
  <c r="DI38" i="1"/>
  <c r="DI39" i="1"/>
  <c r="DI40" i="1"/>
  <c r="DI41" i="1"/>
  <c r="DI42" i="1"/>
  <c r="DI43" i="1"/>
  <c r="DI44" i="1"/>
  <c r="DI45" i="1"/>
  <c r="DI46" i="1"/>
  <c r="DI47" i="1"/>
  <c r="DI48" i="1"/>
  <c r="DI49" i="1"/>
  <c r="DI50" i="1"/>
  <c r="DI51" i="1"/>
  <c r="DI52" i="1"/>
  <c r="DI53" i="1"/>
  <c r="DI54" i="1"/>
  <c r="DI55" i="1"/>
  <c r="DF4" i="1"/>
  <c r="DF5" i="1"/>
  <c r="DF6" i="1"/>
  <c r="DF7" i="1"/>
  <c r="DF8" i="1"/>
  <c r="DF9" i="1"/>
  <c r="DF10" i="1"/>
  <c r="DF11" i="1"/>
  <c r="DF12" i="1"/>
  <c r="DF13" i="1"/>
  <c r="DF14" i="1"/>
  <c r="DF15" i="1"/>
  <c r="DF16" i="1"/>
  <c r="DF17" i="1"/>
  <c r="DF18" i="1"/>
  <c r="DF19" i="1"/>
  <c r="DF20" i="1"/>
  <c r="DF21" i="1"/>
  <c r="DF22" i="1"/>
  <c r="DF23" i="1"/>
  <c r="DF24" i="1"/>
  <c r="DF25" i="1"/>
  <c r="DF26" i="1"/>
  <c r="DF27" i="1"/>
  <c r="DF28" i="1"/>
  <c r="DF29" i="1"/>
  <c r="DF30" i="1"/>
  <c r="DF31" i="1"/>
  <c r="DF32" i="1"/>
  <c r="DF33" i="1"/>
  <c r="DF34" i="1"/>
  <c r="DF35" i="1"/>
  <c r="DF36" i="1"/>
  <c r="DF37" i="1"/>
  <c r="DF38" i="1"/>
  <c r="DF39" i="1"/>
  <c r="DF40" i="1"/>
  <c r="DF41" i="1"/>
  <c r="DF42" i="1"/>
  <c r="DF43" i="1"/>
  <c r="DF44" i="1"/>
  <c r="DF45" i="1"/>
  <c r="DF46" i="1"/>
  <c r="DF47" i="1"/>
  <c r="DF48" i="1"/>
  <c r="DF49" i="1"/>
  <c r="DF50" i="1"/>
  <c r="DF51" i="1"/>
  <c r="DF52" i="1"/>
  <c r="DF53" i="1"/>
  <c r="DF54" i="1"/>
  <c r="DF55" i="1"/>
  <c r="DC4" i="1"/>
  <c r="DC5" i="1"/>
  <c r="DC6" i="1"/>
  <c r="DC7" i="1"/>
  <c r="DC8" i="1"/>
  <c r="DC9" i="1"/>
  <c r="DC10" i="1"/>
  <c r="DC11" i="1"/>
  <c r="DC12" i="1"/>
  <c r="DC13" i="1"/>
  <c r="DC14" i="1"/>
  <c r="DC15" i="1"/>
  <c r="DC16" i="1"/>
  <c r="DC17" i="1"/>
  <c r="DC18" i="1"/>
  <c r="DC19" i="1"/>
  <c r="DC20" i="1"/>
  <c r="DC21" i="1"/>
  <c r="DC22" i="1"/>
  <c r="DC23" i="1"/>
  <c r="DC24" i="1"/>
  <c r="DC25" i="1"/>
  <c r="DC26" i="1"/>
  <c r="DC27" i="1"/>
  <c r="DC28" i="1"/>
  <c r="DC29" i="1"/>
  <c r="DC30" i="1"/>
  <c r="DC31" i="1"/>
  <c r="DC32" i="1"/>
  <c r="DC33" i="1"/>
  <c r="DC34" i="1"/>
  <c r="DC35" i="1"/>
  <c r="DC36" i="1"/>
  <c r="DC37" i="1"/>
  <c r="DC38" i="1"/>
  <c r="DC39" i="1"/>
  <c r="DC40" i="1"/>
  <c r="DC41" i="1"/>
  <c r="DC42" i="1"/>
  <c r="DC43" i="1"/>
  <c r="DC44" i="1"/>
  <c r="DC45" i="1"/>
  <c r="DC46" i="1"/>
  <c r="DC47" i="1"/>
  <c r="DC48" i="1"/>
  <c r="DC49" i="1"/>
  <c r="DC50" i="1"/>
  <c r="DC51" i="1"/>
  <c r="DC52" i="1"/>
  <c r="DC53" i="1"/>
  <c r="DC54" i="1"/>
  <c r="DC55" i="1"/>
  <c r="CZ4" i="1"/>
  <c r="CZ5" i="1"/>
  <c r="CZ6" i="1"/>
  <c r="CZ7" i="1"/>
  <c r="CZ8" i="1"/>
  <c r="CZ9" i="1"/>
  <c r="CZ10" i="1"/>
  <c r="CZ11" i="1"/>
  <c r="CZ12" i="1"/>
  <c r="CZ13" i="1"/>
  <c r="CZ14" i="1"/>
  <c r="CZ15" i="1"/>
  <c r="CZ16" i="1"/>
  <c r="CZ17" i="1"/>
  <c r="CZ18" i="1"/>
  <c r="CZ19" i="1"/>
  <c r="CZ20" i="1"/>
  <c r="CZ21" i="1"/>
  <c r="CZ22" i="1"/>
  <c r="CZ23" i="1"/>
  <c r="CZ24" i="1"/>
  <c r="CZ25" i="1"/>
  <c r="CZ26" i="1"/>
  <c r="CZ27" i="1"/>
  <c r="CZ28" i="1"/>
  <c r="CZ29" i="1"/>
  <c r="CZ30" i="1"/>
  <c r="CZ31" i="1"/>
  <c r="CZ32" i="1"/>
  <c r="CZ33" i="1"/>
  <c r="CZ34" i="1"/>
  <c r="CZ35" i="1"/>
  <c r="CZ36" i="1"/>
  <c r="CZ37" i="1"/>
  <c r="CZ38" i="1"/>
  <c r="CZ39" i="1"/>
  <c r="CZ40" i="1"/>
  <c r="CZ41" i="1"/>
  <c r="CZ42" i="1"/>
  <c r="CZ43" i="1"/>
  <c r="CZ44" i="1"/>
  <c r="CZ45" i="1"/>
  <c r="CZ46" i="1"/>
  <c r="CZ47" i="1"/>
  <c r="CZ48" i="1"/>
  <c r="CZ49" i="1"/>
  <c r="CZ50" i="1"/>
  <c r="CZ51" i="1"/>
  <c r="CZ52" i="1"/>
  <c r="CZ53" i="1"/>
  <c r="CZ54" i="1"/>
  <c r="CZ55" i="1"/>
  <c r="CW4" i="1"/>
  <c r="CW5" i="1"/>
  <c r="CW6" i="1"/>
  <c r="CW7" i="1"/>
  <c r="CW8" i="1"/>
  <c r="CW9" i="1"/>
  <c r="CW10" i="1"/>
  <c r="CW11" i="1"/>
  <c r="CW12" i="1"/>
  <c r="CW13" i="1"/>
  <c r="CW14" i="1"/>
  <c r="CW15" i="1"/>
  <c r="CW16" i="1"/>
  <c r="CW17" i="1"/>
  <c r="CW18" i="1"/>
  <c r="CW19" i="1"/>
  <c r="CW20" i="1"/>
  <c r="CW21" i="1"/>
  <c r="CW22" i="1"/>
  <c r="CW23" i="1"/>
  <c r="CW24" i="1"/>
  <c r="CW25" i="1"/>
  <c r="CW26" i="1"/>
  <c r="CW27" i="1"/>
  <c r="CW28" i="1"/>
  <c r="CW29" i="1"/>
  <c r="CW30" i="1"/>
  <c r="CW31" i="1"/>
  <c r="CW32" i="1"/>
  <c r="CW33" i="1"/>
  <c r="CW34" i="1"/>
  <c r="CW35" i="1"/>
  <c r="CW36" i="1"/>
  <c r="CW37" i="1"/>
  <c r="CW38" i="1"/>
  <c r="CW39" i="1"/>
  <c r="CW40" i="1"/>
  <c r="CW41" i="1"/>
  <c r="CW42" i="1"/>
  <c r="CW43" i="1"/>
  <c r="CW44" i="1"/>
  <c r="CW45" i="1"/>
  <c r="CW46" i="1"/>
  <c r="CW47" i="1"/>
  <c r="CW48" i="1"/>
  <c r="CW49" i="1"/>
  <c r="CW50" i="1"/>
  <c r="CW51" i="1"/>
  <c r="CW52" i="1"/>
  <c r="CW53" i="1"/>
  <c r="CW54" i="1"/>
  <c r="CW55" i="1"/>
  <c r="CS4" i="1"/>
  <c r="CS5" i="1"/>
  <c r="CS6"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P4" i="1"/>
  <c r="CP5" i="1"/>
  <c r="CP6" i="1"/>
  <c r="CP7" i="1"/>
  <c r="CP8" i="1"/>
  <c r="CP9" i="1"/>
  <c r="CP10" i="1"/>
  <c r="CP11" i="1"/>
  <c r="CP12" i="1"/>
  <c r="CP13" i="1"/>
  <c r="CP14" i="1"/>
  <c r="CP15" i="1"/>
  <c r="CP16" i="1"/>
  <c r="CP17" i="1"/>
  <c r="CP18" i="1"/>
  <c r="CP19" i="1"/>
  <c r="CP20" i="1"/>
  <c r="CP21" i="1"/>
  <c r="CP22" i="1"/>
  <c r="CP23" i="1"/>
  <c r="CP24" i="1"/>
  <c r="CP25" i="1"/>
  <c r="CP26" i="1"/>
  <c r="CP27" i="1"/>
  <c r="CP28" i="1"/>
  <c r="CP29" i="1"/>
  <c r="CP30" i="1"/>
  <c r="CP31" i="1"/>
  <c r="CP32" i="1"/>
  <c r="CP33" i="1"/>
  <c r="CP34" i="1"/>
  <c r="CP35" i="1"/>
  <c r="CP36" i="1"/>
  <c r="CP37" i="1"/>
  <c r="CP38" i="1"/>
  <c r="CP39" i="1"/>
  <c r="CP40" i="1"/>
  <c r="CP41" i="1"/>
  <c r="CP42" i="1"/>
  <c r="CP43" i="1"/>
  <c r="CP44" i="1"/>
  <c r="CP45" i="1"/>
  <c r="CP46" i="1"/>
  <c r="CP47" i="1"/>
  <c r="CP48" i="1"/>
  <c r="CP49" i="1"/>
  <c r="CP50" i="1"/>
  <c r="CP51" i="1"/>
  <c r="CP52" i="1"/>
  <c r="CP53" i="1"/>
  <c r="CP54" i="1"/>
  <c r="CP55" i="1"/>
  <c r="CM4" i="1"/>
  <c r="CM5" i="1"/>
  <c r="CM6" i="1"/>
  <c r="CM7" i="1"/>
  <c r="CM8" i="1"/>
  <c r="CM9" i="1"/>
  <c r="CM10" i="1"/>
  <c r="CM11" i="1"/>
  <c r="CM12" i="1"/>
  <c r="CM13" i="1"/>
  <c r="CM14" i="1"/>
  <c r="CM15" i="1"/>
  <c r="CM16" i="1"/>
  <c r="CM17" i="1"/>
  <c r="CM18" i="1"/>
  <c r="CM19" i="1"/>
  <c r="CM20" i="1"/>
  <c r="CM21" i="1"/>
  <c r="CM22" i="1"/>
  <c r="CM23" i="1"/>
  <c r="CM24" i="1"/>
  <c r="CM25" i="1"/>
  <c r="CM26" i="1"/>
  <c r="CM27" i="1"/>
  <c r="CM28" i="1"/>
  <c r="CM29" i="1"/>
  <c r="CM30" i="1"/>
  <c r="CM31" i="1"/>
  <c r="CM32" i="1"/>
  <c r="CM33" i="1"/>
  <c r="CM34" i="1"/>
  <c r="CM35" i="1"/>
  <c r="CM36" i="1"/>
  <c r="CM37" i="1"/>
  <c r="CM38" i="1"/>
  <c r="CM39" i="1"/>
  <c r="CM40" i="1"/>
  <c r="CM41" i="1"/>
  <c r="CM42" i="1"/>
  <c r="CM43" i="1"/>
  <c r="CM44" i="1"/>
  <c r="CM45" i="1"/>
  <c r="CM46" i="1"/>
  <c r="CM47" i="1"/>
  <c r="CM48" i="1"/>
  <c r="CM49" i="1"/>
  <c r="CM50" i="1"/>
  <c r="CM51" i="1"/>
  <c r="CM52" i="1"/>
  <c r="CM53" i="1"/>
  <c r="CM54" i="1"/>
  <c r="CM55" i="1"/>
  <c r="CJ4" i="1"/>
  <c r="CJ5" i="1"/>
  <c r="CJ6" i="1"/>
  <c r="CJ7" i="1"/>
  <c r="CJ8" i="1"/>
  <c r="CJ9" i="1"/>
  <c r="CJ10" i="1"/>
  <c r="CJ11" i="1"/>
  <c r="CJ12" i="1"/>
  <c r="CJ13" i="1"/>
  <c r="CJ14" i="1"/>
  <c r="CJ15" i="1"/>
  <c r="CJ16" i="1"/>
  <c r="CJ17" i="1"/>
  <c r="CJ18" i="1"/>
  <c r="CJ19" i="1"/>
  <c r="CJ20" i="1"/>
  <c r="CJ21" i="1"/>
  <c r="CJ22" i="1"/>
  <c r="CJ23" i="1"/>
  <c r="CJ24" i="1"/>
  <c r="CJ25" i="1"/>
  <c r="CJ26" i="1"/>
  <c r="CJ27" i="1"/>
  <c r="CJ28" i="1"/>
  <c r="CJ29" i="1"/>
  <c r="CJ30" i="1"/>
  <c r="CJ31" i="1"/>
  <c r="CJ32" i="1"/>
  <c r="CJ33" i="1"/>
  <c r="CJ34" i="1"/>
  <c r="CJ35" i="1"/>
  <c r="CJ36" i="1"/>
  <c r="CJ37" i="1"/>
  <c r="CJ38" i="1"/>
  <c r="CJ39" i="1"/>
  <c r="CJ40" i="1"/>
  <c r="CJ41" i="1"/>
  <c r="CJ42" i="1"/>
  <c r="CJ43" i="1"/>
  <c r="CJ44" i="1"/>
  <c r="CJ45" i="1"/>
  <c r="CJ46" i="1"/>
  <c r="CJ47" i="1"/>
  <c r="CJ48" i="1"/>
  <c r="CJ49" i="1"/>
  <c r="CJ50" i="1"/>
  <c r="CJ51" i="1"/>
  <c r="CJ52" i="1"/>
  <c r="CJ53" i="1"/>
  <c r="CJ54" i="1"/>
  <c r="CJ55" i="1"/>
  <c r="CO4" i="1"/>
  <c r="CR4" i="1" s="1"/>
  <c r="CV4" i="1" s="1"/>
  <c r="CY4" i="1" s="1"/>
  <c r="DB4" i="1" s="1"/>
  <c r="DE4" i="1" s="1"/>
  <c r="DH4" i="1" s="1"/>
  <c r="DK4" i="1" s="1"/>
  <c r="DN4" i="1" s="1"/>
  <c r="DQ4" i="1" s="1"/>
  <c r="DT4" i="1" s="1"/>
  <c r="DW4" i="1" s="1"/>
  <c r="DZ4" i="1" s="1"/>
  <c r="ED4" i="1" s="1"/>
  <c r="EG4" i="1" s="1"/>
  <c r="EJ4" i="1" s="1"/>
  <c r="EM4" i="1" s="1"/>
  <c r="EP4" i="1" s="1"/>
  <c r="ES4" i="1" s="1"/>
  <c r="EV4" i="1" s="1"/>
  <c r="EY4" i="1" s="1"/>
  <c r="CY7" i="1"/>
  <c r="DB7" i="1" s="1"/>
  <c r="DE7" i="1" s="1"/>
  <c r="DH7" i="1" s="1"/>
  <c r="DK7" i="1" s="1"/>
  <c r="DN7" i="1" s="1"/>
  <c r="DQ7" i="1" s="1"/>
  <c r="DT7" i="1" s="1"/>
  <c r="DW7" i="1" s="1"/>
  <c r="DZ7" i="1" s="1"/>
  <c r="ED7" i="1" s="1"/>
  <c r="EG7" i="1" s="1"/>
  <c r="EJ7" i="1" s="1"/>
  <c r="EM7" i="1" s="1"/>
  <c r="EP7" i="1" s="1"/>
  <c r="ES7" i="1" s="1"/>
  <c r="EV7" i="1" s="1"/>
  <c r="EY7" i="1" s="1"/>
  <c r="CV24" i="1"/>
  <c r="CY24" i="1" s="1"/>
  <c r="DB24" i="1" s="1"/>
  <c r="DE24" i="1" s="1"/>
  <c r="DH24" i="1" s="1"/>
  <c r="DK24" i="1" s="1"/>
  <c r="DN24" i="1" s="1"/>
  <c r="DQ24" i="1" s="1"/>
  <c r="DT24" i="1" s="1"/>
  <c r="DW24" i="1" s="1"/>
  <c r="DZ24" i="1" s="1"/>
  <c r="ED24" i="1" s="1"/>
  <c r="EG24" i="1" s="1"/>
  <c r="EJ24" i="1" s="1"/>
  <c r="EM24" i="1" s="1"/>
  <c r="EP24" i="1" s="1"/>
  <c r="ES24" i="1" s="1"/>
  <c r="EV24" i="1" s="1"/>
  <c r="EY24" i="1" s="1"/>
  <c r="CV31" i="1"/>
  <c r="CY31" i="1" s="1"/>
  <c r="DB31" i="1" s="1"/>
  <c r="DE31" i="1" s="1"/>
  <c r="DH31" i="1" s="1"/>
  <c r="DK31" i="1" s="1"/>
  <c r="DN31" i="1" s="1"/>
  <c r="DQ31" i="1" s="1"/>
  <c r="DT31" i="1" s="1"/>
  <c r="DW31" i="1" s="1"/>
  <c r="DZ31" i="1" s="1"/>
  <c r="ED31" i="1" s="1"/>
  <c r="EG31" i="1" s="1"/>
  <c r="EJ31" i="1" s="1"/>
  <c r="EM31" i="1" s="1"/>
  <c r="EP31" i="1" s="1"/>
  <c r="ES31" i="1" s="1"/>
  <c r="EV31" i="1" s="1"/>
  <c r="EY31" i="1" s="1"/>
  <c r="CR13" i="1"/>
  <c r="CV13" i="1" s="1"/>
  <c r="CY13" i="1" s="1"/>
  <c r="DB13" i="1" s="1"/>
  <c r="DE13" i="1" s="1"/>
  <c r="DH13" i="1" s="1"/>
  <c r="DK13" i="1" s="1"/>
  <c r="DN13" i="1" s="1"/>
  <c r="DQ13" i="1" s="1"/>
  <c r="DT13" i="1" s="1"/>
  <c r="DW13" i="1" s="1"/>
  <c r="DZ13" i="1" s="1"/>
  <c r="ED13" i="1" s="1"/>
  <c r="EG13" i="1" s="1"/>
  <c r="EJ13" i="1" s="1"/>
  <c r="EM13" i="1" s="1"/>
  <c r="EP13" i="1" s="1"/>
  <c r="ES13" i="1" s="1"/>
  <c r="EV13" i="1" s="1"/>
  <c r="EY13" i="1" s="1"/>
  <c r="CR27" i="1"/>
  <c r="CV27" i="1" s="1"/>
  <c r="CY27" i="1" s="1"/>
  <c r="DB27" i="1" s="1"/>
  <c r="DE27" i="1" s="1"/>
  <c r="DH27" i="1" s="1"/>
  <c r="DK27" i="1" s="1"/>
  <c r="DN27" i="1" s="1"/>
  <c r="DQ27" i="1" s="1"/>
  <c r="DT27" i="1" s="1"/>
  <c r="DW27" i="1" s="1"/>
  <c r="DZ27" i="1" s="1"/>
  <c r="ED27" i="1" s="1"/>
  <c r="EG27" i="1" s="1"/>
  <c r="EJ27" i="1" s="1"/>
  <c r="EM27" i="1" s="1"/>
  <c r="EP27" i="1" s="1"/>
  <c r="ES27" i="1" s="1"/>
  <c r="EV27" i="1" s="1"/>
  <c r="EY27" i="1" s="1"/>
  <c r="CR44" i="1"/>
  <c r="CV44" i="1" s="1"/>
  <c r="CY44" i="1" s="1"/>
  <c r="DB44" i="1" s="1"/>
  <c r="DE44" i="1" s="1"/>
  <c r="DH44" i="1" s="1"/>
  <c r="DK44" i="1" s="1"/>
  <c r="DN44" i="1" s="1"/>
  <c r="DQ44" i="1" s="1"/>
  <c r="DT44" i="1" s="1"/>
  <c r="DW44" i="1" s="1"/>
  <c r="DZ44" i="1" s="1"/>
  <c r="ED44" i="1" s="1"/>
  <c r="EG44" i="1" s="1"/>
  <c r="EJ44" i="1" s="1"/>
  <c r="EM44" i="1" s="1"/>
  <c r="EP44" i="1" s="1"/>
  <c r="ES44" i="1" s="1"/>
  <c r="EV44" i="1" s="1"/>
  <c r="EY44" i="1" s="1"/>
  <c r="CO5" i="1"/>
  <c r="CR5" i="1" s="1"/>
  <c r="CV5" i="1" s="1"/>
  <c r="CY5" i="1" s="1"/>
  <c r="DB5" i="1" s="1"/>
  <c r="DE5" i="1" s="1"/>
  <c r="DH5" i="1" s="1"/>
  <c r="DK5" i="1" s="1"/>
  <c r="DN5" i="1" s="1"/>
  <c r="DQ5" i="1" s="1"/>
  <c r="DT5" i="1" s="1"/>
  <c r="DW5" i="1" s="1"/>
  <c r="DZ5" i="1" s="1"/>
  <c r="ED5" i="1" s="1"/>
  <c r="EG5" i="1" s="1"/>
  <c r="EJ5" i="1" s="1"/>
  <c r="EM5" i="1" s="1"/>
  <c r="EP5" i="1" s="1"/>
  <c r="ES5" i="1" s="1"/>
  <c r="EV5" i="1" s="1"/>
  <c r="EY5" i="1" s="1"/>
  <c r="CO6" i="1"/>
  <c r="CR6" i="1" s="1"/>
  <c r="CV6" i="1" s="1"/>
  <c r="CY6" i="1" s="1"/>
  <c r="DB6" i="1" s="1"/>
  <c r="DE6" i="1" s="1"/>
  <c r="DH6" i="1" s="1"/>
  <c r="DK6" i="1" s="1"/>
  <c r="DN6" i="1" s="1"/>
  <c r="DQ6" i="1" s="1"/>
  <c r="DT6" i="1" s="1"/>
  <c r="DW6" i="1" s="1"/>
  <c r="DZ6" i="1" s="1"/>
  <c r="ED6" i="1" s="1"/>
  <c r="EG6" i="1" s="1"/>
  <c r="EJ6" i="1" s="1"/>
  <c r="EM6" i="1" s="1"/>
  <c r="EP6" i="1" s="1"/>
  <c r="ES6" i="1" s="1"/>
  <c r="EV6" i="1" s="1"/>
  <c r="EY6" i="1" s="1"/>
  <c r="CO7" i="1"/>
  <c r="CR7" i="1" s="1"/>
  <c r="CV7" i="1" s="1"/>
  <c r="CO8" i="1"/>
  <c r="CR8" i="1" s="1"/>
  <c r="CV8" i="1" s="1"/>
  <c r="CY8" i="1" s="1"/>
  <c r="DB8" i="1" s="1"/>
  <c r="DE8" i="1" s="1"/>
  <c r="DH8" i="1" s="1"/>
  <c r="DK8" i="1" s="1"/>
  <c r="DN8" i="1" s="1"/>
  <c r="DQ8" i="1" s="1"/>
  <c r="DT8" i="1" s="1"/>
  <c r="DW8" i="1" s="1"/>
  <c r="DZ8" i="1" s="1"/>
  <c r="ED8" i="1" s="1"/>
  <c r="EG8" i="1" s="1"/>
  <c r="EJ8" i="1" s="1"/>
  <c r="EM8" i="1" s="1"/>
  <c r="EP8" i="1" s="1"/>
  <c r="ES8" i="1" s="1"/>
  <c r="EV8" i="1" s="1"/>
  <c r="EY8" i="1" s="1"/>
  <c r="CO9" i="1"/>
  <c r="CR9" i="1" s="1"/>
  <c r="CV9" i="1" s="1"/>
  <c r="CY9" i="1" s="1"/>
  <c r="DB9" i="1" s="1"/>
  <c r="DE9" i="1" s="1"/>
  <c r="DH9" i="1" s="1"/>
  <c r="DK9" i="1" s="1"/>
  <c r="DN9" i="1" s="1"/>
  <c r="DQ9" i="1" s="1"/>
  <c r="DT9" i="1" s="1"/>
  <c r="DW9" i="1" s="1"/>
  <c r="DZ9" i="1" s="1"/>
  <c r="ED9" i="1" s="1"/>
  <c r="EG9" i="1" s="1"/>
  <c r="EJ9" i="1" s="1"/>
  <c r="EM9" i="1" s="1"/>
  <c r="EP9" i="1" s="1"/>
  <c r="ES9" i="1" s="1"/>
  <c r="EV9" i="1" s="1"/>
  <c r="EY9" i="1" s="1"/>
  <c r="CO10" i="1"/>
  <c r="CR10" i="1" s="1"/>
  <c r="CV10" i="1" s="1"/>
  <c r="CY10" i="1" s="1"/>
  <c r="DB10" i="1" s="1"/>
  <c r="DE10" i="1" s="1"/>
  <c r="DH10" i="1" s="1"/>
  <c r="DK10" i="1" s="1"/>
  <c r="DN10" i="1" s="1"/>
  <c r="DQ10" i="1" s="1"/>
  <c r="DT10" i="1" s="1"/>
  <c r="DW10" i="1" s="1"/>
  <c r="DZ10" i="1" s="1"/>
  <c r="ED10" i="1" s="1"/>
  <c r="EG10" i="1" s="1"/>
  <c r="EJ10" i="1" s="1"/>
  <c r="EM10" i="1" s="1"/>
  <c r="EP10" i="1" s="1"/>
  <c r="ES10" i="1" s="1"/>
  <c r="EV10" i="1" s="1"/>
  <c r="EY10" i="1" s="1"/>
  <c r="CO11" i="1"/>
  <c r="CR11" i="1" s="1"/>
  <c r="CV11" i="1" s="1"/>
  <c r="CY11" i="1" s="1"/>
  <c r="DB11" i="1" s="1"/>
  <c r="DE11" i="1" s="1"/>
  <c r="DH11" i="1" s="1"/>
  <c r="DK11" i="1" s="1"/>
  <c r="DN11" i="1" s="1"/>
  <c r="DQ11" i="1" s="1"/>
  <c r="DT11" i="1" s="1"/>
  <c r="DW11" i="1" s="1"/>
  <c r="DZ11" i="1" s="1"/>
  <c r="ED11" i="1" s="1"/>
  <c r="EG11" i="1" s="1"/>
  <c r="EJ11" i="1" s="1"/>
  <c r="EM11" i="1" s="1"/>
  <c r="EP11" i="1" s="1"/>
  <c r="ES11" i="1" s="1"/>
  <c r="EV11" i="1" s="1"/>
  <c r="EY11" i="1" s="1"/>
  <c r="CO12" i="1"/>
  <c r="CR12" i="1" s="1"/>
  <c r="CV12" i="1" s="1"/>
  <c r="CY12" i="1" s="1"/>
  <c r="DB12" i="1" s="1"/>
  <c r="DE12" i="1" s="1"/>
  <c r="DH12" i="1" s="1"/>
  <c r="DK12" i="1" s="1"/>
  <c r="DN12" i="1" s="1"/>
  <c r="DQ12" i="1" s="1"/>
  <c r="DT12" i="1" s="1"/>
  <c r="DW12" i="1" s="1"/>
  <c r="DZ12" i="1" s="1"/>
  <c r="ED12" i="1" s="1"/>
  <c r="EG12" i="1" s="1"/>
  <c r="EJ12" i="1" s="1"/>
  <c r="EM12" i="1" s="1"/>
  <c r="EP12" i="1" s="1"/>
  <c r="ES12" i="1" s="1"/>
  <c r="EV12" i="1" s="1"/>
  <c r="EY12" i="1" s="1"/>
  <c r="CO13" i="1"/>
  <c r="CO14" i="1"/>
  <c r="CR14" i="1" s="1"/>
  <c r="CV14" i="1" s="1"/>
  <c r="CY14" i="1" s="1"/>
  <c r="DB14" i="1" s="1"/>
  <c r="DE14" i="1" s="1"/>
  <c r="DH14" i="1" s="1"/>
  <c r="DK14" i="1" s="1"/>
  <c r="DN14" i="1" s="1"/>
  <c r="DQ14" i="1" s="1"/>
  <c r="DT14" i="1" s="1"/>
  <c r="DW14" i="1" s="1"/>
  <c r="DZ14" i="1" s="1"/>
  <c r="ED14" i="1" s="1"/>
  <c r="EG14" i="1" s="1"/>
  <c r="EJ14" i="1" s="1"/>
  <c r="EM14" i="1" s="1"/>
  <c r="EP14" i="1" s="1"/>
  <c r="ES14" i="1" s="1"/>
  <c r="EV14" i="1" s="1"/>
  <c r="EY14" i="1" s="1"/>
  <c r="CO15" i="1"/>
  <c r="CR15" i="1" s="1"/>
  <c r="CV15" i="1" s="1"/>
  <c r="CY15" i="1" s="1"/>
  <c r="DB15" i="1" s="1"/>
  <c r="DE15" i="1" s="1"/>
  <c r="DH15" i="1" s="1"/>
  <c r="DK15" i="1" s="1"/>
  <c r="DN15" i="1" s="1"/>
  <c r="DQ15" i="1" s="1"/>
  <c r="DT15" i="1" s="1"/>
  <c r="DW15" i="1" s="1"/>
  <c r="DZ15" i="1" s="1"/>
  <c r="ED15" i="1" s="1"/>
  <c r="EG15" i="1" s="1"/>
  <c r="EJ15" i="1" s="1"/>
  <c r="EM15" i="1" s="1"/>
  <c r="EP15" i="1" s="1"/>
  <c r="ES15" i="1" s="1"/>
  <c r="EV15" i="1" s="1"/>
  <c r="EY15" i="1" s="1"/>
  <c r="CO16" i="1"/>
  <c r="CR16" i="1" s="1"/>
  <c r="CV16" i="1" s="1"/>
  <c r="CY16" i="1" s="1"/>
  <c r="DB16" i="1" s="1"/>
  <c r="DE16" i="1" s="1"/>
  <c r="DH16" i="1" s="1"/>
  <c r="DK16" i="1" s="1"/>
  <c r="DN16" i="1" s="1"/>
  <c r="DQ16" i="1" s="1"/>
  <c r="DT16" i="1" s="1"/>
  <c r="DW16" i="1" s="1"/>
  <c r="DZ16" i="1" s="1"/>
  <c r="ED16" i="1" s="1"/>
  <c r="EG16" i="1" s="1"/>
  <c r="EJ16" i="1" s="1"/>
  <c r="EM16" i="1" s="1"/>
  <c r="EP16" i="1" s="1"/>
  <c r="ES16" i="1" s="1"/>
  <c r="EV16" i="1" s="1"/>
  <c r="EY16" i="1" s="1"/>
  <c r="CO17" i="1"/>
  <c r="CR17" i="1" s="1"/>
  <c r="CV17" i="1" s="1"/>
  <c r="CY17" i="1" s="1"/>
  <c r="DB17" i="1" s="1"/>
  <c r="DE17" i="1" s="1"/>
  <c r="DH17" i="1" s="1"/>
  <c r="DK17" i="1" s="1"/>
  <c r="DN17" i="1" s="1"/>
  <c r="DQ17" i="1" s="1"/>
  <c r="DT17" i="1" s="1"/>
  <c r="DW17" i="1" s="1"/>
  <c r="DZ17" i="1" s="1"/>
  <c r="ED17" i="1" s="1"/>
  <c r="EG17" i="1" s="1"/>
  <c r="EJ17" i="1" s="1"/>
  <c r="EM17" i="1" s="1"/>
  <c r="EP17" i="1" s="1"/>
  <c r="ES17" i="1" s="1"/>
  <c r="EV17" i="1" s="1"/>
  <c r="EY17" i="1" s="1"/>
  <c r="CO18" i="1"/>
  <c r="CR18" i="1" s="1"/>
  <c r="CV18" i="1" s="1"/>
  <c r="CY18" i="1" s="1"/>
  <c r="DB18" i="1" s="1"/>
  <c r="DE18" i="1" s="1"/>
  <c r="DH18" i="1" s="1"/>
  <c r="DK18" i="1" s="1"/>
  <c r="DN18" i="1" s="1"/>
  <c r="DQ18" i="1" s="1"/>
  <c r="DT18" i="1" s="1"/>
  <c r="DW18" i="1" s="1"/>
  <c r="DZ18" i="1" s="1"/>
  <c r="ED18" i="1" s="1"/>
  <c r="EG18" i="1" s="1"/>
  <c r="EJ18" i="1" s="1"/>
  <c r="EM18" i="1" s="1"/>
  <c r="EP18" i="1" s="1"/>
  <c r="ES18" i="1" s="1"/>
  <c r="EV18" i="1" s="1"/>
  <c r="EY18" i="1" s="1"/>
  <c r="CO19" i="1"/>
  <c r="CR19" i="1" s="1"/>
  <c r="CV19" i="1" s="1"/>
  <c r="CY19" i="1" s="1"/>
  <c r="DB19" i="1" s="1"/>
  <c r="DE19" i="1" s="1"/>
  <c r="DH19" i="1" s="1"/>
  <c r="DK19" i="1" s="1"/>
  <c r="DN19" i="1" s="1"/>
  <c r="DQ19" i="1" s="1"/>
  <c r="DT19" i="1" s="1"/>
  <c r="DW19" i="1" s="1"/>
  <c r="DZ19" i="1" s="1"/>
  <c r="ED19" i="1" s="1"/>
  <c r="EG19" i="1" s="1"/>
  <c r="EJ19" i="1" s="1"/>
  <c r="EM19" i="1" s="1"/>
  <c r="EP19" i="1" s="1"/>
  <c r="ES19" i="1" s="1"/>
  <c r="EV19" i="1" s="1"/>
  <c r="EY19" i="1" s="1"/>
  <c r="CO20" i="1"/>
  <c r="CR20" i="1" s="1"/>
  <c r="CV20" i="1" s="1"/>
  <c r="CY20" i="1" s="1"/>
  <c r="DB20" i="1" s="1"/>
  <c r="DE20" i="1" s="1"/>
  <c r="DH20" i="1" s="1"/>
  <c r="DK20" i="1" s="1"/>
  <c r="DN20" i="1" s="1"/>
  <c r="DQ20" i="1" s="1"/>
  <c r="DT20" i="1" s="1"/>
  <c r="DW20" i="1" s="1"/>
  <c r="DZ20" i="1" s="1"/>
  <c r="ED20" i="1" s="1"/>
  <c r="EG20" i="1" s="1"/>
  <c r="EJ20" i="1" s="1"/>
  <c r="EM20" i="1" s="1"/>
  <c r="EP20" i="1" s="1"/>
  <c r="ES20" i="1" s="1"/>
  <c r="EV20" i="1" s="1"/>
  <c r="EY20" i="1" s="1"/>
  <c r="CO21" i="1"/>
  <c r="CR21" i="1" s="1"/>
  <c r="CV21" i="1" s="1"/>
  <c r="CY21" i="1" s="1"/>
  <c r="DB21" i="1" s="1"/>
  <c r="DE21" i="1" s="1"/>
  <c r="DH21" i="1" s="1"/>
  <c r="DK21" i="1" s="1"/>
  <c r="DN21" i="1" s="1"/>
  <c r="DQ21" i="1" s="1"/>
  <c r="DT21" i="1" s="1"/>
  <c r="DW21" i="1" s="1"/>
  <c r="DZ21" i="1" s="1"/>
  <c r="ED21" i="1" s="1"/>
  <c r="EG21" i="1" s="1"/>
  <c r="EJ21" i="1" s="1"/>
  <c r="EM21" i="1" s="1"/>
  <c r="EP21" i="1" s="1"/>
  <c r="ES21" i="1" s="1"/>
  <c r="EV21" i="1" s="1"/>
  <c r="EY21" i="1" s="1"/>
  <c r="CO22" i="1"/>
  <c r="CR22" i="1" s="1"/>
  <c r="CV22" i="1" s="1"/>
  <c r="CY22" i="1" s="1"/>
  <c r="DB22" i="1" s="1"/>
  <c r="DE22" i="1" s="1"/>
  <c r="DH22" i="1" s="1"/>
  <c r="DK22" i="1" s="1"/>
  <c r="DN22" i="1" s="1"/>
  <c r="DQ22" i="1" s="1"/>
  <c r="DT22" i="1" s="1"/>
  <c r="DW22" i="1" s="1"/>
  <c r="DZ22" i="1" s="1"/>
  <c r="ED22" i="1" s="1"/>
  <c r="EG22" i="1" s="1"/>
  <c r="EJ22" i="1" s="1"/>
  <c r="EM22" i="1" s="1"/>
  <c r="EP22" i="1" s="1"/>
  <c r="ES22" i="1" s="1"/>
  <c r="EV22" i="1" s="1"/>
  <c r="EY22" i="1" s="1"/>
  <c r="CO23" i="1"/>
  <c r="CR23" i="1" s="1"/>
  <c r="CV23" i="1" s="1"/>
  <c r="CY23" i="1" s="1"/>
  <c r="DB23" i="1" s="1"/>
  <c r="DE23" i="1" s="1"/>
  <c r="DH23" i="1" s="1"/>
  <c r="DK23" i="1" s="1"/>
  <c r="DN23" i="1" s="1"/>
  <c r="DQ23" i="1" s="1"/>
  <c r="DT23" i="1" s="1"/>
  <c r="DW23" i="1" s="1"/>
  <c r="DZ23" i="1" s="1"/>
  <c r="ED23" i="1" s="1"/>
  <c r="EG23" i="1" s="1"/>
  <c r="EJ23" i="1" s="1"/>
  <c r="EM23" i="1" s="1"/>
  <c r="EP23" i="1" s="1"/>
  <c r="ES23" i="1" s="1"/>
  <c r="EV23" i="1" s="1"/>
  <c r="EY23" i="1" s="1"/>
  <c r="CO24" i="1"/>
  <c r="CR24" i="1" s="1"/>
  <c r="CO25" i="1"/>
  <c r="CR25" i="1" s="1"/>
  <c r="CV25" i="1" s="1"/>
  <c r="CY25" i="1" s="1"/>
  <c r="DB25" i="1" s="1"/>
  <c r="DE25" i="1" s="1"/>
  <c r="DH25" i="1" s="1"/>
  <c r="DK25" i="1" s="1"/>
  <c r="DN25" i="1" s="1"/>
  <c r="DQ25" i="1" s="1"/>
  <c r="DT25" i="1" s="1"/>
  <c r="DW25" i="1" s="1"/>
  <c r="DZ25" i="1" s="1"/>
  <c r="ED25" i="1" s="1"/>
  <c r="EG25" i="1" s="1"/>
  <c r="EJ25" i="1" s="1"/>
  <c r="EM25" i="1" s="1"/>
  <c r="EP25" i="1" s="1"/>
  <c r="ES25" i="1" s="1"/>
  <c r="EV25" i="1" s="1"/>
  <c r="EY25" i="1" s="1"/>
  <c r="CO26" i="1"/>
  <c r="CR26" i="1" s="1"/>
  <c r="CV26" i="1" s="1"/>
  <c r="CY26" i="1" s="1"/>
  <c r="DB26" i="1" s="1"/>
  <c r="DE26" i="1" s="1"/>
  <c r="DH26" i="1" s="1"/>
  <c r="DK26" i="1" s="1"/>
  <c r="DN26" i="1" s="1"/>
  <c r="DQ26" i="1" s="1"/>
  <c r="DT26" i="1" s="1"/>
  <c r="DW26" i="1" s="1"/>
  <c r="DZ26" i="1" s="1"/>
  <c r="ED26" i="1" s="1"/>
  <c r="EG26" i="1" s="1"/>
  <c r="EJ26" i="1" s="1"/>
  <c r="EM26" i="1" s="1"/>
  <c r="EP26" i="1" s="1"/>
  <c r="ES26" i="1" s="1"/>
  <c r="EV26" i="1" s="1"/>
  <c r="EY26" i="1" s="1"/>
  <c r="CO27" i="1"/>
  <c r="CO28" i="1"/>
  <c r="CR28" i="1" s="1"/>
  <c r="CV28" i="1" s="1"/>
  <c r="CY28" i="1" s="1"/>
  <c r="DB28" i="1" s="1"/>
  <c r="DE28" i="1" s="1"/>
  <c r="DH28" i="1" s="1"/>
  <c r="DK28" i="1" s="1"/>
  <c r="DN28" i="1" s="1"/>
  <c r="DQ28" i="1" s="1"/>
  <c r="DT28" i="1" s="1"/>
  <c r="DW28" i="1" s="1"/>
  <c r="DZ28" i="1" s="1"/>
  <c r="ED28" i="1" s="1"/>
  <c r="EG28" i="1" s="1"/>
  <c r="EJ28" i="1" s="1"/>
  <c r="EM28" i="1" s="1"/>
  <c r="EP28" i="1" s="1"/>
  <c r="ES28" i="1" s="1"/>
  <c r="EV28" i="1" s="1"/>
  <c r="EY28" i="1" s="1"/>
  <c r="CO29" i="1"/>
  <c r="CR29" i="1" s="1"/>
  <c r="CV29" i="1" s="1"/>
  <c r="CY29" i="1" s="1"/>
  <c r="DB29" i="1" s="1"/>
  <c r="DE29" i="1" s="1"/>
  <c r="DH29" i="1" s="1"/>
  <c r="DK29" i="1" s="1"/>
  <c r="DN29" i="1" s="1"/>
  <c r="DQ29" i="1" s="1"/>
  <c r="DT29" i="1" s="1"/>
  <c r="DW29" i="1" s="1"/>
  <c r="DZ29" i="1" s="1"/>
  <c r="ED29" i="1" s="1"/>
  <c r="EG29" i="1" s="1"/>
  <c r="EJ29" i="1" s="1"/>
  <c r="EM29" i="1" s="1"/>
  <c r="EP29" i="1" s="1"/>
  <c r="ES29" i="1" s="1"/>
  <c r="EV29" i="1" s="1"/>
  <c r="EY29" i="1" s="1"/>
  <c r="CO30" i="1"/>
  <c r="CR30" i="1" s="1"/>
  <c r="CV30" i="1" s="1"/>
  <c r="CY30" i="1" s="1"/>
  <c r="DB30" i="1" s="1"/>
  <c r="DE30" i="1" s="1"/>
  <c r="DH30" i="1" s="1"/>
  <c r="DK30" i="1" s="1"/>
  <c r="DN30" i="1" s="1"/>
  <c r="DQ30" i="1" s="1"/>
  <c r="DT30" i="1" s="1"/>
  <c r="DW30" i="1" s="1"/>
  <c r="DZ30" i="1" s="1"/>
  <c r="ED30" i="1" s="1"/>
  <c r="EG30" i="1" s="1"/>
  <c r="EJ30" i="1" s="1"/>
  <c r="EM30" i="1" s="1"/>
  <c r="EP30" i="1" s="1"/>
  <c r="ES30" i="1" s="1"/>
  <c r="EV30" i="1" s="1"/>
  <c r="EY30" i="1" s="1"/>
  <c r="CO31" i="1"/>
  <c r="CR31" i="1" s="1"/>
  <c r="CO32" i="1"/>
  <c r="CR32" i="1" s="1"/>
  <c r="CV32" i="1" s="1"/>
  <c r="CY32" i="1" s="1"/>
  <c r="DB32" i="1" s="1"/>
  <c r="DE32" i="1" s="1"/>
  <c r="DH32" i="1" s="1"/>
  <c r="DK32" i="1" s="1"/>
  <c r="DN32" i="1" s="1"/>
  <c r="DQ32" i="1" s="1"/>
  <c r="DT32" i="1" s="1"/>
  <c r="DW32" i="1" s="1"/>
  <c r="DZ32" i="1" s="1"/>
  <c r="ED32" i="1" s="1"/>
  <c r="EG32" i="1" s="1"/>
  <c r="EJ32" i="1" s="1"/>
  <c r="EM32" i="1" s="1"/>
  <c r="EP32" i="1" s="1"/>
  <c r="ES32" i="1" s="1"/>
  <c r="EV32" i="1" s="1"/>
  <c r="EY32" i="1" s="1"/>
  <c r="CO33" i="1"/>
  <c r="CR33" i="1" s="1"/>
  <c r="CV33" i="1" s="1"/>
  <c r="CY33" i="1" s="1"/>
  <c r="DB33" i="1" s="1"/>
  <c r="DE33" i="1" s="1"/>
  <c r="DH33" i="1" s="1"/>
  <c r="DK33" i="1" s="1"/>
  <c r="DN33" i="1" s="1"/>
  <c r="DQ33" i="1" s="1"/>
  <c r="DT33" i="1" s="1"/>
  <c r="DW33" i="1" s="1"/>
  <c r="DZ33" i="1" s="1"/>
  <c r="ED33" i="1" s="1"/>
  <c r="EG33" i="1" s="1"/>
  <c r="EJ33" i="1" s="1"/>
  <c r="EM33" i="1" s="1"/>
  <c r="EP33" i="1" s="1"/>
  <c r="ES33" i="1" s="1"/>
  <c r="EV33" i="1" s="1"/>
  <c r="EY33" i="1" s="1"/>
  <c r="CO34" i="1"/>
  <c r="CR34" i="1" s="1"/>
  <c r="CV34" i="1" s="1"/>
  <c r="CY34" i="1" s="1"/>
  <c r="DB34" i="1" s="1"/>
  <c r="DE34" i="1" s="1"/>
  <c r="DH34" i="1" s="1"/>
  <c r="DK34" i="1" s="1"/>
  <c r="DN34" i="1" s="1"/>
  <c r="DQ34" i="1" s="1"/>
  <c r="DT34" i="1" s="1"/>
  <c r="DW34" i="1" s="1"/>
  <c r="DZ34" i="1" s="1"/>
  <c r="ED34" i="1" s="1"/>
  <c r="EG34" i="1" s="1"/>
  <c r="EJ34" i="1" s="1"/>
  <c r="EM34" i="1" s="1"/>
  <c r="EP34" i="1" s="1"/>
  <c r="ES34" i="1" s="1"/>
  <c r="EV34" i="1" s="1"/>
  <c r="EY34" i="1" s="1"/>
  <c r="CO35" i="1"/>
  <c r="CR35" i="1" s="1"/>
  <c r="CV35" i="1" s="1"/>
  <c r="CY35" i="1" s="1"/>
  <c r="DB35" i="1" s="1"/>
  <c r="DE35" i="1" s="1"/>
  <c r="DH35" i="1" s="1"/>
  <c r="DK35" i="1" s="1"/>
  <c r="DN35" i="1" s="1"/>
  <c r="DQ35" i="1" s="1"/>
  <c r="DT35" i="1" s="1"/>
  <c r="DW35" i="1" s="1"/>
  <c r="DZ35" i="1" s="1"/>
  <c r="ED35" i="1" s="1"/>
  <c r="EG35" i="1" s="1"/>
  <c r="EJ35" i="1" s="1"/>
  <c r="EM35" i="1" s="1"/>
  <c r="EP35" i="1" s="1"/>
  <c r="ES35" i="1" s="1"/>
  <c r="EV35" i="1" s="1"/>
  <c r="EY35" i="1" s="1"/>
  <c r="CO36" i="1"/>
  <c r="CR36" i="1" s="1"/>
  <c r="CV36" i="1" s="1"/>
  <c r="CY36" i="1" s="1"/>
  <c r="DB36" i="1" s="1"/>
  <c r="DE36" i="1" s="1"/>
  <c r="DH36" i="1" s="1"/>
  <c r="DK36" i="1" s="1"/>
  <c r="DN36" i="1" s="1"/>
  <c r="DQ36" i="1" s="1"/>
  <c r="DT36" i="1" s="1"/>
  <c r="DW36" i="1" s="1"/>
  <c r="DZ36" i="1" s="1"/>
  <c r="ED36" i="1" s="1"/>
  <c r="EG36" i="1" s="1"/>
  <c r="EJ36" i="1" s="1"/>
  <c r="EM36" i="1" s="1"/>
  <c r="EP36" i="1" s="1"/>
  <c r="ES36" i="1" s="1"/>
  <c r="EV36" i="1" s="1"/>
  <c r="EY36" i="1" s="1"/>
  <c r="CO37" i="1"/>
  <c r="CR37" i="1" s="1"/>
  <c r="CV37" i="1" s="1"/>
  <c r="CY37" i="1" s="1"/>
  <c r="DB37" i="1" s="1"/>
  <c r="DE37" i="1" s="1"/>
  <c r="DH37" i="1" s="1"/>
  <c r="DK37" i="1" s="1"/>
  <c r="DN37" i="1" s="1"/>
  <c r="DQ37" i="1" s="1"/>
  <c r="DT37" i="1" s="1"/>
  <c r="DW37" i="1" s="1"/>
  <c r="DZ37" i="1" s="1"/>
  <c r="ED37" i="1" s="1"/>
  <c r="EG37" i="1" s="1"/>
  <c r="EJ37" i="1" s="1"/>
  <c r="EM37" i="1" s="1"/>
  <c r="EP37" i="1" s="1"/>
  <c r="ES37" i="1" s="1"/>
  <c r="EV37" i="1" s="1"/>
  <c r="EY37" i="1" s="1"/>
  <c r="CO38" i="1"/>
  <c r="CR38" i="1" s="1"/>
  <c r="CV38" i="1" s="1"/>
  <c r="CY38" i="1" s="1"/>
  <c r="DB38" i="1" s="1"/>
  <c r="DE38" i="1" s="1"/>
  <c r="DH38" i="1" s="1"/>
  <c r="DK38" i="1" s="1"/>
  <c r="DN38" i="1" s="1"/>
  <c r="DQ38" i="1" s="1"/>
  <c r="DT38" i="1" s="1"/>
  <c r="DW38" i="1" s="1"/>
  <c r="DZ38" i="1" s="1"/>
  <c r="ED38" i="1" s="1"/>
  <c r="EG38" i="1" s="1"/>
  <c r="EJ38" i="1" s="1"/>
  <c r="EM38" i="1" s="1"/>
  <c r="EP38" i="1" s="1"/>
  <c r="ES38" i="1" s="1"/>
  <c r="EV38" i="1" s="1"/>
  <c r="EY38" i="1" s="1"/>
  <c r="CO39" i="1"/>
  <c r="CR39" i="1" s="1"/>
  <c r="CV39" i="1" s="1"/>
  <c r="CY39" i="1" s="1"/>
  <c r="DB39" i="1" s="1"/>
  <c r="DE39" i="1" s="1"/>
  <c r="DH39" i="1" s="1"/>
  <c r="DK39" i="1" s="1"/>
  <c r="DN39" i="1" s="1"/>
  <c r="DQ39" i="1" s="1"/>
  <c r="DT39" i="1" s="1"/>
  <c r="DW39" i="1" s="1"/>
  <c r="DZ39" i="1" s="1"/>
  <c r="ED39" i="1" s="1"/>
  <c r="EG39" i="1" s="1"/>
  <c r="EJ39" i="1" s="1"/>
  <c r="EM39" i="1" s="1"/>
  <c r="EP39" i="1" s="1"/>
  <c r="ES39" i="1" s="1"/>
  <c r="EV39" i="1" s="1"/>
  <c r="EY39" i="1" s="1"/>
  <c r="CO40" i="1"/>
  <c r="CR40" i="1" s="1"/>
  <c r="CV40" i="1" s="1"/>
  <c r="CY40" i="1" s="1"/>
  <c r="DB40" i="1" s="1"/>
  <c r="DE40" i="1" s="1"/>
  <c r="DH40" i="1" s="1"/>
  <c r="DK40" i="1" s="1"/>
  <c r="DN40" i="1" s="1"/>
  <c r="DQ40" i="1" s="1"/>
  <c r="DT40" i="1" s="1"/>
  <c r="DW40" i="1" s="1"/>
  <c r="DZ40" i="1" s="1"/>
  <c r="ED40" i="1" s="1"/>
  <c r="EG40" i="1" s="1"/>
  <c r="EJ40" i="1" s="1"/>
  <c r="EM40" i="1" s="1"/>
  <c r="EP40" i="1" s="1"/>
  <c r="ES40" i="1" s="1"/>
  <c r="EV40" i="1" s="1"/>
  <c r="EY40" i="1" s="1"/>
  <c r="CO41" i="1"/>
  <c r="CR41" i="1" s="1"/>
  <c r="CV41" i="1" s="1"/>
  <c r="CY41" i="1" s="1"/>
  <c r="DB41" i="1" s="1"/>
  <c r="DE41" i="1" s="1"/>
  <c r="DH41" i="1" s="1"/>
  <c r="DK41" i="1" s="1"/>
  <c r="DN41" i="1" s="1"/>
  <c r="DQ41" i="1" s="1"/>
  <c r="DT41" i="1" s="1"/>
  <c r="DW41" i="1" s="1"/>
  <c r="DZ41" i="1" s="1"/>
  <c r="ED41" i="1" s="1"/>
  <c r="EG41" i="1" s="1"/>
  <c r="EJ41" i="1" s="1"/>
  <c r="EM41" i="1" s="1"/>
  <c r="EP41" i="1" s="1"/>
  <c r="ES41" i="1" s="1"/>
  <c r="EV41" i="1" s="1"/>
  <c r="EY41" i="1" s="1"/>
  <c r="CO42" i="1"/>
  <c r="CR42" i="1" s="1"/>
  <c r="CV42" i="1" s="1"/>
  <c r="CY42" i="1" s="1"/>
  <c r="DB42" i="1" s="1"/>
  <c r="DE42" i="1" s="1"/>
  <c r="DH42" i="1" s="1"/>
  <c r="DK42" i="1" s="1"/>
  <c r="DN42" i="1" s="1"/>
  <c r="DQ42" i="1" s="1"/>
  <c r="DT42" i="1" s="1"/>
  <c r="DW42" i="1" s="1"/>
  <c r="DZ42" i="1" s="1"/>
  <c r="ED42" i="1" s="1"/>
  <c r="EG42" i="1" s="1"/>
  <c r="EJ42" i="1" s="1"/>
  <c r="EM42" i="1" s="1"/>
  <c r="EP42" i="1" s="1"/>
  <c r="ES42" i="1" s="1"/>
  <c r="EV42" i="1" s="1"/>
  <c r="EY42" i="1" s="1"/>
  <c r="CO43" i="1"/>
  <c r="CR43" i="1" s="1"/>
  <c r="CV43" i="1" s="1"/>
  <c r="CY43" i="1" s="1"/>
  <c r="DB43" i="1" s="1"/>
  <c r="DE43" i="1" s="1"/>
  <c r="DH43" i="1" s="1"/>
  <c r="DK43" i="1" s="1"/>
  <c r="DN43" i="1" s="1"/>
  <c r="DQ43" i="1" s="1"/>
  <c r="DT43" i="1" s="1"/>
  <c r="DW43" i="1" s="1"/>
  <c r="DZ43" i="1" s="1"/>
  <c r="ED43" i="1" s="1"/>
  <c r="EG43" i="1" s="1"/>
  <c r="EJ43" i="1" s="1"/>
  <c r="EM43" i="1" s="1"/>
  <c r="EP43" i="1" s="1"/>
  <c r="ES43" i="1" s="1"/>
  <c r="EV43" i="1" s="1"/>
  <c r="EY43" i="1" s="1"/>
  <c r="CO44" i="1"/>
  <c r="CO45" i="1"/>
  <c r="CR45" i="1" s="1"/>
  <c r="CV45" i="1" s="1"/>
  <c r="CY45" i="1" s="1"/>
  <c r="DB45" i="1" s="1"/>
  <c r="DE45" i="1" s="1"/>
  <c r="DH45" i="1" s="1"/>
  <c r="DK45" i="1" s="1"/>
  <c r="DN45" i="1" s="1"/>
  <c r="DQ45" i="1" s="1"/>
  <c r="DT45" i="1" s="1"/>
  <c r="DW45" i="1" s="1"/>
  <c r="DZ45" i="1" s="1"/>
  <c r="ED45" i="1" s="1"/>
  <c r="EG45" i="1" s="1"/>
  <c r="EJ45" i="1" s="1"/>
  <c r="EM45" i="1" s="1"/>
  <c r="EP45" i="1" s="1"/>
  <c r="ES45" i="1" s="1"/>
  <c r="EV45" i="1" s="1"/>
  <c r="EY45" i="1" s="1"/>
  <c r="CO46" i="1"/>
  <c r="CR46" i="1" s="1"/>
  <c r="CV46" i="1" s="1"/>
  <c r="CY46" i="1" s="1"/>
  <c r="DB46" i="1" s="1"/>
  <c r="DE46" i="1" s="1"/>
  <c r="DH46" i="1" s="1"/>
  <c r="DK46" i="1" s="1"/>
  <c r="DN46" i="1" s="1"/>
  <c r="DQ46" i="1" s="1"/>
  <c r="DT46" i="1" s="1"/>
  <c r="DW46" i="1" s="1"/>
  <c r="DZ46" i="1" s="1"/>
  <c r="ED46" i="1" s="1"/>
  <c r="EG46" i="1" s="1"/>
  <c r="EJ46" i="1" s="1"/>
  <c r="EM46" i="1" s="1"/>
  <c r="EP46" i="1" s="1"/>
  <c r="ES46" i="1" s="1"/>
  <c r="EV46" i="1" s="1"/>
  <c r="EY46" i="1" s="1"/>
  <c r="CO47" i="1"/>
  <c r="CR47" i="1" s="1"/>
  <c r="CV47" i="1" s="1"/>
  <c r="CY47" i="1" s="1"/>
  <c r="DB47" i="1" s="1"/>
  <c r="DE47" i="1" s="1"/>
  <c r="DH47" i="1" s="1"/>
  <c r="DK47" i="1" s="1"/>
  <c r="DN47" i="1" s="1"/>
  <c r="DQ47" i="1" s="1"/>
  <c r="DT47" i="1" s="1"/>
  <c r="DW47" i="1" s="1"/>
  <c r="DZ47" i="1" s="1"/>
  <c r="ED47" i="1" s="1"/>
  <c r="EG47" i="1" s="1"/>
  <c r="EJ47" i="1" s="1"/>
  <c r="EM47" i="1" s="1"/>
  <c r="EP47" i="1" s="1"/>
  <c r="ES47" i="1" s="1"/>
  <c r="EV47" i="1" s="1"/>
  <c r="EY47" i="1" s="1"/>
  <c r="CO48" i="1"/>
  <c r="CR48" i="1" s="1"/>
  <c r="CV48" i="1" s="1"/>
  <c r="CY48" i="1" s="1"/>
  <c r="DB48" i="1" s="1"/>
  <c r="DE48" i="1" s="1"/>
  <c r="DH48" i="1" s="1"/>
  <c r="DK48" i="1" s="1"/>
  <c r="DN48" i="1" s="1"/>
  <c r="DQ48" i="1" s="1"/>
  <c r="DT48" i="1" s="1"/>
  <c r="DW48" i="1" s="1"/>
  <c r="DZ48" i="1" s="1"/>
  <c r="ED48" i="1" s="1"/>
  <c r="EG48" i="1" s="1"/>
  <c r="EJ48" i="1" s="1"/>
  <c r="EM48" i="1" s="1"/>
  <c r="EP48" i="1" s="1"/>
  <c r="ES48" i="1" s="1"/>
  <c r="EV48" i="1" s="1"/>
  <c r="EY48" i="1" s="1"/>
  <c r="CO49" i="1"/>
  <c r="CR49" i="1" s="1"/>
  <c r="CV49" i="1" s="1"/>
  <c r="CY49" i="1" s="1"/>
  <c r="DB49" i="1" s="1"/>
  <c r="DE49" i="1" s="1"/>
  <c r="DH49" i="1" s="1"/>
  <c r="DK49" i="1" s="1"/>
  <c r="DN49" i="1" s="1"/>
  <c r="DQ49" i="1" s="1"/>
  <c r="DT49" i="1" s="1"/>
  <c r="DW49" i="1" s="1"/>
  <c r="DZ49" i="1" s="1"/>
  <c r="ED49" i="1" s="1"/>
  <c r="EG49" i="1" s="1"/>
  <c r="EJ49" i="1" s="1"/>
  <c r="EM49" i="1" s="1"/>
  <c r="EP49" i="1" s="1"/>
  <c r="ES49" i="1" s="1"/>
  <c r="EV49" i="1" s="1"/>
  <c r="EY49" i="1" s="1"/>
  <c r="CO50" i="1"/>
  <c r="CR50" i="1" s="1"/>
  <c r="CV50" i="1" s="1"/>
  <c r="CY50" i="1" s="1"/>
  <c r="DB50" i="1" s="1"/>
  <c r="DE50" i="1" s="1"/>
  <c r="DH50" i="1" s="1"/>
  <c r="DK50" i="1" s="1"/>
  <c r="DN50" i="1" s="1"/>
  <c r="DQ50" i="1" s="1"/>
  <c r="DT50" i="1" s="1"/>
  <c r="DW50" i="1" s="1"/>
  <c r="DZ50" i="1" s="1"/>
  <c r="ED50" i="1" s="1"/>
  <c r="EG50" i="1" s="1"/>
  <c r="EJ50" i="1" s="1"/>
  <c r="EM50" i="1" s="1"/>
  <c r="EP50" i="1" s="1"/>
  <c r="ES50" i="1" s="1"/>
  <c r="EV50" i="1" s="1"/>
  <c r="EY50" i="1" s="1"/>
  <c r="CO51" i="1"/>
  <c r="CR51" i="1" s="1"/>
  <c r="CV51" i="1" s="1"/>
  <c r="CY51" i="1" s="1"/>
  <c r="DB51" i="1" s="1"/>
  <c r="DE51" i="1" s="1"/>
  <c r="DH51" i="1" s="1"/>
  <c r="DK51" i="1" s="1"/>
  <c r="DN51" i="1" s="1"/>
  <c r="DQ51" i="1" s="1"/>
  <c r="DT51" i="1" s="1"/>
  <c r="DW51" i="1" s="1"/>
  <c r="DZ51" i="1" s="1"/>
  <c r="ED51" i="1" s="1"/>
  <c r="EG51" i="1" s="1"/>
  <c r="EJ51" i="1" s="1"/>
  <c r="EM51" i="1" s="1"/>
  <c r="EP51" i="1" s="1"/>
  <c r="ES51" i="1" s="1"/>
  <c r="EV51" i="1" s="1"/>
  <c r="EY51" i="1" s="1"/>
  <c r="CO52" i="1"/>
  <c r="CR52" i="1" s="1"/>
  <c r="CV52" i="1" s="1"/>
  <c r="CY52" i="1" s="1"/>
  <c r="DB52" i="1" s="1"/>
  <c r="DE52" i="1" s="1"/>
  <c r="DH52" i="1" s="1"/>
  <c r="DK52" i="1" s="1"/>
  <c r="DN52" i="1" s="1"/>
  <c r="DQ52" i="1" s="1"/>
  <c r="DT52" i="1" s="1"/>
  <c r="DW52" i="1" s="1"/>
  <c r="DZ52" i="1" s="1"/>
  <c r="ED52" i="1" s="1"/>
  <c r="EG52" i="1" s="1"/>
  <c r="EJ52" i="1" s="1"/>
  <c r="EM52" i="1" s="1"/>
  <c r="EP52" i="1" s="1"/>
  <c r="ES52" i="1" s="1"/>
  <c r="EV52" i="1" s="1"/>
  <c r="EY52" i="1" s="1"/>
  <c r="CO53" i="1"/>
  <c r="CR53" i="1" s="1"/>
  <c r="CV53" i="1" s="1"/>
  <c r="CY53" i="1" s="1"/>
  <c r="DB53" i="1" s="1"/>
  <c r="DE53" i="1" s="1"/>
  <c r="DH53" i="1" s="1"/>
  <c r="DK53" i="1" s="1"/>
  <c r="DN53" i="1" s="1"/>
  <c r="DQ53" i="1" s="1"/>
  <c r="DT53" i="1" s="1"/>
  <c r="DW53" i="1" s="1"/>
  <c r="DZ53" i="1" s="1"/>
  <c r="ED53" i="1" s="1"/>
  <c r="EG53" i="1" s="1"/>
  <c r="EJ53" i="1" s="1"/>
  <c r="EM53" i="1" s="1"/>
  <c r="EP53" i="1" s="1"/>
  <c r="ES53" i="1" s="1"/>
  <c r="EV53" i="1" s="1"/>
  <c r="EY53" i="1" s="1"/>
  <c r="CO54" i="1"/>
  <c r="CR54" i="1" s="1"/>
  <c r="CV54" i="1" s="1"/>
  <c r="CY54" i="1" s="1"/>
  <c r="DB54" i="1" s="1"/>
  <c r="DE54" i="1" s="1"/>
  <c r="DH54" i="1" s="1"/>
  <c r="DK54" i="1" s="1"/>
  <c r="DN54" i="1" s="1"/>
  <c r="DQ54" i="1" s="1"/>
  <c r="DT54" i="1" s="1"/>
  <c r="DW54" i="1" s="1"/>
  <c r="DZ54" i="1" s="1"/>
  <c r="ED54" i="1" s="1"/>
  <c r="EG54" i="1" s="1"/>
  <c r="EJ54" i="1" s="1"/>
  <c r="EM54" i="1" s="1"/>
  <c r="EP54" i="1" s="1"/>
  <c r="ES54" i="1" s="1"/>
  <c r="EV54" i="1" s="1"/>
  <c r="EY54" i="1" s="1"/>
  <c r="CO55" i="1"/>
  <c r="CR55" i="1" s="1"/>
  <c r="CV55" i="1" s="1"/>
  <c r="CY55" i="1" s="1"/>
  <c r="DB55" i="1" s="1"/>
  <c r="DE55" i="1" s="1"/>
  <c r="DH55" i="1" s="1"/>
  <c r="DK55" i="1" s="1"/>
  <c r="DN55" i="1" s="1"/>
  <c r="DQ55" i="1" s="1"/>
  <c r="DT55" i="1" s="1"/>
  <c r="DW55" i="1" s="1"/>
  <c r="DZ55" i="1" s="1"/>
  <c r="ED55" i="1" s="1"/>
  <c r="EG55" i="1" s="1"/>
  <c r="EJ55" i="1" s="1"/>
  <c r="EM55" i="1" s="1"/>
  <c r="EP55" i="1" s="1"/>
  <c r="ES55" i="1" s="1"/>
  <c r="EV55" i="1" s="1"/>
  <c r="EY55" i="1" s="1"/>
  <c r="CI4" i="1"/>
  <c r="CL4" i="1" s="1"/>
  <c r="CI5" i="1"/>
  <c r="CL5" i="1" s="1"/>
  <c r="CI6" i="1"/>
  <c r="CL6" i="1" s="1"/>
  <c r="CI7" i="1"/>
  <c r="CL7" i="1" s="1"/>
  <c r="CI8" i="1"/>
  <c r="CL8" i="1" s="1"/>
  <c r="CI9" i="1"/>
  <c r="CL9" i="1" s="1"/>
  <c r="CI10" i="1"/>
  <c r="CL10" i="1" s="1"/>
  <c r="CI11" i="1"/>
  <c r="CL11" i="1" s="1"/>
  <c r="CI12" i="1"/>
  <c r="CL12" i="1" s="1"/>
  <c r="CI13" i="1"/>
  <c r="CL13" i="1" s="1"/>
  <c r="CI14" i="1"/>
  <c r="CL14" i="1" s="1"/>
  <c r="CI15" i="1"/>
  <c r="CL15" i="1" s="1"/>
  <c r="CI16" i="1"/>
  <c r="CL16" i="1" s="1"/>
  <c r="CI17" i="1"/>
  <c r="CL17" i="1" s="1"/>
  <c r="CI18" i="1"/>
  <c r="CL18" i="1"/>
  <c r="CI19" i="1"/>
  <c r="CL19" i="1" s="1"/>
  <c r="CI20" i="1"/>
  <c r="CL20" i="1" s="1"/>
  <c r="CI21" i="1"/>
  <c r="CL21" i="1" s="1"/>
  <c r="CI22" i="1"/>
  <c r="CL22" i="1"/>
  <c r="CI23" i="1"/>
  <c r="CL23" i="1" s="1"/>
  <c r="CI24" i="1"/>
  <c r="CL24" i="1" s="1"/>
  <c r="CI25" i="1"/>
  <c r="CL25" i="1" s="1"/>
  <c r="CI26" i="1"/>
  <c r="CL26" i="1" s="1"/>
  <c r="CI27" i="1"/>
  <c r="CL27" i="1" s="1"/>
  <c r="CI28" i="1"/>
  <c r="CL28" i="1" s="1"/>
  <c r="CI29" i="1"/>
  <c r="CL29" i="1" s="1"/>
  <c r="CI30" i="1"/>
  <c r="CL30" i="1" s="1"/>
  <c r="CI31" i="1"/>
  <c r="CL31" i="1" s="1"/>
  <c r="CI32" i="1"/>
  <c r="CL32" i="1" s="1"/>
  <c r="CI33" i="1"/>
  <c r="CL33" i="1" s="1"/>
  <c r="CI34" i="1"/>
  <c r="CL34" i="1" s="1"/>
  <c r="CI35" i="1"/>
  <c r="CL35" i="1" s="1"/>
  <c r="CI36" i="1"/>
  <c r="CL36" i="1" s="1"/>
  <c r="CI37" i="1"/>
  <c r="CL37" i="1" s="1"/>
  <c r="CI38" i="1"/>
  <c r="CL38" i="1" s="1"/>
  <c r="CI39" i="1"/>
  <c r="CL39" i="1" s="1"/>
  <c r="CI40" i="1"/>
  <c r="CL40" i="1" s="1"/>
  <c r="CI41" i="1"/>
  <c r="CL41" i="1" s="1"/>
  <c r="CI42" i="1"/>
  <c r="CL42" i="1" s="1"/>
  <c r="CI43" i="1"/>
  <c r="CL43" i="1" s="1"/>
  <c r="CI44" i="1"/>
  <c r="CL44" i="1" s="1"/>
  <c r="CI45" i="1"/>
  <c r="CL45" i="1" s="1"/>
  <c r="CI46" i="1"/>
  <c r="CL46" i="1" s="1"/>
  <c r="CI47" i="1"/>
  <c r="CL47" i="1" s="1"/>
  <c r="CI48" i="1"/>
  <c r="CL48" i="1" s="1"/>
  <c r="CI49" i="1"/>
  <c r="CL49" i="1"/>
  <c r="CI50" i="1"/>
  <c r="CL50" i="1" s="1"/>
  <c r="CI51" i="1"/>
  <c r="CL51" i="1" s="1"/>
  <c r="CI52" i="1"/>
  <c r="CL52" i="1" s="1"/>
  <c r="CI53" i="1"/>
  <c r="CL53" i="1" s="1"/>
  <c r="CI54" i="1"/>
  <c r="CL54" i="1" s="1"/>
  <c r="CI55" i="1"/>
  <c r="CL55" i="1" s="1"/>
  <c r="BM15" i="1"/>
  <c r="AS6" i="1"/>
  <c r="AM4" i="1"/>
  <c r="AR4" i="1"/>
  <c r="AU4" i="1" s="1"/>
  <c r="AX4" i="1" s="1"/>
  <c r="BA4" i="1" s="1"/>
  <c r="BD4" i="1" s="1"/>
  <c r="BG4" i="1" s="1"/>
  <c r="BJ4" i="1" s="1"/>
  <c r="AE4" i="1"/>
  <c r="AH4" i="1" s="1"/>
  <c r="AK4" i="1" s="1"/>
  <c r="O6" i="1"/>
  <c r="Q6" i="1" s="1"/>
  <c r="N4" i="1"/>
  <c r="M4" i="1"/>
  <c r="CD4" i="1"/>
  <c r="CD5" i="1"/>
  <c r="CD6" i="1"/>
  <c r="CD7" i="1"/>
  <c r="CD8" i="1"/>
  <c r="CD9" i="1"/>
  <c r="CD10" i="1"/>
  <c r="CD11" i="1"/>
  <c r="CD12" i="1"/>
  <c r="CD13" i="1"/>
  <c r="CD14" i="1"/>
  <c r="CD15" i="1"/>
  <c r="CD16" i="1"/>
  <c r="CD17" i="1"/>
  <c r="CD18" i="1"/>
  <c r="CD19" i="1"/>
  <c r="CD20" i="1"/>
  <c r="CD21" i="1"/>
  <c r="CD22" i="1"/>
  <c r="CD23" i="1"/>
  <c r="CD24" i="1"/>
  <c r="CD25" i="1"/>
  <c r="CD26" i="1"/>
  <c r="CD27" i="1"/>
  <c r="CD28" i="1"/>
  <c r="CD29" i="1"/>
  <c r="CD30" i="1"/>
  <c r="CD31" i="1"/>
  <c r="CD32" i="1"/>
  <c r="CD33" i="1"/>
  <c r="CD34" i="1"/>
  <c r="CD35" i="1"/>
  <c r="CD36" i="1"/>
  <c r="CD37" i="1"/>
  <c r="CD38" i="1"/>
  <c r="CD39" i="1"/>
  <c r="CD40" i="1"/>
  <c r="CD41" i="1"/>
  <c r="CD42" i="1"/>
  <c r="CD43" i="1"/>
  <c r="CD44" i="1"/>
  <c r="CD45" i="1"/>
  <c r="CD46" i="1"/>
  <c r="CD47" i="1"/>
  <c r="CD48" i="1"/>
  <c r="CD49" i="1"/>
  <c r="CD50" i="1"/>
  <c r="CD51" i="1"/>
  <c r="CD52" i="1"/>
  <c r="CD53" i="1"/>
  <c r="CD54" i="1"/>
  <c r="CD55" i="1"/>
  <c r="BZ4" i="1"/>
  <c r="CC4" i="1" s="1"/>
  <c r="BZ5" i="1"/>
  <c r="CC5" i="1" s="1"/>
  <c r="BZ6" i="1"/>
  <c r="CC6" i="1" s="1"/>
  <c r="BZ7" i="1"/>
  <c r="CC7" i="1" s="1"/>
  <c r="BZ8" i="1"/>
  <c r="CC8" i="1" s="1"/>
  <c r="BZ9" i="1"/>
  <c r="CC9" i="1"/>
  <c r="BZ10" i="1"/>
  <c r="CC10" i="1" s="1"/>
  <c r="BZ11" i="1"/>
  <c r="CC11" i="1" s="1"/>
  <c r="BZ12" i="1"/>
  <c r="CC12" i="1" s="1"/>
  <c r="BZ13" i="1"/>
  <c r="CC13" i="1" s="1"/>
  <c r="BZ14" i="1"/>
  <c r="CC14" i="1" s="1"/>
  <c r="BZ15" i="1"/>
  <c r="CC15" i="1"/>
  <c r="BZ16" i="1"/>
  <c r="CC16" i="1" s="1"/>
  <c r="BZ17" i="1"/>
  <c r="CC17" i="1" s="1"/>
  <c r="BZ18" i="1"/>
  <c r="CC18" i="1" s="1"/>
  <c r="BZ19" i="1"/>
  <c r="CC19" i="1"/>
  <c r="BZ20" i="1"/>
  <c r="CC20" i="1" s="1"/>
  <c r="BZ21" i="1"/>
  <c r="CC21" i="1" s="1"/>
  <c r="BZ22" i="1"/>
  <c r="CC22" i="1" s="1"/>
  <c r="BZ23" i="1"/>
  <c r="CC23" i="1"/>
  <c r="BZ24" i="1"/>
  <c r="CC24" i="1" s="1"/>
  <c r="BZ25" i="1"/>
  <c r="CC25" i="1"/>
  <c r="BZ26" i="1"/>
  <c r="CC26" i="1" s="1"/>
  <c r="BZ27" i="1"/>
  <c r="CC27" i="1" s="1"/>
  <c r="BZ28" i="1"/>
  <c r="CC28" i="1" s="1"/>
  <c r="BZ29" i="1"/>
  <c r="CC29" i="1" s="1"/>
  <c r="BZ30" i="1"/>
  <c r="CC30" i="1" s="1"/>
  <c r="BZ31" i="1"/>
  <c r="CC31" i="1"/>
  <c r="BZ32" i="1"/>
  <c r="CC32" i="1" s="1"/>
  <c r="BZ33" i="1"/>
  <c r="CC33" i="1"/>
  <c r="BZ34" i="1"/>
  <c r="CC34" i="1" s="1"/>
  <c r="BZ35" i="1"/>
  <c r="CC35" i="1" s="1"/>
  <c r="BZ36" i="1"/>
  <c r="CC36" i="1" s="1"/>
  <c r="BZ37" i="1"/>
  <c r="CC37" i="1"/>
  <c r="BZ38" i="1"/>
  <c r="CC38" i="1" s="1"/>
  <c r="BZ39" i="1"/>
  <c r="CC39" i="1" s="1"/>
  <c r="BZ40" i="1"/>
  <c r="CC40" i="1" s="1"/>
  <c r="BZ41" i="1"/>
  <c r="CC41" i="1" s="1"/>
  <c r="BZ42" i="1"/>
  <c r="CC42" i="1" s="1"/>
  <c r="BZ43" i="1"/>
  <c r="CC43" i="1" s="1"/>
  <c r="BZ44" i="1"/>
  <c r="CC44" i="1" s="1"/>
  <c r="BZ45" i="1"/>
  <c r="CC45" i="1" s="1"/>
  <c r="BZ46" i="1"/>
  <c r="CC46" i="1" s="1"/>
  <c r="BZ47" i="1"/>
  <c r="CC47" i="1" s="1"/>
  <c r="BZ48" i="1"/>
  <c r="CC48" i="1" s="1"/>
  <c r="BZ49" i="1"/>
  <c r="CC49" i="1" s="1"/>
  <c r="BZ50" i="1"/>
  <c r="CC50" i="1" s="1"/>
  <c r="BZ51" i="1"/>
  <c r="CC51" i="1"/>
  <c r="BZ52" i="1"/>
  <c r="CC52" i="1" s="1"/>
  <c r="BZ53" i="1"/>
  <c r="CC53" i="1" s="1"/>
  <c r="BZ54" i="1"/>
  <c r="CC54" i="1"/>
  <c r="BZ55" i="1"/>
  <c r="CC55" i="1" s="1"/>
  <c r="CA4" i="1"/>
  <c r="CA5" i="1"/>
  <c r="CA6" i="1"/>
  <c r="CA7" i="1"/>
  <c r="CA8" i="1"/>
  <c r="CA9" i="1"/>
  <c r="CA10" i="1"/>
  <c r="CA11" i="1"/>
  <c r="CA12" i="1"/>
  <c r="CA13" i="1"/>
  <c r="CA14" i="1"/>
  <c r="CA15" i="1"/>
  <c r="CA16" i="1"/>
  <c r="CA17" i="1"/>
  <c r="CA18" i="1"/>
  <c r="CA19" i="1"/>
  <c r="CA20" i="1"/>
  <c r="CA21" i="1"/>
  <c r="CA22" i="1"/>
  <c r="CA23" i="1"/>
  <c r="CA24" i="1"/>
  <c r="CA25" i="1"/>
  <c r="CA26" i="1"/>
  <c r="CA27" i="1"/>
  <c r="CA28" i="1"/>
  <c r="CA29" i="1"/>
  <c r="CA30" i="1"/>
  <c r="CA31" i="1"/>
  <c r="CA32" i="1"/>
  <c r="CA33" i="1"/>
  <c r="CA34" i="1"/>
  <c r="CA35" i="1"/>
  <c r="CA36" i="1"/>
  <c r="CA37" i="1"/>
  <c r="CA38" i="1"/>
  <c r="CA39" i="1"/>
  <c r="CA40" i="1"/>
  <c r="CA41" i="1"/>
  <c r="CA42" i="1"/>
  <c r="CA43" i="1"/>
  <c r="CA44" i="1"/>
  <c r="CA45" i="1"/>
  <c r="CA46" i="1"/>
  <c r="CA47" i="1"/>
  <c r="CA48" i="1"/>
  <c r="CA49" i="1"/>
  <c r="CA50" i="1"/>
  <c r="CA51" i="1"/>
  <c r="CA52" i="1"/>
  <c r="CA53" i="1"/>
  <c r="CA54" i="1"/>
  <c r="CA55" i="1"/>
  <c r="BX4" i="1"/>
  <c r="BX5" i="1"/>
  <c r="BX6" i="1"/>
  <c r="BX7" i="1"/>
  <c r="BX8" i="1"/>
  <c r="BX9" i="1"/>
  <c r="BX10" i="1"/>
  <c r="BX11" i="1"/>
  <c r="BX12" i="1"/>
  <c r="BX13" i="1"/>
  <c r="BX14" i="1"/>
  <c r="BX15" i="1"/>
  <c r="BX16" i="1"/>
  <c r="BX17" i="1"/>
  <c r="BX18" i="1"/>
  <c r="BX19" i="1"/>
  <c r="BX20" i="1"/>
  <c r="BX21" i="1"/>
  <c r="BX22" i="1"/>
  <c r="BX23" i="1"/>
  <c r="BX24" i="1"/>
  <c r="BX25" i="1"/>
  <c r="BX26" i="1"/>
  <c r="BX27" i="1"/>
  <c r="BX28" i="1"/>
  <c r="BX29" i="1"/>
  <c r="BX30" i="1"/>
  <c r="BX31" i="1"/>
  <c r="BX32" i="1"/>
  <c r="BX33" i="1"/>
  <c r="BX34" i="1"/>
  <c r="BX35" i="1"/>
  <c r="BX36" i="1"/>
  <c r="BX37" i="1"/>
  <c r="BX38" i="1"/>
  <c r="BX39" i="1"/>
  <c r="BX40" i="1"/>
  <c r="BX41" i="1"/>
  <c r="BX42" i="1"/>
  <c r="BX43" i="1"/>
  <c r="BX44" i="1"/>
  <c r="BX45" i="1"/>
  <c r="BX46" i="1"/>
  <c r="BX47" i="1"/>
  <c r="BX48" i="1"/>
  <c r="BX49" i="1"/>
  <c r="BX50" i="1"/>
  <c r="BX51" i="1"/>
  <c r="BX52" i="1"/>
  <c r="BX53" i="1"/>
  <c r="BX54" i="1"/>
  <c r="BX55" i="1"/>
  <c r="BM4" i="1"/>
  <c r="BP4" i="1"/>
  <c r="BT4" i="1" s="1"/>
  <c r="BW4" i="1" s="1"/>
  <c r="BM5" i="1"/>
  <c r="BP5" i="1" s="1"/>
  <c r="BT5" i="1" s="1"/>
  <c r="BW5" i="1" s="1"/>
  <c r="BM6" i="1"/>
  <c r="BP6" i="1"/>
  <c r="BT6" i="1" s="1"/>
  <c r="BW6" i="1" s="1"/>
  <c r="BM7" i="1"/>
  <c r="BP7" i="1" s="1"/>
  <c r="BT7" i="1" s="1"/>
  <c r="BW7" i="1" s="1"/>
  <c r="BM8" i="1"/>
  <c r="BP8" i="1" s="1"/>
  <c r="BT8" i="1" s="1"/>
  <c r="BW8" i="1" s="1"/>
  <c r="BM9" i="1"/>
  <c r="BP9" i="1" s="1"/>
  <c r="BT9" i="1"/>
  <c r="BW9" i="1" s="1"/>
  <c r="BM10" i="1"/>
  <c r="BP10" i="1" s="1"/>
  <c r="BT10" i="1" s="1"/>
  <c r="BW10" i="1" s="1"/>
  <c r="BM11" i="1"/>
  <c r="BP11" i="1" s="1"/>
  <c r="BT11" i="1" s="1"/>
  <c r="BW11" i="1" s="1"/>
  <c r="BM12" i="1"/>
  <c r="BP12" i="1" s="1"/>
  <c r="BT12" i="1" s="1"/>
  <c r="BW12" i="1" s="1"/>
  <c r="BM13" i="1"/>
  <c r="BP13" i="1" s="1"/>
  <c r="BT13" i="1" s="1"/>
  <c r="BW13" i="1" s="1"/>
  <c r="BM14" i="1"/>
  <c r="BP14" i="1" s="1"/>
  <c r="BT14" i="1"/>
  <c r="BW14" i="1" s="1"/>
  <c r="BP15" i="1"/>
  <c r="BT15" i="1" s="1"/>
  <c r="BW15" i="1" s="1"/>
  <c r="BM16" i="1"/>
  <c r="BP16" i="1" s="1"/>
  <c r="BT16" i="1"/>
  <c r="BW16" i="1" s="1"/>
  <c r="BM17" i="1"/>
  <c r="BP17" i="1" s="1"/>
  <c r="BT17" i="1" s="1"/>
  <c r="BW17" i="1" s="1"/>
  <c r="BM18" i="1"/>
  <c r="BP18" i="1" s="1"/>
  <c r="BT18" i="1" s="1"/>
  <c r="BW18" i="1" s="1"/>
  <c r="BT19" i="1"/>
  <c r="BW19" i="1" s="1"/>
  <c r="BM20" i="1"/>
  <c r="BP20" i="1" s="1"/>
  <c r="BT20" i="1" s="1"/>
  <c r="BW20" i="1" s="1"/>
  <c r="BM21" i="1"/>
  <c r="BP21" i="1" s="1"/>
  <c r="BT21" i="1" s="1"/>
  <c r="BW21" i="1" s="1"/>
  <c r="BM22" i="1"/>
  <c r="BP22" i="1" s="1"/>
  <c r="BT22" i="1" s="1"/>
  <c r="BW22" i="1" s="1"/>
  <c r="BM23" i="1"/>
  <c r="BP23" i="1" s="1"/>
  <c r="BT23" i="1" s="1"/>
  <c r="BW23" i="1" s="1"/>
  <c r="BM24" i="1"/>
  <c r="BP24" i="1" s="1"/>
  <c r="BT24" i="1" s="1"/>
  <c r="BW24" i="1" s="1"/>
  <c r="BM25" i="1"/>
  <c r="BP25" i="1" s="1"/>
  <c r="BT25" i="1" s="1"/>
  <c r="BW25" i="1" s="1"/>
  <c r="BM26" i="1"/>
  <c r="BP26" i="1" s="1"/>
  <c r="BT26" i="1" s="1"/>
  <c r="BW26" i="1" s="1"/>
  <c r="BM27" i="1"/>
  <c r="BP27" i="1" s="1"/>
  <c r="BT27" i="1" s="1"/>
  <c r="BW27" i="1" s="1"/>
  <c r="BM28" i="1"/>
  <c r="BP28" i="1" s="1"/>
  <c r="BT28" i="1" s="1"/>
  <c r="BW28" i="1" s="1"/>
  <c r="BM29" i="1"/>
  <c r="BP29" i="1" s="1"/>
  <c r="BT29" i="1" s="1"/>
  <c r="BW29" i="1" s="1"/>
  <c r="BM30" i="1"/>
  <c r="BP30" i="1" s="1"/>
  <c r="BT30" i="1" s="1"/>
  <c r="BW30" i="1" s="1"/>
  <c r="BM31" i="1"/>
  <c r="BP31" i="1" s="1"/>
  <c r="BT31" i="1" s="1"/>
  <c r="BW31" i="1" s="1"/>
  <c r="BM32" i="1"/>
  <c r="BP32" i="1" s="1"/>
  <c r="BT32" i="1" s="1"/>
  <c r="BW32" i="1" s="1"/>
  <c r="BM33" i="1"/>
  <c r="BP33" i="1" s="1"/>
  <c r="BT33" i="1" s="1"/>
  <c r="BW33" i="1" s="1"/>
  <c r="BM34" i="1"/>
  <c r="BP34" i="1"/>
  <c r="BT34" i="1" s="1"/>
  <c r="BW34" i="1" s="1"/>
  <c r="BM35" i="1"/>
  <c r="BP35" i="1" s="1"/>
  <c r="BT35" i="1" s="1"/>
  <c r="BW35" i="1" s="1"/>
  <c r="BM36" i="1"/>
  <c r="BP36" i="1"/>
  <c r="BT36" i="1" s="1"/>
  <c r="BW36" i="1" s="1"/>
  <c r="BM37" i="1"/>
  <c r="BP37" i="1"/>
  <c r="BT37" i="1"/>
  <c r="BW37" i="1"/>
  <c r="BM38" i="1"/>
  <c r="BP38" i="1" s="1"/>
  <c r="BT38" i="1" s="1"/>
  <c r="BW38" i="1" s="1"/>
  <c r="BM39" i="1"/>
  <c r="BP39" i="1"/>
  <c r="BT39" i="1" s="1"/>
  <c r="BW39" i="1" s="1"/>
  <c r="BM40" i="1"/>
  <c r="BP40" i="1" s="1"/>
  <c r="BT40" i="1" s="1"/>
  <c r="BW40" i="1" s="1"/>
  <c r="BM41" i="1"/>
  <c r="BP41" i="1" s="1"/>
  <c r="BT41" i="1" s="1"/>
  <c r="BW41" i="1" s="1"/>
  <c r="BM42" i="1"/>
  <c r="BP42" i="1"/>
  <c r="BT42" i="1" s="1"/>
  <c r="BW42" i="1" s="1"/>
  <c r="BM43" i="1"/>
  <c r="BP43" i="1" s="1"/>
  <c r="BT43" i="1" s="1"/>
  <c r="BW43" i="1" s="1"/>
  <c r="BM44" i="1"/>
  <c r="BP44" i="1" s="1"/>
  <c r="BT44" i="1" s="1"/>
  <c r="BW44" i="1" s="1"/>
  <c r="BM45" i="1"/>
  <c r="BP45" i="1" s="1"/>
  <c r="BT45" i="1" s="1"/>
  <c r="BW45" i="1" s="1"/>
  <c r="BM46" i="1"/>
  <c r="BP46" i="1" s="1"/>
  <c r="BT46" i="1" s="1"/>
  <c r="BW46" i="1" s="1"/>
  <c r="BM47" i="1"/>
  <c r="BP47" i="1" s="1"/>
  <c r="BT47" i="1" s="1"/>
  <c r="BW47" i="1" s="1"/>
  <c r="BM48" i="1"/>
  <c r="BP48" i="1" s="1"/>
  <c r="BT48" i="1" s="1"/>
  <c r="BW48" i="1" s="1"/>
  <c r="BM49" i="1"/>
  <c r="BP49" i="1" s="1"/>
  <c r="BT49" i="1" s="1"/>
  <c r="BW49" i="1" s="1"/>
  <c r="BM50" i="1"/>
  <c r="BP50" i="1" s="1"/>
  <c r="BT50" i="1" s="1"/>
  <c r="BW50" i="1" s="1"/>
  <c r="BM51" i="1"/>
  <c r="BP51" i="1" s="1"/>
  <c r="BT51" i="1" s="1"/>
  <c r="BW51" i="1" s="1"/>
  <c r="BM52" i="1"/>
  <c r="BP52" i="1" s="1"/>
  <c r="BT52" i="1" s="1"/>
  <c r="BW52" i="1" s="1"/>
  <c r="BM53" i="1"/>
  <c r="BP53" i="1"/>
  <c r="BT53" i="1" s="1"/>
  <c r="BW53" i="1" s="1"/>
  <c r="BM54" i="1"/>
  <c r="BP54" i="1"/>
  <c r="BT54" i="1" s="1"/>
  <c r="BW54" i="1" s="1"/>
  <c r="BM55" i="1"/>
  <c r="BP55" i="1" s="1"/>
  <c r="BT55" i="1" s="1"/>
  <c r="BW55" i="1" s="1"/>
  <c r="BU4" i="1"/>
  <c r="BU5" i="1"/>
  <c r="BU6" i="1"/>
  <c r="BU7" i="1"/>
  <c r="BU8" i="1"/>
  <c r="BU9" i="1"/>
  <c r="BU10" i="1"/>
  <c r="BU11" i="1"/>
  <c r="BU12" i="1"/>
  <c r="BU13" i="1"/>
  <c r="BU14" i="1"/>
  <c r="BU15" i="1"/>
  <c r="BU16" i="1"/>
  <c r="BU17" i="1"/>
  <c r="BU18" i="1"/>
  <c r="BU19" i="1"/>
  <c r="BU20" i="1"/>
  <c r="BU21" i="1"/>
  <c r="BU22" i="1"/>
  <c r="BU23" i="1"/>
  <c r="BU24" i="1"/>
  <c r="BU25" i="1"/>
  <c r="BU26" i="1"/>
  <c r="BU27" i="1"/>
  <c r="BU28" i="1"/>
  <c r="BU29" i="1"/>
  <c r="BU30" i="1"/>
  <c r="BU31" i="1"/>
  <c r="BU32" i="1"/>
  <c r="BU33" i="1"/>
  <c r="BU34" i="1"/>
  <c r="BU35" i="1"/>
  <c r="BU36" i="1"/>
  <c r="BU37" i="1"/>
  <c r="BU38" i="1"/>
  <c r="BU39" i="1"/>
  <c r="BU40" i="1"/>
  <c r="BU41" i="1"/>
  <c r="BU42" i="1"/>
  <c r="BU43" i="1"/>
  <c r="BU44" i="1"/>
  <c r="BU45" i="1"/>
  <c r="BU46" i="1"/>
  <c r="BU47" i="1"/>
  <c r="BU48" i="1"/>
  <c r="BU49" i="1"/>
  <c r="BU50" i="1"/>
  <c r="BU51" i="1"/>
  <c r="BU52" i="1"/>
  <c r="BU53" i="1"/>
  <c r="BU54" i="1"/>
  <c r="BU55" i="1"/>
  <c r="BQ4" i="1"/>
  <c r="BQ5" i="1"/>
  <c r="BQ6" i="1"/>
  <c r="BQ7" i="1"/>
  <c r="BQ8" i="1"/>
  <c r="BQ9" i="1"/>
  <c r="BQ10" i="1"/>
  <c r="BQ11" i="1"/>
  <c r="BQ12" i="1"/>
  <c r="BQ13" i="1"/>
  <c r="BQ14" i="1"/>
  <c r="BQ15" i="1"/>
  <c r="BQ16" i="1"/>
  <c r="BQ17" i="1"/>
  <c r="BQ18" i="1"/>
  <c r="BQ19" i="1"/>
  <c r="BQ20" i="1"/>
  <c r="BQ21" i="1"/>
  <c r="BQ22" i="1"/>
  <c r="BQ23" i="1"/>
  <c r="BQ24" i="1"/>
  <c r="BQ25" i="1"/>
  <c r="BQ26" i="1"/>
  <c r="BQ27" i="1"/>
  <c r="BQ28" i="1"/>
  <c r="BQ29"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N4" i="1"/>
  <c r="BN5" i="1"/>
  <c r="BN6" i="1"/>
  <c r="BN7"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M19"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AM17" i="1"/>
  <c r="AO17" i="1"/>
  <c r="AR17" i="1" s="1"/>
  <c r="AU17" i="1" s="1"/>
  <c r="AX17" i="1" s="1"/>
  <c r="BA17" i="1" s="1"/>
  <c r="BD17" i="1" s="1"/>
  <c r="BG17" i="1" s="1"/>
  <c r="BJ17" i="1" s="1"/>
  <c r="AO18" i="1"/>
  <c r="AR18" i="1" s="1"/>
  <c r="AU18" i="1" s="1"/>
  <c r="AX18" i="1" s="1"/>
  <c r="BA18" i="1" s="1"/>
  <c r="BD18" i="1" s="1"/>
  <c r="BG18" i="1" s="1"/>
  <c r="BJ18" i="1" s="1"/>
  <c r="BA19" i="1"/>
  <c r="BD19" i="1" s="1"/>
  <c r="BG19" i="1" s="1"/>
  <c r="BJ19" i="1" s="1"/>
  <c r="AO22" i="1"/>
  <c r="AR22" i="1" s="1"/>
  <c r="AU22" i="1" s="1"/>
  <c r="AX22" i="1" s="1"/>
  <c r="BA22" i="1" s="1"/>
  <c r="BD22" i="1" s="1"/>
  <c r="BG22" i="1" s="1"/>
  <c r="BJ22" i="1" s="1"/>
  <c r="AM31" i="1"/>
  <c r="AO31" i="1" s="1"/>
  <c r="AR31" i="1" s="1"/>
  <c r="AU31" i="1" s="1"/>
  <c r="AX31" i="1" s="1"/>
  <c r="BA31" i="1" s="1"/>
  <c r="BD31" i="1" s="1"/>
  <c r="BG31" i="1" s="1"/>
  <c r="BJ31" i="1" s="1"/>
  <c r="AM33" i="1"/>
  <c r="AO33" i="1" s="1"/>
  <c r="AR33" i="1" s="1"/>
  <c r="AU33" i="1" s="1"/>
  <c r="AX33" i="1" s="1"/>
  <c r="BA33" i="1" s="1"/>
  <c r="BD33" i="1" s="1"/>
  <c r="BG33" i="1" s="1"/>
  <c r="BJ33" i="1" s="1"/>
  <c r="AM45" i="1"/>
  <c r="AO45" i="1" s="1"/>
  <c r="AR45" i="1" s="1"/>
  <c r="AU45" i="1" s="1"/>
  <c r="AX45" i="1" s="1"/>
  <c r="BA45" i="1" s="1"/>
  <c r="BD45" i="1" s="1"/>
  <c r="BG45" i="1" s="1"/>
  <c r="BJ45" i="1" s="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B4" i="1"/>
  <c r="BB5" i="1"/>
  <c r="BB6" i="1"/>
  <c r="BB7" i="1"/>
  <c r="BB8" i="1"/>
  <c r="BB9" i="1"/>
  <c r="BB10" i="1"/>
  <c r="BB11" i="1"/>
  <c r="BB12" i="1"/>
  <c r="BB13" i="1"/>
  <c r="BB14" i="1"/>
  <c r="BB15" i="1"/>
  <c r="BB16" i="1"/>
  <c r="BB17" i="1"/>
  <c r="BB18" i="1"/>
  <c r="BB19" i="1"/>
  <c r="BB20" i="1"/>
  <c r="BB21" i="1"/>
  <c r="BB22" i="1"/>
  <c r="BB23" i="1"/>
  <c r="BB24" i="1"/>
  <c r="BB25" i="1"/>
  <c r="BB26" i="1"/>
  <c r="BB27" i="1"/>
  <c r="BB28" i="1"/>
  <c r="BB29"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AY4" i="1"/>
  <c r="AY5" i="1"/>
  <c r="AY6" i="1"/>
  <c r="AY7" i="1"/>
  <c r="AY8" i="1"/>
  <c r="AY9" i="1"/>
  <c r="AY10" i="1"/>
  <c r="AY11" i="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V4" i="1"/>
  <c r="AV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S4" i="1"/>
  <c r="AS5"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U15" i="1"/>
  <c r="AX15" i="1" s="1"/>
  <c r="BA15" i="1" s="1"/>
  <c r="BD15" i="1" s="1"/>
  <c r="BG15" i="1" s="1"/>
  <c r="BJ15" i="1" s="1"/>
  <c r="AR53" i="1"/>
  <c r="AU53" i="1" s="1"/>
  <c r="AX53" i="1" s="1"/>
  <c r="BA53" i="1" s="1"/>
  <c r="BD53" i="1" s="1"/>
  <c r="BG53" i="1" s="1"/>
  <c r="BJ53" i="1" s="1"/>
  <c r="AO15" i="1"/>
  <c r="AR15" i="1" s="1"/>
  <c r="AO16" i="1"/>
  <c r="AR16" i="1" s="1"/>
  <c r="AU16" i="1" s="1"/>
  <c r="AX16" i="1" s="1"/>
  <c r="BA16" i="1" s="1"/>
  <c r="BD16" i="1" s="1"/>
  <c r="BG16" i="1" s="1"/>
  <c r="BJ16" i="1" s="1"/>
  <c r="AO30" i="1"/>
  <c r="AR30" i="1" s="1"/>
  <c r="AU30" i="1" s="1"/>
  <c r="AX30" i="1" s="1"/>
  <c r="BA30" i="1" s="1"/>
  <c r="BD30" i="1" s="1"/>
  <c r="BG30" i="1" s="1"/>
  <c r="BJ30" i="1" s="1"/>
  <c r="AO50" i="1"/>
  <c r="AR50" i="1" s="1"/>
  <c r="AU50" i="1" s="1"/>
  <c r="AX50" i="1" s="1"/>
  <c r="BA50" i="1" s="1"/>
  <c r="BD50" i="1" s="1"/>
  <c r="BG50" i="1" s="1"/>
  <c r="BJ50" i="1" s="1"/>
  <c r="AO51" i="1"/>
  <c r="AR51" i="1" s="1"/>
  <c r="AU51" i="1" s="1"/>
  <c r="AX51" i="1" s="1"/>
  <c r="BA51" i="1" s="1"/>
  <c r="BD51" i="1" s="1"/>
  <c r="BG51" i="1" s="1"/>
  <c r="BJ51" i="1" s="1"/>
  <c r="AO52" i="1"/>
  <c r="AR52" i="1" s="1"/>
  <c r="AU52" i="1" s="1"/>
  <c r="AX52" i="1" s="1"/>
  <c r="BA52" i="1" s="1"/>
  <c r="BD52" i="1" s="1"/>
  <c r="BG52" i="1" s="1"/>
  <c r="BJ52" i="1" s="1"/>
  <c r="AO53" i="1"/>
  <c r="AO54" i="1"/>
  <c r="AR54" i="1" s="1"/>
  <c r="AU54" i="1" s="1"/>
  <c r="AX54" i="1" s="1"/>
  <c r="BA54" i="1" s="1"/>
  <c r="BD54" i="1" s="1"/>
  <c r="BG54" i="1" s="1"/>
  <c r="BJ54" i="1" s="1"/>
  <c r="AO55" i="1"/>
  <c r="AR55" i="1" s="1"/>
  <c r="AU55" i="1" s="1"/>
  <c r="AX55" i="1" s="1"/>
  <c r="BA55" i="1" s="1"/>
  <c r="BD55" i="1" s="1"/>
  <c r="BG55" i="1" s="1"/>
  <c r="BJ55" i="1" s="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E15" i="1"/>
  <c r="AH15" i="1" s="1"/>
  <c r="AK15" i="1" s="1"/>
  <c r="AE16" i="1"/>
  <c r="AH16" i="1" s="1"/>
  <c r="AK16" i="1" s="1"/>
  <c r="AE17" i="1"/>
  <c r="AH17" i="1" s="1"/>
  <c r="AK17" i="1" s="1"/>
  <c r="AE30" i="1"/>
  <c r="AH30" i="1"/>
  <c r="AK30" i="1" s="1"/>
  <c r="AE50" i="1"/>
  <c r="AH50" i="1" s="1"/>
  <c r="AK50" i="1" s="1"/>
  <c r="AE51" i="1"/>
  <c r="AH51" i="1" s="1"/>
  <c r="AK51" i="1" s="1"/>
  <c r="AE52" i="1"/>
  <c r="AH52" i="1" s="1"/>
  <c r="AK52" i="1" s="1"/>
  <c r="AE53" i="1"/>
  <c r="AH53" i="1" s="1"/>
  <c r="AK53" i="1" s="1"/>
  <c r="AE54" i="1"/>
  <c r="AH54" i="1" s="1"/>
  <c r="AK54" i="1" s="1"/>
  <c r="AE55" i="1"/>
  <c r="AH55" i="1" s="1"/>
  <c r="AK55" i="1" s="1"/>
  <c r="AD15" i="1"/>
  <c r="AF15" i="1" s="1"/>
  <c r="AD16" i="1"/>
  <c r="AF16" i="1" s="1"/>
  <c r="AD17" i="1"/>
  <c r="AF17" i="1" s="1"/>
  <c r="AD30" i="1"/>
  <c r="AF30" i="1" s="1"/>
  <c r="AD50" i="1"/>
  <c r="AF50" i="1" s="1"/>
  <c r="AD51" i="1"/>
  <c r="AF51" i="1" s="1"/>
  <c r="AD52" i="1"/>
  <c r="AF52" i="1" s="1"/>
  <c r="AD53" i="1"/>
  <c r="AF53" i="1" s="1"/>
  <c r="AD54" i="1"/>
  <c r="AF54" i="1" s="1"/>
  <c r="AD55" i="1"/>
  <c r="AF55" i="1" s="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Z39" i="1"/>
  <c r="X15" i="1"/>
  <c r="Z15" i="1"/>
  <c r="X16" i="1"/>
  <c r="Z16" i="1"/>
  <c r="X17" i="1"/>
  <c r="Z17" i="1" s="1"/>
  <c r="X30" i="1"/>
  <c r="Z30" i="1" s="1"/>
  <c r="X50" i="1"/>
  <c r="Z50" i="1" s="1"/>
  <c r="X51" i="1"/>
  <c r="Z51" i="1"/>
  <c r="X52" i="1"/>
  <c r="Z52" i="1" s="1"/>
  <c r="X53" i="1"/>
  <c r="Z53" i="1" s="1"/>
  <c r="X54" i="1"/>
  <c r="Z54" i="1" s="1"/>
  <c r="X55" i="1"/>
  <c r="Z55" i="1" s="1"/>
  <c r="W4" i="1"/>
  <c r="W7" i="1"/>
  <c r="W9" i="1"/>
  <c r="W10" i="1"/>
  <c r="W15" i="1"/>
  <c r="W16" i="1"/>
  <c r="W17" i="1"/>
  <c r="W18" i="1"/>
  <c r="W19" i="1"/>
  <c r="W20" i="1"/>
  <c r="W21" i="1"/>
  <c r="W22" i="1"/>
  <c r="W23" i="1"/>
  <c r="W27" i="1"/>
  <c r="W31" i="1"/>
  <c r="W32" i="1"/>
  <c r="W34" i="1"/>
  <c r="W37" i="1"/>
  <c r="W38" i="1"/>
  <c r="W39" i="1"/>
  <c r="W42" i="1"/>
  <c r="W43" i="1"/>
  <c r="W44" i="1"/>
  <c r="W45" i="1"/>
  <c r="W46" i="1"/>
  <c r="W47" i="1"/>
  <c r="W48" i="1"/>
  <c r="W49" i="1"/>
  <c r="W50" i="1"/>
  <c r="W51" i="1"/>
  <c r="W52" i="1"/>
  <c r="W53" i="1"/>
  <c r="W54" i="1"/>
  <c r="W55"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M15" i="1"/>
  <c r="M16" i="1"/>
  <c r="M17" i="1"/>
  <c r="M30" i="1"/>
  <c r="M50" i="1"/>
  <c r="M51" i="1"/>
  <c r="M52" i="1"/>
  <c r="M53" i="1"/>
  <c r="M54" i="1"/>
  <c r="M55"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Q4" i="1"/>
  <c r="Q5" i="1"/>
  <c r="Q7" i="1"/>
  <c r="Q8" i="1"/>
  <c r="Q9" i="1"/>
  <c r="Q10" i="1"/>
  <c r="Q11" i="1"/>
  <c r="Q14" i="1"/>
  <c r="Q15" i="1"/>
  <c r="Q16" i="1"/>
  <c r="Q29" i="1"/>
  <c r="Q31" i="1"/>
  <c r="Q32" i="1"/>
  <c r="Q34" i="1"/>
  <c r="Q37" i="1"/>
  <c r="Q38" i="1"/>
  <c r="Q40" i="1"/>
  <c r="Q41" i="1"/>
  <c r="Q42" i="1"/>
  <c r="Q49" i="1"/>
  <c r="Q50" i="1"/>
  <c r="Q51" i="1"/>
  <c r="Q52" i="1"/>
  <c r="Q53" i="1"/>
  <c r="Q54" i="1"/>
  <c r="Q55" i="1"/>
  <c r="P4" i="1"/>
  <c r="S4" i="1" s="1"/>
  <c r="P5" i="1"/>
  <c r="V5" i="1"/>
  <c r="P6" i="1"/>
  <c r="S6" i="1" s="1"/>
  <c r="Y6" i="1" s="1"/>
  <c r="AB6" i="1" s="1"/>
  <c r="P7" i="1"/>
  <c r="S7" i="1" s="1"/>
  <c r="Y7" i="1" s="1"/>
  <c r="AB7" i="1" s="1"/>
  <c r="P8" i="1"/>
  <c r="S8" i="1" s="1"/>
  <c r="V8" i="1" s="1"/>
  <c r="P9" i="1"/>
  <c r="S9" i="1" s="1"/>
  <c r="V9" i="1" s="1"/>
  <c r="P10" i="1"/>
  <c r="S10" i="1" s="1"/>
  <c r="P11" i="1"/>
  <c r="S11" i="1" s="1"/>
  <c r="P12" i="1"/>
  <c r="S12" i="1" s="1"/>
  <c r="Y12" i="1" s="1"/>
  <c r="AB12" i="1" s="1"/>
  <c r="P13" i="1"/>
  <c r="S13" i="1" s="1"/>
  <c r="P14" i="1"/>
  <c r="S14" i="1" s="1"/>
  <c r="P15" i="1"/>
  <c r="S15" i="1" s="1"/>
  <c r="V15" i="1" s="1"/>
  <c r="P16" i="1"/>
  <c r="S16" i="1" s="1"/>
  <c r="P17" i="1"/>
  <c r="S17" i="1" s="1"/>
  <c r="P18" i="1"/>
  <c r="S18" i="1" s="1"/>
  <c r="P19" i="1"/>
  <c r="S19" i="1" s="1"/>
  <c r="P20" i="1"/>
  <c r="S20" i="1" s="1"/>
  <c r="P21" i="1"/>
  <c r="S21" i="1" s="1"/>
  <c r="Y21" i="1" s="1"/>
  <c r="AB21" i="1" s="1"/>
  <c r="P22" i="1"/>
  <c r="S22" i="1" s="1"/>
  <c r="Y22" i="1" s="1"/>
  <c r="AB22" i="1" s="1"/>
  <c r="P23" i="1"/>
  <c r="S23" i="1" s="1"/>
  <c r="P24" i="1"/>
  <c r="S24" i="1" s="1"/>
  <c r="P25" i="1"/>
  <c r="S25" i="1" s="1"/>
  <c r="V25" i="1" s="1"/>
  <c r="P26" i="1"/>
  <c r="S26" i="1" s="1"/>
  <c r="Y26" i="1" s="1"/>
  <c r="AB26" i="1" s="1"/>
  <c r="P27" i="1"/>
  <c r="S27" i="1" s="1"/>
  <c r="V27" i="1" s="1"/>
  <c r="P28" i="1"/>
  <c r="S28" i="1" s="1"/>
  <c r="V28" i="1" s="1"/>
  <c r="P29" i="1"/>
  <c r="S29" i="1" s="1"/>
  <c r="P30" i="1"/>
  <c r="S30" i="1" s="1"/>
  <c r="Y30" i="1" s="1"/>
  <c r="AB30" i="1" s="1"/>
  <c r="P31" i="1"/>
  <c r="S31" i="1" s="1"/>
  <c r="V31" i="1" s="1"/>
  <c r="P32" i="1"/>
  <c r="S32" i="1" s="1"/>
  <c r="P33" i="1"/>
  <c r="S33" i="1" s="1"/>
  <c r="P34" i="1"/>
  <c r="S34" i="1" s="1"/>
  <c r="V34" i="1" s="1"/>
  <c r="P35" i="1"/>
  <c r="S35" i="1" s="1"/>
  <c r="V35" i="1" s="1"/>
  <c r="P36" i="1"/>
  <c r="S36" i="1" s="1"/>
  <c r="P37" i="1"/>
  <c r="S37" i="1" s="1"/>
  <c r="P38" i="1"/>
  <c r="S38" i="1" s="1"/>
  <c r="Y38" i="1" s="1"/>
  <c r="AB38" i="1" s="1"/>
  <c r="P39" i="1"/>
  <c r="S39" i="1" s="1"/>
  <c r="Y39" i="1" s="1"/>
  <c r="AB39" i="1" s="1"/>
  <c r="P40" i="1"/>
  <c r="S40" i="1" s="1"/>
  <c r="P41" i="1"/>
  <c r="S41" i="1" s="1"/>
  <c r="P42" i="1"/>
  <c r="S42" i="1" s="1"/>
  <c r="Y42" i="1" s="1"/>
  <c r="AB42" i="1" s="1"/>
  <c r="P43" i="1"/>
  <c r="S43" i="1" s="1"/>
  <c r="P44" i="1"/>
  <c r="S44" i="1" s="1"/>
  <c r="P45" i="1"/>
  <c r="S45" i="1" s="1"/>
  <c r="P46" i="1"/>
  <c r="S46" i="1" s="1"/>
  <c r="V46" i="1" s="1"/>
  <c r="P47" i="1"/>
  <c r="S47" i="1" s="1"/>
  <c r="Y47" i="1" s="1"/>
  <c r="AB47" i="1" s="1"/>
  <c r="P48" i="1"/>
  <c r="S48" i="1" s="1"/>
  <c r="Y48" i="1" s="1"/>
  <c r="AB48" i="1" s="1"/>
  <c r="P49" i="1"/>
  <c r="S49" i="1" s="1"/>
  <c r="P50" i="1"/>
  <c r="S50" i="1" s="1"/>
  <c r="Y50" i="1" s="1"/>
  <c r="AB50" i="1" s="1"/>
  <c r="P51" i="1"/>
  <c r="S51" i="1" s="1"/>
  <c r="P52" i="1"/>
  <c r="S52" i="1" s="1"/>
  <c r="P53" i="1"/>
  <c r="S53" i="1" s="1"/>
  <c r="V53" i="1" s="1"/>
  <c r="P54" i="1"/>
  <c r="S54" i="1" s="1"/>
  <c r="P55" i="1"/>
  <c r="S55" i="1" s="1"/>
  <c r="Y55" i="1" s="1"/>
  <c r="AB55" i="1" s="1"/>
  <c r="Y5" i="1"/>
  <c r="AB5" i="1" s="1"/>
  <c r="AD53" i="4"/>
  <c r="AC53" i="4"/>
  <c r="AB53" i="4"/>
  <c r="Z53" i="4"/>
  <c r="Y53" i="4"/>
  <c r="X53" i="4"/>
  <c r="W53" i="4"/>
  <c r="V53" i="4"/>
  <c r="R53" i="4"/>
  <c r="Q53" i="4"/>
  <c r="O53" i="4"/>
  <c r="M53" i="4"/>
  <c r="J53" i="4"/>
  <c r="G53" i="4"/>
  <c r="E53" i="4"/>
  <c r="AJ50" i="6"/>
  <c r="AG50" i="6"/>
  <c r="AF50" i="6"/>
  <c r="AE50" i="6"/>
  <c r="AD50" i="6"/>
  <c r="AB50" i="6"/>
  <c r="Z50" i="6"/>
  <c r="S50" i="6"/>
  <c r="Q50" i="6"/>
  <c r="J50" i="6"/>
  <c r="K49" i="6"/>
  <c r="V49" i="6"/>
  <c r="AI48" i="6"/>
  <c r="M48" i="6"/>
  <c r="K48" i="6"/>
  <c r="V48" i="6"/>
  <c r="M47" i="6"/>
  <c r="K47" i="6"/>
  <c r="V47" i="6"/>
  <c r="M46" i="6"/>
  <c r="K46" i="6"/>
  <c r="V46" i="6"/>
  <c r="AI45" i="6"/>
  <c r="M45" i="6"/>
  <c r="K45" i="6"/>
  <c r="V45" i="6"/>
  <c r="M44" i="6"/>
  <c r="K44" i="6"/>
  <c r="V44" i="6"/>
  <c r="M43" i="6"/>
  <c r="K43" i="6"/>
  <c r="V43" i="6"/>
  <c r="K42" i="6"/>
  <c r="V42" i="6"/>
  <c r="O41" i="6"/>
  <c r="K41" i="6"/>
  <c r="V41" i="6"/>
  <c r="O40" i="6"/>
  <c r="K40" i="6"/>
  <c r="V40" i="6"/>
  <c r="M39" i="6"/>
  <c r="K39" i="6"/>
  <c r="V39" i="6"/>
  <c r="K38" i="6"/>
  <c r="V38" i="6"/>
  <c r="K37" i="6"/>
  <c r="V37" i="6"/>
  <c r="O36" i="6"/>
  <c r="M36" i="6"/>
  <c r="K36" i="6"/>
  <c r="V36" i="6"/>
  <c r="O35" i="6"/>
  <c r="M35" i="6"/>
  <c r="K35" i="6"/>
  <c r="V35" i="6"/>
  <c r="K34" i="6"/>
  <c r="V34" i="6"/>
  <c r="O33" i="6"/>
  <c r="M33" i="6"/>
  <c r="K33" i="6"/>
  <c r="V33" i="6"/>
  <c r="K32" i="6"/>
  <c r="V32" i="6"/>
  <c r="K31" i="6"/>
  <c r="V31" i="6"/>
  <c r="O30" i="6"/>
  <c r="M30" i="6"/>
  <c r="O29" i="6"/>
  <c r="K29" i="6"/>
  <c r="V29" i="6"/>
  <c r="O28" i="6"/>
  <c r="M28" i="6"/>
  <c r="K28" i="6"/>
  <c r="V28" i="6"/>
  <c r="M27" i="6"/>
  <c r="K27" i="6"/>
  <c r="V27" i="6"/>
  <c r="O26" i="6"/>
  <c r="M26" i="6"/>
  <c r="K26" i="6"/>
  <c r="V26" i="6"/>
  <c r="O25" i="6"/>
  <c r="M25" i="6"/>
  <c r="K25" i="6"/>
  <c r="V25" i="6"/>
  <c r="O24" i="6"/>
  <c r="M24" i="6"/>
  <c r="K24" i="6"/>
  <c r="V24" i="6"/>
  <c r="M23" i="6"/>
  <c r="K23" i="6"/>
  <c r="V23" i="6"/>
  <c r="M22" i="6"/>
  <c r="K22" i="6"/>
  <c r="V22" i="6"/>
  <c r="M21" i="6"/>
  <c r="K21" i="6"/>
  <c r="V21" i="6"/>
  <c r="M20" i="6"/>
  <c r="K20" i="6"/>
  <c r="V20" i="6"/>
  <c r="AI19" i="6"/>
  <c r="M19" i="6"/>
  <c r="K19" i="6"/>
  <c r="V19" i="6"/>
  <c r="AI18" i="6"/>
  <c r="M18" i="6"/>
  <c r="K18" i="6"/>
  <c r="V18" i="6"/>
  <c r="V17" i="6"/>
  <c r="M17" i="6"/>
  <c r="O14" i="6"/>
  <c r="K14" i="6"/>
  <c r="V14" i="6"/>
  <c r="O13" i="6"/>
  <c r="M13" i="6"/>
  <c r="K13" i="6"/>
  <c r="V13" i="6"/>
  <c r="O12" i="6"/>
  <c r="M12" i="6"/>
  <c r="K12" i="6"/>
  <c r="V12" i="6"/>
  <c r="O11" i="6"/>
  <c r="K11" i="6"/>
  <c r="V11" i="6"/>
  <c r="K10" i="6"/>
  <c r="V10" i="6"/>
  <c r="K9" i="6"/>
  <c r="V9" i="6"/>
  <c r="O8" i="6"/>
  <c r="K8" i="6"/>
  <c r="V8" i="6"/>
  <c r="K7" i="6"/>
  <c r="V7" i="6"/>
  <c r="O6" i="6"/>
  <c r="M6" i="6"/>
  <c r="K6" i="6"/>
  <c r="V6" i="6"/>
  <c r="O5" i="6"/>
  <c r="M5" i="6"/>
  <c r="K5" i="6"/>
  <c r="V5" i="6"/>
  <c r="AI4" i="6"/>
  <c r="M4" i="6"/>
  <c r="K4" i="6"/>
  <c r="V4" i="6"/>
  <c r="V43" i="4"/>
  <c r="W43" i="4"/>
  <c r="X43" i="4"/>
  <c r="Y43" i="4"/>
  <c r="Z43" i="4"/>
  <c r="M22" i="4"/>
  <c r="M21" i="4"/>
  <c r="O18" i="4"/>
  <c r="O17" i="4"/>
  <c r="AB16" i="4"/>
  <c r="AD16" i="4"/>
  <c r="V16" i="4"/>
  <c r="W16" i="4"/>
  <c r="X16" i="4"/>
  <c r="Y16" i="4"/>
  <c r="Z16" i="4"/>
  <c r="AB15" i="4"/>
  <c r="AC15" i="4"/>
  <c r="Y15" i="4"/>
  <c r="Z15" i="4"/>
  <c r="V15" i="4"/>
  <c r="W15" i="4"/>
  <c r="AB14" i="4"/>
  <c r="AD14" i="4"/>
  <c r="V14" i="4"/>
  <c r="W14" i="4"/>
  <c r="X14" i="4"/>
  <c r="Y14" i="4"/>
  <c r="Z14" i="4"/>
  <c r="AI50" i="6"/>
  <c r="M50" i="6"/>
  <c r="O50" i="6"/>
  <c r="AD15" i="4"/>
  <c r="AC16" i="4"/>
  <c r="AC14" i="4"/>
  <c r="DS56" i="1"/>
  <c r="CX56" i="1"/>
  <c r="CQ56" i="1"/>
  <c r="CK56" i="1"/>
  <c r="CB56" i="1"/>
  <c r="BS56" i="1"/>
  <c r="BR56" i="1"/>
  <c r="BO56" i="1"/>
  <c r="BL56" i="1"/>
  <c r="BF56" i="1"/>
  <c r="AZ56" i="1"/>
  <c r="AG56" i="1"/>
  <c r="AA56" i="1"/>
  <c r="I56" i="1"/>
  <c r="J56" i="1"/>
  <c r="FB15" i="1"/>
  <c r="EO16" i="1"/>
  <c r="EQ16" i="1" s="1"/>
  <c r="EF44" i="1"/>
  <c r="EH44" i="1" s="1"/>
  <c r="EF17" i="1"/>
  <c r="EH17" i="1" s="1"/>
  <c r="EI17" i="1"/>
  <c r="EK17" i="1" s="1"/>
  <c r="EF15" i="1"/>
  <c r="EH15" i="1" s="1"/>
  <c r="EF16" i="1"/>
  <c r="EH16" i="1" s="1"/>
  <c r="DM19" i="1"/>
  <c r="DO19" i="1" s="1"/>
  <c r="DM18" i="1"/>
  <c r="DO18" i="1" s="1"/>
  <c r="DG23" i="1"/>
  <c r="DI23" i="1" s="1"/>
  <c r="DG22" i="1"/>
  <c r="DI22" i="1" s="1"/>
  <c r="U41" i="1"/>
  <c r="W41" i="1"/>
  <c r="U40" i="1"/>
  <c r="W40" i="1"/>
  <c r="U36" i="1"/>
  <c r="W36" i="1" s="1"/>
  <c r="U35" i="1"/>
  <c r="W35" i="1" s="1"/>
  <c r="U14" i="1"/>
  <c r="W14" i="1" s="1"/>
  <c r="U13" i="1"/>
  <c r="W13" i="1" s="1"/>
  <c r="U12" i="1"/>
  <c r="W12" i="1"/>
  <c r="U33" i="1"/>
  <c r="W33" i="1" s="1"/>
  <c r="U11" i="1"/>
  <c r="W11" i="1" s="1"/>
  <c r="U30" i="1"/>
  <c r="W30" i="1"/>
  <c r="U8" i="1"/>
  <c r="W8" i="1" s="1"/>
  <c r="U29" i="1"/>
  <c r="W29" i="1"/>
  <c r="U28" i="1"/>
  <c r="W28" i="1" s="1"/>
  <c r="U6" i="1"/>
  <c r="W6" i="1" s="1"/>
  <c r="U26" i="1"/>
  <c r="W26" i="1"/>
  <c r="U25" i="1"/>
  <c r="W25" i="1" s="1"/>
  <c r="U5" i="1"/>
  <c r="W5" i="1" s="1"/>
  <c r="U24" i="1"/>
  <c r="W24" i="1" s="1"/>
  <c r="O43" i="1"/>
  <c r="Q43" i="1" s="1"/>
  <c r="O39" i="1"/>
  <c r="Q39" i="1" s="1"/>
  <c r="O36" i="1"/>
  <c r="Q36" i="1" s="1"/>
  <c r="O35" i="1"/>
  <c r="Q35" i="1" s="1"/>
  <c r="O13" i="1"/>
  <c r="Q13" i="1" s="1"/>
  <c r="O12" i="1"/>
  <c r="Q12" i="1" s="1"/>
  <c r="O33" i="1"/>
  <c r="Q33" i="1" s="1"/>
  <c r="O30" i="1"/>
  <c r="Q30" i="1" s="1"/>
  <c r="O28" i="1"/>
  <c r="Q28" i="1" s="1"/>
  <c r="O27" i="1"/>
  <c r="Q27" i="1"/>
  <c r="O26" i="1"/>
  <c r="O25" i="1"/>
  <c r="Q25" i="1" s="1"/>
  <c r="O24" i="1"/>
  <c r="Q24" i="1" s="1"/>
  <c r="O47" i="1"/>
  <c r="Q47" i="1" s="1"/>
  <c r="O23" i="1"/>
  <c r="Q23" i="1" s="1"/>
  <c r="O22" i="1"/>
  <c r="Q22" i="1" s="1"/>
  <c r="O46" i="1"/>
  <c r="Q46" i="1" s="1"/>
  <c r="O21" i="1"/>
  <c r="Q21" i="1" s="1"/>
  <c r="O20" i="1"/>
  <c r="Q20" i="1" s="1"/>
  <c r="O48" i="1"/>
  <c r="Q48" i="1"/>
  <c r="O45" i="1"/>
  <c r="Q45" i="1" s="1"/>
  <c r="O19" i="1"/>
  <c r="Q19" i="1"/>
  <c r="O18" i="1"/>
  <c r="Q18" i="1" s="1"/>
  <c r="O44" i="1"/>
  <c r="Q44" i="1"/>
  <c r="O17" i="1"/>
  <c r="Q17" i="1"/>
  <c r="K43" i="1"/>
  <c r="AD43" i="1" s="1"/>
  <c r="AF43" i="1" s="1"/>
  <c r="K42" i="1"/>
  <c r="AM42" i="1" s="1"/>
  <c r="AO42" i="1" s="1"/>
  <c r="AR42" i="1" s="1"/>
  <c r="AU42" i="1" s="1"/>
  <c r="AX42" i="1" s="1"/>
  <c r="BA42" i="1" s="1"/>
  <c r="BD42" i="1" s="1"/>
  <c r="BG42" i="1" s="1"/>
  <c r="BJ42" i="1" s="1"/>
  <c r="K41" i="1"/>
  <c r="M41" i="1" s="1"/>
  <c r="K40" i="1"/>
  <c r="AM40" i="1" s="1"/>
  <c r="AO40" i="1" s="1"/>
  <c r="AR40" i="1" s="1"/>
  <c r="AU40" i="1" s="1"/>
  <c r="AX40" i="1" s="1"/>
  <c r="BA40" i="1" s="1"/>
  <c r="BD40" i="1" s="1"/>
  <c r="BG40" i="1" s="1"/>
  <c r="BJ40" i="1" s="1"/>
  <c r="K39" i="1"/>
  <c r="AE39" i="1" s="1"/>
  <c r="AH39" i="1" s="1"/>
  <c r="AK39" i="1" s="1"/>
  <c r="K38" i="1"/>
  <c r="AM38" i="1" s="1"/>
  <c r="AO38" i="1" s="1"/>
  <c r="AR38" i="1" s="1"/>
  <c r="AU38" i="1" s="1"/>
  <c r="AX38" i="1" s="1"/>
  <c r="BA38" i="1" s="1"/>
  <c r="BD38" i="1" s="1"/>
  <c r="BG38" i="1" s="1"/>
  <c r="BJ38" i="1" s="1"/>
  <c r="K37" i="1"/>
  <c r="AD37" i="1" s="1"/>
  <c r="AF37" i="1" s="1"/>
  <c r="K36" i="1"/>
  <c r="AM36" i="1" s="1"/>
  <c r="AO36" i="1" s="1"/>
  <c r="AR36" i="1" s="1"/>
  <c r="AU36" i="1" s="1"/>
  <c r="AX36" i="1" s="1"/>
  <c r="BA36" i="1" s="1"/>
  <c r="BD36" i="1" s="1"/>
  <c r="BG36" i="1" s="1"/>
  <c r="BJ36" i="1" s="1"/>
  <c r="K35" i="1"/>
  <c r="AM35" i="1" s="1"/>
  <c r="AO35" i="1" s="1"/>
  <c r="AR35" i="1" s="1"/>
  <c r="AU35" i="1" s="1"/>
  <c r="AX35" i="1" s="1"/>
  <c r="BA35" i="1" s="1"/>
  <c r="BD35" i="1" s="1"/>
  <c r="BG35" i="1" s="1"/>
  <c r="BJ35" i="1" s="1"/>
  <c r="K14" i="1"/>
  <c r="AM14" i="1" s="1"/>
  <c r="AO14" i="1" s="1"/>
  <c r="AR14" i="1" s="1"/>
  <c r="AU14" i="1" s="1"/>
  <c r="AX14" i="1" s="1"/>
  <c r="BA14" i="1" s="1"/>
  <c r="BD14" i="1" s="1"/>
  <c r="BG14" i="1" s="1"/>
  <c r="BJ14" i="1" s="1"/>
  <c r="K49" i="1"/>
  <c r="X49" i="1" s="1"/>
  <c r="Z49" i="1" s="1"/>
  <c r="K13" i="1"/>
  <c r="AM13" i="1" s="1"/>
  <c r="AO13" i="1" s="1"/>
  <c r="AR13" i="1" s="1"/>
  <c r="AU13" i="1" s="1"/>
  <c r="AX13" i="1" s="1"/>
  <c r="BA13" i="1" s="1"/>
  <c r="BD13" i="1" s="1"/>
  <c r="BG13" i="1" s="1"/>
  <c r="BJ13" i="1" s="1"/>
  <c r="K34" i="1"/>
  <c r="AM34" i="1" s="1"/>
  <c r="AO34" i="1" s="1"/>
  <c r="AR34" i="1" s="1"/>
  <c r="AU34" i="1" s="1"/>
  <c r="AX34" i="1" s="1"/>
  <c r="BA34" i="1" s="1"/>
  <c r="BD34" i="1" s="1"/>
  <c r="BG34" i="1" s="1"/>
  <c r="BJ34" i="1" s="1"/>
  <c r="K12" i="1"/>
  <c r="AD12" i="1" s="1"/>
  <c r="AF12" i="1" s="1"/>
  <c r="K33" i="1"/>
  <c r="K11" i="1"/>
  <c r="AD11" i="1" s="1"/>
  <c r="AF11" i="1" s="1"/>
  <c r="K10" i="1"/>
  <c r="AM10" i="1" s="1"/>
  <c r="AO10" i="1" s="1"/>
  <c r="AR10" i="1" s="1"/>
  <c r="AU10" i="1" s="1"/>
  <c r="AX10" i="1" s="1"/>
  <c r="BA10" i="1" s="1"/>
  <c r="BD10" i="1" s="1"/>
  <c r="BG10" i="1" s="1"/>
  <c r="BJ10" i="1" s="1"/>
  <c r="K9" i="1"/>
  <c r="AM9" i="1" s="1"/>
  <c r="AO9" i="1" s="1"/>
  <c r="AR9" i="1" s="1"/>
  <c r="AU9" i="1" s="1"/>
  <c r="AX9" i="1" s="1"/>
  <c r="BA9" i="1" s="1"/>
  <c r="BD9" i="1" s="1"/>
  <c r="BG9" i="1" s="1"/>
  <c r="BJ9" i="1" s="1"/>
  <c r="K32" i="1"/>
  <c r="AM32" i="1" s="1"/>
  <c r="AO32" i="1" s="1"/>
  <c r="AR32" i="1" s="1"/>
  <c r="AU32" i="1" s="1"/>
  <c r="AX32" i="1" s="1"/>
  <c r="BA32" i="1" s="1"/>
  <c r="BD32" i="1" s="1"/>
  <c r="BG32" i="1" s="1"/>
  <c r="BJ32" i="1" s="1"/>
  <c r="K31" i="1"/>
  <c r="K8" i="1"/>
  <c r="AD8" i="1" s="1"/>
  <c r="AF8" i="1" s="1"/>
  <c r="K7" i="1"/>
  <c r="AM7" i="1" s="1"/>
  <c r="AO7" i="1" s="1"/>
  <c r="AR7" i="1" s="1"/>
  <c r="AU7" i="1" s="1"/>
  <c r="AX7" i="1" s="1"/>
  <c r="BA7" i="1" s="1"/>
  <c r="BD7" i="1" s="1"/>
  <c r="BG7" i="1" s="1"/>
  <c r="BJ7" i="1" s="1"/>
  <c r="K29" i="1"/>
  <c r="AM29" i="1" s="1"/>
  <c r="AO29" i="1" s="1"/>
  <c r="AR29" i="1" s="1"/>
  <c r="AU29" i="1" s="1"/>
  <c r="AX29" i="1" s="1"/>
  <c r="BA29" i="1" s="1"/>
  <c r="BD29" i="1" s="1"/>
  <c r="BG29" i="1" s="1"/>
  <c r="BJ29" i="1" s="1"/>
  <c r="K28" i="1"/>
  <c r="AM28" i="1" s="1"/>
  <c r="AO28" i="1" s="1"/>
  <c r="AR28" i="1" s="1"/>
  <c r="AU28" i="1" s="1"/>
  <c r="AX28" i="1" s="1"/>
  <c r="BA28" i="1" s="1"/>
  <c r="BD28" i="1" s="1"/>
  <c r="BG28" i="1" s="1"/>
  <c r="BJ28" i="1" s="1"/>
  <c r="K6" i="1"/>
  <c r="AM6" i="1" s="1"/>
  <c r="AO6" i="1" s="1"/>
  <c r="AR6" i="1" s="1"/>
  <c r="AU6" i="1" s="1"/>
  <c r="AX6" i="1" s="1"/>
  <c r="BA6" i="1" s="1"/>
  <c r="BD6" i="1" s="1"/>
  <c r="BG6" i="1" s="1"/>
  <c r="BJ6" i="1" s="1"/>
  <c r="K27" i="1"/>
  <c r="M27" i="1" s="1"/>
  <c r="K26" i="1"/>
  <c r="AM26" i="1" s="1"/>
  <c r="AO26" i="1" s="1"/>
  <c r="AR26" i="1" s="1"/>
  <c r="AU26" i="1" s="1"/>
  <c r="AX26" i="1" s="1"/>
  <c r="BA26" i="1" s="1"/>
  <c r="BD26" i="1" s="1"/>
  <c r="BG26" i="1" s="1"/>
  <c r="BJ26" i="1" s="1"/>
  <c r="K25" i="1"/>
  <c r="AD25" i="1" s="1"/>
  <c r="AF25" i="1" s="1"/>
  <c r="K5" i="1"/>
  <c r="AM5" i="1" s="1"/>
  <c r="AO5" i="1" s="1"/>
  <c r="AR5" i="1" s="1"/>
  <c r="AU5" i="1" s="1"/>
  <c r="AX5" i="1" s="1"/>
  <c r="BA5" i="1" s="1"/>
  <c r="BD5" i="1" s="1"/>
  <c r="BG5" i="1" s="1"/>
  <c r="BJ5" i="1" s="1"/>
  <c r="K24" i="1"/>
  <c r="K47" i="1"/>
  <c r="M47" i="1" s="1"/>
  <c r="K23" i="1"/>
  <c r="AM23" i="1" s="1"/>
  <c r="AO23" i="1" s="1"/>
  <c r="AR23" i="1" s="1"/>
  <c r="AU23" i="1" s="1"/>
  <c r="AX23" i="1" s="1"/>
  <c r="BA23" i="1" s="1"/>
  <c r="BD23" i="1" s="1"/>
  <c r="BG23" i="1" s="1"/>
  <c r="BJ23" i="1" s="1"/>
  <c r="K22" i="1"/>
  <c r="AM22" i="1" s="1"/>
  <c r="K21" i="1"/>
  <c r="AM21" i="1" s="1"/>
  <c r="AO21" i="1" s="1"/>
  <c r="AR21" i="1" s="1"/>
  <c r="AU21" i="1" s="1"/>
  <c r="AX21" i="1" s="1"/>
  <c r="BA21" i="1" s="1"/>
  <c r="BD21" i="1" s="1"/>
  <c r="BG21" i="1" s="1"/>
  <c r="BJ21" i="1" s="1"/>
  <c r="K46" i="1"/>
  <c r="AM46" i="1" s="1"/>
  <c r="AO46" i="1" s="1"/>
  <c r="AR46" i="1" s="1"/>
  <c r="AU46" i="1" s="1"/>
  <c r="AX46" i="1" s="1"/>
  <c r="BA46" i="1" s="1"/>
  <c r="BD46" i="1" s="1"/>
  <c r="BG46" i="1" s="1"/>
  <c r="BJ46" i="1" s="1"/>
  <c r="K20" i="1"/>
  <c r="K48" i="1"/>
  <c r="AM48" i="1" s="1"/>
  <c r="AO48" i="1" s="1"/>
  <c r="AR48" i="1" s="1"/>
  <c r="AU48" i="1" s="1"/>
  <c r="AX48" i="1" s="1"/>
  <c r="BA48" i="1" s="1"/>
  <c r="BD48" i="1" s="1"/>
  <c r="BG48" i="1" s="1"/>
  <c r="BJ48" i="1" s="1"/>
  <c r="K45" i="1"/>
  <c r="M45" i="1" s="1"/>
  <c r="K19" i="1"/>
  <c r="AM19" i="1" s="1"/>
  <c r="AO19" i="1" s="1"/>
  <c r="AR19" i="1" s="1"/>
  <c r="AU19" i="1" s="1"/>
  <c r="AX19" i="1" s="1"/>
  <c r="K18" i="1"/>
  <c r="AM18" i="1" s="1"/>
  <c r="K44" i="1"/>
  <c r="AM44" i="1" s="1"/>
  <c r="AO44" i="1" s="1"/>
  <c r="AR44" i="1" s="1"/>
  <c r="AU44" i="1" s="1"/>
  <c r="AX44" i="1" s="1"/>
  <c r="BA44" i="1" s="1"/>
  <c r="BD44" i="1" s="1"/>
  <c r="BG44" i="1" s="1"/>
  <c r="BJ44" i="1" s="1"/>
  <c r="AD31" i="1"/>
  <c r="AF31" i="1" s="1"/>
  <c r="AE31" i="1"/>
  <c r="AH31" i="1" s="1"/>
  <c r="AK31" i="1" s="1"/>
  <c r="M31" i="1"/>
  <c r="X31" i="1"/>
  <c r="Z31" i="1" s="1"/>
  <c r="AD41" i="1"/>
  <c r="AF41" i="1" s="1"/>
  <c r="AE21" i="1"/>
  <c r="AH21" i="1" s="1"/>
  <c r="AK21" i="1" s="1"/>
  <c r="X21" i="1"/>
  <c r="Z21" i="1" s="1"/>
  <c r="X28" i="1"/>
  <c r="Z28" i="1" s="1"/>
  <c r="M28" i="1"/>
  <c r="AD32" i="1"/>
  <c r="AF32" i="1" s="1"/>
  <c r="M43" i="1"/>
  <c r="M11" i="1"/>
  <c r="AD47" i="1"/>
  <c r="AF47" i="1" s="1"/>
  <c r="AE18" i="1"/>
  <c r="AH18" i="1" s="1"/>
  <c r="AK18" i="1" s="1"/>
  <c r="M39" i="1"/>
  <c r="M40" i="1"/>
  <c r="AE40" i="1"/>
  <c r="AH40" i="1" s="1"/>
  <c r="AK40" i="1" s="1"/>
  <c r="AD40" i="1"/>
  <c r="AF40" i="1"/>
  <c r="X45" i="1"/>
  <c r="Z45" i="1" s="1"/>
  <c r="AD33" i="1"/>
  <c r="AF33" i="1" s="1"/>
  <c r="AE33" i="1"/>
  <c r="AH33" i="1" s="1"/>
  <c r="AK33" i="1" s="1"/>
  <c r="X33" i="1"/>
  <c r="Z33" i="1" s="1"/>
  <c r="M33" i="1"/>
  <c r="AE12" i="1"/>
  <c r="AH12" i="1" s="1"/>
  <c r="AK12" i="1" s="1"/>
  <c r="M12" i="1"/>
  <c r="AD24" i="1"/>
  <c r="AF24" i="1" s="1"/>
  <c r="M24" i="1"/>
  <c r="AE24" i="1"/>
  <c r="AH24" i="1" s="1"/>
  <c r="AK24" i="1" s="1"/>
  <c r="AD13" i="1"/>
  <c r="AF13" i="1" s="1"/>
  <c r="X29" i="1"/>
  <c r="Z29" i="1" s="1"/>
  <c r="AD29" i="1"/>
  <c r="AF29" i="1" s="1"/>
  <c r="M29" i="1"/>
  <c r="M19" i="1"/>
  <c r="X19" i="1"/>
  <c r="Z19" i="1" s="1"/>
  <c r="AD19" i="1"/>
  <c r="AF19" i="1" s="1"/>
  <c r="X48" i="1"/>
  <c r="Z48" i="1" s="1"/>
  <c r="M48" i="1"/>
  <c r="AD42" i="1"/>
  <c r="AF42" i="1"/>
  <c r="M42" i="1"/>
  <c r="AD4" i="1"/>
  <c r="AF4" i="1" s="1"/>
  <c r="X4" i="1"/>
  <c r="Z4" i="1" s="1"/>
  <c r="AE46" i="1"/>
  <c r="AH46" i="1" s="1"/>
  <c r="AK46" i="1" s="1"/>
  <c r="M46" i="1"/>
  <c r="AE10" i="1"/>
  <c r="AH10" i="1" s="1"/>
  <c r="AK10" i="1" s="1"/>
  <c r="X22" i="1"/>
  <c r="Z22" i="1" s="1"/>
  <c r="AD22" i="1"/>
  <c r="AF22" i="1" s="1"/>
  <c r="M22" i="1"/>
  <c r="AE22" i="1"/>
  <c r="AH22" i="1" s="1"/>
  <c r="AK22" i="1" s="1"/>
  <c r="M34" i="1"/>
  <c r="AD34" i="1"/>
  <c r="AF34" i="1" s="1"/>
  <c r="AE34" i="1"/>
  <c r="AH34" i="1" s="1"/>
  <c r="AK34" i="1" s="1"/>
  <c r="DG56" i="1"/>
  <c r="BY56" i="1"/>
  <c r="FA16" i="1"/>
  <c r="FA15" i="1"/>
  <c r="V37" i="1" l="1"/>
  <c r="Y37" i="1"/>
  <c r="AB37" i="1" s="1"/>
  <c r="V44" i="1"/>
  <c r="Y44" i="1"/>
  <c r="AB44" i="1" s="1"/>
  <c r="Y49" i="1"/>
  <c r="AB49" i="1" s="1"/>
  <c r="V49" i="1"/>
  <c r="EX56" i="1"/>
  <c r="AD28" i="1"/>
  <c r="AF28" i="1" s="1"/>
  <c r="V47" i="1"/>
  <c r="FA56" i="1"/>
  <c r="AE26" i="1"/>
  <c r="AH26" i="1" s="1"/>
  <c r="AK26" i="1" s="1"/>
  <c r="AE37" i="1"/>
  <c r="AH37" i="1" s="1"/>
  <c r="AK37" i="1" s="1"/>
  <c r="AE5" i="1"/>
  <c r="AH5" i="1" s="1"/>
  <c r="AK5" i="1" s="1"/>
  <c r="AM8" i="1"/>
  <c r="AO8" i="1" s="1"/>
  <c r="AR8" i="1" s="1"/>
  <c r="AU8" i="1" s="1"/>
  <c r="AX8" i="1" s="1"/>
  <c r="BA8" i="1" s="1"/>
  <c r="BD8" i="1" s="1"/>
  <c r="BG8" i="1" s="1"/>
  <c r="BJ8" i="1" s="1"/>
  <c r="AM49" i="1"/>
  <c r="AO49" i="1" s="1"/>
  <c r="AR49" i="1" s="1"/>
  <c r="AU49" i="1" s="1"/>
  <c r="AX49" i="1" s="1"/>
  <c r="BA49" i="1" s="1"/>
  <c r="BD49" i="1" s="1"/>
  <c r="BG49" i="1" s="1"/>
  <c r="BJ49" i="1" s="1"/>
  <c r="AE36" i="1"/>
  <c r="AH36" i="1" s="1"/>
  <c r="AK36" i="1" s="1"/>
  <c r="X38" i="1"/>
  <c r="Z38" i="1" s="1"/>
  <c r="AE8" i="1"/>
  <c r="AH8" i="1" s="1"/>
  <c r="AK8" i="1" s="1"/>
  <c r="M18" i="1"/>
  <c r="X9" i="1"/>
  <c r="Z9" i="1" s="1"/>
  <c r="Y34" i="1"/>
  <c r="AB34" i="1" s="1"/>
  <c r="AE28" i="1"/>
  <c r="AH28" i="1" s="1"/>
  <c r="AK28" i="1" s="1"/>
  <c r="X25" i="1"/>
  <c r="Z25" i="1" s="1"/>
  <c r="X18" i="1"/>
  <c r="Z18" i="1" s="1"/>
  <c r="X8" i="1"/>
  <c r="Z8" i="1" s="1"/>
  <c r="AE47" i="1"/>
  <c r="AH47" i="1" s="1"/>
  <c r="AK47" i="1" s="1"/>
  <c r="AE42" i="1"/>
  <c r="AH42" i="1" s="1"/>
  <c r="AK42" i="1" s="1"/>
  <c r="M13" i="1"/>
  <c r="AD45" i="1"/>
  <c r="AF45" i="1" s="1"/>
  <c r="X47" i="1"/>
  <c r="Z47" i="1" s="1"/>
  <c r="AD49" i="1"/>
  <c r="AF49" i="1" s="1"/>
  <c r="AM43" i="1"/>
  <c r="AO43" i="1" s="1"/>
  <c r="AR43" i="1" s="1"/>
  <c r="AU43" i="1" s="1"/>
  <c r="AX43" i="1" s="1"/>
  <c r="BA43" i="1" s="1"/>
  <c r="BD43" i="1" s="1"/>
  <c r="BG43" i="1" s="1"/>
  <c r="BJ43" i="1" s="1"/>
  <c r="AE6" i="1"/>
  <c r="AH6" i="1" s="1"/>
  <c r="AK6" i="1" s="1"/>
  <c r="AD18" i="1"/>
  <c r="AF18" i="1" s="1"/>
  <c r="M49" i="1"/>
  <c r="AD38" i="1"/>
  <c r="AF38" i="1" s="1"/>
  <c r="M7" i="1"/>
  <c r="AE49" i="1"/>
  <c r="AH49" i="1" s="1"/>
  <c r="AK49" i="1" s="1"/>
  <c r="M38" i="1"/>
  <c r="AE7" i="1"/>
  <c r="AH7" i="1" s="1"/>
  <c r="AK7" i="1" s="1"/>
  <c r="M5" i="1"/>
  <c r="X13" i="1"/>
  <c r="Z13" i="1" s="1"/>
  <c r="AE45" i="1"/>
  <c r="AH45" i="1" s="1"/>
  <c r="AK45" i="1" s="1"/>
  <c r="AD7" i="1"/>
  <c r="AF7" i="1" s="1"/>
  <c r="X5" i="1"/>
  <c r="Z5" i="1" s="1"/>
  <c r="X42" i="1"/>
  <c r="Z42" i="1" s="1"/>
  <c r="AE13" i="1"/>
  <c r="AH13" i="1" s="1"/>
  <c r="AK13" i="1" s="1"/>
  <c r="X11" i="1"/>
  <c r="Z11" i="1" s="1"/>
  <c r="X7" i="1"/>
  <c r="Z7" i="1" s="1"/>
  <c r="AM41" i="1"/>
  <c r="AO41" i="1" s="1"/>
  <c r="AR41" i="1" s="1"/>
  <c r="AU41" i="1" s="1"/>
  <c r="AX41" i="1" s="1"/>
  <c r="BA41" i="1" s="1"/>
  <c r="BD41" i="1" s="1"/>
  <c r="BG41" i="1" s="1"/>
  <c r="BJ41" i="1" s="1"/>
  <c r="X43" i="1"/>
  <c r="Z43" i="1" s="1"/>
  <c r="X41" i="1"/>
  <c r="Z41" i="1" s="1"/>
  <c r="AM39" i="1"/>
  <c r="AO39" i="1" s="1"/>
  <c r="AR39" i="1" s="1"/>
  <c r="AU39" i="1" s="1"/>
  <c r="AX39" i="1" s="1"/>
  <c r="BA39" i="1" s="1"/>
  <c r="BD39" i="1" s="1"/>
  <c r="BG39" i="1" s="1"/>
  <c r="BJ39" i="1" s="1"/>
  <c r="FB17" i="1"/>
  <c r="FB56" i="1" s="1"/>
  <c r="AD5" i="1"/>
  <c r="AF5" i="1" s="1"/>
  <c r="AE41" i="1"/>
  <c r="AH41" i="1" s="1"/>
  <c r="AK41" i="1" s="1"/>
  <c r="FA17" i="1"/>
  <c r="X40" i="1"/>
  <c r="Z40" i="1" s="1"/>
  <c r="M32" i="1"/>
  <c r="Y19" i="1"/>
  <c r="AB19" i="1" s="1"/>
  <c r="V19" i="1"/>
  <c r="Y17" i="1"/>
  <c r="AB17" i="1" s="1"/>
  <c r="V17" i="1"/>
  <c r="Y45" i="1"/>
  <c r="AB45" i="1" s="1"/>
  <c r="V45" i="1"/>
  <c r="V29" i="1"/>
  <c r="Y29" i="1"/>
  <c r="AB29" i="1" s="1"/>
  <c r="Y13" i="1"/>
  <c r="AB13" i="1" s="1"/>
  <c r="V13" i="1"/>
  <c r="V10" i="1"/>
  <c r="Y10" i="1"/>
  <c r="AB10" i="1" s="1"/>
  <c r="Y11" i="1"/>
  <c r="AB11" i="1" s="1"/>
  <c r="V11" i="1"/>
  <c r="Y41" i="1"/>
  <c r="AB41" i="1" s="1"/>
  <c r="V41" i="1"/>
  <c r="Y23" i="1"/>
  <c r="AB23" i="1" s="1"/>
  <c r="V23" i="1"/>
  <c r="V4" i="1"/>
  <c r="Y4" i="1"/>
  <c r="AB4" i="1" s="1"/>
  <c r="V33" i="1"/>
  <c r="Y33" i="1"/>
  <c r="AB33" i="1" s="1"/>
  <c r="Y27" i="1"/>
  <c r="AB27" i="1" s="1"/>
  <c r="O56" i="1"/>
  <c r="EZ16" i="1"/>
  <c r="V42" i="1"/>
  <c r="Y28" i="1"/>
  <c r="AB28" i="1" s="1"/>
  <c r="EL17" i="1"/>
  <c r="V22" i="1"/>
  <c r="V26" i="1"/>
  <c r="V7" i="1"/>
  <c r="Y35" i="1"/>
  <c r="AB35" i="1" s="1"/>
  <c r="V38" i="1"/>
  <c r="V55" i="1"/>
  <c r="EI15" i="1"/>
  <c r="EK15" i="1" s="1"/>
  <c r="V18" i="1"/>
  <c r="Y18" i="1"/>
  <c r="AB18" i="1" s="1"/>
  <c r="V52" i="1"/>
  <c r="Y52" i="1"/>
  <c r="AB52" i="1" s="1"/>
  <c r="V32" i="1"/>
  <c r="Y32" i="1"/>
  <c r="AB32" i="1" s="1"/>
  <c r="Y51" i="1"/>
  <c r="AB51" i="1" s="1"/>
  <c r="V51" i="1"/>
  <c r="Y40" i="1"/>
  <c r="AB40" i="1" s="1"/>
  <c r="V40" i="1"/>
  <c r="Y20" i="1"/>
  <c r="AB20" i="1" s="1"/>
  <c r="V20" i="1"/>
  <c r="V16" i="1"/>
  <c r="Y16" i="1"/>
  <c r="AB16" i="1" s="1"/>
  <c r="V36" i="1"/>
  <c r="Y36" i="1"/>
  <c r="AB36" i="1" s="1"/>
  <c r="V24" i="1"/>
  <c r="Y24" i="1"/>
  <c r="AB24" i="1" s="1"/>
  <c r="V54" i="1"/>
  <c r="Y54" i="1"/>
  <c r="AB54" i="1" s="1"/>
  <c r="V43" i="1"/>
  <c r="Y43" i="1"/>
  <c r="AB43" i="1" s="1"/>
  <c r="V14" i="1"/>
  <c r="Y14" i="1"/>
  <c r="AB14" i="1" s="1"/>
  <c r="Q26" i="1"/>
  <c r="X26" i="1"/>
  <c r="Z26" i="1" s="1"/>
  <c r="X36" i="1"/>
  <c r="Z36" i="1" s="1"/>
  <c r="EI16" i="1"/>
  <c r="M36" i="1"/>
  <c r="X14" i="1"/>
  <c r="Z14" i="1" s="1"/>
  <c r="AD46" i="1"/>
  <c r="AF46" i="1" s="1"/>
  <c r="AE35" i="1"/>
  <c r="AH35" i="1" s="1"/>
  <c r="AK35" i="1" s="1"/>
  <c r="AD39" i="1"/>
  <c r="AF39" i="1" s="1"/>
  <c r="X32" i="1"/>
  <c r="Z32" i="1" s="1"/>
  <c r="X37" i="1"/>
  <c r="Z37" i="1" s="1"/>
  <c r="AD6" i="1"/>
  <c r="AF6" i="1" s="1"/>
  <c r="Y9" i="1"/>
  <c r="AB9" i="1" s="1"/>
  <c r="Y46" i="1"/>
  <c r="AB46" i="1" s="1"/>
  <c r="AM47" i="1"/>
  <c r="AO47" i="1" s="1"/>
  <c r="AR47" i="1" s="1"/>
  <c r="AU47" i="1" s="1"/>
  <c r="AX47" i="1" s="1"/>
  <c r="BA47" i="1" s="1"/>
  <c r="BD47" i="1" s="1"/>
  <c r="BG47" i="1" s="1"/>
  <c r="BJ47" i="1" s="1"/>
  <c r="M37" i="1"/>
  <c r="AM27" i="1"/>
  <c r="AO27" i="1" s="1"/>
  <c r="AR27" i="1" s="1"/>
  <c r="AU27" i="1" s="1"/>
  <c r="AX27" i="1" s="1"/>
  <c r="BA27" i="1" s="1"/>
  <c r="BD27" i="1" s="1"/>
  <c r="BG27" i="1" s="1"/>
  <c r="BJ27" i="1" s="1"/>
  <c r="AM12" i="1"/>
  <c r="AO12" i="1" s="1"/>
  <c r="AR12" i="1" s="1"/>
  <c r="AU12" i="1" s="1"/>
  <c r="AX12" i="1" s="1"/>
  <c r="BA12" i="1" s="1"/>
  <c r="BD12" i="1" s="1"/>
  <c r="BG12" i="1" s="1"/>
  <c r="BJ12" i="1" s="1"/>
  <c r="X12" i="1"/>
  <c r="Z12" i="1" s="1"/>
  <c r="AE27" i="1"/>
  <c r="AH27" i="1" s="1"/>
  <c r="AK27" i="1" s="1"/>
  <c r="X46" i="1"/>
  <c r="Z46" i="1" s="1"/>
  <c r="AD48" i="1"/>
  <c r="AF48" i="1" s="1"/>
  <c r="M35" i="1"/>
  <c r="AE32" i="1"/>
  <c r="AH32" i="1" s="1"/>
  <c r="AK32" i="1" s="1"/>
  <c r="AD21" i="1"/>
  <c r="AF21" i="1" s="1"/>
  <c r="EI44" i="1"/>
  <c r="X35" i="1"/>
  <c r="Z35" i="1" s="1"/>
  <c r="M14" i="1"/>
  <c r="AD35" i="1"/>
  <c r="AF35" i="1" s="1"/>
  <c r="AE14" i="1"/>
  <c r="AH14" i="1" s="1"/>
  <c r="AK14" i="1" s="1"/>
  <c r="AE29" i="1"/>
  <c r="AH29" i="1" s="1"/>
  <c r="AK29" i="1" s="1"/>
  <c r="M21" i="1"/>
  <c r="Y15" i="1"/>
  <c r="AB15" i="1" s="1"/>
  <c r="V12" i="1"/>
  <c r="AM37" i="1"/>
  <c r="AO37" i="1" s="1"/>
  <c r="AR37" i="1" s="1"/>
  <c r="AU37" i="1" s="1"/>
  <c r="AX37" i="1" s="1"/>
  <c r="BA37" i="1" s="1"/>
  <c r="BD37" i="1" s="1"/>
  <c r="BG37" i="1" s="1"/>
  <c r="BJ37" i="1" s="1"/>
  <c r="Y8" i="1"/>
  <c r="AB8" i="1" s="1"/>
  <c r="EF56" i="1"/>
  <c r="AD27" i="1"/>
  <c r="AF27" i="1" s="1"/>
  <c r="ER16" i="1"/>
  <c r="ET16" i="1" s="1"/>
  <c r="V39" i="1"/>
  <c r="V50" i="1"/>
  <c r="AM20" i="1"/>
  <c r="AO20" i="1" s="1"/>
  <c r="AR20" i="1" s="1"/>
  <c r="AU20" i="1" s="1"/>
  <c r="AX20" i="1" s="1"/>
  <c r="BA20" i="1" s="1"/>
  <c r="BD20" i="1" s="1"/>
  <c r="BG20" i="1" s="1"/>
  <c r="BJ20" i="1" s="1"/>
  <c r="M20" i="1"/>
  <c r="U56" i="1"/>
  <c r="M44" i="1"/>
  <c r="V30" i="1"/>
  <c r="AD20" i="1"/>
  <c r="AF20" i="1" s="1"/>
  <c r="DM56" i="1"/>
  <c r="X27" i="1"/>
  <c r="Z27" i="1" s="1"/>
  <c r="AE48" i="1"/>
  <c r="AH48" i="1" s="1"/>
  <c r="AK48" i="1" s="1"/>
  <c r="AM11" i="1"/>
  <c r="AO11" i="1" s="1"/>
  <c r="AR11" i="1" s="1"/>
  <c r="AU11" i="1" s="1"/>
  <c r="AX11" i="1" s="1"/>
  <c r="BA11" i="1" s="1"/>
  <c r="BD11" i="1" s="1"/>
  <c r="BG11" i="1" s="1"/>
  <c r="BJ11" i="1" s="1"/>
  <c r="AE11" i="1"/>
  <c r="AH11" i="1" s="1"/>
  <c r="AK11" i="1" s="1"/>
  <c r="M26" i="1"/>
  <c r="AE25" i="1"/>
  <c r="AH25" i="1" s="1"/>
  <c r="AK25" i="1" s="1"/>
  <c r="M10" i="1"/>
  <c r="AE20" i="1"/>
  <c r="AH20" i="1" s="1"/>
  <c r="AK20" i="1" s="1"/>
  <c r="Y31" i="1"/>
  <c r="AB31" i="1" s="1"/>
  <c r="Y25" i="1"/>
  <c r="AB25" i="1" s="1"/>
  <c r="V48" i="1"/>
  <c r="AD23" i="1"/>
  <c r="AF23" i="1" s="1"/>
  <c r="X23" i="1"/>
  <c r="Z23" i="1" s="1"/>
  <c r="AM25" i="1"/>
  <c r="AO25" i="1" s="1"/>
  <c r="AR25" i="1" s="1"/>
  <c r="AU25" i="1" s="1"/>
  <c r="AX25" i="1" s="1"/>
  <c r="BA25" i="1" s="1"/>
  <c r="BD25" i="1" s="1"/>
  <c r="BG25" i="1" s="1"/>
  <c r="BJ25" i="1" s="1"/>
  <c r="Y53" i="1"/>
  <c r="AB53" i="1" s="1"/>
  <c r="AD14" i="1"/>
  <c r="AF14" i="1" s="1"/>
  <c r="AD44" i="1"/>
  <c r="AF44" i="1" s="1"/>
  <c r="M25" i="1"/>
  <c r="AE43" i="1"/>
  <c r="AH43" i="1" s="1"/>
  <c r="AK43" i="1" s="1"/>
  <c r="AD10" i="1"/>
  <c r="AF10" i="1" s="1"/>
  <c r="AE23" i="1"/>
  <c r="AH23" i="1" s="1"/>
  <c r="AK23" i="1" s="1"/>
  <c r="AE44" i="1"/>
  <c r="AH44" i="1" s="1"/>
  <c r="AK44" i="1" s="1"/>
  <c r="M6" i="1"/>
  <c r="AD36" i="1"/>
  <c r="AF36" i="1" s="1"/>
  <c r="X34" i="1"/>
  <c r="Z34" i="1" s="1"/>
  <c r="M23" i="1"/>
  <c r="AD9" i="1"/>
  <c r="AF9" i="1" s="1"/>
  <c r="AE9" i="1"/>
  <c r="AH9" i="1" s="1"/>
  <c r="AK9" i="1" s="1"/>
  <c r="AD26" i="1"/>
  <c r="AF26" i="1" s="1"/>
  <c r="X20" i="1"/>
  <c r="Z20" i="1" s="1"/>
  <c r="M8" i="1"/>
  <c r="X24" i="1"/>
  <c r="Z24" i="1" s="1"/>
  <c r="AM24" i="1"/>
  <c r="AO24" i="1" s="1"/>
  <c r="AR24" i="1" s="1"/>
  <c r="AU24" i="1" s="1"/>
  <c r="AX24" i="1" s="1"/>
  <c r="BA24" i="1" s="1"/>
  <c r="BD24" i="1" s="1"/>
  <c r="BG24" i="1" s="1"/>
  <c r="BJ24" i="1" s="1"/>
  <c r="X10" i="1"/>
  <c r="Z10" i="1" s="1"/>
  <c r="AE19" i="1"/>
  <c r="AH19" i="1" s="1"/>
  <c r="AK19" i="1" s="1"/>
  <c r="AE38" i="1"/>
  <c r="AH38" i="1" s="1"/>
  <c r="AK38" i="1" s="1"/>
  <c r="M9" i="1"/>
  <c r="X44" i="1"/>
  <c r="Z44" i="1" s="1"/>
  <c r="X6" i="1"/>
  <c r="Z6" i="1" s="1"/>
  <c r="V21" i="1"/>
  <c r="EN17" i="1" l="1"/>
  <c r="EO17" i="1"/>
  <c r="EL15" i="1"/>
  <c r="EK44" i="1"/>
  <c r="EL44" i="1"/>
  <c r="EN15" i="1"/>
  <c r="EO15" i="1"/>
  <c r="EL56" i="1"/>
  <c r="EK16" i="1"/>
  <c r="EI56" i="1"/>
  <c r="EQ17" i="1" l="1"/>
  <c r="ER17" i="1"/>
  <c r="ET17" i="1" s="1"/>
  <c r="EQ15" i="1"/>
  <c r="ER15" i="1"/>
  <c r="EN44" i="1"/>
  <c r="EO44" i="1"/>
  <c r="EO56" i="1" s="1"/>
  <c r="EQ44" i="1" l="1"/>
  <c r="ER44" i="1"/>
  <c r="ET44" i="1" s="1"/>
  <c r="ET15" i="1"/>
  <c r="ER5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<sst xmlns="http://schemas.openxmlformats.org/spreadsheetml/2006/main" count="3059" uniqueCount="953">
  <si>
    <t>PRESALES</t>
  </si>
  <si>
    <t>CONSTRUCTION</t>
  </si>
  <si>
    <t>Source</t>
  </si>
  <si>
    <t>Status</t>
  </si>
  <si>
    <t>CRM</t>
  </si>
  <si>
    <t xml:space="preserve"> CRM</t>
  </si>
  <si>
    <t>Email</t>
  </si>
  <si>
    <t>Ricardy</t>
  </si>
  <si>
    <t>BD</t>
  </si>
  <si>
    <t>Design Stage</t>
  </si>
  <si>
    <t>Opp Name</t>
  </si>
  <si>
    <t>Opp ID</t>
  </si>
  <si>
    <t>Deal Type</t>
  </si>
  <si>
    <t>Property Type</t>
  </si>
  <si>
    <t>Deal Stage</t>
  </si>
  <si>
    <t>BD Name</t>
  </si>
  <si>
    <t>Receive date</t>
  </si>
  <si>
    <t>#Units</t>
  </si>
  <si>
    <t>Kickoff date</t>
  </si>
  <si>
    <t>ROM Request</t>
  </si>
  <si>
    <t>ROM Receive</t>
  </si>
  <si>
    <t>Backhaul Cost Request</t>
  </si>
  <si>
    <t>Backhaul Cost Receive</t>
  </si>
  <si>
    <t>OSP Request</t>
  </si>
  <si>
    <t>OSP Receive</t>
  </si>
  <si>
    <t>FM Request</t>
  </si>
  <si>
    <t>FM receive</t>
  </si>
  <si>
    <t>FM review</t>
  </si>
  <si>
    <t xml:space="preserve">FM Approval meeting </t>
  </si>
  <si>
    <t>1-pager Submission to BD</t>
  </si>
  <si>
    <t>Proposal Accepted</t>
  </si>
  <si>
    <t>Firm Pricing request</t>
  </si>
  <si>
    <t>Site walk  &amp;  Firm quote</t>
  </si>
  <si>
    <t>Final Design &amp; BOM(20 calendar days from site walk)</t>
  </si>
  <si>
    <t>Tax Review</t>
  </si>
  <si>
    <t>Tax Approval</t>
  </si>
  <si>
    <t>Final proposal submission</t>
  </si>
  <si>
    <t>CAC Presentation (If applicable)</t>
  </si>
  <si>
    <t>BD submits proposal</t>
  </si>
  <si>
    <t>Final Proposal Accepted</t>
  </si>
  <si>
    <t>Legal agreement</t>
  </si>
  <si>
    <t>Executed Agreement</t>
  </si>
  <si>
    <t>Construction Stage</t>
  </si>
  <si>
    <t>Site Name</t>
  </si>
  <si>
    <t>Site ID</t>
  </si>
  <si>
    <t>A&amp;E Request</t>
  </si>
  <si>
    <t>A&amp;E receive</t>
  </si>
  <si>
    <t>Budget Request</t>
  </si>
  <si>
    <t>Budget Approval</t>
  </si>
  <si>
    <t>Quotes from OEM</t>
  </si>
  <si>
    <t xml:space="preserve">PO Request for OEM </t>
  </si>
  <si>
    <t>PO Approval</t>
  </si>
  <si>
    <t>backhaul ordered</t>
  </si>
  <si>
    <t>RTP Request</t>
  </si>
  <si>
    <t>RTP Approved</t>
  </si>
  <si>
    <t>RFP Request</t>
  </si>
  <si>
    <t>RFP Received</t>
  </si>
  <si>
    <t>PO for GC Request</t>
  </si>
  <si>
    <t>PO for GC Approved</t>
  </si>
  <si>
    <t>Construction Start</t>
  </si>
  <si>
    <t>Construction Complete</t>
  </si>
  <si>
    <t>Build (6 months)</t>
  </si>
  <si>
    <t>Integration Start</t>
  </si>
  <si>
    <t>Integration Complete</t>
  </si>
  <si>
    <t>Close Out Package(2weeks from integration complete</t>
  </si>
  <si>
    <t>Acceptance testing 2 weeks from close out package)</t>
  </si>
  <si>
    <t>Customer acceptance(1 month after acceptance testing)</t>
  </si>
  <si>
    <t>Operations handoff(1 week after customer acceptance)</t>
  </si>
  <si>
    <t>FNE Date</t>
  </si>
  <si>
    <t>FNE Notice</t>
  </si>
  <si>
    <t>PMDB Update</t>
  </si>
  <si>
    <t>Revenue Billing(PMDB)</t>
  </si>
  <si>
    <t>Completed</t>
  </si>
  <si>
    <t>FL_Pearl Street N11_WIFI</t>
  </si>
  <si>
    <t>Connected Venues</t>
  </si>
  <si>
    <t>Tyrone</t>
  </si>
  <si>
    <t>C. In progress</t>
  </si>
  <si>
    <t>Alan B Miller</t>
  </si>
  <si>
    <t>West Jefferson Medical Center Enterprise DAS</t>
  </si>
  <si>
    <t>DAS</t>
  </si>
  <si>
    <t>Benson</t>
  </si>
  <si>
    <t xml:space="preserve">Asante Temp Tower #2 </t>
  </si>
  <si>
    <t>On Hold - No FNE for Now</t>
  </si>
  <si>
    <t>Toscana at Valley Ridge</t>
  </si>
  <si>
    <t>Christina</t>
  </si>
  <si>
    <t>Asante-1</t>
  </si>
  <si>
    <t>Clearview</t>
  </si>
  <si>
    <t>FNE</t>
  </si>
  <si>
    <t xml:space="preserve">Baptist Parkridge </t>
  </si>
  <si>
    <t>DAS Carrier Add - No FNE</t>
  </si>
  <si>
    <t>Enclave on Golden Triangle</t>
  </si>
  <si>
    <t>C. Design</t>
  </si>
  <si>
    <t>Belle Isle Phase 2</t>
  </si>
  <si>
    <t>Need to Forecast Once GC is Awarded</t>
  </si>
  <si>
    <t>Heights at Meridian</t>
  </si>
  <si>
    <t>Cedar Hill Medical</t>
  </si>
  <si>
    <t>Carson Estates</t>
  </si>
  <si>
    <t>Chacra Canyon</t>
  </si>
  <si>
    <t>DAS Site Mod - No FNE</t>
  </si>
  <si>
    <t>Melrose</t>
  </si>
  <si>
    <t>Debeque Canyon</t>
  </si>
  <si>
    <t>Hold</t>
  </si>
  <si>
    <t>OR_Ferguson Rd Quarterra_Wi-Fi</t>
  </si>
  <si>
    <t>Ramith</t>
  </si>
  <si>
    <t>Walmart Enterprise DAS</t>
  </si>
  <si>
    <t>Steven</t>
  </si>
  <si>
    <t>N/A</t>
  </si>
  <si>
    <t>Dr Phillips Center</t>
  </si>
  <si>
    <t>FL Venice Shores Luxury Apartments WIFI</t>
  </si>
  <si>
    <t>Emory Decatur Hospital</t>
  </si>
  <si>
    <t>Lost</t>
  </si>
  <si>
    <t>Waterman RFP</t>
  </si>
  <si>
    <t>Master Communities</t>
  </si>
  <si>
    <t>Emory Health Sciences Research</t>
  </si>
  <si>
    <t>Romano Capital - WA_Palisade_NC</t>
  </si>
  <si>
    <t>Connected Communities</t>
  </si>
  <si>
    <t>Barrett/Christina</t>
  </si>
  <si>
    <t>Emory Hillandale Hospital</t>
  </si>
  <si>
    <t>Asante  Temp Tower 2</t>
  </si>
  <si>
    <t>Emory Long Term Acute Care</t>
  </si>
  <si>
    <t>UT_Valley of Wildflower (Lennar development)</t>
  </si>
  <si>
    <t>Emory Musculoskeletal Institute (EP MSK)</t>
  </si>
  <si>
    <t>IN_McCromicks Greek</t>
  </si>
  <si>
    <t>Emory Orthopaedics Hospital</t>
  </si>
  <si>
    <t>Done</t>
  </si>
  <si>
    <t>FL_Waterlin</t>
  </si>
  <si>
    <t xml:space="preserve">Emory Saint Joseph's Hospital </t>
  </si>
  <si>
    <t>TX-Honey Creek</t>
  </si>
  <si>
    <t>Emory University Hospital (Plus A, B, C Clinic - ATT EOL)</t>
  </si>
  <si>
    <t>AL_The Hub at Grants Hill</t>
  </si>
  <si>
    <t>Emory University Hospital Midtown</t>
  </si>
  <si>
    <t>Waterman Village</t>
  </si>
  <si>
    <t>Emory Wesley Woods Geriatric Hospital</t>
  </si>
  <si>
    <t>NY_State Street Apartment - Datavalet</t>
  </si>
  <si>
    <t>FIU</t>
  </si>
  <si>
    <t>FL_Green District</t>
  </si>
  <si>
    <t>Connected Venues/Wifi</t>
  </si>
  <si>
    <t>Glenwood Canyon ATT Additional Node</t>
  </si>
  <si>
    <t>No FNE since this is just a Site Mod.</t>
  </si>
  <si>
    <t>On Hold</t>
  </si>
  <si>
    <t>Canvas at Wildwood</t>
  </si>
  <si>
    <t>Glenwood Canyon Backup Power</t>
  </si>
  <si>
    <t>707 Terry Coffee Shop</t>
  </si>
  <si>
    <t>Glasgow</t>
  </si>
  <si>
    <t>Airabella</t>
  </si>
  <si>
    <t>Hyatt Regency Orlando</t>
  </si>
  <si>
    <t>The Estates at Hurstmont</t>
  </si>
  <si>
    <t>Laurens MRI</t>
  </si>
  <si>
    <t>FM</t>
  </si>
  <si>
    <t>Alyster</t>
  </si>
  <si>
    <t>Minnesota State Fairgrounds</t>
  </si>
  <si>
    <t>DAS Radio Swap - No FNE</t>
  </si>
  <si>
    <t>eleva</t>
  </si>
  <si>
    <t>Mt. Sinai</t>
  </si>
  <si>
    <t>Big Brooke Temp Tower</t>
  </si>
  <si>
    <t>Omni Championsgate Design</t>
  </si>
  <si>
    <t>Mondu</t>
  </si>
  <si>
    <t>Omni Hilton Head</t>
  </si>
  <si>
    <t>No FNE since this is in the Sales/Business Development Phase.</t>
  </si>
  <si>
    <t>Bermuda Village</t>
  </si>
  <si>
    <t>Packing District: 4Roots</t>
  </si>
  <si>
    <t>Network Takeover</t>
  </si>
  <si>
    <t>In Design</t>
  </si>
  <si>
    <t>Omni Nashville</t>
  </si>
  <si>
    <t>Adam</t>
  </si>
  <si>
    <t xml:space="preserve">N/A </t>
  </si>
  <si>
    <t xml:space="preserve">Packing District: High Point Climbing </t>
  </si>
  <si>
    <t>No FNE since this is just additional customer/client adds</t>
  </si>
  <si>
    <t>RS Apartments_Retrofit_GPON</t>
  </si>
  <si>
    <t>Packing District: Momentic Studios ORPD LLC</t>
  </si>
  <si>
    <t>Northern Nevada Sierra</t>
  </si>
  <si>
    <t>N/A - 1 Bulding</t>
  </si>
  <si>
    <t>Palisades South (Debeque)</t>
  </si>
  <si>
    <t>Gathering Requirement</t>
  </si>
  <si>
    <t>Golden Gem Resi</t>
  </si>
  <si>
    <t>Parcel B DAS</t>
  </si>
  <si>
    <t>FNE won't be determined until all agreements and contracts are executed</t>
  </si>
  <si>
    <t>Bosa REN</t>
  </si>
  <si>
    <t xml:space="preserve">Parshall </t>
  </si>
  <si>
    <t>OSP</t>
  </si>
  <si>
    <t>Serenade</t>
  </si>
  <si>
    <t>PH Greer Memorial Hospital</t>
  </si>
  <si>
    <t>The perle</t>
  </si>
  <si>
    <t>PH Midlands NE MACC</t>
  </si>
  <si>
    <t>SBA Jax Data Center</t>
  </si>
  <si>
    <t>Prisma Greenville Memorial Hospital</t>
  </si>
  <si>
    <t xml:space="preserve">No FNE since this just a maintenance request. </t>
  </si>
  <si>
    <t>Design</t>
  </si>
  <si>
    <t>The wellinton</t>
  </si>
  <si>
    <t>Rancho Springs</t>
  </si>
  <si>
    <t>37 Tree view</t>
  </si>
  <si>
    <t>Richland Hospital</t>
  </si>
  <si>
    <t>Prisma Health | Blount Memorial Hospital</t>
  </si>
  <si>
    <t>6 Floors</t>
  </si>
  <si>
    <t>St. Charles Convention Center and Hotel</t>
  </si>
  <si>
    <t>Veridea</t>
  </si>
  <si>
    <t>State of Michigan Capitol Campus</t>
  </si>
  <si>
    <t>The Cliffs at Walnut Cove</t>
  </si>
  <si>
    <t>Valley of Wildflower (Temp Tower #3)</t>
  </si>
  <si>
    <t>West Henderson</t>
  </si>
  <si>
    <t>Westgate Mall</t>
  </si>
  <si>
    <t>Weekly Report</t>
  </si>
  <si>
    <t>Planning / Procurement</t>
  </si>
  <si>
    <t>RTP</t>
  </si>
  <si>
    <t>Circuit</t>
  </si>
  <si>
    <t>Construction</t>
  </si>
  <si>
    <t>Integration</t>
  </si>
  <si>
    <t>COP</t>
  </si>
  <si>
    <t>Budget</t>
  </si>
  <si>
    <t>Projects</t>
  </si>
  <si>
    <t>SBA CM</t>
  </si>
  <si>
    <t>Progress Report</t>
  </si>
  <si>
    <t>Impediments</t>
  </si>
  <si>
    <t>Support Needs</t>
  </si>
  <si>
    <t>Next Steps</t>
  </si>
  <si>
    <t>Landlord</t>
  </si>
  <si>
    <t>Solution</t>
  </si>
  <si>
    <t xml:space="preserve">DATE of A&amp;E Site Walk </t>
  </si>
  <si>
    <t xml:space="preserve">DATE CDs received </t>
  </si>
  <si>
    <t>Design REV</t>
  </si>
  <si>
    <t xml:space="preserve">DATE BoM Received </t>
  </si>
  <si>
    <t xml:space="preserve">DATE of Desgin to CX Handoff </t>
  </si>
  <si>
    <t>DATE Of GC Award</t>
  </si>
  <si>
    <t>OEM</t>
  </si>
  <si>
    <t>GC</t>
  </si>
  <si>
    <t>Materials Vendor(s)</t>
  </si>
  <si>
    <t>DATE(s) of Ordered Materials</t>
  </si>
  <si>
    <t>RTP Submission</t>
  </si>
  <si>
    <t>Title</t>
  </si>
  <si>
    <t>Zoning</t>
  </si>
  <si>
    <t>Lease</t>
  </si>
  <si>
    <t>Licensing</t>
  </si>
  <si>
    <t>Permits</t>
  </si>
  <si>
    <t xml:space="preserve">Asbestos Testing </t>
  </si>
  <si>
    <t>NPA Review</t>
  </si>
  <si>
    <t>NEPA Review</t>
  </si>
  <si>
    <t>RTP  Approval</t>
  </si>
  <si>
    <t>Circuit Provider</t>
  </si>
  <si>
    <t>(F) Circuit Install</t>
  </si>
  <si>
    <t xml:space="preserve">(A) Circuit Install </t>
  </si>
  <si>
    <t>Construction Kickoff Call</t>
  </si>
  <si>
    <t>(F) Construction Start</t>
  </si>
  <si>
    <t>% Construction Complete</t>
  </si>
  <si>
    <t>(A) Construction Start</t>
  </si>
  <si>
    <t>(F) Construction Complete</t>
  </si>
  <si>
    <t>(A) Construction Complete</t>
  </si>
  <si>
    <t>Monitoring Gear</t>
  </si>
  <si>
    <t>(F) Integration Start</t>
  </si>
  <si>
    <t>(A) Integration Start</t>
  </si>
  <si>
    <t>(F) Integration Complete</t>
  </si>
  <si>
    <t>(A) Integration Complete</t>
  </si>
  <si>
    <t>COP &amp; Checklist</t>
  </si>
  <si>
    <t>DATE of Request to Customer</t>
  </si>
  <si>
    <t>DATE of Customer Acceptance</t>
  </si>
  <si>
    <t>Baseline FNE</t>
  </si>
  <si>
    <t>(F) FNE</t>
  </si>
  <si>
    <t>(A) FNE</t>
  </si>
  <si>
    <t>FNE Quarter</t>
  </si>
  <si>
    <t>CX to Ops Handoff</t>
  </si>
  <si>
    <t>Site Admin / Billing Contact</t>
  </si>
  <si>
    <t>Revenue Start</t>
  </si>
  <si>
    <t>JMS BDGT Labor</t>
  </si>
  <si>
    <t>JMS Actual Labor</t>
  </si>
  <si>
    <t>JMS Remainig Labor</t>
  </si>
  <si>
    <t>Labor 30%</t>
  </si>
  <si>
    <t>30% Payment</t>
  </si>
  <si>
    <t>Labor 60%</t>
  </si>
  <si>
    <t>60% Payment</t>
  </si>
  <si>
    <t>Labor 90%</t>
  </si>
  <si>
    <t>90% Payment</t>
  </si>
  <si>
    <t>Full Payment</t>
  </si>
  <si>
    <t>JMS (F) Materials</t>
  </si>
  <si>
    <t>JMS (A) Materials</t>
  </si>
  <si>
    <t>(V) Materials</t>
  </si>
  <si>
    <t>FNE Ready</t>
  </si>
  <si>
    <t>Justin Shorey</t>
  </si>
  <si>
    <t xml:space="preserve">(1) Followed up again w Adam RE ATT and TMO joining system. (2) Conducted additional call w VZW and Prisma to coordinate VZW commissioning, with a new forecast date for VZW commissioning for Approx. 5/16/2025. </t>
  </si>
  <si>
    <t>(1) Complete final punch walk and COP (2) Get Verizon on the system. (3) resolve TMO and AT&amp;T solution w Adam and team (4) Send final COP to Prisma once VZW is commissioned</t>
  </si>
  <si>
    <t xml:space="preserve">Executed </t>
  </si>
  <si>
    <t>Carrier DAS</t>
  </si>
  <si>
    <t>Received</t>
  </si>
  <si>
    <t>Complete</t>
  </si>
  <si>
    <t>Mcomm</t>
  </si>
  <si>
    <t>Fully Received</t>
  </si>
  <si>
    <t>Accepted</t>
  </si>
  <si>
    <t>Q1</t>
  </si>
  <si>
    <t>Sean Ramjas</t>
  </si>
  <si>
    <t>UHS</t>
  </si>
  <si>
    <t>Enterprise DAS</t>
  </si>
  <si>
    <t>REV 4</t>
  </si>
  <si>
    <t>Widelity &amp; TTS</t>
  </si>
  <si>
    <t>Requested</t>
  </si>
  <si>
    <t>Q2</t>
  </si>
  <si>
    <t>Started</t>
  </si>
  <si>
    <t>(1) DAS installation complete (antenna system)</t>
  </si>
  <si>
    <t>(1) final site walk for next Tuesday. (2) Send COP to AT&amp;T</t>
  </si>
  <si>
    <t>TTS</t>
  </si>
  <si>
    <t>Pending</t>
  </si>
  <si>
    <t>Not Started</t>
  </si>
  <si>
    <t>Not Requested</t>
  </si>
  <si>
    <t>Not Complete</t>
  </si>
  <si>
    <t>At Risk</t>
  </si>
  <si>
    <t xml:space="preserve">(1) Site walk completed with WP for SOW to complete eletrical install. (2) Quote received and PO issued to WP. </t>
  </si>
  <si>
    <t>(1) GC True Access has not been paying their sub contractors (2) Legal issues</t>
  </si>
  <si>
    <t xml:space="preserve">(1) Working with Carlos on budget increase for monies owe to sub-contractors from TruAccess </t>
  </si>
  <si>
    <t>True Access</t>
  </si>
  <si>
    <t>Not Awarded</t>
  </si>
  <si>
    <t>(1) Executed contract. Installation to start in June 2025. (2) Hosted call to review CDs with UHS and Turner (3) Issued RFP for CX GC</t>
  </si>
  <si>
    <t>(1) Need BOM from Daniel (2) Request quotes for passive (Accutech/Alliance) and active gear (ADRF) (3) Award GC</t>
  </si>
  <si>
    <t>Completed by Smart RF. Dewberry to complete commerical for public das</t>
  </si>
  <si>
    <r>
      <t>REV 7.1</t>
    </r>
    <r>
      <rPr>
        <sz val="10"/>
        <color rgb="FF000000"/>
        <rFont val="Aptos"/>
        <family val="2"/>
      </rPr>
      <t xml:space="preserve"> 4/28/2025</t>
    </r>
  </si>
  <si>
    <t>In-Process</t>
  </si>
  <si>
    <t>Not Ordered</t>
  </si>
  <si>
    <t>In-Progress</t>
  </si>
  <si>
    <t>Not Selected</t>
  </si>
  <si>
    <t>Q4</t>
  </si>
  <si>
    <t xml:space="preserve"> $-   </t>
  </si>
  <si>
    <t>Cliffs Walnut Cove</t>
  </si>
  <si>
    <t>Awarded</t>
  </si>
  <si>
    <t xml:space="preserve">(1) Initiated review call with design team (2) Coordinating w Lael, Jack, and Craig @ VZW to get them to join. (3) Scheduled trileaf for NEPA.  </t>
  </si>
  <si>
    <t xml:space="preserve">(1) Project schedule: Waiting on carriers. (2) Waiting on NEPA (100 days) (3) Verizon does not want to pay to join the system. </t>
  </si>
  <si>
    <t xml:space="preserve">NEPA </t>
  </si>
  <si>
    <t xml:space="preserve">(1) Need to double check complete BOM/design against vendor quotes to confirm all passive materials accounted for. (2) Need to review and approve updated drawing/design  (3) Conduct a drawing/design review call w The Cliffs for approval/fine tuning for aesthetics once we get the drawings to that point with Dewberry.  (4) Follow up with RTP for approvals. (5) Track shipment of Cisco Meraki MX. (6) Electrical SOW. (6) Coordinate trileaf site walk. </t>
  </si>
  <si>
    <t>Needs CDs from Dewberry.</t>
  </si>
  <si>
    <t xml:space="preserve">4/29/25 Waiting on ADRF pricing. Needs circuit analysis. </t>
  </si>
  <si>
    <t xml:space="preserve">Justin to coordinate CDs with Dewberry and follow up with design. </t>
  </si>
  <si>
    <t>Verita</t>
  </si>
  <si>
    <t>Partially Ordered</t>
  </si>
  <si>
    <t>Ordered</t>
  </si>
  <si>
    <t>FNE Ready: Upgrade</t>
  </si>
  <si>
    <t>(1) Setup AT&amp;T integration and commissioning for Monday. (2) Conducted site walk w VZW and Prisma for transport installation. (3) Schedule Mcomm to complete GPS antenna re-mounted next week. Set up site schedule for next week to change GPS connector. (4) Coordinated w Ricky at GTS to get them in for cATT commissioning. (5) Requested PO for M Comm for ATT commissioning.</t>
  </si>
  <si>
    <t xml:space="preserve">(1) Follow up with carriers (AT&amp;T) and internal team for BTS installation, integration, and turn up dates. VZW shoud be end of May. ATT possibly need GTS on site. (2) Ensure that Mcomm repairs GPS. </t>
  </si>
  <si>
    <t>Upgrade</t>
  </si>
  <si>
    <t>Lumen</t>
  </si>
  <si>
    <t xml:space="preserve">$-   </t>
  </si>
  <si>
    <t>AZ18C66-P Asante 1</t>
  </si>
  <si>
    <t>(1) FNE complete and announced 3/3/25 (2) Received quotes from EWS for labor on tower mod (height increase)</t>
  </si>
  <si>
    <t>Needs more information from the developer. ON HOLD. 4.25.25</t>
  </si>
  <si>
    <t>(1) Waiting on final design from RF (2) Obtain quotes from vendors</t>
  </si>
  <si>
    <t>FL91000-D Dr Phillips Center</t>
  </si>
  <si>
    <t xml:space="preserve">(1) Completed site walk with Verizon (2) Completed site walk with Dewberry and Electrical vendor (3) Sent pricing to Benson for Verizon. </t>
  </si>
  <si>
    <t>(1) Execute agreement between SBA and Verizon. (2) Waiting on quote for Electrical vendor (3) CDs from Dewberry (4) Provide Sales the construction cost to add VZW</t>
  </si>
  <si>
    <t>GMH- Troubleshooting/Innowave Rip and Replace</t>
  </si>
  <si>
    <t>(1) Cofirmed SOW with internal team (2) followed up for funding (3) responded to customer compliant in CTC (4) performed site walk with Prisma.</t>
  </si>
  <si>
    <t>Funding</t>
  </si>
  <si>
    <t>Need aproval for funding</t>
  </si>
  <si>
    <t xml:space="preserve">(1) Obtain budget approval (2) Work with Sheriffa to Issue RSMPO for labor and materials </t>
  </si>
  <si>
    <t>MI50309-D State of Michigan Capitol Campus</t>
  </si>
  <si>
    <t xml:space="preserve">(1) Site modification: AT&amp;T to swap Nokia for Ericcson gear.  (2) Provided quote to sales for C&amp;I support. </t>
  </si>
  <si>
    <t xml:space="preserve">(1) Benson working with AT&amp;T for agreement. </t>
  </si>
  <si>
    <t>Comcast</t>
  </si>
  <si>
    <t>MN49504-D Minnesota State Fairgrounds</t>
  </si>
  <si>
    <t>(1) Site modification: AT&amp;T to swap Nokia for Erickson gear.  (2) Received quote from MP and forwarded to Benson</t>
  </si>
  <si>
    <t>(1) Confirmed FNE (2) John sent legal notice of substaintial completion</t>
  </si>
  <si>
    <t xml:space="preserve">(1) Need to follow up with Elyinn and team for relocation of monitoring gear to the exterior. </t>
  </si>
  <si>
    <t>Parcel B</t>
  </si>
  <si>
    <t xml:space="preserve">(1) Obtained key from Cogency and returned to site (2) Followed up with  design team for adjustments (3) Conducted site survey for DAS and created and submitted site photo package for design team. </t>
  </si>
  <si>
    <t>(1) Need RF design proposal from RF team. Marlon is working on this request. (2) Cogency to locate and send back IDF cabinet keys.</t>
  </si>
  <si>
    <t>(1) Work with design and sales for design proposal for basement/parking garage. (2) return key to site.</t>
  </si>
  <si>
    <t>SC1B0CE-D PH Midlands NE MACC</t>
  </si>
  <si>
    <t>(1) Customer sent PO in March 2025</t>
  </si>
  <si>
    <t xml:space="preserve">(1) JMS budget needs labor and materials </t>
  </si>
  <si>
    <t>(1) Send construction SOW to sub contractors for RFQ (2) Review design (3) Issue RFP (4) Obtain quotes for materials</t>
  </si>
  <si>
    <t>(1) Sent pricing to sales and Carlos H 4.25.25</t>
  </si>
  <si>
    <t>Signal issues.</t>
  </si>
  <si>
    <t xml:space="preserve">SBA design to support signal enhancement </t>
  </si>
  <si>
    <t>(1) Approve budget (2) Schedule construction</t>
  </si>
  <si>
    <t xml:space="preserve">AZ1B139-P Asante Temp Tower #2 </t>
  </si>
  <si>
    <t xml:space="preserve">(1) Lennar approved deployment of this second tower. (2) Quote received from EWS for labor for installation of tower (4) Obtained from ARE for tower (materials) </t>
  </si>
  <si>
    <t>ON HOLD 4.25.25</t>
  </si>
  <si>
    <t xml:space="preserve">(1) Finalize design and BoM (2) Finalize RTP process (3) Obtain updated quotes based on new design. </t>
  </si>
  <si>
    <t>GA18C5C-D Emory Decatur Hospital</t>
  </si>
  <si>
    <t xml:space="preserve">(1) Initiated RTP (2) Completed NPA (3) Issued RFP for GC (4) Requested passive material quote and lead time (5) Recieved active material quote and lead time (6) Completed project schedule </t>
  </si>
  <si>
    <t>Need to design OEM for solution</t>
  </si>
  <si>
    <t xml:space="preserve">(1) Award project to GCs (2) Finalize budget once quotes are recived (3) Obtain updated CDs per revised Designs. (4) Populate OneVizion once available. (5) Asbestos testing </t>
  </si>
  <si>
    <t>Customer</t>
  </si>
  <si>
    <t>GA18C61-D Emory Health Sciences Research</t>
  </si>
  <si>
    <t>GA18C5E-D Emory Hillandale Hospital</t>
  </si>
  <si>
    <t>GA18C5B-D Emory Hospital Orthopaedics Hospital</t>
  </si>
  <si>
    <t>GA18C60-D Emory Long Term Acute Care</t>
  </si>
  <si>
    <t>GA18C5D-D Emory University Hospital Midtown</t>
  </si>
  <si>
    <t>GA18C5F-D Emory Wesley Woods Geriatric Hospital</t>
  </si>
  <si>
    <t>UT1B13A-P Valley of Wildflower (Temp Tower #3)</t>
  </si>
  <si>
    <t>Column1</t>
  </si>
  <si>
    <t>FM request2</t>
  </si>
  <si>
    <t>FM Review3</t>
  </si>
  <si>
    <t>Total</t>
  </si>
  <si>
    <t>Close Out Package(2weeks from integration complete)</t>
  </si>
  <si>
    <t>Acceptance testing (2 weeks from close out package)</t>
  </si>
  <si>
    <t>ROM Request Forecast</t>
  </si>
  <si>
    <t>ROM Receive Forecast</t>
  </si>
  <si>
    <t>Backhaul Cost Request Forecast</t>
  </si>
  <si>
    <t>Days Since BC Request</t>
  </si>
  <si>
    <t>Days Passed Since ROM Received</t>
  </si>
  <si>
    <t xml:space="preserve">Backhaul Cost Receive Forecast </t>
  </si>
  <si>
    <t xml:space="preserve">Days Since BC Received </t>
  </si>
  <si>
    <t>OSP Request Forecast</t>
  </si>
  <si>
    <t xml:space="preserve">Days Since OSP Request </t>
  </si>
  <si>
    <t>OSP Receive Forecast</t>
  </si>
  <si>
    <t xml:space="preserve">Days Since OSP Received </t>
  </si>
  <si>
    <t xml:space="preserve">FM Request Forecast </t>
  </si>
  <si>
    <t xml:space="preserve">Days Since FM Request </t>
  </si>
  <si>
    <t xml:space="preserve">FM Receive Forecast </t>
  </si>
  <si>
    <t xml:space="preserve">Days Since FM Received </t>
  </si>
  <si>
    <t>Days Passed Since ROM Request</t>
  </si>
  <si>
    <t>FM Review Forecast</t>
  </si>
  <si>
    <t>FNE Notice Forecast</t>
  </si>
  <si>
    <t xml:space="preserve">FNE Date Forecast </t>
  </si>
  <si>
    <t>Legal Agreement Forecast</t>
  </si>
  <si>
    <t>Legal Agreement</t>
  </si>
  <si>
    <t xml:space="preserve">Final Proposal Acceptance Forecast </t>
  </si>
  <si>
    <t>Proposal Acceptance Forecast</t>
  </si>
  <si>
    <t>Days Since Proposal Accepted</t>
  </si>
  <si>
    <t>Firm Pricing Request Forecast</t>
  </si>
  <si>
    <t>Days Since Firm Pricing Request</t>
  </si>
  <si>
    <t>Site Walk</t>
  </si>
  <si>
    <t>Site Walk Forecast</t>
  </si>
  <si>
    <t>Days Since Site Walk</t>
  </si>
  <si>
    <t>Firm Quote Receival</t>
  </si>
  <si>
    <t xml:space="preserve">Firm Quote Receival Forecast </t>
  </si>
  <si>
    <t xml:space="preserve">Days Since Firm Quote Receival </t>
  </si>
  <si>
    <t xml:space="preserve">Final Design &amp; BOM Forecast </t>
  </si>
  <si>
    <t xml:space="preserve">Days Since Final Design &amp; BOM </t>
  </si>
  <si>
    <t>FM Request 2</t>
  </si>
  <si>
    <t>FM Request 2 Forecast</t>
  </si>
  <si>
    <t>Days Since FM Request 2</t>
  </si>
  <si>
    <t>FM Review 2</t>
  </si>
  <si>
    <t>FM Review 2 Forecast</t>
  </si>
  <si>
    <t>Days Since FM Review 2</t>
  </si>
  <si>
    <t>Tax Review Forecast</t>
  </si>
  <si>
    <t xml:space="preserve">Days Since Tax Review </t>
  </si>
  <si>
    <t>Tax Approval Forecast</t>
  </si>
  <si>
    <t>Days Since Tax Approval</t>
  </si>
  <si>
    <t>Final Proposal Submission Forecast</t>
  </si>
  <si>
    <t>Days Since Final Proposal Submission</t>
  </si>
  <si>
    <t>BD Submits Proposal Forecast</t>
  </si>
  <si>
    <t xml:space="preserve">Days Since BD Submitted Proposal </t>
  </si>
  <si>
    <t>Days Since Final Proposal Accepted</t>
  </si>
  <si>
    <t xml:space="preserve">Days Since Legal Agreement </t>
  </si>
  <si>
    <t>Executed Agreement Forecast</t>
  </si>
  <si>
    <t xml:space="preserve">Days Since Executed Agreement </t>
  </si>
  <si>
    <t>Days Since FNE Notice</t>
  </si>
  <si>
    <t>A&amp;E Request Forecast</t>
  </si>
  <si>
    <t>Days Since A&amp;E Request</t>
  </si>
  <si>
    <t>A&amp;E Receive Forecast</t>
  </si>
  <si>
    <t>Budget Request Forecast</t>
  </si>
  <si>
    <t xml:space="preserve">Days Since Budget Request </t>
  </si>
  <si>
    <t xml:space="preserve">Days Since A&amp;E Receive </t>
  </si>
  <si>
    <t xml:space="preserve">Budget Approval Forecast </t>
  </si>
  <si>
    <t xml:space="preserve">Days Since Budget Approval </t>
  </si>
  <si>
    <t>PO Request for OEM Forecast</t>
  </si>
  <si>
    <t>Days Since PO Request for OEM</t>
  </si>
  <si>
    <t>PO Approval Forecast</t>
  </si>
  <si>
    <t>Days Since PO Approval</t>
  </si>
  <si>
    <t>Days Since Backhaul Order</t>
  </si>
  <si>
    <t>Backhaul Order Forecast</t>
  </si>
  <si>
    <t>RTP Request Forecast</t>
  </si>
  <si>
    <t xml:space="preserve">Days Since RTP Request </t>
  </si>
  <si>
    <t xml:space="preserve">RTP Approval Forecast </t>
  </si>
  <si>
    <t xml:space="preserve">Days Since RTP Approval </t>
  </si>
  <si>
    <t xml:space="preserve">RFP Request Forecast </t>
  </si>
  <si>
    <t xml:space="preserve">Days Since RFP Request </t>
  </si>
  <si>
    <t xml:space="preserve">RFP Received Forecast </t>
  </si>
  <si>
    <t xml:space="preserve">Days Since RFP Received </t>
  </si>
  <si>
    <t xml:space="preserve">PO for GC Request Forecast </t>
  </si>
  <si>
    <t xml:space="preserve">Days Since PO for GC Request </t>
  </si>
  <si>
    <t xml:space="preserve">PO for GC Approval Forecast </t>
  </si>
  <si>
    <t xml:space="preserve">Days Since PO for GC Approval </t>
  </si>
  <si>
    <t xml:space="preserve">Construction Start Forecast </t>
  </si>
  <si>
    <t xml:space="preserve">Days Since Construction Start </t>
  </si>
  <si>
    <t xml:space="preserve">Construction Complete Forecast </t>
  </si>
  <si>
    <t xml:space="preserve">Days Since Construction Complete </t>
  </si>
  <si>
    <t xml:space="preserve">Integration Start Forecast </t>
  </si>
  <si>
    <t xml:space="preserve">Days Since Integration Start </t>
  </si>
  <si>
    <t xml:space="preserve">Integration Complete Forecast </t>
  </si>
  <si>
    <t xml:space="preserve">Days Since Integration Complete </t>
  </si>
  <si>
    <t xml:space="preserve">Close Out Package Forecast </t>
  </si>
  <si>
    <t xml:space="preserve">Days Since Close Out Package </t>
  </si>
  <si>
    <t xml:space="preserve">Acceptance Testing Forecast </t>
  </si>
  <si>
    <t xml:space="preserve">Days Since Acceptance Testing </t>
  </si>
  <si>
    <t xml:space="preserve">Customer Acceptance Forecast </t>
  </si>
  <si>
    <t xml:space="preserve">Days Since Customer Acceptance </t>
  </si>
  <si>
    <t xml:space="preserve">Operations Handoff Forecast </t>
  </si>
  <si>
    <t xml:space="preserve">Days Since Operations Handoff </t>
  </si>
  <si>
    <t xml:space="preserve">Days Since FNE Date </t>
  </si>
  <si>
    <t>Sales (BD)</t>
  </si>
  <si>
    <t xml:space="preserve">BD creates opportunity in CRM </t>
  </si>
  <si>
    <t xml:space="preserve">Conduct meeting/call to explore opportunity </t>
  </si>
  <si>
    <t xml:space="preserve">Prospect Interested in proposal </t>
  </si>
  <si>
    <t xml:space="preserve">BD submits proposal </t>
  </si>
  <si>
    <t xml:space="preserve">BD responds to move fwd </t>
  </si>
  <si>
    <t xml:space="preserve">Executed Agreement </t>
  </si>
  <si>
    <t>Sales Operations</t>
  </si>
  <si>
    <t xml:space="preserve">Program Manager adds request to tracker </t>
  </si>
  <si>
    <t xml:space="preserve">P.M Check with BD OK to submit </t>
  </si>
  <si>
    <t>Network Engineering &amp; Design</t>
  </si>
  <si>
    <t>Finance/M&amp;A</t>
  </si>
  <si>
    <t>Tax</t>
  </si>
  <si>
    <t>Legal</t>
  </si>
  <si>
    <t>QC/Safety</t>
  </si>
  <si>
    <t xml:space="preserve">BD submits email to NSE </t>
  </si>
  <si>
    <t xml:space="preserve">Proposal Accepted? </t>
  </si>
  <si>
    <t xml:space="preserve">End/Lost in CRM Update record in CRM </t>
  </si>
  <si>
    <t xml:space="preserve">Liaison/review redlines </t>
  </si>
  <si>
    <t xml:space="preserve">P.M Submit Request to Aerwave </t>
  </si>
  <si>
    <t xml:space="preserve">Program Manager submits to BD for review (Est. 2 days) </t>
  </si>
  <si>
    <t xml:space="preserve">Program Manager validates with appropriate teams the pricing data inputs (Est. 2 days) </t>
  </si>
  <si>
    <t xml:space="preserve">Program Manager creates 1 pager proposal (Est. 2 days) </t>
  </si>
  <si>
    <t xml:space="preserve">Program Manager creates full proposal (Est. 10 days) </t>
  </si>
  <si>
    <t xml:space="preserve">M. Director presents to CAC (Est. 90 days) </t>
  </si>
  <si>
    <t xml:space="preserve">Design, ROM (Est. 10 days) </t>
  </si>
  <si>
    <t xml:space="preserve">OSP Pricing (Est. 10 days) </t>
  </si>
  <si>
    <t xml:space="preserve">BD reviews fin model pricing </t>
  </si>
  <si>
    <t xml:space="preserve">Fin Analyst creates fin. model </t>
  </si>
  <si>
    <t xml:space="preserve">Sales Ops Peer review (Est. 7 days) </t>
  </si>
  <si>
    <t xml:space="preserve">Finance Peer review (Est. 7 days) </t>
  </si>
  <si>
    <t xml:space="preserve">Tax fin. model review (Est. 2 days) </t>
  </si>
  <si>
    <t xml:space="preserve">Draft Agreement (Est. 10 days) </t>
  </si>
  <si>
    <t xml:space="preserve">Opportunity to Agreement </t>
  </si>
  <si>
    <t xml:space="preserve">Program Manager schedules kickoff call to assign action Items &amp; align timelines Est. 2 days </t>
  </si>
  <si>
    <t xml:space="preserve">Backhaul pricing Est. 15 days </t>
  </si>
  <si>
    <t>Deployment to Operations</t>
  </si>
  <si>
    <t xml:space="preserve">Start: Executed Agreement </t>
  </si>
  <si>
    <t xml:space="preserve">Prog Manager schedules Kick-off meeting (Est. 3 days) </t>
  </si>
  <si>
    <t xml:space="preserve">Customer Success Team to assist on training efforts to onboard new users (Vault) </t>
  </si>
  <si>
    <t xml:space="preserve">Budget Approvals (Est. 7 days) </t>
  </si>
  <si>
    <t xml:space="preserve">Quotes updates if changes in BOM list (Est. 7 days) </t>
  </si>
  <si>
    <t xml:space="preserve">Submit POs (Est. 7 days) </t>
  </si>
  <si>
    <t xml:space="preserve">Coordinate materials logistics (Est. 8 weeks) </t>
  </si>
  <si>
    <t xml:space="preserve">Monitor Construction Start to End (Est. 6 months) </t>
  </si>
  <si>
    <t xml:space="preserve">FNE Closeout Package (Est. 2 weeks) </t>
  </si>
  <si>
    <t xml:space="preserve">Order backhaul (Est. 7 days) </t>
  </si>
  <si>
    <t xml:space="preserve">Final BOM (Est. 7 days) </t>
  </si>
  <si>
    <t xml:space="preserve">Core switches configuration (Est. 2 weeks) </t>
  </si>
  <si>
    <t xml:space="preserve">Backhaul Delivery coordination (Est. 3 months) </t>
  </si>
  <si>
    <t xml:space="preserve">Integration (Est. 2 weeks) </t>
  </si>
  <si>
    <t xml:space="preserve">Site Walk (Est. 2 weeks) </t>
  </si>
  <si>
    <t>Network Operations (NOC)</t>
  </si>
  <si>
    <t xml:space="preserve">Accepts Network (Est. 1 week) </t>
  </si>
  <si>
    <t xml:space="preserve">End </t>
  </si>
  <si>
    <t xml:space="preserve">QC site review (Est. 7 days) </t>
  </si>
  <si>
    <t>Opportunity to Agreement (Pre-Sales)</t>
  </si>
  <si>
    <t>Network Operations</t>
  </si>
  <si>
    <t>BD submits email to NSE Design Distro</t>
  </si>
  <si>
    <t>Sales(BD)</t>
  </si>
  <si>
    <t xml:space="preserve">Update record in CRM </t>
  </si>
  <si>
    <t>Sales Operation</t>
  </si>
  <si>
    <t xml:space="preserve">Request is MDU? </t>
  </si>
  <si>
    <t>P.M Check with BD OK to submit Aerwave</t>
  </si>
  <si>
    <t>Construtcion</t>
  </si>
  <si>
    <t xml:space="preserve">Pricing </t>
  </si>
  <si>
    <t>Proposal</t>
  </si>
  <si>
    <t xml:space="preserve">Legal Agreement </t>
  </si>
  <si>
    <t>Execution</t>
  </si>
  <si>
    <t>Closing</t>
  </si>
  <si>
    <t xml:space="preserve">Draft Agreement (Est. 90 days) </t>
  </si>
  <si>
    <t>Executed Agreement (10 days)</t>
  </si>
  <si>
    <t>Planning</t>
  </si>
  <si>
    <t xml:space="preserve">Sales </t>
  </si>
  <si>
    <t>Explore Opportunity Forecast</t>
  </si>
  <si>
    <t>Date of Prospect Interest</t>
  </si>
  <si>
    <t>Days Passed Since Opportunity Explored</t>
  </si>
  <si>
    <t xml:space="preserve">Days Passed Since Prospect Interest Confirmed </t>
  </si>
  <si>
    <t>Tracker Update Forecast</t>
  </si>
  <si>
    <t>Days Passed Since Tracker Updated</t>
  </si>
  <si>
    <t>Backhaul Pricing Forecast</t>
  </si>
  <si>
    <t>Days Passed Since Backhaul Pricing</t>
  </si>
  <si>
    <t>Design, ROM Forecast</t>
  </si>
  <si>
    <t>Days Passed Since Design, ROM</t>
  </si>
  <si>
    <t>OSP Pricing Forecast</t>
  </si>
  <si>
    <t>Days Passed Since OSP Pricing</t>
  </si>
  <si>
    <t>PM Check-in Forecast</t>
  </si>
  <si>
    <t>Days Passed Since PM Check-in</t>
  </si>
  <si>
    <t>PM Submission to Aerwave Forecast</t>
  </si>
  <si>
    <t>Days Passed Since PM Submission to Aerwave</t>
  </si>
  <si>
    <t>Program Manager Kickoff Forecast</t>
  </si>
  <si>
    <t>Days Passed Since Program Manager Kickoff</t>
  </si>
  <si>
    <t>Financial Model Creation Forecast</t>
  </si>
  <si>
    <t>Days Passed Since Financial Model Creation</t>
  </si>
  <si>
    <t>Sales Ops Peer Review Forecast</t>
  </si>
  <si>
    <t>Days Passed Since Sales Ops Review</t>
  </si>
  <si>
    <t xml:space="preserve">Finance Peer Review Forecast </t>
  </si>
  <si>
    <t>Days Passed Since Finance Peer Review</t>
  </si>
  <si>
    <t>Tax Financial Model Review Forecast</t>
  </si>
  <si>
    <t>Days Passed Since Tax Fin. Model Review</t>
  </si>
  <si>
    <t>Days Passed Since Program Manager submits fin. model to BD</t>
  </si>
  <si>
    <t xml:space="preserve">BD Review Forecast </t>
  </si>
  <si>
    <t>Days Passed Since BD Reviewed Fin. Model</t>
  </si>
  <si>
    <t xml:space="preserve">Program Manager Submits Fin. Model to BD for Review (Est. 2 days) </t>
  </si>
  <si>
    <t xml:space="preserve">Program Manager Submits Fin. Model to BD Forecast </t>
  </si>
  <si>
    <t xml:space="preserve">BD reviews Fin. Model Pricing </t>
  </si>
  <si>
    <t>BD Responds OK to Move Forward</t>
  </si>
  <si>
    <t xml:space="preserve">BD Responds to Move Forward Forecast </t>
  </si>
  <si>
    <t>Days Passed Since BD Responds to Move Forward</t>
  </si>
  <si>
    <t xml:space="preserve">Program Manager Validation Forecast </t>
  </si>
  <si>
    <t>Days Passed Since Program Manager Validation</t>
  </si>
  <si>
    <t>Days Passed Since Program Manager Creates 1-Pager Proposal</t>
  </si>
  <si>
    <t xml:space="preserve">1-Pager Proposal Forecast </t>
  </si>
  <si>
    <t xml:space="preserve">Full Proposal Forecast </t>
  </si>
  <si>
    <t>Days Passed Since BD Submits Proposal</t>
  </si>
  <si>
    <t>M. Director Presents to CAC Forecast</t>
  </si>
  <si>
    <t>Days Passed Since M. Director Presents to CAC</t>
  </si>
  <si>
    <t xml:space="preserve">Proposal Acceptance Date </t>
  </si>
  <si>
    <t xml:space="preserve">Days Since Proposal Accepted </t>
  </si>
  <si>
    <t xml:space="preserve">CRM Update Forecast </t>
  </si>
  <si>
    <t xml:space="preserve">Days Passed Since CRM Update </t>
  </si>
  <si>
    <t xml:space="preserve">Liason/Review Redlines Forecast </t>
  </si>
  <si>
    <t>Days Passed Passed Since Liason/Review Redlines</t>
  </si>
  <si>
    <t xml:space="preserve">Draft Agreement Forecast </t>
  </si>
  <si>
    <t xml:space="preserve">Days Passed Since Agreement Drafted </t>
  </si>
  <si>
    <t xml:space="preserve">Agreement Execution Forecast </t>
  </si>
  <si>
    <t xml:space="preserve">Days Passed Since Agreement Executed </t>
  </si>
  <si>
    <t>Days Passed Since Kickoff Meeting</t>
  </si>
  <si>
    <t xml:space="preserve">Kickoff Meeting Forecast </t>
  </si>
  <si>
    <t>Days Passed Since Budget Approval</t>
  </si>
  <si>
    <t xml:space="preserve">Backhaul Order Forecast </t>
  </si>
  <si>
    <t>Days Passed Since Backhaul Ordered</t>
  </si>
  <si>
    <t xml:space="preserve">Quote Update Forecast </t>
  </si>
  <si>
    <t xml:space="preserve">Days Passed Since Quote Updated </t>
  </si>
  <si>
    <t>Final BOM Forecast</t>
  </si>
  <si>
    <t>Days Passed Since Final BOM</t>
  </si>
  <si>
    <t xml:space="preserve">PO Submission Forecast </t>
  </si>
  <si>
    <t>Days Passed Since PO Submission</t>
  </si>
  <si>
    <t xml:space="preserve">Materials Logistic Coordination Completion Forecast </t>
  </si>
  <si>
    <t>Days Passed Since Materials Logistics Coordination Completion</t>
  </si>
  <si>
    <t xml:space="preserve">Construction Completion Forecast </t>
  </si>
  <si>
    <t>Days Passed Since Construction Completion</t>
  </si>
  <si>
    <t xml:space="preserve">Core Switch Configuration Forecast </t>
  </si>
  <si>
    <t>Days Passed Since Core Switch Configuration</t>
  </si>
  <si>
    <t xml:space="preserve">Backhaul Delivery Forecast </t>
  </si>
  <si>
    <t xml:space="preserve">Days Passed Since Backhaul Delivery </t>
  </si>
  <si>
    <t xml:space="preserve">Integration Completion Forecast </t>
  </si>
  <si>
    <t xml:space="preserve">Days Passed Since Integration Completion </t>
  </si>
  <si>
    <t xml:space="preserve">QC Site Review Forecast </t>
  </si>
  <si>
    <t xml:space="preserve">Days Passed Since QC Site Review </t>
  </si>
  <si>
    <t xml:space="preserve">Site Walk Forecast </t>
  </si>
  <si>
    <t xml:space="preserve">Days Passed Since Site Walk </t>
  </si>
  <si>
    <t xml:space="preserve">Days Passed Since FNE Closeout Package </t>
  </si>
  <si>
    <t>FNE Closeout Package Forecast</t>
  </si>
  <si>
    <t>Network Acceptance Forecast</t>
  </si>
  <si>
    <t>Days Passed Since Network Acceptance</t>
  </si>
  <si>
    <t>Days Passed Since BD Submission to Design Distro</t>
  </si>
  <si>
    <t>Project Completion</t>
  </si>
  <si>
    <t>Project Completion Forecast</t>
  </si>
  <si>
    <t>Days Since Full Proposal</t>
  </si>
  <si>
    <t>BD Submission to Design Distro Forecast</t>
  </si>
  <si>
    <t xml:space="preserve">RTP Forecast </t>
  </si>
  <si>
    <t xml:space="preserve">Days Since RTP Received </t>
  </si>
  <si>
    <t>SBA or Aerwave</t>
  </si>
  <si>
    <t>SBA</t>
  </si>
  <si>
    <t>Aerwave</t>
  </si>
  <si>
    <t xml:space="preserve">Monitor Construction Start (Est. 6 months) </t>
  </si>
  <si>
    <t>Days Passed Since Construction Start</t>
  </si>
  <si>
    <t>Construction Completion</t>
  </si>
  <si>
    <t>Days Since Project Completion</t>
  </si>
  <si>
    <t>Yes</t>
  </si>
  <si>
    <t>No</t>
  </si>
  <si>
    <t xml:space="preserve">M. Director Presents to CAC (Est. 10 days) </t>
  </si>
  <si>
    <t xml:space="preserve">Optional: Customer Success Team to assist on training efforts to onboard new users (Vault) </t>
  </si>
  <si>
    <t xml:space="preserve">Soft Quote </t>
  </si>
  <si>
    <t>Field</t>
  </si>
  <si>
    <t>Project ID</t>
  </si>
  <si>
    <t>Job ID</t>
  </si>
  <si>
    <t>Opportunity ID</t>
  </si>
  <si>
    <t>SBA Site Code</t>
  </si>
  <si>
    <t>Customer Name</t>
  </si>
  <si>
    <t xml:space="preserve">Customer Point of Contact </t>
  </si>
  <si>
    <t xml:space="preserve">Customer Escalation </t>
  </si>
  <si>
    <t>Carrier Name(s)</t>
  </si>
  <si>
    <t>Carrier Point(s) of Contact</t>
  </si>
  <si>
    <t>On Hold or Dead</t>
  </si>
  <si>
    <t>On Hold or Dead Reason</t>
  </si>
  <si>
    <t>Stage</t>
  </si>
  <si>
    <t>SBA Sales Lead</t>
  </si>
  <si>
    <t>SBA Proj Contr Mgr</t>
  </si>
  <si>
    <t>SBA Proj Coord</t>
  </si>
  <si>
    <t>SBA Design Lead</t>
  </si>
  <si>
    <t>SBA Integration Lead</t>
  </si>
  <si>
    <t># of Units</t>
  </si>
  <si>
    <t>Landlord Point of Contact</t>
  </si>
  <si>
    <t>Property Address</t>
  </si>
  <si>
    <t>Customer Requirements</t>
  </si>
  <si>
    <t>Estimated Floor Plans</t>
  </si>
  <si>
    <t>Actual Floor Plans</t>
  </si>
  <si>
    <t>Floor Plans</t>
  </si>
  <si>
    <t>Contract Status</t>
  </si>
  <si>
    <t>Contract Signed</t>
  </si>
  <si>
    <t>Contract</t>
  </si>
  <si>
    <t>Project Kickoff Date</t>
  </si>
  <si>
    <t>Estimated RTP Submit</t>
  </si>
  <si>
    <t>Actual RTP Submit</t>
  </si>
  <si>
    <t>Estimated Title</t>
  </si>
  <si>
    <t>Actual Title</t>
  </si>
  <si>
    <t>Estimated Zoning</t>
  </si>
  <si>
    <t>Actual Zoning</t>
  </si>
  <si>
    <t>Estimated Environmental</t>
  </si>
  <si>
    <t>Actual Environmental</t>
  </si>
  <si>
    <t>Estimated Leasing</t>
  </si>
  <si>
    <t>Actual Leasing</t>
  </si>
  <si>
    <t>Estimated Licensing</t>
  </si>
  <si>
    <t>Actual Licensing</t>
  </si>
  <si>
    <t>Estimated RTP Approved</t>
  </si>
  <si>
    <t>Actual RTP Approved</t>
  </si>
  <si>
    <t xml:space="preserve">Estimated Design Walk </t>
  </si>
  <si>
    <t>Actual Design Walk</t>
  </si>
  <si>
    <t>A&amp;E Vendor</t>
  </si>
  <si>
    <t>A&amp;E Point of Contact</t>
  </si>
  <si>
    <t>Estimated CDs</t>
  </si>
  <si>
    <t>Actual CDs</t>
  </si>
  <si>
    <t>Original CDs</t>
  </si>
  <si>
    <t>Revised CDs</t>
  </si>
  <si>
    <t>Revision #</t>
  </si>
  <si>
    <t>Revision Date</t>
  </si>
  <si>
    <t>Estimated Customer Approval of CDs</t>
  </si>
  <si>
    <t>Actual Customer Approval of CDs</t>
  </si>
  <si>
    <t>Estimated Unit Schedule</t>
  </si>
  <si>
    <t xml:space="preserve">Actual Unit Schedule </t>
  </si>
  <si>
    <t>Estimated iBwave Design</t>
  </si>
  <si>
    <t>Actual iBwave Design</t>
  </si>
  <si>
    <t>Original iBwave Design</t>
  </si>
  <si>
    <t>iBwave Design Validation Complete</t>
  </si>
  <si>
    <t>Revised iBwave</t>
  </si>
  <si>
    <t>Revision # iBwave Design</t>
  </si>
  <si>
    <t>Revised iBwave Design</t>
  </si>
  <si>
    <t>Estimated BOM</t>
  </si>
  <si>
    <t>Actual BOM</t>
  </si>
  <si>
    <t>BOM</t>
  </si>
  <si>
    <t>Revision # BOM</t>
  </si>
  <si>
    <t>Revised BOM</t>
  </si>
  <si>
    <t>Estimated Design and BOM Review</t>
  </si>
  <si>
    <t>Actual Design and BOM Review</t>
  </si>
  <si>
    <t>Estimated Customer Approval of Design</t>
  </si>
  <si>
    <t>Actual Customer Approval of Design</t>
  </si>
  <si>
    <t>Design Notes</t>
  </si>
  <si>
    <t>Estimated SBA SOW</t>
  </si>
  <si>
    <t>Actual SBA SOW</t>
  </si>
  <si>
    <t>SBA SOW</t>
  </si>
  <si>
    <t>Estimated RFP Start</t>
  </si>
  <si>
    <t>Actual RFP Complete</t>
  </si>
  <si>
    <t>Estimated RFP Complete</t>
  </si>
  <si>
    <t>Estimated Construction GC Selected</t>
  </si>
  <si>
    <t>Actual Construction GC Selected</t>
  </si>
  <si>
    <t>GC Point of Contact</t>
  </si>
  <si>
    <t>GC SOW</t>
  </si>
  <si>
    <t>GC Baseline Quote</t>
  </si>
  <si>
    <t>GC Quote</t>
  </si>
  <si>
    <t>Estimated IRR</t>
  </si>
  <si>
    <t xml:space="preserve">Actual IRR </t>
  </si>
  <si>
    <t>IRR</t>
  </si>
  <si>
    <t>Estimated Design Handoff to Construction</t>
  </si>
  <si>
    <t>Actual Design Handoff to Construction</t>
  </si>
  <si>
    <t>Estimated Construction Kickoff Call</t>
  </si>
  <si>
    <t>Actual Construction Kickoff Call</t>
  </si>
  <si>
    <t xml:space="preserve">Estimated Pre-Construction Walk </t>
  </si>
  <si>
    <t>Actual Pre-Construction Walk</t>
  </si>
  <si>
    <t>Estimated Order Equipment Date</t>
  </si>
  <si>
    <t>Actual Order Equipment Date</t>
  </si>
  <si>
    <t>Equipment Notes</t>
  </si>
  <si>
    <t>Estimated Materials Configuration Start</t>
  </si>
  <si>
    <t>Actual Materials Configuration Start</t>
  </si>
  <si>
    <t>Estimated Materials Configuration Complete</t>
  </si>
  <si>
    <t>Actual Materials Configuration Complete</t>
  </si>
  <si>
    <t>Estimated Arrival of Materials to Site</t>
  </si>
  <si>
    <t>Actual Arrival of Materials to Site</t>
  </si>
  <si>
    <t>Estimated Order Backhaul Date</t>
  </si>
  <si>
    <t>Actual Order Backhaul Date</t>
  </si>
  <si>
    <t>Estimated Backhaul Intallation Date</t>
  </si>
  <si>
    <t>Actual Backhaul Installation Date</t>
  </si>
  <si>
    <t>Primary Backhaul Provider</t>
  </si>
  <si>
    <t>Primary Backhaul Point of Contact</t>
  </si>
  <si>
    <t>Secondary Backhaul Provider</t>
  </si>
  <si>
    <t>Secondary Backhaul Provider Point of Contact</t>
  </si>
  <si>
    <t>Backhaul Notes</t>
  </si>
  <si>
    <t>Estimated Construction Start</t>
  </si>
  <si>
    <t>Actual Construction Start</t>
  </si>
  <si>
    <t>Estimated Construction Complete</t>
  </si>
  <si>
    <t>Actual Construction Complete</t>
  </si>
  <si>
    <t>Estimated Integration Start</t>
  </si>
  <si>
    <t>Actual Integration Start</t>
  </si>
  <si>
    <t>Estimated Integration Complete</t>
  </si>
  <si>
    <t>Actual Integration Complete</t>
  </si>
  <si>
    <t xml:space="preserve">Estimated Network Onboarding </t>
  </si>
  <si>
    <t>SBA QA Review</t>
  </si>
  <si>
    <t xml:space="preserve">Actual Network Onboarding </t>
  </si>
  <si>
    <t>Estimated Network Testing Start</t>
  </si>
  <si>
    <t>Actual Network Testing Start</t>
  </si>
  <si>
    <t>Estimated Network Testing Complete</t>
  </si>
  <si>
    <t>Actual Network Testing Complete</t>
  </si>
  <si>
    <t>Estimated Closeout Package Received</t>
  </si>
  <si>
    <t>Actual Closeout Package Received</t>
  </si>
  <si>
    <t xml:space="preserve">Estimated COP Validation </t>
  </si>
  <si>
    <t xml:space="preserve">Actual COP Validation </t>
  </si>
  <si>
    <t>Legal Notice of Substantial Complete</t>
  </si>
  <si>
    <t>NOC Network Acceptance Request</t>
  </si>
  <si>
    <t>NOC Network Approval</t>
  </si>
  <si>
    <t xml:space="preserve">Request for Customer Approval </t>
  </si>
  <si>
    <t>Actual Customer Approval</t>
  </si>
  <si>
    <t>FNE Baseline</t>
  </si>
  <si>
    <t>Estimated FNE Ready</t>
  </si>
  <si>
    <t>Actual FNE Ready</t>
  </si>
  <si>
    <t>TCO Date</t>
  </si>
  <si>
    <t>Estimated Revenue Start</t>
  </si>
  <si>
    <t xml:space="preserve">Actual Revenue Start </t>
  </si>
  <si>
    <t>Original Budget $</t>
  </si>
  <si>
    <t>Revised Budget $</t>
  </si>
  <si>
    <t>JTD Cost</t>
  </si>
  <si>
    <t>Committed Cost</t>
  </si>
  <si>
    <t>Remaining to Commit</t>
  </si>
  <si>
    <t>Job #</t>
  </si>
  <si>
    <t>Notes</t>
  </si>
  <si>
    <t>Sales Support</t>
  </si>
  <si>
    <t>ROM Pricing Start Date</t>
  </si>
  <si>
    <t>ROM Pricing Complete Date</t>
  </si>
  <si>
    <t>A&amp;E Site Walk Date (F)</t>
  </si>
  <si>
    <t>A&amp;E Site Walk Date (A)</t>
  </si>
  <si>
    <t>Construction Drawings Received Date (F)</t>
  </si>
  <si>
    <t>Construction Drawings Received Date (A)</t>
  </si>
  <si>
    <t>Construction Drawing Revisions</t>
  </si>
  <si>
    <t>Construction Drawing Revisions Number</t>
  </si>
  <si>
    <t>Revised Construction Drawings Received Date (F)</t>
  </si>
  <si>
    <t>Revised Construction Drawings Received (A)</t>
  </si>
  <si>
    <t>BOM Creation Begins (F)</t>
  </si>
  <si>
    <t>BOM Creation Begins (A)</t>
  </si>
  <si>
    <t>BOM Creation Complete (F)</t>
  </si>
  <si>
    <t>BOM Creation Complete (Actual)</t>
  </si>
  <si>
    <t>BOM Handoff to Construction (F)</t>
  </si>
  <si>
    <t>BOM Handoff to Construction (A)</t>
  </si>
  <si>
    <t>RFPs Received (F)</t>
  </si>
  <si>
    <t>RFPs Received (A)</t>
  </si>
  <si>
    <t>GC Awarded (F)</t>
  </si>
  <si>
    <t xml:space="preserve">GC Awarded (A) </t>
  </si>
  <si>
    <t>OEM Name</t>
  </si>
  <si>
    <t>GC Name</t>
  </si>
  <si>
    <t>Pre-Construction Site Walk with GC (F)</t>
  </si>
  <si>
    <t>Pre-Construction Site with GC (A)</t>
  </si>
  <si>
    <t>BOM Review with GC (F)</t>
  </si>
  <si>
    <t>BOM Review with GC (A)</t>
  </si>
  <si>
    <t>Materials Ordered (F)</t>
  </si>
  <si>
    <t>Materials Ordered (A)</t>
  </si>
  <si>
    <t xml:space="preserve">Materials Received (F) </t>
  </si>
  <si>
    <t>Materials Received (A)</t>
  </si>
  <si>
    <t>Request for RTP Submitted (F)</t>
  </si>
  <si>
    <t xml:space="preserve">Request for RTP Submitted (A) </t>
  </si>
  <si>
    <t>Title Signoff (F)</t>
  </si>
  <si>
    <t>Title Signoff (A)</t>
  </si>
  <si>
    <t>Zoning Signoff (F)</t>
  </si>
  <si>
    <t>Zoning Signoff (A)</t>
  </si>
  <si>
    <t>Lease Signoff (F)</t>
  </si>
  <si>
    <t>Lease Signoff (A)</t>
  </si>
  <si>
    <t>Licensing Signoff (F)</t>
  </si>
  <si>
    <t>Licensing Signoff (A)</t>
  </si>
  <si>
    <t>Asbestos Testing Required</t>
  </si>
  <si>
    <t>Asbestos Testing Complete (F)</t>
  </si>
  <si>
    <t>Asbestos Testing Complete (A)</t>
  </si>
  <si>
    <t>NPA Signoff (F)</t>
  </si>
  <si>
    <t>NPA Signoff (A)</t>
  </si>
  <si>
    <t>NEPA Signoff (F)</t>
  </si>
  <si>
    <t>NEPA Signoff (A)</t>
  </si>
  <si>
    <t>RTP Approved (F)</t>
  </si>
  <si>
    <t>RTP Approved (A)</t>
  </si>
  <si>
    <t>Circuit Needed</t>
  </si>
  <si>
    <t>Circuit Installed (F)</t>
  </si>
  <si>
    <t>Circuit Installed (A)</t>
  </si>
  <si>
    <t>Construction Kick-Off Call (F)</t>
  </si>
  <si>
    <t>Construction Kick-Off Call (A)</t>
  </si>
  <si>
    <t>Construction Start (F)</t>
  </si>
  <si>
    <t>Construction Start (A)</t>
  </si>
  <si>
    <t>Construction % Complete</t>
  </si>
  <si>
    <t>Construction Complete (F)</t>
  </si>
  <si>
    <t>Construction Complete (A)</t>
  </si>
  <si>
    <t>Integration Date (F)</t>
  </si>
  <si>
    <t>Integration Date (A)</t>
  </si>
  <si>
    <t>COP Received (F)</t>
  </si>
  <si>
    <t>COP Received (A)</t>
  </si>
  <si>
    <t>COP Sent to Network (F)</t>
  </si>
  <si>
    <t>COP Sent to Network (A)</t>
  </si>
  <si>
    <t>COP Accepted by Network (F)</t>
  </si>
  <si>
    <t>COP Accepted by Network (A)</t>
  </si>
  <si>
    <t>COP Sent to Customer (F)</t>
  </si>
  <si>
    <t>COP Sent to Customer (A)</t>
  </si>
  <si>
    <t>COP Acceted by Customer (F)</t>
  </si>
  <si>
    <t>COP Accepted by Customer (A)</t>
  </si>
  <si>
    <t>FNE (F)</t>
  </si>
  <si>
    <t>FNE (A)</t>
  </si>
  <si>
    <t>Handoff to Ops (F)</t>
  </si>
  <si>
    <t>Handoff to Ops (A)</t>
  </si>
  <si>
    <t>Customer POC</t>
  </si>
  <si>
    <t>Landlord POC</t>
  </si>
  <si>
    <t>Carrier(s) POC</t>
  </si>
  <si>
    <t>GC POC</t>
  </si>
  <si>
    <t>OEM POC</t>
  </si>
  <si>
    <t>Vendor (POC)</t>
  </si>
  <si>
    <t>Chronological Order of Milestones (From New Tracker)</t>
  </si>
  <si>
    <t>OV</t>
  </si>
  <si>
    <t>New Tracker</t>
  </si>
  <si>
    <t>DAS Tracker Milestones</t>
  </si>
  <si>
    <t>New Tracker Milestones</t>
  </si>
  <si>
    <t xml:space="preserve">Differences </t>
  </si>
  <si>
    <t>Initial Design, ROM Draft</t>
  </si>
  <si>
    <t xml:space="preserve">Additional Milestones </t>
  </si>
  <si>
    <t>Differences</t>
  </si>
  <si>
    <t>% of Fiber In-building</t>
  </si>
  <si>
    <t>% of Fiber Outdoors &amp; Underground</t>
  </si>
  <si>
    <t>% of Fiber Outdoors &amp; Aboveground</t>
  </si>
  <si>
    <t>Design, ROM (Est. 10 days) ----</t>
  </si>
  <si>
    <t>Initial Design; Soft ROM</t>
  </si>
  <si>
    <t>ROM; Final Design</t>
  </si>
  <si>
    <t>GC Bid</t>
  </si>
  <si>
    <t>Customer Point of Contact</t>
  </si>
  <si>
    <t>Customer Escalation</t>
  </si>
  <si>
    <t xml:space="preserve"> Floor Plans</t>
  </si>
  <si>
    <t xml:space="preserve"> RTP Submit</t>
  </si>
  <si>
    <t xml:space="preserve"> Title</t>
  </si>
  <si>
    <t xml:space="preserve"> Zoning</t>
  </si>
  <si>
    <t xml:space="preserve"> Environmental</t>
  </si>
  <si>
    <t xml:space="preserve"> Leasing</t>
  </si>
  <si>
    <t xml:space="preserve"> Licensing</t>
  </si>
  <si>
    <t xml:space="preserve"> RTP Approved</t>
  </si>
  <si>
    <t xml:space="preserve"> Design Walk</t>
  </si>
  <si>
    <t xml:space="preserve"> CDs</t>
  </si>
  <si>
    <t xml:space="preserve"> Customer Approval of CDs</t>
  </si>
  <si>
    <t xml:space="preserve"> Unit Schedule</t>
  </si>
  <si>
    <t xml:space="preserve"> iBwave Design</t>
  </si>
  <si>
    <t>iBwave Design Validation</t>
  </si>
  <si>
    <t xml:space="preserve"> BOM</t>
  </si>
  <si>
    <t xml:space="preserve"> Design and BOM Review</t>
  </si>
  <si>
    <t xml:space="preserve"> Customer Approval of Design</t>
  </si>
  <si>
    <t xml:space="preserve"> SBA SOW</t>
  </si>
  <si>
    <t xml:space="preserve"> RFP</t>
  </si>
  <si>
    <t xml:space="preserve"> Construction GC Selected</t>
  </si>
  <si>
    <t xml:space="preserve"> IRR</t>
  </si>
  <si>
    <t xml:space="preserve"> Design Handoff to Construction</t>
  </si>
  <si>
    <t xml:space="preserve"> Construction Kickoff Call</t>
  </si>
  <si>
    <t xml:space="preserve"> Pre-Construction Walk</t>
  </si>
  <si>
    <t xml:space="preserve"> Order Equipment Date</t>
  </si>
  <si>
    <t xml:space="preserve"> Materials Configuration</t>
  </si>
  <si>
    <t xml:space="preserve"> Arrival of Materials to Site</t>
  </si>
  <si>
    <t xml:space="preserve"> Order Backhaul Date</t>
  </si>
  <si>
    <t xml:space="preserve"> Backhaul Intallation Date</t>
  </si>
  <si>
    <t xml:space="preserve"> Backhaul Installation Date</t>
  </si>
  <si>
    <t xml:space="preserve"> Construction</t>
  </si>
  <si>
    <t>% Construction</t>
  </si>
  <si>
    <t xml:space="preserve"> Integration</t>
  </si>
  <si>
    <t xml:space="preserve"> Network Onboarding</t>
  </si>
  <si>
    <t xml:space="preserve"> Network Testing</t>
  </si>
  <si>
    <t xml:space="preserve"> Closeout Package Received</t>
  </si>
  <si>
    <t xml:space="preserve"> COP Validation</t>
  </si>
  <si>
    <t>Legal Notice of Substantial</t>
  </si>
  <si>
    <t>Request for Customer Approval</t>
  </si>
  <si>
    <t xml:space="preserve"> Customer Approval</t>
  </si>
  <si>
    <t xml:space="preserve"> FNE Ready</t>
  </si>
  <si>
    <t xml:space="preserve"> Revenue</t>
  </si>
  <si>
    <t xml:space="preserve"> Revenue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</si>
</sst>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000"/>
  </numFmts>
  <fonts count="40" x14ac:knownFonts="1">
    <font>
      <sz val="11"/>
      <color theme="1"/>
      <name val="Calibri"/>
      <family val="2"/>
      <scheme val="minor"/>
    </font>
    <font>
      <sz val="11"/>
      <color rgb="FF9C5700"/>
      <name val="Calibri"/>
      <family val="2"/>
      <scheme val="minor"/>
    </font>
    <font>
      <sz val="11"/>
      <color rgb="FFFF0000"/>
      <name val="Calibri"/>
      <family val="2"/>
      <scheme val="minor"/>
    </font>
    <font>
      <sz val="11"/>
      <color rgb="FF000000"/>
      <name val="Calibri"/>
      <family val="2"/>
      <scheme val="minor"/>
    </font>
    <font>
      <b/>
      <sz val="18"/>
      <color rgb="FF000000"/>
      <name val="Calibri"/>
      <family val="2"/>
      <scheme val="minor"/>
    </font>
    <font>
      <b/>
      <sz val="16"/>
      <color rgb="FF000000"/>
      <name val="Calibri"/>
      <family val="2"/>
      <scheme val="minor"/>
    </font>
    <font>
      <b/>
      <sz val="16"/>
      <color rgb="FF000000"/>
      <name val="Calibri"/>
      <family val="2"/>
      <scheme val="minor"/>
    </font>
    <font>
      <b/>
      <sz val="18"/>
      <color rgb="FF000000"/>
      <name val="Calibri"/>
      <family val="2"/>
      <scheme val="minor"/>
    </font>
    <font>
      <b/>
      <sz val="11"/>
      <color rgb="FFFFFFFF"/>
      <name val="Calibri"/>
      <family val="2"/>
      <scheme val="minor"/>
    </font>
    <font>
      <b/>
      <sz val="11"/>
      <color rgb="FF002060"/>
      <name val="Calibri"/>
      <family val="2"/>
      <scheme val="minor"/>
    </font>
    <font>
      <b/>
      <sz val="12"/>
      <color rgb="FFFFFFFF"/>
      <name val="Calibri"/>
      <family val="2"/>
      <scheme val="minor"/>
    </font>
    <font>
      <b/>
      <sz val="12"/>
      <color rgb="FF00B050"/>
      <name val="Calibri"/>
      <family val="2"/>
      <scheme val="minor"/>
    </font>
    <font>
      <sz val="12"/>
      <color rgb="FF000000"/>
      <name val="Calibri"/>
      <family val="2"/>
      <scheme val="minor"/>
    </font>
    <font>
      <sz val="11"/>
      <color rgb="FFFFFFFF"/>
      <name val="Calibri"/>
      <family val="2"/>
      <scheme val="minor"/>
    </font>
    <font>
      <sz val="12"/>
      <color rgb="FF9C0006"/>
      <name val="Calibri"/>
      <family val="2"/>
      <scheme val="minor"/>
    </font>
    <font>
      <sz val="11"/>
      <color rgb="FF000000"/>
      <name val="Aptos Narrow"/>
      <family val="2"/>
    </font>
    <font>
      <sz val="12"/>
      <color rgb="FF006100"/>
      <name val="Calibri"/>
      <family val="2"/>
      <scheme val="minor"/>
    </font>
    <font>
      <sz val="10"/>
      <color rgb="FF000000"/>
      <name val="Aptos"/>
      <family val="2"/>
      <charset val="1"/>
    </font>
    <font>
      <sz val="10"/>
      <color rgb="FF000000"/>
      <name val="Aptos"/>
      <family val="2"/>
    </font>
    <font>
      <b/>
      <sz val="10"/>
      <color rgb="FF000000"/>
      <name val="Aptos"/>
      <family val="2"/>
    </font>
    <font>
      <b/>
      <sz val="12"/>
      <color rgb="FF002060"/>
      <name val="Calibri"/>
      <family val="2"/>
      <scheme val="minor"/>
    </font>
    <font>
      <sz val="10"/>
      <color rgb="FFFF0000"/>
      <name val="Aptos"/>
      <family val="2"/>
      <charset val="1"/>
    </font>
    <font>
      <sz val="11"/>
      <color rgb="FF000000"/>
      <name val="Aptos"/>
      <family val="2"/>
      <charset val="1"/>
    </font>
    <font>
      <sz val="11"/>
      <color rgb="FF000000"/>
      <name val="Aptos"/>
      <family val="2"/>
    </font>
    <font>
      <sz val="11"/>
      <color rgb="FFFF0000"/>
      <name val="Aptos"/>
      <family val="2"/>
      <charset val="1"/>
    </font>
    <font>
      <sz val="11"/>
      <color rgb="FFFFFFFF"/>
      <name val="Aptos Narrow"/>
      <family val="2"/>
    </font>
    <font>
      <sz val="11"/>
      <color rgb="FF000000"/>
      <name val="Calibri"/>
      <family val="2"/>
      <charset val="1"/>
      <scheme val="minor"/>
    </font>
    <font>
      <sz val="11"/>
      <color rgb="FF002060"/>
      <name val="Calibri"/>
      <family val="2"/>
      <scheme val="minor"/>
    </font>
    <font>
      <b/>
      <sz val="12"/>
      <color rgb="FF0070C0"/>
      <name val="Calibri"/>
      <family val="2"/>
      <scheme val="minor"/>
    </font>
    <font>
      <sz val="12"/>
      <color rgb="FF000000"/>
      <name val="Calibri"/>
      <family val="2"/>
      <scheme val="minor"/>
    </font>
    <font>
      <b/>
      <sz val="11"/>
      <color rgb="FFFF0000"/>
      <name val="Calibri"/>
      <family val="2"/>
      <scheme val="minor"/>
    </font>
    <font>
      <sz val="11"/>
      <color rgb="FF000000"/>
      <name val="Calibri"/>
      <family val="2"/>
    </font>
    <font>
      <sz val="11"/>
      <color rgb="FFFF0000"/>
      <name val="Calibri"/>
      <family val="2"/>
    </font>
    <font>
      <sz val="11"/>
      <color rgb="FF000000"/>
      <name val="Calibri"/>
      <family val="2"/>
      <charset val="1"/>
    </font>
    <font>
      <b/>
      <sz val="11"/>
      <color theme="1"/>
      <name val="Calibri"/>
      <family val="2"/>
      <scheme val="minor"/>
    </font>
    <font>
      <b/>
      <sz val="11"/>
      <name val="Calibri"/>
      <family val="2"/>
      <scheme val="minor"/>
    </font>
    <font>
      <sz val="11"/>
      <name val="Calibri"/>
      <family val="2"/>
      <scheme val="minor"/>
    </font>
    <font>
      <sz val="8"/>
      <name val="Calibri"/>
      <family val="2"/>
      <scheme val="minor"/>
    </font>
    <font>
      <sz val="11"/>
      <color theme="1"/>
      <name val="Calibri"/>
      <family val="2"/>
    </font>
    <font>
      <b/>
      <sz val="11"/>
      <color theme="0"/>
      <name val="Calibri"/>
      <family val="2"/>
      <scheme val="minor"/>
    </font>
  </fonts>
  <fills count="34">
    <fill>
      <patternFill patternType="none"/>
    </fill>
    <fill>
      <patternFill patternType="gray125"/>
    </fill>
    <fill>
      <patternFill patternType="solid">
        <fgColor rgb="FF002060"/>
        <bgColor rgb="FF000000"/>
      </patternFill>
    </fill>
    <fill>
      <patternFill patternType="solid">
        <fgColor rgb="FF0070C0"/>
        <bgColor rgb="FF000000"/>
      </patternFill>
    </fill>
    <fill>
      <patternFill patternType="solid">
        <fgColor rgb="FFFF0000"/>
        <bgColor rgb="FF000000"/>
      </patternFill>
    </fill>
    <fill>
      <patternFill patternType="solid">
        <fgColor rgb="FFFFFF00"/>
        <bgColor rgb="FF000000"/>
      </patternFill>
    </fill>
    <fill>
      <patternFill patternType="solid">
        <fgColor rgb="FFED7D31"/>
        <bgColor rgb="FF000000"/>
      </patternFill>
    </fill>
    <fill>
      <patternFill patternType="solid">
        <fgColor rgb="FF00B050"/>
        <bgColor rgb="FF000000"/>
      </patternFill>
    </fill>
    <fill>
      <patternFill patternType="solid">
        <fgColor rgb="FFFFC7CE"/>
        <bgColor rgb="FF000000"/>
      </patternFill>
    </fill>
    <fill>
      <patternFill patternType="solid">
        <fgColor rgb="FFC6EFCE"/>
        <bgColor rgb="FF000000"/>
      </patternFill>
    </fill>
    <fill>
      <patternFill patternType="solid">
        <fgColor rgb="FFC6E0B4"/>
        <bgColor rgb="FF000000"/>
      </patternFill>
    </fill>
    <fill>
      <patternFill patternType="solid">
        <fgColor rgb="FFE2EFDA"/>
        <bgColor rgb="FF000000"/>
      </patternFill>
    </fill>
    <fill>
      <patternFill patternType="solid">
        <fgColor rgb="FFFFEB9C"/>
        <bgColor rgb="FF000000"/>
      </patternFill>
    </fill>
    <fill>
      <patternFill patternType="solid">
        <fgColor rgb="FFF2F2F2"/>
        <bgColor rgb="FF000000"/>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theme="4"/>
        <bgColor theme="4"/>
      </patternFill>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5"/>
        <bgColor theme="4"/>
      </patternFill>
    </fill>
    <fill>
      <patternFill patternType="solid">
        <fgColor theme="9" tint="-0.499984740745262"/>
        <bgColor indexed="64"/>
      </patternFill>
    </fill>
    <fill>
      <patternFill patternType="solid">
        <fgColor theme="7" tint="0.59999389629810485"/>
        <bgColor indexed="64"/>
      </patternFill>
    </fill>
    <fill>
      <patternFill patternType="solid">
        <fgColor rgb="FF00B050"/>
        <bgColor indexed="64"/>
      </patternFill>
    </fill>
    <fill>
      <patternFill patternType="solid">
        <fgColor theme="0"/>
        <bgColor rgb="FF000000"/>
      </patternFill>
    </fill>
    <fill>
      <patternFill patternType="solid">
        <fgColor theme="0"/>
        <bgColor indexed="64"/>
      </patternFill>
    </fill>
    <fill>
      <patternFill patternType="solid">
        <fgColor theme="0"/>
        <bgColor theme="4"/>
      </patternFill>
    </fill>
    <fill>
      <patternFill patternType="solid">
        <fgColor theme="7"/>
        <bgColor indexed="64"/>
      </patternFill>
    </fill>
    <fill>
      <patternFill patternType="solid">
        <fgColor theme="3" tint="0.79998168889431442"/>
        <bgColor indexed="64"/>
      </patternFill>
    </fill>
  </fills>
  <borders count="1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thin">
        <color theme="4"/>
      </top>
      <bottom style="thin">
        <color theme="4"/>
      </bottom>
      <diagonal/>
    </border>
    <border>
      <left/>
      <right/>
      <top style="thin">
        <color theme="4"/>
      </top>
      <bottom/>
      <diagonal/>
    </border>
    <border>
      <left/>
      <right/>
      <top/>
      <bottom style="thin">
        <color theme="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2">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0" xfId="0" applyFont="1" applyFill="1" applyAlignment="1">
      <alignment horizontal="center" vertical="center" wrapText="1"/>
    </xf>
    <xf numFmtId="0" fontId="9" fillId="0" borderId="7" xfId="0" applyFont="1" applyBorder="1" applyAlignment="1">
      <alignment vertical="center" wrapText="1"/>
    </xf>
    <xf numFmtId="0" fontId="8" fillId="7" borderId="0" xfId="0" applyFont="1" applyFill="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vertical="center" wrapText="1"/>
    </xf>
    <xf numFmtId="0" fontId="13" fillId="7" borderId="0" xfId="0" applyFont="1" applyFill="1" applyAlignment="1">
      <alignment horizontal="center" vertical="center" wrapText="1"/>
    </xf>
    <xf numFmtId="14" fontId="3" fillId="0" borderId="0" xfId="0" applyNumberFormat="1" applyFont="1" applyAlignment="1">
      <alignment horizontal="center" vertical="center" wrapText="1"/>
    </xf>
    <xf numFmtId="10" fontId="3" fillId="0" borderId="0" xfId="0" applyNumberFormat="1" applyFont="1" applyAlignment="1">
      <alignment horizontal="center" vertical="center" wrapText="1"/>
    </xf>
    <xf numFmtId="8" fontId="12" fillId="0" borderId="0" xfId="0" applyNumberFormat="1" applyFont="1" applyAlignment="1">
      <alignment horizontal="center" vertical="center" wrapText="1"/>
    </xf>
    <xf numFmtId="0" fontId="12" fillId="0" borderId="0" xfId="0" applyFont="1" applyAlignment="1">
      <alignment horizontal="center" vertical="center" wrapText="1"/>
    </xf>
    <xf numFmtId="0" fontId="15" fillId="0" borderId="0" xfId="0" applyFont="1" applyAlignment="1">
      <alignment horizontal="left" vertical="top" wrapText="1"/>
    </xf>
    <xf numFmtId="0" fontId="11" fillId="0" borderId="0" xfId="0" applyFont="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10" fontId="15" fillId="0" borderId="0" xfId="0" applyNumberFormat="1" applyFont="1" applyAlignment="1">
      <alignment horizontal="center" vertical="center" wrapText="1"/>
    </xf>
    <xf numFmtId="0" fontId="3" fillId="5" borderId="0" xfId="0" applyFont="1" applyFill="1" applyAlignment="1">
      <alignment horizontal="center" vertical="center" wrapText="1"/>
    </xf>
    <xf numFmtId="14" fontId="3" fillId="5" borderId="0" xfId="0" applyNumberFormat="1" applyFont="1" applyFill="1" applyAlignment="1">
      <alignment horizontal="center" vertical="center" wrapText="1"/>
    </xf>
    <xf numFmtId="8" fontId="16" fillId="9" borderId="0" xfId="0" applyNumberFormat="1" applyFont="1" applyFill="1" applyAlignment="1">
      <alignment horizontal="center" vertical="center" wrapText="1"/>
    </xf>
    <xf numFmtId="0" fontId="8" fillId="4" borderId="0" xfId="0" applyFont="1" applyFill="1" applyAlignment="1">
      <alignment horizontal="center" vertical="center" wrapText="1"/>
    </xf>
    <xf numFmtId="8" fontId="12" fillId="5" borderId="0" xfId="0" applyNumberFormat="1" applyFont="1" applyFill="1" applyAlignment="1">
      <alignment horizontal="center" vertical="center" wrapText="1"/>
    </xf>
    <xf numFmtId="0" fontId="9" fillId="10" borderId="0" xfId="0" applyFont="1" applyFill="1" applyAlignment="1">
      <alignment horizontal="center" vertical="center" wrapText="1"/>
    </xf>
    <xf numFmtId="0" fontId="17"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center" vertical="center" wrapText="1"/>
    </xf>
    <xf numFmtId="0" fontId="17" fillId="0" borderId="0" xfId="0" applyFont="1" applyAlignment="1">
      <alignment horizontal="center" vertical="center" wrapText="1"/>
    </xf>
    <xf numFmtId="0" fontId="21" fillId="5" borderId="0" xfId="0" applyFont="1" applyFill="1" applyAlignment="1">
      <alignment horizontal="center" vertical="center" wrapText="1"/>
    </xf>
    <xf numFmtId="14" fontId="17" fillId="0" borderId="0" xfId="0" applyNumberFormat="1" applyFont="1" applyAlignment="1">
      <alignment horizontal="center" vertical="center" wrapText="1"/>
    </xf>
    <xf numFmtId="10" fontId="17" fillId="0" borderId="0" xfId="0" applyNumberFormat="1" applyFont="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left" vertical="top" wrapText="1"/>
    </xf>
    <xf numFmtId="0" fontId="23" fillId="0" borderId="0" xfId="0" applyFont="1" applyAlignment="1">
      <alignment horizontal="left" vertical="top" wrapText="1"/>
    </xf>
    <xf numFmtId="0" fontId="24" fillId="5" borderId="0" xfId="0" applyFont="1" applyFill="1" applyAlignment="1">
      <alignment horizontal="center" vertical="center" wrapText="1"/>
    </xf>
    <xf numFmtId="14" fontId="22" fillId="0" borderId="0" xfId="0" applyNumberFormat="1" applyFont="1" applyAlignment="1">
      <alignment horizontal="center" vertical="center" wrapText="1"/>
    </xf>
    <xf numFmtId="10" fontId="22" fillId="0" borderId="0" xfId="0" applyNumberFormat="1" applyFont="1" applyAlignment="1">
      <alignment horizontal="center" vertical="center" wrapText="1"/>
    </xf>
    <xf numFmtId="0" fontId="9" fillId="11" borderId="0" xfId="0" applyFont="1" applyFill="1" applyAlignment="1">
      <alignment horizontal="center" vertical="center" wrapText="1"/>
    </xf>
    <xf numFmtId="0" fontId="14" fillId="8" borderId="0" xfId="0" applyFont="1" applyFill="1" applyAlignment="1">
      <alignment horizontal="center" vertical="center" wrapText="1"/>
    </xf>
    <xf numFmtId="0" fontId="25" fillId="7" borderId="0" xfId="0" applyFont="1" applyFill="1" applyAlignment="1">
      <alignment horizontal="center" vertical="center" wrapText="1"/>
    </xf>
    <xf numFmtId="0" fontId="26" fillId="0" borderId="0" xfId="0" applyFont="1" applyAlignment="1">
      <alignment wrapText="1"/>
    </xf>
    <xf numFmtId="0" fontId="26" fillId="0" borderId="0" xfId="0" applyFont="1" applyAlignment="1">
      <alignment horizontal="center" vertical="center" wrapText="1"/>
    </xf>
    <xf numFmtId="10" fontId="26" fillId="0" borderId="0" xfId="0" applyNumberFormat="1" applyFont="1" applyAlignment="1">
      <alignment horizontal="center" vertical="center" wrapText="1"/>
    </xf>
    <xf numFmtId="0" fontId="1" fillId="12" borderId="0" xfId="0" applyFont="1" applyFill="1" applyAlignment="1">
      <alignment horizontal="left" vertical="top" wrapText="1"/>
    </xf>
    <xf numFmtId="0" fontId="27" fillId="13" borderId="0" xfId="0" applyFont="1" applyFill="1" applyAlignment="1">
      <alignment horizontal="center" vertical="center" wrapText="1"/>
    </xf>
    <xf numFmtId="0" fontId="2" fillId="5" borderId="0" xfId="0" applyFont="1" applyFill="1" applyAlignment="1">
      <alignment horizontal="center" vertical="center" wrapText="1"/>
    </xf>
    <xf numFmtId="0" fontId="28" fillId="0" borderId="0" xfId="0" applyFont="1" applyAlignment="1">
      <alignment horizontal="center" vertical="center" wrapText="1"/>
    </xf>
    <xf numFmtId="0" fontId="9" fillId="0" borderId="8" xfId="0" applyFont="1" applyBorder="1" applyAlignment="1">
      <alignment vertical="center" wrapText="1"/>
    </xf>
    <xf numFmtId="0" fontId="9" fillId="0" borderId="9" xfId="0" applyFont="1" applyBorder="1" applyAlignment="1">
      <alignment horizontal="center" vertical="center" wrapText="1"/>
    </xf>
    <xf numFmtId="0" fontId="3" fillId="0" borderId="9" xfId="0" applyFont="1" applyBorder="1" applyAlignment="1">
      <alignment vertical="center" wrapText="1"/>
    </xf>
    <xf numFmtId="0" fontId="3" fillId="0" borderId="9" xfId="0" applyFont="1" applyBorder="1" applyAlignment="1">
      <alignment horizontal="left" vertical="top" wrapText="1"/>
    </xf>
    <xf numFmtId="0" fontId="3" fillId="0" borderId="9" xfId="0" applyFont="1" applyBorder="1" applyAlignment="1">
      <alignment horizontal="center" vertical="center" wrapText="1"/>
    </xf>
    <xf numFmtId="0" fontId="12" fillId="0" borderId="9" xfId="0" applyFont="1" applyBorder="1" applyAlignment="1">
      <alignment horizontal="center" vertical="center" wrapText="1"/>
    </xf>
    <xf numFmtId="0" fontId="27" fillId="13" borderId="9" xfId="0" applyFont="1" applyFill="1" applyBorder="1" applyAlignment="1">
      <alignment horizontal="center" vertical="center" wrapText="1"/>
    </xf>
    <xf numFmtId="0" fontId="17" fillId="0" borderId="9" xfId="0" applyFont="1" applyBorder="1" applyAlignment="1">
      <alignment horizontal="center" vertical="center" wrapText="1"/>
    </xf>
    <xf numFmtId="10" fontId="17" fillId="0" borderId="9" xfId="0" applyNumberFormat="1" applyFont="1" applyBorder="1" applyAlignment="1">
      <alignment horizontal="center" vertical="center" wrapText="1"/>
    </xf>
    <xf numFmtId="0" fontId="14" fillId="8" borderId="9" xfId="0" applyFont="1" applyFill="1" applyBorder="1" applyAlignment="1">
      <alignment horizontal="center" vertical="center" wrapText="1"/>
    </xf>
    <xf numFmtId="0" fontId="29" fillId="0" borderId="0" xfId="0" applyFont="1" applyAlignment="1">
      <alignment horizontal="center" vertical="center" wrapText="1"/>
    </xf>
    <xf numFmtId="0" fontId="29" fillId="0" borderId="10" xfId="0" applyFont="1" applyBorder="1" applyAlignment="1">
      <alignment horizontal="center" vertical="center" wrapText="1"/>
    </xf>
    <xf numFmtId="8" fontId="14" fillId="8" borderId="0" xfId="0" applyNumberFormat="1" applyFont="1" applyFill="1" applyAlignment="1">
      <alignment horizontal="center" vertical="center" wrapText="1"/>
    </xf>
    <xf numFmtId="0" fontId="5" fillId="0" borderId="0" xfId="0" applyFont="1" applyAlignment="1">
      <alignment horizontal="center" vertical="center" wrapText="1"/>
    </xf>
    <xf numFmtId="0" fontId="30" fillId="14" borderId="6" xfId="0" applyFont="1" applyFill="1" applyBorder="1" applyAlignment="1">
      <alignment horizontal="center" vertical="center" wrapText="1"/>
    </xf>
    <xf numFmtId="0" fontId="31" fillId="0" borderId="0" xfId="0" applyFont="1"/>
    <xf numFmtId="0" fontId="31" fillId="14" borderId="0" xfId="0" applyFont="1" applyFill="1"/>
    <xf numFmtId="0" fontId="32" fillId="0" borderId="0" xfId="0" applyFont="1"/>
    <xf numFmtId="0" fontId="2" fillId="0" borderId="0" xfId="0" applyFont="1"/>
    <xf numFmtId="0" fontId="33" fillId="0" borderId="0" xfId="0" applyFont="1"/>
    <xf numFmtId="0" fontId="0" fillId="14" borderId="0" xfId="0" applyFill="1"/>
    <xf numFmtId="16" fontId="0" fillId="0" borderId="0" xfId="0" applyNumberFormat="1"/>
    <xf numFmtId="16" fontId="0" fillId="14" borderId="0" xfId="0" applyNumberFormat="1" applyFill="1"/>
    <xf numFmtId="0" fontId="34" fillId="0" borderId="0" xfId="0" applyFont="1"/>
    <xf numFmtId="0" fontId="34" fillId="0" borderId="0" xfId="0" applyFont="1" applyAlignment="1">
      <alignment wrapText="1"/>
    </xf>
    <xf numFmtId="14" fontId="34" fillId="0" borderId="0" xfId="0" applyNumberFormat="1" applyFont="1" applyAlignment="1">
      <alignment wrapText="1"/>
    </xf>
    <xf numFmtId="14" fontId="2" fillId="0" borderId="0" xfId="0" applyNumberFormat="1" applyFont="1"/>
    <xf numFmtId="0" fontId="0" fillId="15" borderId="0" xfId="0" applyFill="1" applyAlignment="1">
      <alignment horizontal="center"/>
    </xf>
    <xf numFmtId="0" fontId="0" fillId="16" borderId="0" xfId="0" applyFill="1" applyAlignment="1">
      <alignment horizontal="center"/>
    </xf>
    <xf numFmtId="0" fontId="34" fillId="0" borderId="0" xfId="0" applyFont="1" applyAlignment="1">
      <alignment wrapText="1" shrinkToFit="1"/>
    </xf>
    <xf numFmtId="0" fontId="35" fillId="0" borderId="0" xfId="0" applyFont="1"/>
    <xf numFmtId="0" fontId="35" fillId="0" borderId="0" xfId="0" applyFont="1" applyAlignment="1">
      <alignment wrapText="1"/>
    </xf>
    <xf numFmtId="14" fontId="35" fillId="0" borderId="0" xfId="0" applyNumberFormat="1" applyFont="1" applyAlignment="1">
      <alignment wrapText="1"/>
    </xf>
    <xf numFmtId="0" fontId="35" fillId="14" borderId="0" xfId="0" applyFont="1" applyFill="1" applyAlignment="1">
      <alignment wrapText="1"/>
    </xf>
    <xf numFmtId="14" fontId="35" fillId="14" borderId="0" xfId="0" applyNumberFormat="1" applyFont="1" applyFill="1" applyAlignment="1">
      <alignment wrapText="1"/>
    </xf>
    <xf numFmtId="14" fontId="35" fillId="17" borderId="0" xfId="0" applyNumberFormat="1" applyFont="1" applyFill="1" applyAlignment="1">
      <alignment wrapText="1"/>
    </xf>
    <xf numFmtId="0" fontId="36" fillId="0" borderId="0" xfId="0" applyFont="1"/>
    <xf numFmtId="0" fontId="36" fillId="0" borderId="0" xfId="0" applyFont="1" applyAlignment="1">
      <alignment wrapText="1"/>
    </xf>
    <xf numFmtId="0" fontId="35" fillId="16" borderId="0" xfId="0" applyFont="1" applyFill="1" applyAlignment="1">
      <alignment wrapText="1"/>
    </xf>
    <xf numFmtId="14" fontId="35" fillId="16" borderId="0" xfId="0" applyNumberFormat="1" applyFont="1" applyFill="1" applyAlignment="1">
      <alignment wrapText="1"/>
    </xf>
    <xf numFmtId="0" fontId="35" fillId="16" borderId="0" xfId="0" applyFont="1" applyFill="1" applyAlignment="1">
      <alignment wrapText="1" shrinkToFit="1"/>
    </xf>
    <xf numFmtId="0" fontId="0" fillId="15" borderId="0" xfId="0" applyFill="1" applyAlignment="1">
      <alignment horizontal="center"/>
    </xf>
    <xf numFmtId="0" fontId="0" fillId="15" borderId="0" xfId="0" applyFill="1" applyAlignment="1"/>
    <xf numFmtId="2" fontId="0" fillId="0" borderId="0" xfId="0" applyNumberFormat="1" applyAlignment="1">
      <alignment wrapText="1"/>
    </xf>
    <xf numFmtId="1" fontId="0" fillId="0" borderId="0" xfId="0" applyNumberFormat="1" applyAlignment="1">
      <alignment wrapText="1"/>
    </xf>
    <xf numFmtId="2" fontId="0" fillId="0" borderId="0" xfId="0" applyNumberFormat="1"/>
    <xf numFmtId="1" fontId="0" fillId="0" borderId="0" xfId="0" applyNumberFormat="1"/>
    <xf numFmtId="0" fontId="0" fillId="0" borderId="0" xfId="0" applyFont="1"/>
    <xf numFmtId="0" fontId="38" fillId="0" borderId="0" xfId="0" applyFont="1"/>
    <xf numFmtId="14" fontId="0" fillId="0" borderId="0" xfId="0" applyNumberFormat="1" applyFont="1"/>
    <xf numFmtId="1" fontId="0" fillId="0" borderId="0" xfId="0" applyNumberFormat="1" applyFont="1"/>
    <xf numFmtId="2" fontId="0" fillId="0" borderId="0" xfId="0" applyNumberFormat="1" applyFont="1"/>
    <xf numFmtId="2" fontId="31" fillId="0" borderId="0" xfId="0" applyNumberFormat="1" applyFont="1"/>
    <xf numFmtId="0" fontId="0" fillId="0" borderId="0" xfId="0" applyAlignment="1">
      <alignment horizontal="left" vertical="center" indent="1"/>
    </xf>
    <xf numFmtId="0" fontId="35" fillId="0" borderId="0" xfId="0" applyFont="1" applyFill="1" applyAlignment="1">
      <alignment wrapText="1"/>
    </xf>
    <xf numFmtId="0" fontId="0" fillId="0" borderId="0" xfId="0" applyFill="1"/>
    <xf numFmtId="0" fontId="0" fillId="0" borderId="14" xfId="0" applyFont="1" applyBorder="1"/>
    <xf numFmtId="0" fontId="0" fillId="0" borderId="0" xfId="0" applyAlignment="1">
      <alignment horizontal="left"/>
    </xf>
    <xf numFmtId="0" fontId="34" fillId="0" borderId="0" xfId="0" applyFont="1" applyAlignment="1"/>
    <xf numFmtId="0" fontId="0" fillId="19" borderId="0" xfId="0" applyFill="1" applyAlignment="1"/>
    <xf numFmtId="0" fontId="0" fillId="19" borderId="0" xfId="0" applyFill="1"/>
    <xf numFmtId="0" fontId="0" fillId="17" borderId="0" xfId="0" applyFill="1" applyAlignment="1"/>
    <xf numFmtId="0" fontId="39" fillId="18" borderId="0" xfId="0" applyFont="1" applyFill="1" applyBorder="1" applyAlignment="1">
      <alignment horizontal="left" vertical="top" wrapText="1"/>
    </xf>
    <xf numFmtId="0" fontId="39" fillId="18" borderId="0" xfId="0" applyFont="1" applyFill="1" applyBorder="1"/>
    <xf numFmtId="0" fontId="39" fillId="18" borderId="0" xfId="0" applyFont="1" applyFill="1" applyBorder="1" applyAlignment="1">
      <alignment wrapText="1"/>
    </xf>
    <xf numFmtId="14" fontId="0" fillId="0" borderId="14" xfId="0" applyNumberFormat="1" applyFont="1" applyBorder="1"/>
    <xf numFmtId="0" fontId="0" fillId="0" borderId="15" xfId="0" applyFont="1" applyBorder="1"/>
    <xf numFmtId="14" fontId="0" fillId="0" borderId="15" xfId="0" applyNumberFormat="1" applyFont="1" applyBorder="1"/>
    <xf numFmtId="0" fontId="0" fillId="0" borderId="0" xfId="0" applyBorder="1"/>
    <xf numFmtId="14" fontId="0" fillId="17" borderId="0" xfId="0" applyNumberFormat="1" applyFill="1" applyAlignment="1"/>
    <xf numFmtId="14" fontId="34" fillId="0" borderId="0" xfId="0" applyNumberFormat="1" applyFont="1" applyAlignment="1"/>
    <xf numFmtId="14" fontId="39" fillId="18" borderId="0" xfId="0" applyNumberFormat="1" applyFont="1" applyFill="1" applyBorder="1" applyAlignment="1">
      <alignment horizontal="left" vertical="top" wrapText="1"/>
    </xf>
    <xf numFmtId="14" fontId="0" fillId="19" borderId="0" xfId="0" applyNumberFormat="1" applyFill="1" applyAlignment="1"/>
    <xf numFmtId="14" fontId="0" fillId="20" borderId="0" xfId="0" applyNumberFormat="1" applyFill="1" applyAlignment="1"/>
    <xf numFmtId="14" fontId="0" fillId="0" borderId="0" xfId="0" applyNumberFormat="1" applyFont="1" applyBorder="1"/>
    <xf numFmtId="0" fontId="0" fillId="20" borderId="0" xfId="0" applyFill="1" applyAlignment="1"/>
    <xf numFmtId="14" fontId="0" fillId="0" borderId="14" xfId="0" applyNumberFormat="1" applyFont="1" applyFill="1" applyBorder="1"/>
    <xf numFmtId="14" fontId="0" fillId="21" borderId="0" xfId="0" applyNumberFormat="1" applyFill="1" applyAlignment="1"/>
    <xf numFmtId="0" fontId="0" fillId="21" borderId="0" xfId="0" applyFill="1" applyAlignment="1"/>
    <xf numFmtId="14" fontId="0" fillId="22" borderId="0" xfId="0" applyNumberFormat="1" applyFill="1" applyAlignment="1"/>
    <xf numFmtId="0" fontId="0" fillId="22" borderId="0" xfId="0" applyFill="1" applyAlignment="1"/>
    <xf numFmtId="14" fontId="0" fillId="23" borderId="0" xfId="0" applyNumberFormat="1" applyFill="1" applyAlignment="1"/>
    <xf numFmtId="0" fontId="0" fillId="23" borderId="0" xfId="0" applyFill="1" applyAlignment="1"/>
    <xf numFmtId="14" fontId="0" fillId="24" borderId="0" xfId="0" applyNumberFormat="1" applyFill="1" applyAlignment="1"/>
    <xf numFmtId="0" fontId="0" fillId="24" borderId="0" xfId="0" applyFill="1" applyAlignment="1"/>
    <xf numFmtId="0" fontId="39" fillId="25" borderId="0" xfId="0" applyFont="1" applyFill="1" applyBorder="1" applyAlignment="1">
      <alignment horizontal="left" vertical="top" wrapText="1"/>
    </xf>
    <xf numFmtId="14" fontId="39" fillId="25" borderId="0" xfId="0" applyNumberFormat="1" applyFont="1" applyFill="1" applyBorder="1" applyAlignment="1">
      <alignment horizontal="left" vertical="top" wrapText="1"/>
    </xf>
    <xf numFmtId="2" fontId="0" fillId="17" borderId="0" xfId="0" applyNumberFormat="1" applyFill="1" applyAlignment="1"/>
    <xf numFmtId="2" fontId="34" fillId="0" borderId="0" xfId="0" applyNumberFormat="1" applyFont="1" applyAlignment="1"/>
    <xf numFmtId="2" fontId="39" fillId="18" borderId="0" xfId="0" applyNumberFormat="1" applyFont="1" applyFill="1" applyBorder="1" applyAlignment="1">
      <alignment horizontal="left" vertical="top" wrapText="1"/>
    </xf>
    <xf numFmtId="2" fontId="0" fillId="0" borderId="14" xfId="0" applyNumberFormat="1" applyFont="1" applyBorder="1"/>
    <xf numFmtId="164" fontId="0" fillId="17" borderId="0" xfId="0" applyNumberFormat="1" applyFill="1" applyAlignment="1"/>
    <xf numFmtId="164" fontId="34" fillId="0" borderId="0" xfId="0" applyNumberFormat="1" applyFont="1" applyAlignment="1"/>
    <xf numFmtId="164" fontId="39" fillId="18" borderId="0" xfId="0" applyNumberFormat="1" applyFont="1" applyFill="1" applyBorder="1" applyAlignment="1">
      <alignment horizontal="left" vertical="top" wrapText="1"/>
    </xf>
    <xf numFmtId="164" fontId="0" fillId="0" borderId="14" xfId="0" applyNumberFormat="1" applyFont="1" applyBorder="1"/>
    <xf numFmtId="164" fontId="0" fillId="0" borderId="0" xfId="0" applyNumberFormat="1"/>
    <xf numFmtId="14" fontId="0" fillId="0" borderId="15" xfId="0" applyNumberFormat="1" applyFont="1" applyFill="1" applyBorder="1"/>
    <xf numFmtId="1" fontId="0" fillId="0" borderId="16" xfId="0" applyNumberFormat="1" applyFont="1" applyBorder="1"/>
    <xf numFmtId="1" fontId="0" fillId="0" borderId="15" xfId="0" applyNumberFormat="1" applyFont="1" applyBorder="1"/>
    <xf numFmtId="1" fontId="0" fillId="0" borderId="14" xfId="0" applyNumberFormat="1" applyFont="1" applyBorder="1"/>
    <xf numFmtId="164" fontId="0" fillId="0" borderId="15" xfId="0" applyNumberFormat="1" applyFont="1" applyBorder="1"/>
    <xf numFmtId="0" fontId="0" fillId="0" borderId="15" xfId="0" applyNumberFormat="1" applyFont="1" applyBorder="1"/>
    <xf numFmtId="14" fontId="0" fillId="26" borderId="0" xfId="0" applyNumberFormat="1" applyFill="1" applyAlignment="1"/>
    <xf numFmtId="0" fontId="0" fillId="26" borderId="0" xfId="0" applyFill="1" applyAlignment="1"/>
    <xf numFmtId="0" fontId="0" fillId="26" borderId="0" xfId="0" applyFill="1"/>
    <xf numFmtId="0" fontId="0" fillId="20" borderId="0" xfId="0" applyFill="1"/>
    <xf numFmtId="0" fontId="0" fillId="27" borderId="0" xfId="0" applyFill="1" applyAlignment="1"/>
    <xf numFmtId="14" fontId="0" fillId="27" borderId="0" xfId="0" applyNumberFormat="1" applyFill="1" applyAlignment="1"/>
    <xf numFmtId="164" fontId="0" fillId="27" borderId="0" xfId="0" applyNumberFormat="1" applyFill="1" applyAlignment="1"/>
    <xf numFmtId="2" fontId="0" fillId="27" borderId="0" xfId="0" applyNumberFormat="1" applyFill="1" applyAlignment="1"/>
    <xf numFmtId="0" fontId="3" fillId="0" borderId="0" xfId="0" applyFont="1" applyFill="1" applyAlignment="1">
      <alignment horizontal="center" vertical="center" wrapText="1"/>
    </xf>
    <xf numFmtId="0" fontId="3" fillId="0" borderId="0" xfId="0" applyFont="1" applyFill="1" applyAlignment="1">
      <alignment horizontal="center" vertical="center"/>
    </xf>
    <xf numFmtId="0" fontId="35" fillId="29" borderId="17" xfId="0" applyFont="1" applyFill="1" applyBorder="1"/>
    <xf numFmtId="0" fontId="36" fillId="30" borderId="0" xfId="0" applyFont="1" applyFill="1"/>
    <xf numFmtId="0" fontId="36" fillId="30" borderId="0" xfId="0" applyFont="1" applyFill="1" applyAlignment="1">
      <alignment horizontal="left"/>
    </xf>
    <xf numFmtId="0" fontId="35" fillId="30" borderId="0" xfId="0" applyFont="1" applyFill="1"/>
    <xf numFmtId="0" fontId="36" fillId="31" borderId="0" xfId="0" applyFont="1" applyFill="1" applyBorder="1" applyAlignment="1">
      <alignment horizontal="left" vertical="top" wrapText="1"/>
    </xf>
    <xf numFmtId="14" fontId="36" fillId="31" borderId="0" xfId="0" applyNumberFormat="1" applyFont="1" applyFill="1" applyBorder="1" applyAlignment="1">
      <alignment horizontal="left" vertical="top" wrapText="1"/>
    </xf>
    <xf numFmtId="164" fontId="36" fillId="31" borderId="0" xfId="0" applyNumberFormat="1" applyFont="1" applyFill="1" applyBorder="1" applyAlignment="1">
      <alignment horizontal="left" vertical="top" wrapText="1"/>
    </xf>
    <xf numFmtId="2" fontId="36" fillId="31" borderId="0" xfId="0" applyNumberFormat="1" applyFont="1" applyFill="1" applyBorder="1" applyAlignment="1">
      <alignment horizontal="left" vertical="top" wrapText="1"/>
    </xf>
    <xf numFmtId="0" fontId="36" fillId="31" borderId="0" xfId="0" applyFont="1" applyFill="1" applyBorder="1"/>
    <xf numFmtId="0" fontId="36" fillId="31" borderId="0" xfId="0" applyFont="1" applyFill="1" applyBorder="1" applyAlignment="1">
      <alignment wrapText="1"/>
    </xf>
    <xf numFmtId="0" fontId="34" fillId="0" borderId="0" xfId="0" applyFont="1" applyFill="1"/>
    <xf numFmtId="0" fontId="0" fillId="32" borderId="0" xfId="0" applyFill="1"/>
    <xf numFmtId="0" fontId="0" fillId="28" borderId="0" xfId="0" applyFill="1"/>
    <xf numFmtId="0" fontId="0" fillId="33" borderId="0" xfId="0" applyFill="1"/>
    <xf numFmtId="0" fontId="0" fillId="16" borderId="0" xfId="0" applyFill="1" applyAlignment="1">
      <alignment horizontal="center"/>
    </xf>
    <xf numFmtId="0" fontId="0" fillId="15" borderId="0" xfId="0" applyFill="1" applyAlignment="1">
      <alignment horizont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cellXfs>
  <cellStyles count="1">
    <cellStyle name="Normal" xfId="0" builtinId="0"/>
  </cellStyles>
  <dxfs count="1074">
    <dxf>
      <font>
        <color rgb="FFFFC000"/>
      </font>
      <numFmt numFmtId="1" formatCode="0"/>
    </dxf>
    <dxf>
      <font>
        <color rgb="FFFF0000"/>
      </font>
      <numFmt numFmtId="1" formatCode="0"/>
    </dxf>
    <dxf>
      <numFmt numFmtId="1" formatCode="0"/>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30" formatCode="@"/>
      <fill>
        <patternFill>
          <bgColor rgb="FF00B050"/>
        </patternFill>
      </fill>
    </dxf>
    <dxf>
      <numFmt numFmtId="30" formatCode="@"/>
      <fill>
        <patternFill>
          <bgColor rgb="FFFF0000"/>
        </patternFill>
      </fill>
    </dxf>
    <dxf>
      <numFmt numFmtId="30" formatCode="@"/>
      <fill>
        <patternFill>
          <bgColor rgb="FF00B050"/>
        </patternFill>
      </fill>
    </dxf>
    <dxf>
      <numFmt numFmtId="30" formatCode="@"/>
    </dxf>
    <dxf>
      <numFmt numFmtId="30" formatCode="@"/>
      <fill>
        <patternFill>
          <bgColor rgb="FFFF0000"/>
        </patternFill>
      </fill>
    </dxf>
    <dxf>
      <numFmt numFmtId="30" formatCode="@"/>
    </dxf>
    <dxf>
      <font>
        <color theme="1"/>
      </font>
      <numFmt numFmtId="19" formatCode="m/d/yyyy"/>
      <fill>
        <patternFill patternType="solid">
          <bgColor rgb="FF00B050"/>
        </patternFill>
      </fill>
    </dxf>
    <dxf>
      <numFmt numFmtId="19" formatCode="m/d/yyyy"/>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numFmt numFmtId="19" formatCode="m/d/yyyy"/>
    </dxf>
    <dxf>
      <numFmt numFmtId="1" formatCode="0"/>
    </dxf>
    <dxf>
      <font>
        <color rgb="FF00B050"/>
      </font>
      <numFmt numFmtId="1" formatCode="0"/>
    </dxf>
    <dxf>
      <font>
        <color rgb="FFFFC000"/>
      </font>
      <numFmt numFmtId="1" formatCode="0"/>
    </dxf>
    <dxf>
      <font>
        <color rgb="FFFF0000"/>
      </font>
      <numFmt numFmtId="1" formatCode="0"/>
    </dxf>
    <dxf>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font>
        <color rgb="FFFFC000"/>
      </font>
      <numFmt numFmtId="19" formatCode="m/d/yyyy"/>
    </dxf>
    <dxf>
      <font>
        <color rgb="FFFF0000"/>
      </font>
      <numFmt numFmtId="19" formatCode="m/d/yyyy"/>
    </dxf>
    <dxf>
      <font>
        <color rgb="FF00B050"/>
      </font>
      <numFmt numFmtId="19" formatCode="m/d/yyyy"/>
    </dxf>
    <dxf>
      <numFmt numFmtId="19" formatCode="m/d/yyyy"/>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numFmt numFmtId="1" formatCode="0"/>
    </dxf>
    <dxf>
      <font>
        <color rgb="FF00B050"/>
      </font>
      <numFmt numFmtId="1" formatCode="0"/>
    </dxf>
    <dxf>
      <font>
        <color rgb="FFFFC000"/>
      </font>
      <numFmt numFmtId="1" formatCode="0"/>
    </dxf>
    <dxf>
      <font>
        <color rgb="FFFF0000"/>
      </font>
      <numFmt numFmtId="1" formatCode="0"/>
    </dxf>
    <dxf>
      <font>
        <color theme="1"/>
      </font>
      <numFmt numFmtId="19" formatCode="m/d/yyyy"/>
      <fill>
        <patternFill patternType="solid">
          <bgColor rgb="FF00B050"/>
        </patternFill>
      </fill>
    </dxf>
    <dxf>
      <font>
        <color theme="1"/>
      </font>
      <numFmt numFmtId="19" formatCode="m/d/yyyy"/>
      <fill>
        <patternFill>
          <bgColor rgb="FFFFC000"/>
        </patternFill>
      </fill>
    </dxf>
    <dxf>
      <font>
        <color theme="1"/>
      </font>
      <numFmt numFmtId="19" formatCode="m/d/yyyy"/>
      <fill>
        <patternFill>
          <bgColor rgb="FFFF0000"/>
        </patternFill>
      </fill>
    </dxf>
    <dxf>
      <numFmt numFmtId="19" formatCode="m/d/yyyy"/>
    </dxf>
    <dxf>
      <font>
        <color rgb="FF00B050"/>
      </font>
      <numFmt numFmtId="1" formatCode="0"/>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theme="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auto="1"/>
      </font>
      <numFmt numFmtId="1" formatCode="0"/>
      <fill>
        <patternFill patternType="solid">
          <bgColor theme="7" tint="0.39994506668294322"/>
        </patternFill>
      </fill>
    </dxf>
    <dxf>
      <font>
        <color rgb="FFFF0000"/>
      </font>
      <numFmt numFmtId="1" formatCode="0"/>
      <fill>
        <patternFill patternType="none">
          <bgColor auto="1"/>
        </patternFill>
      </fill>
    </dxf>
    <dxf>
      <font>
        <color rgb="FF00B050"/>
      </font>
      <numFmt numFmtId="1" formatCode="0"/>
      <fill>
        <patternFill patternType="none">
          <bgColor auto="1"/>
        </patternFill>
      </fill>
    </dxf>
    <dxf>
      <font>
        <color theme="1"/>
      </font>
      <numFmt numFmtId="1" formatCode="0"/>
      <fill>
        <patternFill patternType="solid">
          <bgColor theme="7" tint="0.39994506668294322"/>
        </patternFill>
      </fill>
    </dxf>
    <dxf>
      <font>
        <color rgb="FFFF0000"/>
      </font>
      <numFmt numFmtId="1" formatCode="0"/>
      <fill>
        <patternFill patternType="none">
          <bgColor auto="1"/>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fill>
        <patternFill>
          <bgColor rgb="FF00B050"/>
        </patternFill>
      </fill>
    </dxf>
    <dxf>
      <numFmt numFmtId="19" formatCode="m/d/yyyy"/>
      <fill>
        <patternFill>
          <bgColor rgb="FFFFC000"/>
        </patternFill>
      </fill>
    </dxf>
    <dxf>
      <numFmt numFmtId="19" formatCode="m/d/yyyy"/>
      <fill>
        <patternFill>
          <bgColor rgb="FFFF0000"/>
        </patternFill>
      </fill>
    </dxf>
    <dxf>
      <numFmt numFmtId="19" formatCode="m/d/yyyy"/>
    </dxf>
    <dxf>
      <numFmt numFmtId="19" formatCode="m/d/yyyy"/>
      <fill>
        <patternFill>
          <bgColor rgb="FF00B050"/>
        </patternFill>
      </fill>
    </dxf>
    <dxf>
      <numFmt numFmtId="19" formatCode="m/d/yyyy"/>
      <fill>
        <patternFill>
          <bgColor rgb="FFFF0000"/>
        </patternFill>
      </fill>
    </dxf>
    <dxf>
      <numFmt numFmtId="19" formatCode="m/d/yyyy"/>
      <fill>
        <patternFill>
          <bgColor rgb="FFFFC000"/>
        </patternFill>
      </fill>
    </dxf>
    <dxf>
      <numFmt numFmtId="19" formatCode="m/d/yyyy"/>
    </dxf>
    <dxf>
      <numFmt numFmtId="19" formatCode="m/d/yyyy"/>
      <fill>
        <patternFill>
          <bgColor rgb="FFFF0000"/>
        </patternFill>
      </fill>
    </dxf>
    <dxf>
      <numFmt numFmtId="19" formatCode="m/d/yyyy"/>
      <fill>
        <patternFill>
          <bgColor rgb="FFFFC000"/>
        </patternFill>
      </fill>
    </dxf>
    <dxf>
      <numFmt numFmtId="19" formatCode="m/d/yyyy"/>
      <fill>
        <patternFill>
          <bgColor rgb="FF00B050"/>
        </patternFill>
      </fil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font>
        <b/>
        <i val="0"/>
        <strike val="0"/>
        <condense val="0"/>
        <extend val="0"/>
        <outline val="0"/>
        <shadow val="0"/>
        <u val="none"/>
        <vertAlign val="baseline"/>
        <sz val="11"/>
        <color auto="1"/>
        <name val="Calibri"/>
        <family val="2"/>
        <scheme val="minor"/>
      </font>
      <fill>
        <patternFill>
          <fgColor indexed="64"/>
          <bgColor theme="9"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numFmt numFmtId="19" formatCode="m/d/yyyy"/>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numFmt numFmtId="19" formatCode="m/d/yyyy"/>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op>
        <bottom style="thin">
          <color theme="4"/>
        </bottom>
      </border>
    </dxf>
    <dxf>
      <font>
        <b val="0"/>
        <i val="0"/>
        <strike val="0"/>
        <condense val="0"/>
        <extend val="0"/>
        <outline val="0"/>
        <shadow val="0"/>
        <u val="none"/>
        <vertAlign val="baseline"/>
        <sz val="11"/>
        <color theme="1"/>
        <name val="Calibri"/>
        <family val="2"/>
        <scheme val="minor"/>
      </font>
      <numFmt numFmtId="19" formatCode="m/d/yyyy"/>
      <border diagonalUp="0" diagonalDown="0" outline="0">
        <left/>
        <right/>
        <top style="thin">
          <color theme="4"/>
        </top>
        <bottom style="thin">
          <color theme="4"/>
        </bottom>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outline="0">
        <left/>
        <right/>
        <top style="thin">
          <color theme="4"/>
        </top>
        <bottom style="thin">
          <color theme="4"/>
        </bottom>
      </border>
    </dxf>
    <dxf>
      <font>
        <b val="0"/>
        <i val="0"/>
        <strike val="0"/>
        <condense val="0"/>
        <extend val="0"/>
        <outline val="0"/>
        <shadow val="0"/>
        <u val="none"/>
        <vertAlign val="baseline"/>
        <sz val="11"/>
        <color theme="1"/>
        <name val="Calibri"/>
        <family val="2"/>
        <scheme val="minor"/>
      </font>
      <numFmt numFmtId="1" formatCode="0"/>
      <border diagonalUp="0" diagonalDown="0" outline="0">
        <left/>
        <right/>
        <top style="thin">
          <color theme="4"/>
        </top>
        <bottom style="thin">
          <color theme="4"/>
        </bottom>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theme="1"/>
        <name val="Calibri"/>
        <family val="2"/>
        <scheme val="minor"/>
      </font>
      <numFmt numFmtId="164" formatCode="0.000"/>
      <border diagonalUp="0" diagonalDown="0" outline="0">
        <left/>
        <right/>
        <top style="thin">
          <color theme="4"/>
        </top>
        <bottom style="thin">
          <color theme="4"/>
        </bottom>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op>
        <bottom style="thin">
          <color theme="4"/>
        </bottom>
        <vertical/>
        <horizontal/>
      </border>
    </dxf>
    <dxf>
      <border outline="0">
        <left style="thin">
          <color theme="4"/>
        </left>
        <top style="thin">
          <color theme="4"/>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1" indent="0" justifyLastLine="0" shrinkToFit="0" readingOrder="0"/>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9" formatCode="m/d/yyyy"/>
    </dxf>
    <dxf>
      <numFmt numFmtId="1" formatCode="0"/>
    </dxf>
    <dxf>
      <numFmt numFmtId="19" formatCode="m/d/yyyy"/>
    </dxf>
    <dxf>
      <numFmt numFmtId="19" formatCode="m/d/yyyy"/>
    </dxf>
    <dxf>
      <numFmt numFmtId="1" formatCode="0"/>
    </dxf>
    <dxf>
      <numFmt numFmtId="19" formatCode="m/d/yyyy"/>
    </dxf>
    <dxf>
      <numFmt numFmtId="19" formatCode="m/d/yyyy"/>
    </dxf>
    <dxf>
      <numFmt numFmtId="1" formatCode="0"/>
    </dxf>
    <dxf>
      <numFmt numFmtId="19" formatCode="m/d/yyyy"/>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9" formatCode="m/d/yyyy"/>
    </dxf>
    <dxf>
      <numFmt numFmtId="1" formatCode="0"/>
    </dxf>
    <dxf>
      <numFmt numFmtId="19" formatCode="m/d/yyyy"/>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9" formatCode="m/d/yyyy"/>
    </dxf>
    <dxf>
      <numFmt numFmtId="2" formatCode="0.00"/>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2" formatCode="0.0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9" formatCode="m/d/yyyy"/>
    </dxf>
    <dxf>
      <numFmt numFmtId="1" formatCode="0"/>
    </dxf>
    <dxf>
      <numFmt numFmtId="19" formatCode="m/d/yyyy"/>
    </dxf>
    <dxf>
      <numFmt numFmtId="1" formatCode="0"/>
    </dxf>
    <dxf>
      <numFmt numFmtId="19" formatCode="m/d/yyyy"/>
    </dxf>
    <dxf>
      <numFmt numFmtId="1" formatCode="0"/>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1" formatCode="0"/>
    </dxf>
    <dxf>
      <numFmt numFmtId="19" formatCode="m/d/yyyy"/>
    </dxf>
    <dxf>
      <numFmt numFmtId="2" formatCode="0.0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FB0454-2D7F-49A3-A346-B6178A366290}" name="Table2" displayName="Table2" ref="A3:FB56" totalsRowCount="1" headerRowDxfId="1073">
  <autoFilter ref="A3:FB55" xr:uid="{39FB0454-2D7F-49A3-A346-B6178A366290}"/>
  <tableColumns count="158">
    <tableColumn id="1" xr3:uid="{9C1C8E8B-7CB9-47E9-9450-ED538FCDEC38}" name="Column1" totalsRowLabel="Total"/>
    <tableColumn id="2" xr3:uid="{5A794C20-D750-434C-9F27-CB23467CCD27}" name="Design Stage"/>
    <tableColumn id="3" xr3:uid="{5EA2E3DA-30D5-4822-B497-F2B304B4D25E}" name="Opp Name"/>
    <tableColumn id="4" xr3:uid="{744BAC6F-FF8E-46E1-8656-4568B9571491}" name="Opp ID" dataDxfId="1072"/>
    <tableColumn id="5" xr3:uid="{95A1C4C0-C8B7-439F-8851-9320E10385ED}" name="Deal Type"/>
    <tableColumn id="6" xr3:uid="{7F73C737-BB4F-4E9E-8442-7E4FAAF676A1}" name="Property Type"/>
    <tableColumn id="7" xr3:uid="{1F0CE4F7-5AD1-4648-A83B-1A646B479116}" name="Deal Stage"/>
    <tableColumn id="8" xr3:uid="{98C3524F-130F-4AAF-B2FF-54B92871AECC}" name="BD Name"/>
    <tableColumn id="11" xr3:uid="{33ABDA82-E82B-4580-94FC-424CBE73DD87}" name="#Units" totalsRowFunction="count"/>
    <tableColumn id="9" xr3:uid="{A6A6B508-F489-49AE-83EC-AE847D3DEA3E}" name="Receive date" totalsRowFunction="countNums"/>
    <tableColumn id="12" xr3:uid="{045C8958-3544-4FA6-93A7-89EE70830467}" name="Kickoff date"/>
    <tableColumn id="13" xr3:uid="{1318F425-44F7-411B-B1A7-C75DE64E0FB7}" name="ROM Request"/>
    <tableColumn id="68" xr3:uid="{8ECE9B47-A072-401B-BD53-6242BF8F7F4C}" name="ROM Request Forecast" dataDxfId="1071">
      <calculatedColumnFormula>WORKDAY(Table2[[#This Row],[Kickoff date]], 7)</calculatedColumnFormula>
    </tableColumn>
    <tableColumn id="69" xr3:uid="{C5F103AF-BBA3-482E-912D-C29ED08F74D3}" name="Days Passed Since ROM Request" dataDxfId="1070">
      <calculatedColumnFormula>NETWORKDAYS(Table2[[#This Row],[ROM Request]], TODAY())</calculatedColumnFormula>
    </tableColumn>
    <tableColumn id="14" xr3:uid="{FBF900F9-1DA7-4624-A840-90E8B03A271E}" name="ROM Receive" totalsRowFunction="countNums"/>
    <tableColumn id="70" xr3:uid="{EA307B0E-E74F-4C10-9DB5-71DFAE562A64}" name="ROM Receive Forecast" dataDxfId="1069">
      <calculatedColumnFormula>WORKDAY(Table2[[#This Row],[ROM Request]], 10)</calculatedColumnFormula>
    </tableColumn>
    <tableColumn id="71" xr3:uid="{D8189D30-A2C0-4FEC-A52B-751C01169452}" name="Days Passed Since ROM Received" dataDxfId="1068">
      <calculatedColumnFormula>NETWORKDAYS(Table2[[#This Row],[ROM Receive]], TODAY())</calculatedColumnFormula>
    </tableColumn>
    <tableColumn id="15" xr3:uid="{5E30C79C-DA61-4834-BF08-C290A86D32B8}" name="Backhaul Cost Request"/>
    <tableColumn id="72" xr3:uid="{BF04A9B2-77C9-4365-BD50-A2CFF8AE8AA7}" name="Backhaul Cost Request Forecast" dataDxfId="1067">
      <calculatedColumnFormula>WORKDAY(Table2[[#This Row],[ROM Receive Forecast]], 15)</calculatedColumnFormula>
    </tableColumn>
    <tableColumn id="73" xr3:uid="{F065495E-EC49-4F12-AEBE-E3C340660902}" name="Days Since BC Request" dataDxfId="1066">
      <calculatedColumnFormula>NETWORKDAYS(Table2[[#This Row],[Backhaul Cost Request]], TODAY())</calculatedColumnFormula>
    </tableColumn>
    <tableColumn id="16" xr3:uid="{3BBBE731-CF0E-4E8F-8C17-9B394C9BB36B}" name="Backhaul Cost Receive" totalsRowFunction="countNums"/>
    <tableColumn id="74" xr3:uid="{F5315FF2-A31C-48E9-86A5-A00289CFFA2D}" name="Backhaul Cost Receive Forecast " dataDxfId="1065">
      <calculatedColumnFormula>WORKDAY(Table2[[#This Row],[Backhaul Cost Request Forecast]], 15)</calculatedColumnFormula>
    </tableColumn>
    <tableColumn id="75" xr3:uid="{CEC33C74-CE6B-4C81-ACB0-53B1CCF9C1B7}" name="Days Since BC Received " dataDxfId="1064">
      <calculatedColumnFormula>NETWORKDAYS(Table2[[#This Row],[Backhaul Cost Receive]], TODAY())</calculatedColumnFormula>
    </tableColumn>
    <tableColumn id="17" xr3:uid="{9FC62FD6-E519-40CA-BE5B-CA077183927A}" name="OSP Request">
      <calculatedColumnFormula>Table2[[#This Row],[Kickoff date]]</calculatedColumnFormula>
    </tableColumn>
    <tableColumn id="76" xr3:uid="{C010B700-F568-4DC1-ADEB-DDF7A5C05684}" name="OSP Request Forecast" dataDxfId="1063">
      <calculatedColumnFormula>WORKDAY(Table2[[#This Row],[Backhaul Cost Request Forecast]], 7)</calculatedColumnFormula>
    </tableColumn>
    <tableColumn id="77" xr3:uid="{3B9BE216-A73E-482C-A603-88145AD43529}" name="Days Since OSP Request " dataDxfId="1062">
      <calculatedColumnFormula>NETWORKDAYS(Table2[[#This Row],[OSP Request]], TODAY())</calculatedColumnFormula>
    </tableColumn>
    <tableColumn id="18" xr3:uid="{987D6879-B9C0-43A5-A41D-3A6F0E3DCF81}" name="OSP Receive" totalsRowFunction="countNums"/>
    <tableColumn id="78" xr3:uid="{923FD593-3280-4D53-A85C-EABCE224310A}" name="OSP Receive Forecast" dataDxfId="1061">
      <calculatedColumnFormula>WORKDAY(Table2[[#This Row],[OSP Request Forecast]], 10)</calculatedColumnFormula>
    </tableColumn>
    <tableColumn id="79" xr3:uid="{3E60E156-A47E-498C-867F-39F276EFA837}" name="Days Since OSP Received " dataDxfId="1060">
      <calculatedColumnFormula>NETWORKDAYS(Table2[[#This Row],[OSP Receive]], TODAY())</calculatedColumnFormula>
    </tableColumn>
    <tableColumn id="19" xr3:uid="{D7C01928-0A48-4428-BBED-B7E987081DF0}" name="FM Request" dataDxfId="1059">
      <calculatedColumnFormula>Table2[[#This Row],[Kickoff date]]</calculatedColumnFormula>
    </tableColumn>
    <tableColumn id="80" xr3:uid="{4E4FBD42-C719-424C-BFA0-B2A36EA3BBC7}" name="FM Request Forecast " dataDxfId="1058">
      <calculatedColumnFormula>WORKDAY(Table2[[#This Row],[Kickoff date]], 7)</calculatedColumnFormula>
    </tableColumn>
    <tableColumn id="81" xr3:uid="{EBF7821E-9373-4646-BE2E-30756C74BA14}" name="Days Since FM Request " dataDxfId="1057">
      <calculatedColumnFormula>NETWORKDAYS(Table2[[#This Row],[FM Request]], TODAY())</calculatedColumnFormula>
    </tableColumn>
    <tableColumn id="20" xr3:uid="{C2875825-4E4E-4B2D-BE22-317BEBEDDB37}" name="FM receive" totalsRowFunction="countNums"/>
    <tableColumn id="82" xr3:uid="{FB2DC79C-6338-452A-AD67-1D5D7E707169}" name="FM Receive Forecast " dataDxfId="1056">
      <calculatedColumnFormula>WORKDAY(Table2[[#This Row],[FM Request Forecast ]], 2)</calculatedColumnFormula>
    </tableColumn>
    <tableColumn id="83" xr3:uid="{E2477A81-FAAA-4745-B3D4-38DB815B6764}" name="Days Since FM Received " dataDxfId="1055">
      <calculatedColumnFormula>NETWORKDAYS(Table2[[#This Row],[FM receive]], TODAY())</calculatedColumnFormula>
    </tableColumn>
    <tableColumn id="21" xr3:uid="{3BC2A5C4-F865-49A2-A6E7-D8DAEBCDBCEF}" name="FM review"/>
    <tableColumn id="84" xr3:uid="{FC4DC3C7-4A09-4959-8605-61499C4CF769}" name="FM Review Forecast" dataDxfId="1054">
      <calculatedColumnFormula>WORKDAY(Table2[[#This Row],[FM Receive Forecast ]], 2)</calculatedColumnFormula>
    </tableColumn>
    <tableColumn id="22" xr3:uid="{688D00A2-7888-4479-8DBC-F5ABF2B24648}" name="FM Approval meeting "/>
    <tableColumn id="23" xr3:uid="{A66BA62E-2DD4-49DB-9518-BA9D08E78B42}" name="1-pager Submission to BD"/>
    <tableColumn id="24" xr3:uid="{22B13795-119F-45F2-A440-724EF0497EB7}" name="Proposal Accepted"/>
    <tableColumn id="90" xr3:uid="{BCF4B648-3D18-4FE4-B458-9038FE2D35EC}" name="Proposal Acceptance Forecast" dataDxfId="1053">
      <calculatedColumnFormula>WORKDAY(Table2[[#This Row],[1-pager Submission to BD]], 7)</calculatedColumnFormula>
    </tableColumn>
    <tableColumn id="91" xr3:uid="{843EF895-BCAC-4619-9D41-AA9827D5F80A}" name="Days Since Proposal Accepted" dataDxfId="1052">
      <calculatedColumnFormula>IF(ISBLANK(Table2[[#This Row],[Firm Pricing request]]), NETWORKDAYS(Table2[[#This Row],[Proposal Accepted]], TODAY()), NETWORKDAYS(Table2[[#This Row],[Proposal Accepted]], Table2[[#This Row],[Firm Pricing request]]))</calculatedColumnFormula>
    </tableColumn>
    <tableColumn id="25" xr3:uid="{6A1972A1-4AAF-4137-8BF4-D41CCCA2414E}" name="Firm Pricing request"/>
    <tableColumn id="92" xr3:uid="{7215D8E4-F75D-46D7-B7EF-8FF3436F9678}" name="Firm Pricing Request Forecast" dataDxfId="1051">
      <calculatedColumnFormula>WORKDAY(Table2[[#This Row],[Proposal Acceptance Forecast]], 7)</calculatedColumnFormula>
    </tableColumn>
    <tableColumn id="93" xr3:uid="{BBB7D775-6F71-491F-9EFE-DE67FA0374C8}" name="Days Since Firm Pricing Request" dataDxfId="1050">
      <calculatedColumnFormula>NETWORKDAYS(Table2[[#This Row],[Firm Pricing request]], TODAY())</calculatedColumnFormula>
    </tableColumn>
    <tableColumn id="26" xr3:uid="{CDE818B3-8D04-473C-8A25-157ACC0D1CE9}" name="Site Walk"/>
    <tableColumn id="94" xr3:uid="{45C30AF6-8BE9-412A-9C93-16E017903897}" name="Site Walk Forecast" dataDxfId="1049">
      <calculatedColumnFormula>WORKDAY(Table2[[#This Row],[Firm Pricing Request Forecast]], 7)</calculatedColumnFormula>
    </tableColumn>
    <tableColumn id="95" xr3:uid="{782B5905-B79C-4587-95ED-9BB16F4329F1}" name="Days Since Site Walk" dataDxfId="1048">
      <calculatedColumnFormula>NETWORKDAYS(Table2[[#This Row],[Site Walk]], TODAY())</calculatedColumnFormula>
    </tableColumn>
    <tableColumn id="98" xr3:uid="{E4880997-4E67-48F9-91CD-D3857B967C82}" name="Firm Quote Receival"/>
    <tableColumn id="99" xr3:uid="{5C0F1249-503C-4337-9DAF-63E345F02672}" name="Firm Quote Receival Forecast " dataDxfId="1047">
      <calculatedColumnFormula>WORKDAY(Table2[[#This Row],[Site Walk Forecast]], 7)</calculatedColumnFormula>
    </tableColumn>
    <tableColumn id="100" xr3:uid="{A95EB8E2-B1C7-4832-A7AF-FBDA8860D4B9}" name="Days Since Firm Quote Receival " dataDxfId="1046">
      <calculatedColumnFormula>NETWORKDAYS(Table2[[#This Row],[Firm Quote Receival]], TODAY())</calculatedColumnFormula>
    </tableColumn>
    <tableColumn id="27" xr3:uid="{FB56EE24-1C0E-4779-BB50-FD68EE2BC37C}" name="Final Design &amp; BOM(20 calendar days from site walk)" totalsRowFunction="countNums"/>
    <tableColumn id="96" xr3:uid="{33CFD101-EA29-416C-9994-8548C4265B03}" name="Final Design &amp; BOM Forecast " dataDxfId="1045">
      <calculatedColumnFormula>WORKDAY(Table2[[#This Row],[Firm Quote Receival Forecast ]], 7)</calculatedColumnFormula>
    </tableColumn>
    <tableColumn id="97" xr3:uid="{417F31F6-AC80-4627-92B6-E72C9B378547}" name="Days Since Final Design &amp; BOM " dataDxfId="1044">
      <calculatedColumnFormula>NETWORKDAYS(Table2[[#This Row],[Final Design &amp; BOM(20 calendar days from site walk)]], TODAY())</calculatedColumnFormula>
    </tableColumn>
    <tableColumn id="28" xr3:uid="{BE0BDFDC-066C-497A-B2EF-FF7DD9704D5A}" name="FM Request 2"/>
    <tableColumn id="101" xr3:uid="{C06E68FA-2266-4AE0-AB6A-99D4467099EC}" name="FM Request 2 Forecast" dataDxfId="1043">
      <calculatedColumnFormula>WORKDAY(Table2[[#This Row],[Final Design &amp; BOM Forecast ]], 7)</calculatedColumnFormula>
    </tableColumn>
    <tableColumn id="102" xr3:uid="{EE18BB9B-0334-4BA0-B8B7-378B14E723D3}" name="Days Since FM Request 2" dataDxfId="1042">
      <calculatedColumnFormula>NETWORKDAYS(Table2[[#This Row],[FM Request 2]], TODAY())</calculatedColumnFormula>
    </tableColumn>
    <tableColumn id="29" xr3:uid="{96D95F3E-57E5-4C38-BB0B-B8D03910BEDB}" name="FM Review 2" totalsRowFunction="countNums"/>
    <tableColumn id="103" xr3:uid="{0AB7DA46-5E06-4F1A-A78E-98FE5E8228C4}" name="FM Review 2 Forecast" dataDxfId="1041">
      <calculatedColumnFormula>WORKDAY(Table2[[#This Row],[FM Request 2 Forecast]], 7)</calculatedColumnFormula>
    </tableColumn>
    <tableColumn id="104" xr3:uid="{9B3B1729-5C8F-4054-B5DE-70FA859E0C16}" name="Days Since FM Review 2" dataDxfId="1040"/>
    <tableColumn id="30" xr3:uid="{A0AAB665-1A6E-4F56-9E08-FEEF7B396C59}" name="Tax Review"/>
    <tableColumn id="105" xr3:uid="{28425366-8D1F-4671-9371-53852059D3E1}" name="Tax Review Forecast" dataDxfId="1039">
      <calculatedColumnFormula>WORKDAY(Table2[[#This Row],[FM Review 2 Forecast]], 7)</calculatedColumnFormula>
    </tableColumn>
    <tableColumn id="106" xr3:uid="{1483DDE8-D1F3-49D5-B203-1283B0559C53}" name="Days Since Tax Review " dataDxfId="1038">
      <calculatedColumnFormula>NETWORKDAYS(Table2[[#This Row],[Tax Review]], TODAY())</calculatedColumnFormula>
    </tableColumn>
    <tableColumn id="31" xr3:uid="{9C35518E-5A82-4CA6-BC25-0D47AD7A9A66}" name="Tax Approval" totalsRowFunction="countNums"/>
    <tableColumn id="107" xr3:uid="{C7B5CDDE-8C79-4441-9CEF-485D391D6BF8}" name="Tax Approval Forecast" dataDxfId="1037">
      <calculatedColumnFormula>WORKDAY(Table2[[#This Row],[Tax Review]], 7)</calculatedColumnFormula>
    </tableColumn>
    <tableColumn id="108" xr3:uid="{5D061C52-8823-4C15-AB41-96B00801BA53}" name="Days Since Tax Approval" dataDxfId="1036">
      <calculatedColumnFormula>NETWORKDAYS(Table2[[#This Row],[Tax Approval]], TODAY())</calculatedColumnFormula>
    </tableColumn>
    <tableColumn id="32" xr3:uid="{EF55BB1D-F8A7-4598-8B7C-2B352EDD220D}" name="Final proposal submission" totalsRowFunction="countNums"/>
    <tableColumn id="109" xr3:uid="{D71CE531-9109-4A83-A3CE-1CD9EAF360FD}" name="Final Proposal Submission Forecast" dataDxfId="1035">
      <calculatedColumnFormula>WORKDAY(Table2[[#This Row],[Tax Approval Forecast]], 7)</calculatedColumnFormula>
    </tableColumn>
    <tableColumn id="110" xr3:uid="{35D4C343-165E-4678-99B8-02D4BE3C9DD2}" name="Days Since Final Proposal Submission" dataDxfId="1034">
      <calculatedColumnFormula>NETWORKDAYS(Table2[[#This Row],[Final proposal submission]], TODAY())</calculatedColumnFormula>
    </tableColumn>
    <tableColumn id="33" xr3:uid="{C0AECA3B-11EA-4E49-AB8B-BC598E0EDEBC}" name="CAC Presentation (If applicable)" totalsRowFunction="countNums"/>
    <tableColumn id="34" xr3:uid="{2863972A-641F-4462-9065-80AF776E0A8F}" name="BD submits proposal" totalsRowFunction="countNums"/>
    <tableColumn id="111" xr3:uid="{22818D5D-E6A9-46CD-8ED2-B37A100A3906}" name="BD Submits Proposal Forecast" dataDxfId="1033">
      <calculatedColumnFormula>WORKDAY(Table2[[#This Row],[Final Proposal Submission Forecast]], 7)</calculatedColumnFormula>
    </tableColumn>
    <tableColumn id="112" xr3:uid="{116F22BC-8C0A-479F-ABED-053B83EA3951}" name="Days Since BD Submitted Proposal " dataDxfId="1032">
      <calculatedColumnFormula>NETWORKDAYS(Table2[[#This Row],[BD submits proposal]], TODAY())</calculatedColumnFormula>
    </tableColumn>
    <tableColumn id="35" xr3:uid="{E7059818-AF27-4353-A3B4-DB4BF9271A3E}" name="Final Proposal Accepted"/>
    <tableColumn id="85" xr3:uid="{40E32CE2-4989-4F00-BBF5-524C498D0341}" name="Final Proposal Acceptance Forecast " dataDxfId="1031">
      <calculatedColumnFormula>WORKDAY(Table2[[#This Row],[BD Submits Proposal Forecast]], 7)</calculatedColumnFormula>
    </tableColumn>
    <tableColumn id="113" xr3:uid="{A75F1A33-E5BE-4B8D-8F2D-DA2A095D2DC1}" name="Days Since Final Proposal Accepted" dataDxfId="1030">
      <calculatedColumnFormula>NETWORKDAYS(Table2[[#This Row],[Final Proposal Accepted]], TODAY())</calculatedColumnFormula>
    </tableColumn>
    <tableColumn id="36" xr3:uid="{3D4B3CBB-96D1-4132-A66B-52C6B7BD556F}" name="Legal Agreement" totalsRowFunction="countNums"/>
    <tableColumn id="86" xr3:uid="{A0B5A6E7-B3E4-4DA5-ACEF-5CB42608B599}" name="Legal Agreement Forecast" dataDxfId="1029">
      <calculatedColumnFormula>WORKDAY(Table2[[#This Row],[Final Proposal Accepted]], 90)</calculatedColumnFormula>
    </tableColumn>
    <tableColumn id="114" xr3:uid="{5F0347AB-05EE-4447-BD33-6610239C2686}" name="Days Since Legal Agreement " dataDxfId="1028">
      <calculatedColumnFormula>NETWORKDAYS(Table2[[#This Row],[Legal Agreement]], TODAY())</calculatedColumnFormula>
    </tableColumn>
    <tableColumn id="37" xr3:uid="{5F93F266-CB05-4F5C-B198-E3F2C5620DB1}" name="Executed Agreement" totalsRowFunction="countNums"/>
    <tableColumn id="115" xr3:uid="{C8540BBB-BC58-498E-9D46-305DDD89897C}" name="Executed Agreement Forecast" dataDxfId="1027">
      <calculatedColumnFormula>WORKDAY(Table2[[#This Row],[Legal Agreement Forecast]], 10)</calculatedColumnFormula>
    </tableColumn>
    <tableColumn id="116" xr3:uid="{87F4BB84-B89D-4096-BC3B-3037D72C3AB1}" name="Days Since Executed Agreement " dataDxfId="1026">
      <calculatedColumnFormula>NETWORKDAYS(Table2[[#This Row],[Executed Agreement]], TODAY())</calculatedColumnFormula>
    </tableColumn>
    <tableColumn id="38" xr3:uid="{434FEFF7-D357-4795-85AC-49F75F491F4A}" name="Construction Stage"/>
    <tableColumn id="39" xr3:uid="{DF5FBEC7-CFD8-49E9-8F20-EA64EB814F32}" name="Site Name"/>
    <tableColumn id="40" xr3:uid="{2F284040-3AF4-41A7-A196-EDB75FC6376F}" name="Site ID" dataDxfId="1025"/>
    <tableColumn id="41" xr3:uid="{5F10D581-7B7F-4C25-B2C7-2958EFFDF4DD}" name="A&amp;E Request" dataDxfId="1024"/>
    <tableColumn id="117" xr3:uid="{D700DADE-3995-499A-8674-46627BF4E6B1}" name="A&amp;E Request Forecast" dataDxfId="1023">
      <calculatedColumnFormula>WORKDAY(Table2[[#This Row],[Executed Agreement]], 7)</calculatedColumnFormula>
    </tableColumn>
    <tableColumn id="118" xr3:uid="{D0B44757-0022-4663-9946-4EA76BCE25DD}" name="Days Since A&amp;E Request" dataDxfId="1022">
      <calculatedColumnFormula>NETWORKDAYS(Table2[[#This Row],[A&amp;E Request]], TODAY())</calculatedColumnFormula>
    </tableColumn>
    <tableColumn id="42" xr3:uid="{6C82FBF2-34AD-4B9F-944A-616921222A74}" name="A&amp;E receive" totalsRowFunction="countNums"/>
    <tableColumn id="119" xr3:uid="{CD28ECD4-654C-4FE2-9A69-40CE25F42C31}" name="A&amp;E Receive Forecast" dataDxfId="1021">
      <calculatedColumnFormula>WORKDAY(Table2[[#This Row],[A&amp;E Request Forecast]], 10)</calculatedColumnFormula>
    </tableColumn>
    <tableColumn id="120" xr3:uid="{9C80EC9F-91C4-40DD-946F-A302E9F5955F}" name="Days Since A&amp;E Receive " dataDxfId="1020">
      <calculatedColumnFormula>NETWORKDAYS(Table2[[#This Row],[A&amp;E receive]], TODAY())</calculatedColumnFormula>
    </tableColumn>
    <tableColumn id="43" xr3:uid="{83D00255-A19E-4EED-A7AC-49776D3E709D}" name="Budget Request"/>
    <tableColumn id="121" xr3:uid="{8C63E547-3CE0-44F9-80A6-AB44A5C21A47}" name="Budget Request Forecast" dataDxfId="1019">
      <calculatedColumnFormula>WORKDAY(Table2[[#This Row],[FM Approval meeting ]], 10)</calculatedColumnFormula>
    </tableColumn>
    <tableColumn id="122" xr3:uid="{22BEA903-BAD2-45DE-AB0B-6AE7E227891E}" name="Days Since Budget Request " dataDxfId="1018">
      <calculatedColumnFormula>NETWORKDAYS(Table2[[#This Row],[Budget Request]], TODAY())</calculatedColumnFormula>
    </tableColumn>
    <tableColumn id="44" xr3:uid="{13783D36-73E6-4852-942D-417F61C40682}" name="Budget Approval" totalsRowFunction="countNums"/>
    <tableColumn id="123" xr3:uid="{4C70AE6B-7C07-4BEA-B2A4-2D366F1708A7}" name="Budget Approval Forecast " dataDxfId="1017">
      <calculatedColumnFormula>WORKDAY(Table2[[#This Row],[Budget Request Forecast]], 7)</calculatedColumnFormula>
    </tableColumn>
    <tableColumn id="124" xr3:uid="{7C63270E-634B-4718-9F0E-F47C6E163E89}" name="Days Since Budget Approval " dataDxfId="1016">
      <calculatedColumnFormula>NETWORKDAYS(Table2[[#This Row],[Budget Approval]], TODAY())</calculatedColumnFormula>
    </tableColumn>
    <tableColumn id="45" xr3:uid="{71A9DD87-31EB-424B-9DCC-EA348DFB4AEE}" name="Quotes from OEM"/>
    <tableColumn id="46" xr3:uid="{B595A4BA-D86A-403B-A255-4CD18F615BF4}" name="PO Request for OEM "/>
    <tableColumn id="126" xr3:uid="{63CF5AC0-4ABE-4678-A9D7-A83860521FE0}" name="PO Request for OEM Forecast" dataDxfId="1015">
      <calculatedColumnFormula>WORKDAY(Table2[[#This Row],[Budget Approval Forecast ]], 7)</calculatedColumnFormula>
    </tableColumn>
    <tableColumn id="127" xr3:uid="{756B2373-7A50-47AB-BF91-F909E38F1C5A}" name="Days Since PO Request for OEM" dataDxfId="1014">
      <calculatedColumnFormula>NETWORKDAYS(Table2[[#This Row],[PO Request for OEM ]], TODAY())</calculatedColumnFormula>
    </tableColumn>
    <tableColumn id="47" xr3:uid="{6904B24B-0FEB-4739-837C-B9490E129CC0}" name="PO Approval" totalsRowFunction="countNums"/>
    <tableColumn id="128" xr3:uid="{A9BB2018-10DD-4FCF-9FEB-4B012228F7FC}" name="PO Approval Forecast" dataDxfId="1013">
      <calculatedColumnFormula>WORKDAY(Table2[[#This Row],[PO Request for OEM Forecast]], 10)</calculatedColumnFormula>
    </tableColumn>
    <tableColumn id="129" xr3:uid="{FE863CEA-4DE6-42C1-A89F-3BB9B23026F4}" name="Days Since PO Approval" dataDxfId="1012">
      <calculatedColumnFormula>NETWORKDAYS(Table2[[#This Row],[PO Approval]], TODAY())</calculatedColumnFormula>
    </tableColumn>
    <tableColumn id="48" xr3:uid="{9E2C44BF-BD16-4607-B77F-F60D07072AC6}" name="backhaul ordered"/>
    <tableColumn id="130" xr3:uid="{EE4AD3F0-29E4-4A24-9861-BFD93237211F}" name="Backhaul Order Forecast" dataDxfId="1011">
      <calculatedColumnFormula>WORKDAY(Table2[[#This Row],[PO Approval Forecast]], 10)</calculatedColumnFormula>
    </tableColumn>
    <tableColumn id="131" xr3:uid="{EFE167E4-2736-4417-8ECF-95846BDDD0D9}" name="Days Since Backhaul Order" dataDxfId="1010">
      <calculatedColumnFormula>NETWORKDAYS(Table2[[#This Row],[backhaul ordered]], TODAY())</calculatedColumnFormula>
    </tableColumn>
    <tableColumn id="49" xr3:uid="{0B7A8111-F728-471A-8993-BCDDB0E8EF93}" name="RTP Request" dataDxfId="1009"/>
    <tableColumn id="132" xr3:uid="{AE9AA45F-316B-4DD3-80E6-171B8C90FA1A}" name="RTP Request Forecast" dataDxfId="1008">
      <calculatedColumnFormula>WORKDAY(Table2[[#This Row],[Backhaul Order Forecast]], 10)</calculatedColumnFormula>
    </tableColumn>
    <tableColumn id="133" xr3:uid="{B0A42FB8-E3D2-43AF-AFC9-A1848D532E13}" name="Days Since RTP Request " dataDxfId="1007">
      <calculatedColumnFormula>NETWORKDAYS(Table2[[#This Row],[RTP Request]], TODAY())</calculatedColumnFormula>
    </tableColumn>
    <tableColumn id="50" xr3:uid="{5BAB8D6F-8DA2-49BE-AC2A-B6E92BCD2528}" name="RTP Approved" totalsRowFunction="countNums" dataDxfId="1006"/>
    <tableColumn id="134" xr3:uid="{503178E6-3BEA-4CEC-AAB4-90D961E8DB3A}" name="RTP Approval Forecast " dataDxfId="1005">
      <calculatedColumnFormula>WORKDAY(Table2[[#This Row],[RTP Request Forecast]], 10)</calculatedColumnFormula>
    </tableColumn>
    <tableColumn id="135" xr3:uid="{97E0B018-C909-4CC6-B6A1-056FF5BA3C6F}" name="Days Since RTP Approval " dataDxfId="1004">
      <calculatedColumnFormula>NETWORKDAYS(Table2[[#This Row],[RTP Approved]], TODAY())</calculatedColumnFormula>
    </tableColumn>
    <tableColumn id="51" xr3:uid="{90507959-FE73-4667-B4A0-591CE3A092C0}" name="RFP Request"/>
    <tableColumn id="136" xr3:uid="{7E7ABA91-FC44-474A-A008-F4F391E6C974}" name="RFP Request Forecast " dataDxfId="1003">
      <calculatedColumnFormula>WORKDAY(Table2[[#This Row],[RTP Approval Forecast ]], 7)</calculatedColumnFormula>
    </tableColumn>
    <tableColumn id="137" xr3:uid="{DF767566-65E0-4924-9685-88A978DAB635}" name="Days Since RFP Request " dataDxfId="1002">
      <calculatedColumnFormula>NETWORKDAYS(Table2[[#This Row],[RFP Request]], TODAY())</calculatedColumnFormula>
    </tableColumn>
    <tableColumn id="52" xr3:uid="{A8D0BAE6-7A7B-4F2C-9CE7-DF16AE79F53C}" name="RFP Received" totalsRowFunction="countNums"/>
    <tableColumn id="138" xr3:uid="{E225B7B0-5B97-40B7-8AF7-6CC3072ACE9E}" name="RFP Received Forecast " dataDxfId="1001">
      <calculatedColumnFormula>WORKDAY(Table2[[#This Row],[RFP Request Forecast ]], 10)</calculatedColumnFormula>
    </tableColumn>
    <tableColumn id="139" xr3:uid="{1AD9B991-C4B1-4A1E-B0FD-F4612280894A}" name="Days Since RFP Received " dataDxfId="1000">
      <calculatedColumnFormula>NETWORKDAYS(Table2[[#This Row],[RFP Received]], TODAY())</calculatedColumnFormula>
    </tableColumn>
    <tableColumn id="53" xr3:uid="{FB487D5D-6D72-4FBC-9927-7D8ADB69B513}" name="PO for GC Request"/>
    <tableColumn id="140" xr3:uid="{30F3FF31-E998-4CB6-BB46-B4F44E3E7239}" name="PO for GC Request Forecast " dataDxfId="999">
      <calculatedColumnFormula>WORKDAY(Table2[[#This Row],[RFP Received Forecast ]], 7)</calculatedColumnFormula>
    </tableColumn>
    <tableColumn id="141" xr3:uid="{272B4D52-FB1F-402B-80CE-CE1553AF606F}" name="Days Since PO for GC Request " dataDxfId="998">
      <calculatedColumnFormula>NETWORKDAYS(Table2[[#This Row],[PO for GC Request]], TODAY())</calculatedColumnFormula>
    </tableColumn>
    <tableColumn id="54" xr3:uid="{78DA6C6C-FC6E-4E8F-BDF9-1BA9E50FBE9B}" name="PO for GC Approved" totalsRowFunction="countNums"/>
    <tableColumn id="142" xr3:uid="{F56E7C88-0D74-4CE1-B0C4-C470F486CFCA}" name="PO for GC Approval Forecast " dataDxfId="997">
      <calculatedColumnFormula>WORKDAY(Table2[[#This Row],[PO for GC Request Forecast ]], 7)</calculatedColumnFormula>
    </tableColumn>
    <tableColumn id="143" xr3:uid="{108797AF-FF78-4CBA-8A35-20C69ADD90D9}" name="Days Since PO for GC Approval " dataDxfId="996">
      <calculatedColumnFormula>NETWORKDAYS(Table2[[#This Row],[PO for GC Approved]], TODAY())</calculatedColumnFormula>
    </tableColumn>
    <tableColumn id="55" xr3:uid="{EC192CD0-D15B-4F15-A979-D8977B84F2F3}" name="Construction Start" dataDxfId="995"/>
    <tableColumn id="144" xr3:uid="{9D24AB31-81BA-4630-8995-2A6B19DDCAC9}" name="Construction Start Forecast " dataDxfId="994">
      <calculatedColumnFormula>WORKDAY(Table2[[#This Row],[PO for GC Approval Forecast ]], 10)</calculatedColumnFormula>
    </tableColumn>
    <tableColumn id="145" xr3:uid="{65E00249-1A71-422B-8ABF-E3805B74EB9D}" name="Days Since Construction Start " dataDxfId="993">
      <calculatedColumnFormula>NETWORKDAYS(Table2[[#This Row],[Construction Start]], TODAY())</calculatedColumnFormula>
    </tableColumn>
    <tableColumn id="56" xr3:uid="{352B55FE-70F5-4949-ADD2-94D71B8D1DE9}" name="Construction Complete" dataDxfId="992"/>
    <tableColumn id="146" xr3:uid="{6334560B-7895-4817-8677-1DAE650F1E83}" name="Construction Complete Forecast " dataDxfId="991">
      <calculatedColumnFormula>WORKDAY(Table2[[#This Row],[Construction Start Forecast ]], 20)</calculatedColumnFormula>
    </tableColumn>
    <tableColumn id="147" xr3:uid="{13F037AF-E556-480C-BBFE-954ACA0F7623}" name="Days Since Construction Complete " dataDxfId="990">
      <calculatedColumnFormula>NETWORKDAYS(Table2[[#This Row],[Construction Complete]], TODAY())</calculatedColumnFormula>
    </tableColumn>
    <tableColumn id="57" xr3:uid="{96FD0DBC-B314-4F51-A8B5-BB2A686AE8FD}" name="Build (6 months)"/>
    <tableColumn id="58" xr3:uid="{B015F9A0-7675-4155-A4F3-F6B50F33EB13}" name="Integration Start" dataDxfId="989"/>
    <tableColumn id="148" xr3:uid="{DA062183-C9A1-4394-BD39-8B184EE62B89}" name="Integration Start Forecast " dataDxfId="988">
      <calculatedColumnFormula>WORKDAY(Table2[[#This Row],[Construction Complete Forecast ]], 10)</calculatedColumnFormula>
    </tableColumn>
    <tableColumn id="149" xr3:uid="{6BAC582B-5E89-4534-91C5-7B21A037D8C7}" name="Days Since Integration Start " dataDxfId="987">
      <calculatedColumnFormula>NETWORKDAYS(Table2[[#This Row],[Integration Start]], TODAY())</calculatedColumnFormula>
    </tableColumn>
    <tableColumn id="59" xr3:uid="{2D2852A9-9A05-4853-8C03-21AD4FEA0F5E}" name="Integration Complete" totalsRowFunction="countNums" dataDxfId="986"/>
    <tableColumn id="150" xr3:uid="{1A843E35-3D1E-41B0-9E90-D0BFEC848CF2}" name="Integration Complete Forecast " dataDxfId="985">
      <calculatedColumnFormula>WORKDAY(Table2[[#This Row],[Integration Start Forecast ]], 10)</calculatedColumnFormula>
    </tableColumn>
    <tableColumn id="151" xr3:uid="{A1FA6343-87BB-456E-8625-C86D4433A7CE}" name="Days Since Integration Complete " dataDxfId="984">
      <calculatedColumnFormula>NETWORKDAYS(Table2[[#This Row],[Integration Complete]], TODAY())</calculatedColumnFormula>
    </tableColumn>
    <tableColumn id="60" xr3:uid="{77F9F133-9BF1-48C6-AA64-85D9CCA2D491}" name="Close Out Package(2weeks from integration complete" totalsRowFunction="countNums"/>
    <tableColumn id="152" xr3:uid="{C161095C-1551-4D64-8872-266053E5A801}" name="Close Out Package Forecast " dataDxfId="983">
      <calculatedColumnFormula>WORKDAY(Table2[[#This Row],[Integration Complete Forecast ]], 10)</calculatedColumnFormula>
    </tableColumn>
    <tableColumn id="153" xr3:uid="{9BD4DDF7-223C-45CC-BDCB-B85CB8F0D1D5}" name="Days Since Close Out Package " dataDxfId="982">
      <calculatedColumnFormula>NETWORKDAYS(Table2[[#This Row],[Close Out Package(2weeks from integration complete]], TODAY())</calculatedColumnFormula>
    </tableColumn>
    <tableColumn id="61" xr3:uid="{D26F1A43-F576-482E-A642-2A4736C89C6A}" name="Acceptance testing 2 weeks from close out package)" totalsRowFunction="countNums"/>
    <tableColumn id="154" xr3:uid="{556D8EC4-3BF2-4B0C-BA1E-AA6A417D39D2}" name="Acceptance Testing Forecast " dataDxfId="981">
      <calculatedColumnFormula>WORKDAY(Table2[[#This Row],[Close Out Package Forecast ]], 10)</calculatedColumnFormula>
    </tableColumn>
    <tableColumn id="155" xr3:uid="{A595F630-2E96-48B7-A8F6-FC4EAEEAD3F6}" name="Days Since Acceptance Testing " dataDxfId="980">
      <calculatedColumnFormula>NETWORKDAYS(Table2[[#This Row],[Acceptance testing 2 weeks from close out package)]], TODAY())</calculatedColumnFormula>
    </tableColumn>
    <tableColumn id="62" xr3:uid="{388339D6-4440-4A68-A869-21EE25356571}" name="Customer acceptance(1 month after acceptance testing)" totalsRowFunction="countNums"/>
    <tableColumn id="156" xr3:uid="{81BF7285-3217-4945-A088-F3B584AD7C2B}" name="Customer Acceptance Forecast " dataDxfId="979">
      <calculatedColumnFormula>WORKDAY(Table2[[#This Row],[Acceptance Testing Forecast ]], 20)</calculatedColumnFormula>
    </tableColumn>
    <tableColumn id="157" xr3:uid="{019BE76D-3A3A-4679-9E57-AC1D1282D4FC}" name="Days Since Customer Acceptance " dataDxfId="978">
      <calculatedColumnFormula>NETWORKDAYS(Table2[[#This Row],[Customer acceptance(1 month after acceptance testing)]], TODAY())</calculatedColumnFormula>
    </tableColumn>
    <tableColumn id="63" xr3:uid="{23BBFF5A-C051-4282-BB61-CB5D2DFC6AD6}" name="Operations handoff(1 week after customer acceptance)" totalsRowFunction="countNums"/>
    <tableColumn id="158" xr3:uid="{297F3BD1-3876-49B4-9193-A80BF93B8909}" name="Operations Handoff Forecast " dataDxfId="977">
      <calculatedColumnFormula>WORKDAY(Table2[[#This Row],[Customer Acceptance Forecast ]], 5)</calculatedColumnFormula>
    </tableColumn>
    <tableColumn id="159" xr3:uid="{B320091C-8863-4B2F-86B3-AE7E5F298AD9}" name="Days Since Operations Handoff " dataDxfId="976">
      <calculatedColumnFormula>NETWORKDAYS(Table2[[#This Row],[Operations handoff(1 week after customer acceptance)]], TODAY())</calculatedColumnFormula>
    </tableColumn>
    <tableColumn id="64" xr3:uid="{A13D2713-317B-4EC6-BC27-1359E50BD366}" name="FNE Date"/>
    <tableColumn id="88" xr3:uid="{E14B3882-CB1C-4C48-A56A-502282392237}" name="FNE Date Forecast " dataDxfId="975">
      <calculatedColumnFormula>WORKDAY(Table2[[#This Row],[Operations Handoff Forecast ]], 7)</calculatedColumnFormula>
    </tableColumn>
    <tableColumn id="160" xr3:uid="{AF02A3A0-1BC1-4176-B543-0D37779D3F0C}" name="Days Since FNE Date " dataDxfId="974">
      <calculatedColumnFormula>NETWORKDAYS(Table2[[#This Row],[FNE Date]], TODAY())</calculatedColumnFormula>
    </tableColumn>
    <tableColumn id="65" xr3:uid="{A77D71A1-D783-44E1-82A8-C9039DDEE545}" name="FNE Notice" totalsRowFunction="countNums"/>
    <tableColumn id="89" xr3:uid="{E310263A-9510-44EF-B0A7-471BF434BCE2}" name="FNE Notice Forecast" dataDxfId="973">
      <calculatedColumnFormula>WORKDAY(Table2[[#This Row],[FNE Date Forecast ]], 7)</calculatedColumnFormula>
    </tableColumn>
    <tableColumn id="161" xr3:uid="{66B31D01-467D-4FFA-8649-9F293543689E}" name="Days Since FNE Notice" dataDxfId="972">
      <calculatedColumnFormula>NETWORKDAYS(Table2[[#This Row],[FNE Notice]], TODAY())</calculatedColumnFormula>
    </tableColumn>
    <tableColumn id="66" xr3:uid="{C9CF0EB4-5D09-400C-B8A4-3632E3F09D73}" name="PMDB Update" totalsRowFunction="countNums"/>
    <tableColumn id="67" xr3:uid="{87A7C6A4-3D99-4467-A4F6-7CFED4014F23}" name="Revenue Billing(PMDB)" totalsRowFunction="countNum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C067D02-2C0B-4666-8A30-B3EE9D4DF2C8}" name="Table13" displayName="Table13" ref="A4:EO8" totalsRowShown="0" headerRowDxfId="971" tableBorderDxfId="970">
  <autoFilter ref="A4:EO8" xr:uid="{8C067D02-2C0B-4666-8A30-B3EE9D4DF2C8}"/>
  <tableColumns count="145">
    <tableColumn id="1" xr3:uid="{444D7EAB-06E2-4499-84AF-934C9E255A75}" name="BD creates opportunity in CRM " dataDxfId="969"/>
    <tableColumn id="2" xr3:uid="{E6828CE1-02DD-409E-AB06-28CAEDDE613C}" name="BD Name" dataDxfId="968"/>
    <tableColumn id="3" xr3:uid="{22E83153-5199-4F1D-8E10-6962627F0C90}" name="Conduct meeting/call to explore opportunity " dataDxfId="967"/>
    <tableColumn id="4" xr3:uid="{B80761E5-82D7-4B78-BF51-1F975B33E77D}" name="Explore Opportunity Forecast" dataDxfId="966">
      <calculatedColumnFormula>IF(ISBLANK(Table13[[#This Row],[BD creates opportunity in CRM ]]), "", WORKDAY(Table13[[#This Row],[BD creates opportunity in CRM ]], 7))</calculatedColumnFormula>
    </tableColumn>
    <tableColumn id="5" xr3:uid="{E2F63C14-9C4C-451C-B465-340B94B3C189}" name="Days Passed Since Opportunity Explored" dataDxfId="965">
      <calculatedColumnFormula>IF(ISBLANK(Table13[[#This Row],[Conduct meeting/call to explore opportunity ]]), "", IF(ISBLANK(Table13[[#This Row],[Date of Prospect Interest]]), NETWORKDAYS(Table13[[#This Row],[Conduct meeting/call to explore opportunity ]], TODAY()), NETWORKDAYS(Table13[[#This Row],[Conduct meeting/call to explore opportunity ]], Table13[[#This Row],[Date of Prospect Interest]])))</calculatedColumnFormula>
    </tableColumn>
    <tableColumn id="6" xr3:uid="{8B10FB6C-5A9A-4C81-9EBF-DF4B211CA14E}" name="Prospect Interested in proposal " dataDxfId="964"/>
    <tableColumn id="63" xr3:uid="{5AAE69CB-1448-47D8-BF6C-D9868962A82D}" name="Date of Prospect Interest" dataDxfId="963"/>
    <tableColumn id="64" xr3:uid="{569259C3-2F6D-4630-A860-4B03B55E4FC5}" name="Days Passed Since Prospect Interest Confirmed " dataDxfId="962">
      <calculatedColumnFormula>IF(ISBLANK(Table13[[#This Row],[Date of Prospect Interest]]), "", IF(ISBLANK(Table13[[#This Row],[BD submits email to NSE Design Distro]]), NETWORKDAYS(Table13[[#This Row],[Date of Prospect Interest]], TODAY()), NETWORKDAYS(Table13[[#This Row],[Date of Prospect Interest]], Table13[[#This Row],[BD submits email to NSE Design Distro]])))</calculatedColumnFormula>
    </tableColumn>
    <tableColumn id="7" xr3:uid="{069164D3-3835-4F77-9091-CCA54C485F8A}" name="BD submits email to NSE Design Distro" dataDxfId="961"/>
    <tableColumn id="61" xr3:uid="{C3556D24-6CCE-46CA-8CD9-64A2E1404B01}" name="BD Submission to Design Distro Forecast" dataDxfId="960">
      <calculatedColumnFormula>IF(ISBLANK(Table13[[#This Row],[Date of Prospect Interest]]), "", WORKDAY(Table13[[#This Row],[Date of Prospect Interest]], 7))</calculatedColumnFormula>
    </tableColumn>
    <tableColumn id="62" xr3:uid="{6D2E4E5E-3142-4E23-A702-211D8976A716}" name="Days Passed Since BD Submission to Design Distro" dataDxfId="959">
      <calculatedColumnFormula>IF(ISBLANK(Table13[[#This Row],[BD submits email to NSE Design Distro]]), "", IF(ISBLANK(Table13[[#This Row],[Program Manager adds request to tracker ]]), NETWORKDAYS(Table13[[#This Row],[BD submits email to NSE Design Distro]], TODAY()), NETWORKDAYS(Table13[[#This Row],[BD submits email to NSE Design Distro]], Table13[[#This Row],[Program Manager adds request to tracker ]])))</calculatedColumnFormula>
    </tableColumn>
    <tableColumn id="8" xr3:uid="{A4D29599-6959-4AA9-98EF-3DB15D22C16B}" name="Program Manager adds request to tracker " dataDxfId="958"/>
    <tableColumn id="65" xr3:uid="{AAD6EBCA-1C00-4A6E-9346-3AD52EA74AD3}" name="Tracker Update Forecast" dataDxfId="957">
      <calculatedColumnFormula>IF(ISBLANK(Table13[[#This Row],[BD submits email to NSE Design Distro]]), "", WORKDAY(Table13[[#This Row],[BD submits email to NSE Design Distro]], 7))</calculatedColumnFormula>
    </tableColumn>
    <tableColumn id="66" xr3:uid="{3BF3F74E-6AF9-4972-947B-B30A358E4FB4}" name="Days Passed Since Tracker Updated" dataDxfId="956">
      <calculatedColumnFormula>IF(ISBLANK(Table13[[#This Row],[Program Manager adds request to tracker ]]), "", IF(ISBLANK(Table13[[#This Row],[Program Manager schedules kickoff call to assign action Items &amp; align timelines Est. 2 days ]]), NETWORKDAYS(Table13[[#This Row],[Program Manager adds request to tracker ]], TODAY()), NETWORKDAYS(Table13[[#This Row],[Program Manager adds request to tracker ]], Table13[[#This Row],[Program Manager schedules kickoff call to assign action Items &amp; align timelines Est. 2 days ]])))</calculatedColumnFormula>
    </tableColumn>
    <tableColumn id="9" xr3:uid="{3571D91C-4877-4686-A825-96992C20968D}" name="Request is MDU? " dataDxfId="955"/>
    <tableColumn id="10" xr3:uid="{5095A057-81C3-4A63-A63C-D73378D890DA}" name="Opp Name" dataDxfId="954"/>
    <tableColumn id="11" xr3:uid="{31E62562-92FD-47A9-B539-83DC2EA4237E}" name="Opp ID" dataDxfId="953"/>
    <tableColumn id="12" xr3:uid="{B9027084-202C-4CE1-A81C-2ECB6164B57C}" name="Deal Type" dataDxfId="952"/>
    <tableColumn id="13" xr3:uid="{C2A4E626-BA3C-42C1-9EBC-4F208CD5F526}" name="Property Type" dataDxfId="951"/>
    <tableColumn id="14" xr3:uid="{71A4FFD8-E081-4BE1-8B64-E1B0EA0C30C7}" name="#Units" dataDxfId="950"/>
    <tableColumn id="156" xr3:uid="{669EE160-01E9-463A-A1E5-7F0DB5DDD17B}" name="SBA or Aerwave" dataDxfId="949"/>
    <tableColumn id="59" xr3:uid="{F7B080F9-9D3A-420E-97D0-835DB519D6EC}" name="P.M Check with BD OK to submit Aerwave" dataDxfId="948"/>
    <tableColumn id="60" xr3:uid="{8C02A7FF-F5F6-4F6F-B538-54FC688C31D9}" name="PM Check-in Forecast" dataDxfId="947">
      <calculatedColumnFormula>IF(Table13[[#This Row],[SBA or Aerwave]] = "Aerwave", WORKDAY(Table13[[#This Row],[Program Manager adds request to tracker ]], 7), " ")</calculatedColumnFormula>
    </tableColumn>
    <tableColumn id="145" xr3:uid="{A622639C-D156-4259-9281-C891DEDD66B4}" name="Days Passed Since PM Check-in" dataDxfId="946">
      <calculatedColumnFormula>IF(ISBLANK(Table13[[#This Row],[P.M Check with BD OK to submit Aerwave]]), "", IF(ISBLANK(Table13[[#This Row],[P.M Submit Request to Aerwave ]]), NETWORKDAYS(Table13[[#This Row],[P.M Check with BD OK to submit Aerwave]], TODAY()), NETWORKDAYS(Table13[[#This Row],[P.M Check with BD OK to submit Aerwave]], Table13[[#This Row],[P.M Submit Request to Aerwave ]])))</calculatedColumnFormula>
    </tableColumn>
    <tableColumn id="147" xr3:uid="{865C3C10-D543-442D-ACF7-4F95D310D072}" name="P.M Submit Request to Aerwave " dataDxfId="945"/>
    <tableColumn id="151" xr3:uid="{085E2AD1-4FF0-463F-AB5F-FC5BCCF0D5FA}" name="PM Submission to Aerwave Forecast" dataDxfId="944">
      <calculatedColumnFormula>IF(Table13[[#This Row],[SBA or Aerwave]] = "Aerwave", WORKDAY(Table13[[#This Row],[P.M Check with BD OK to submit Aerwave]], 7), " ")</calculatedColumnFormula>
    </tableColumn>
    <tableColumn id="150" xr3:uid="{A617CD35-1AFA-4156-AE52-CA00DD7F4ADE}" name="Days Passed Since PM Submission to Aerwave" dataDxfId="943">
      <calculatedColumnFormula>IF(ISBLANK(Table13[[#This Row],[P.M Submit Request to Aerwave ]]), "", IF(ISBLANK(Table13[[#This Row],[Program Manager schedules kickoff call to assign action Items &amp; align timelines Est. 2 days ]]), NETWORKDAYS(Table13[[#This Row],[P.M Submit Request to Aerwave ]], TODAY()), NETWORKDAYS(Table13[[#This Row],[P.M Submit Request to Aerwave ]], Table13[[#This Row],[Program Manager schedules kickoff call to assign action Items &amp; align timelines Est. 2 days ]])))</calculatedColumnFormula>
    </tableColumn>
    <tableColumn id="149" xr3:uid="{B0B8714A-032C-4EEF-A8E9-6D1F596EC61D}" name="Program Manager schedules kickoff call to assign action Items &amp; align timelines Est. 2 days " dataDxfId="942"/>
    <tableColumn id="148" xr3:uid="{FF9F0544-E2D7-4956-B09B-1A87D72AA660}" name="Program Manager Kickoff Forecast" dataDxfId="941">
      <calculatedColumnFormula>IF(Table13[[#This Row],[SBA or Aerwave]] = "Aerwave", WORKDAY(Table13[[#This Row],[P.M Submit Request to Aerwave ]], 7), IF(ISBLANK(Table13[[#This Row],[Program Manager adds request to tracker ]]), " ", WORKDAY(Table13[[#This Row],[Program Manager adds request to tracker ]], 7)))</calculatedColumnFormula>
    </tableColumn>
    <tableColumn id="146" xr3:uid="{9590831B-0922-43F4-89A3-9CB03DBBE9FA}" name="Days Passed Since Program Manager Kickoff" dataDxfId="940">
      <calculatedColumnFormula>IF(ISBLANK(Table13[[#This Row],[Program Manager schedules kickoff call to assign action Items &amp; align timelines Est. 2 days ]]), "", IF(ISBLANK(Table13[[#This Row],[Fin Analyst creates fin. model ]]), NETWORKDAYS(Table13[[#This Row],[Program Manager schedules kickoff call to assign action Items &amp; align timelines Est. 2 days ]], TODAY()), NETWORKDAYS(Table13[[#This Row],[Program Manager schedules kickoff call to assign action Items &amp; align timelines Est. 2 days ]], Table13[[#This Row],[Fin Analyst creates fin. model ]])))</calculatedColumnFormula>
    </tableColumn>
    <tableColumn id="15" xr3:uid="{4EC686C9-CEA0-4691-85F1-9AA7D9091158}" name="Backhaul pricing Est. 15 days " dataDxfId="939"/>
    <tableColumn id="67" xr3:uid="{CB23882C-71E3-431B-B808-DF52055EA452}" name="Backhaul Pricing Forecast" dataDxfId="938">
      <calculatedColumnFormula>IF(ISBLANK(Table13[[#This Row],[Program Manager schedules kickoff call to assign action Items &amp; align timelines Est. 2 days ]]), "", WORKDAY(Table13[[#This Row],[Program Manager schedules kickoff call to assign action Items &amp; align timelines Est. 2 days ]], 15))</calculatedColumnFormula>
    </tableColumn>
    <tableColumn id="68" xr3:uid="{767596C9-4F9B-4FDF-9EA4-9D21CD5E767F}" name="Days Passed Since Backhaul Pricing" dataDxfId="937">
      <calculatedColumnFormula>IF(ISBLANK(Table13[[#This Row],[Backhaul pricing Est. 15 days ]]), "", IF(ISBLANK(Table13[[#This Row],[Fin Analyst creates fin. model ]]), NETWORKDAYS(Table13[[#This Row],[Backhaul pricing Est. 15 days ]], TODAY()), NETWORKDAYS(Table13[[#This Row],[Backhaul pricing Est. 15 days ]], Table13[[#This Row],[Fin Analyst creates fin. model ]])))</calculatedColumnFormula>
    </tableColumn>
    <tableColumn id="16" xr3:uid="{CF428550-A669-4F2A-A807-154F52353542}" name="Design, ROM (Est. 10 days) " dataDxfId="936"/>
    <tableColumn id="69" xr3:uid="{67ED435C-13E9-4EA0-9C22-FCE3A5BB43C9}" name="Design, ROM Forecast" dataDxfId="935">
      <calculatedColumnFormula>IF(ISBLANK(Table13[[#This Row],[Program Manager schedules kickoff call to assign action Items &amp; align timelines Est. 2 days ]]), "", WORKDAY(Table13[[#This Row],[Program Manager schedules kickoff call to assign action Items &amp; align timelines Est. 2 days ]], 10))</calculatedColumnFormula>
    </tableColumn>
    <tableColumn id="70" xr3:uid="{CC4837C4-4C49-414E-BFDA-336C3B998098}" name="Days Passed Since Design, ROM" dataDxfId="934">
      <calculatedColumnFormula>IF(ISBLANK(Table13[[#This Row],[Design, ROM (Est. 10 days) ]]), "", IF(ISBLANK(Table13[[#This Row],[OSP Pricing (Est. 10 days) ]]), NETWORKDAYS(Table13[[#This Row],[Design, ROM (Est. 10 days) ]], TODAY()), NETWORKDAYS(Table13[[#This Row],[Design, ROM (Est. 10 days) ]], Table13[[#This Row],[OSP Pricing (Est. 10 days) ]])))</calculatedColumnFormula>
    </tableColumn>
    <tableColumn id="17" xr3:uid="{7EFCB5B5-6C80-4DB1-AA16-44827E723331}" name="OSP Pricing (Est. 10 days) " dataDxfId="933"/>
    <tableColumn id="71" xr3:uid="{FBF49D14-F1A7-4BE5-B08B-AB00BB294737}" name="OSP Pricing Forecast" dataDxfId="932">
      <calculatedColumnFormula>IF(ISBLANK(Table13[[#This Row],[Program Manager schedules kickoff call to assign action Items &amp; align timelines Est. 2 days ]]), "", WORKDAY(Table13[[#This Row],[Program Manager schedules kickoff call to assign action Items &amp; align timelines Est. 2 days ]], 10))</calculatedColumnFormula>
    </tableColumn>
    <tableColumn id="72" xr3:uid="{C7B33173-2D66-4CD9-8BF8-0CC19952BAA4}" name="Days Passed Since OSP Pricing" dataDxfId="931">
      <calculatedColumnFormula>IF(ISBLANK(Table13[[#This Row],[OSP Pricing (Est. 10 days) ]]), "", IF(ISBLANK(Table13[[#This Row],[Fin Analyst creates fin. model ]]), NETWORKDAYS(Table13[[#This Row],[OSP Pricing (Est. 10 days) ]], TODAY()), NETWORKDAYS(Table13[[#This Row],[OSP Pricing (Est. 10 days) ]], Table13[[#This Row],[Fin Analyst creates fin. model ]])))</calculatedColumnFormula>
    </tableColumn>
    <tableColumn id="21" xr3:uid="{D8A360AE-87B6-41CD-97B8-74C66AC878CC}" name="Fin Analyst creates fin. model " dataDxfId="930"/>
    <tableColumn id="79" xr3:uid="{FBA9C2FA-8F5F-4284-B887-B1DFA58E58CD}" name="Financial Model Creation Forecast" dataDxfId="929">
      <calculatedColumnFormula>IF(ISBLANK(Table13[[#This Row],[Program Manager schedules kickoff call to assign action Items &amp; align timelines Est. 2 days ]]), "", WORKDAY(Table13[[#This Row],[Program Manager schedules kickoff call to assign action Items &amp; align timelines Est. 2 days ]], 15))</calculatedColumnFormula>
    </tableColumn>
    <tableColumn id="80" xr3:uid="{9745B0F2-55B2-49C3-BC96-74D177402FF9}" name="Days Passed Since Financial Model Creation" dataDxfId="928">
      <calculatedColumnFormula>IF(ISBLANK(Table13[[#This Row],[Fin Analyst creates fin. model ]]), "", IF(ISBLANK(Table13[[#This Row],[Program Manager Submits Fin. Model to BD for Review (Est. 2 days) ]]), NETWORKDAYS(Table13[[#This Row],[Fin Analyst creates fin. model ]], TODAY()), NETWORKDAYS(Table13[[#This Row],[Fin Analyst creates fin. model ]], Table13[[#This Row],[Program Manager Submits Fin. Model to BD for Review (Est. 2 days) ]])))</calculatedColumnFormula>
    </tableColumn>
    <tableColumn id="22" xr3:uid="{276C489D-9941-477C-A61E-D4893B5F10E4}" name="Sales Ops Peer review (Est. 7 days) " dataDxfId="927"/>
    <tableColumn id="82" xr3:uid="{4AA7444C-2CDD-448A-A9A1-7FE31F8A5911}" name="Sales Ops Peer Review Forecast" dataDxfId="926">
      <calculatedColumnFormula>IF(ISBLANK(Table13[[#This Row],[Fin Analyst creates fin. model ]]), "", WORKDAY(Table13[[#This Row],[Fin Analyst creates fin. model ]], 7))</calculatedColumnFormula>
    </tableColumn>
    <tableColumn id="81" xr3:uid="{198A331A-3DE6-4935-9964-B1A18423B2C4}" name="Days Passed Since Sales Ops Review" dataDxfId="925">
      <calculatedColumnFormula>IF(ISBLANK(Table13[[#This Row],[Sales Ops Peer review (Est. 7 days) ]]), "", IF(ISBLANK(Table13[[#This Row],[Program Manager Submits Fin. Model to BD for Review (Est. 2 days) ]]), NETWORKDAYS(Table13[[#This Row],[Sales Ops Peer review (Est. 7 days) ]], TODAY()), NETWORKDAYS(Table13[[#This Row],[Sales Ops Peer review (Est. 7 days) ]], Table13[[#This Row],[Program Manager Submits Fin. Model to BD for Review (Est. 2 days) ]])))</calculatedColumnFormula>
    </tableColumn>
    <tableColumn id="23" xr3:uid="{541E1FF8-D5D4-4EF5-9C5B-C552015DBFDE}" name="Finance Peer review (Est. 7 days) " dataDxfId="924"/>
    <tableColumn id="83" xr3:uid="{5A6AC18F-2B10-49C1-A26C-49F5BC4A19CE}" name="Finance Peer Review Forecast " dataDxfId="923">
      <calculatedColumnFormula>IF(ISBLANK(Table13[[#This Row],[Fin Analyst creates fin. model ]]), "", WORKDAY(Table13[[#This Row],[Fin Analyst creates fin. model ]], 7))</calculatedColumnFormula>
    </tableColumn>
    <tableColumn id="84" xr3:uid="{C6760D63-C85C-4367-82F6-26C32B4F65F8}" name="Days Passed Since Finance Peer Review" dataDxfId="922">
      <calculatedColumnFormula>IF(ISBLANK(Table13[[#This Row],[Finance Peer review (Est. 7 days) ]]), "", IF(ISBLANK(Table13[[#This Row],[Program Manager Submits Fin. Model to BD for Review (Est. 2 days) ]]), NETWORKDAYS(Table13[[#This Row],[Finance Peer review (Est. 7 days) ]], TODAY()), NETWORKDAYS(Table13[[#This Row],[Finance Peer review (Est. 7 days) ]], Table13[[#This Row],[Program Manager Submits Fin. Model to BD for Review (Est. 2 days) ]])))</calculatedColumnFormula>
    </tableColumn>
    <tableColumn id="24" xr3:uid="{09602C5C-D195-4B2E-8E3D-D595D947891B}" name="Tax fin. model review (Est. 2 days) " dataDxfId="921"/>
    <tableColumn id="85" xr3:uid="{403C3134-472E-44B3-86C5-7CEA878390C5}" name="Tax Financial Model Review Forecast" dataDxfId="920">
      <calculatedColumnFormula>IF(ISBLANK(Table13[[#This Row],[Fin Analyst creates fin. model ]]), "", WORKDAY(Table13[[#This Row],[Fin Analyst creates fin. model ]], 7))</calculatedColumnFormula>
    </tableColumn>
    <tableColumn id="86" xr3:uid="{E25737F0-AD97-4FEA-833E-9D0BFC907F6E}" name="Days Passed Since Tax Fin. Model Review" dataDxfId="919">
      <calculatedColumnFormula>IF(ISBLANK(Table13[[#This Row],[Tax fin. model review (Est. 2 days) ]]), "", IF(ISBLANK(Table13[[#This Row],[Program Manager Submits Fin. Model to BD for Review (Est. 2 days) ]]), NETWORKDAYS(Table13[[#This Row],[Tax fin. model review (Est. 2 days) ]], TODAY()), NETWORKDAYS(Table13[[#This Row],[Tax fin. model review (Est. 2 days) ]], Table13[[#This Row],[Program Manager Submits Fin. Model to BD for Review (Est. 2 days) ]])))</calculatedColumnFormula>
    </tableColumn>
    <tableColumn id="25" xr3:uid="{D4E8877C-2FCB-4E9F-BDD4-67A649552CE2}" name="Program Manager Submits Fin. Model to BD for Review (Est. 2 days) " dataDxfId="918"/>
    <tableColumn id="87" xr3:uid="{2A48B9C7-5D78-4B66-92DC-33B5F36616A8}" name="Program Manager Submits Fin. Model to BD Forecast " dataDxfId="917">
      <calculatedColumnFormula>IF(ISBLANK(Table13[[#This Row],[Fin Analyst creates fin. model ]]), "", WORKDAY(Table13[[#This Row],[Fin Analyst creates fin. model ]], 10))</calculatedColumnFormula>
    </tableColumn>
    <tableColumn id="88" xr3:uid="{BA9A597D-E4A0-4DC1-9A27-9B9AACCA473E}" name="Days Passed Since Program Manager submits fin. model to BD" dataDxfId="916">
      <calculatedColumnFormula>IF(ISBLANK(Table13[[#This Row],[Program Manager Submits Fin. Model to BD for Review (Est. 2 days) ]]), "", IF(ISBLANK(Table13[[#This Row],[BD reviews Fin. Model Pricing ]]), NETWORKDAYS(Table13[[#This Row],[Program Manager Submits Fin. Model to BD for Review (Est. 2 days) ]], TODAY()), NETWORKDAYS(Table13[[#This Row],[Program Manager Submits Fin. Model to BD for Review (Est. 2 days) ]], Table13[[#This Row],[BD reviews Fin. Model Pricing ]])))</calculatedColumnFormula>
    </tableColumn>
    <tableColumn id="26" xr3:uid="{8E8F3F47-AD91-493D-B795-5CF8EC24D6B6}" name="BD reviews Fin. Model Pricing " dataDxfId="915"/>
    <tableColumn id="89" xr3:uid="{34AA4437-4ED5-4A4A-B411-CBB3C659AF43}" name="BD Review Forecast " dataDxfId="914">
      <calculatedColumnFormula>IF(ISBLANK(Table13[[#This Row],[Program Manager Submits Fin. Model to BD for Review (Est. 2 days) ]]), "", WORKDAY(Table13[[#This Row],[Program Manager Submits Fin. Model to BD for Review (Est. 2 days) ]], 5))</calculatedColumnFormula>
    </tableColumn>
    <tableColumn id="90" xr3:uid="{43F874FB-478C-4B44-B28B-7FAC8D515537}" name="Days Passed Since BD Reviewed Fin. Model" dataDxfId="913">
      <calculatedColumnFormula>IF(ISBLANK(Table13[[#This Row],[BD reviews Fin. Model Pricing ]]), "", IF(ISBLANK(Table13[[#This Row],[BD Responds OK to Move Forward]]), NETWORKDAYS(Table13[[#This Row],[BD reviews Fin. Model Pricing ]], TODAY()), NETWORKDAYS(Table13[[#This Row],[BD reviews Fin. Model Pricing ]], Table13[[#This Row],[BD Responds OK to Move Forward]])))</calculatedColumnFormula>
    </tableColumn>
    <tableColumn id="27" xr3:uid="{228C5CE9-3EA5-4B09-A1D6-B4C7926383B6}" name="BD Responds OK to Move Forward" dataDxfId="912"/>
    <tableColumn id="92" xr3:uid="{A3DAF99B-02A9-4214-9C0C-D1D4AC01E4AC}" name="BD Responds to Move Forward Forecast " dataDxfId="911">
      <calculatedColumnFormula>IF(ISBLANK(Table13[[#This Row],[BD reviews Fin. Model Pricing ]]), "", WORKDAY(Table13[[#This Row],[BD reviews Fin. Model Pricing ]], 7))</calculatedColumnFormula>
    </tableColumn>
    <tableColumn id="91" xr3:uid="{D5686613-5AAD-40DF-9516-BF679C5AA40A}" name="Days Passed Since BD Responds to Move Forward" dataDxfId="910">
      <calculatedColumnFormula>IF(ISBLANK(Table13[[#This Row],[BD Responds OK to Move Forward]]), "", IF(ISBLANK(Table13[[#This Row],[Program Manager validates with appropriate teams the pricing data inputs (Est. 2 days) ]]), NETWORKDAYS(Table13[[#This Row],[BD Responds OK to Move Forward]], TODAY()), NETWORKDAYS(Table13[[#This Row],[BD Responds OK to Move Forward]], Table13[[#This Row],[Program Manager validates with appropriate teams the pricing data inputs (Est. 2 days) ]])))</calculatedColumnFormula>
    </tableColumn>
    <tableColumn id="28" xr3:uid="{FB2476D0-E89D-45E5-A809-718C11785476}" name="Program Manager validates with appropriate teams the pricing data inputs (Est. 2 days) " dataDxfId="909"/>
    <tableColumn id="94" xr3:uid="{D955E7F7-7E38-4393-A1E5-E796477652DD}" name="Program Manager Validation Forecast " dataDxfId="908">
      <calculatedColumnFormula>IF(ISBLANK(Table13[[#This Row],[BD Responds OK to Move Forward]]), "", WORKDAY(Table13[[#This Row],[BD Responds OK to Move Forward]], 7))</calculatedColumnFormula>
    </tableColumn>
    <tableColumn id="93" xr3:uid="{FF29B0CD-36E9-4943-A331-737639380EDB}" name="Days Passed Since Program Manager Validation" dataDxfId="907">
      <calculatedColumnFormula>IF(ISBLANK(Table13[[#This Row],[Program Manager validates with appropriate teams the pricing data inputs (Est. 2 days) ]]), "", IF(ISBLANK(Table13[[#This Row],[Program Manager creates 1 pager proposal (Est. 2 days) ]]), NETWORKDAYS(Table13[[#This Row],[Program Manager validates with appropriate teams the pricing data inputs (Est. 2 days) ]], TODAY()), NETWORKDAYS(Table13[[#This Row],[Program Manager validates with appropriate teams the pricing data inputs (Est. 2 days) ]], Table13[[#This Row],[Program Manager creates 1 pager proposal (Est. 2 days) ]])))</calculatedColumnFormula>
    </tableColumn>
    <tableColumn id="29" xr3:uid="{D5C50B60-0B83-4521-981B-E3B2DF959B33}" name="Program Manager creates 1 pager proposal (Est. 2 days) " dataDxfId="906"/>
    <tableColumn id="96" xr3:uid="{EE346161-1136-44C5-9C8C-E97070F372A3}" name="1-Pager Proposal Forecast " dataDxfId="905">
      <calculatedColumnFormula>IF(ISBLANK(Table13[[#This Row],[Program Manager validates with appropriate teams the pricing data inputs (Est. 2 days) ]]), "", WORKDAY(Table13[[#This Row],[Program Manager validates with appropriate teams the pricing data inputs (Est. 2 days) ]], 7))</calculatedColumnFormula>
    </tableColumn>
    <tableColumn id="95" xr3:uid="{CA078EDC-C78A-4FD3-BEA4-06F22B4F0E1B}" name="Days Passed Since Program Manager Creates 1-Pager Proposal" dataDxfId="904">
      <calculatedColumnFormula>IF(ISBLANK(Table13[[#This Row],[Program Manager creates 1 pager proposal (Est. 2 days) ]]), "", IF(ISBLANK(Table13[[#This Row],[Program Manager creates full proposal (Est. 10 days) ]]), NETWORKDAYS(Table13[[#This Row],[Program Manager creates 1 pager proposal (Est. 2 days) ]], TODAY()), NETWORKDAYS(Table13[[#This Row],[Program Manager creates 1 pager proposal (Est. 2 days) ]], Table13[[#This Row],[Program Manager creates full proposal (Est. 10 days) ]])))</calculatedColumnFormula>
    </tableColumn>
    <tableColumn id="30" xr3:uid="{70291711-35F9-4BC8-9208-256EFBA59160}" name="Program Manager creates full proposal (Est. 10 days) " dataDxfId="903"/>
    <tableColumn id="98" xr3:uid="{CB2A11BF-7832-4E02-9F0D-FEDEF2ED3444}" name="Full Proposal Forecast " dataDxfId="902">
      <calculatedColumnFormula>IF(ISBLANK(Table13[[#This Row],[Program Manager creates 1 pager proposal (Est. 2 days) ]]), "", WORKDAY(Table13[[#This Row],[Program Manager creates 1 pager proposal (Est. 2 days) ]], 7))</calculatedColumnFormula>
    </tableColumn>
    <tableColumn id="97" xr3:uid="{C12C4D8B-A4EB-4CBC-8641-975BAAB1EC05}" name="Days Since Full Proposal" dataDxfId="901">
      <calculatedColumnFormula>IF(ISBLANK(Table13[[#This Row],[Program Manager creates full proposal (Est. 10 days) ]]), "", IF(ISBLANK(Table13[[#This Row],[BD submits proposal ]]), NETWORKDAYS(Table13[[#This Row],[Program Manager creates full proposal (Est. 10 days) ]], TODAY()), NETWORKDAYS(Table13[[#This Row],[Program Manager creates full proposal (Est. 10 days) ]], Table13[[#This Row],[BD submits proposal ]])))</calculatedColumnFormula>
    </tableColumn>
    <tableColumn id="31" xr3:uid="{46D2E9F4-7EC4-4B56-9591-E20BB6F1EDB3}" name="BD submits proposal " dataDxfId="900"/>
    <tableColumn id="100" xr3:uid="{08A6C46E-A3EF-47EB-85FA-C96DE910A344}" name="BD Submits Proposal Forecast" dataDxfId="899">
      <calculatedColumnFormula>IF(ISBLANK(Table13[[#This Row],[Program Manager creates full proposal (Est. 10 days) ]]), "", WORKDAY(Table13[[#This Row],[Program Manager creates full proposal (Est. 10 days) ]], 7))</calculatedColumnFormula>
    </tableColumn>
    <tableColumn id="99" xr3:uid="{69A76A0B-C758-4832-A5ED-19983FA2083F}" name="Days Passed Since BD Submits Proposal" dataDxfId="898">
      <calculatedColumnFormula>IF(ISBLANK(Table13[[#This Row],[BD submits proposal ]]), "", IF(ISBLANK(Table13[[#This Row],[M. Director Presents to CAC (Est. 10 days) ]]), NETWORKDAYS(Table13[[#This Row],[BD submits proposal ]], TODAY()), NETWORKDAYS(Table13[[#This Row],[BD submits proposal ]], Table13[[#This Row],[M. Director Presents to CAC (Est. 10 days) ]])))</calculatedColumnFormula>
    </tableColumn>
    <tableColumn id="32" xr3:uid="{46ADDDA8-CA0B-46DD-8248-0F96B55F5582}" name="M. Director Presents to CAC (Est. 10 days) " dataDxfId="897"/>
    <tableColumn id="102" xr3:uid="{8D53E492-9519-4B22-A0D0-194BE80482F7}" name="M. Director Presents to CAC Forecast" dataDxfId="896">
      <calculatedColumnFormula>IF(ISBLANK(Table13[[#This Row],[BD submits proposal ]]), "", WORKDAY(Table13[[#This Row],[BD submits proposal ]], 10))</calculatedColumnFormula>
    </tableColumn>
    <tableColumn id="101" xr3:uid="{75AA6F38-C6B6-4A5F-A899-E23DF7141274}" name="Days Passed Since M. Director Presents to CAC" dataDxfId="895">
      <calculatedColumnFormula>IF(ISBLANK(Table13[[#This Row],[M. Director Presents to CAC (Est. 10 days) ]]), "", IF(ISBLANK(Table13[[#This Row],[Proposal Acceptance Date ]]), NETWORKDAYS(Table13[[#This Row],[M. Director Presents to CAC (Est. 10 days) ]], TODAY()), NETWORKDAYS(Table13[[#This Row],[M. Director Presents to CAC (Est. 10 days) ]], Table13[[#This Row],[Proposal Acceptance Date ]])))</calculatedColumnFormula>
    </tableColumn>
    <tableColumn id="33" xr3:uid="{53DF7725-F8D1-44F3-B597-595C15278F3E}" name="Proposal Accepted? " dataDxfId="894"/>
    <tableColumn id="103" xr3:uid="{6B9FD6C4-E7E8-4259-9DAB-EEAB291A58FB}" name="Proposal Acceptance Date " dataDxfId="893"/>
    <tableColumn id="104" xr3:uid="{494BF539-30A7-4FA9-9914-807D052385F6}" name="Days Since Proposal Accepted " dataDxfId="892">
      <calculatedColumnFormula>IF(ISBLANK(Table13[[#This Row],[Proposal Acceptance Date ]]), "", IF(ISBLANK(Table13[[#This Row],[Update record in CRM ]]), NETWORKDAYS(Table13[[#This Row],[Proposal Acceptance Date ]], TODAY()), NETWORKDAYS(Table13[[#This Row],[Proposal Acceptance Date ]], Table13[[#This Row],[Update record in CRM ]])))</calculatedColumnFormula>
    </tableColumn>
    <tableColumn id="34" xr3:uid="{0CBD8072-1336-4520-934A-D06695450144}" name="Update record in CRM " dataDxfId="891"/>
    <tableColumn id="106" xr3:uid="{9E8A1538-6E01-47DC-A0BD-6DDF6AE1DA4A}" name="CRM Update Forecast " dataDxfId="890">
      <calculatedColumnFormula>IF(ISBLANK(Table13[[#This Row],[Proposal Acceptance Date ]]), "", WORKDAY(Table13[[#This Row],[Proposal Acceptance Date ]], 7))</calculatedColumnFormula>
    </tableColumn>
    <tableColumn id="105" xr3:uid="{742AD743-784E-4C2B-8D1C-08A0287FBC86}" name="Days Passed Since CRM Update " dataDxfId="889">
      <calculatedColumnFormula>IF(ISBLANK(Table13[[#This Row],[Update record in CRM ]]), "", IF(ISBLANK(Table13[[#This Row],[Liaison/review redlines ]]), NETWORKDAYS(Table13[[#This Row],[Update record in CRM ]], TODAY()), NETWORKDAYS(Table13[[#This Row],[Update record in CRM ]], Table13[[#This Row],[Liaison/review redlines ]])))</calculatedColumnFormula>
    </tableColumn>
    <tableColumn id="35" xr3:uid="{88361D8F-522C-48CB-8A87-E45B80BB3BD1}" name="Liaison/review redlines " dataDxfId="888"/>
    <tableColumn id="108" xr3:uid="{771F0FFB-15F9-462B-A065-3D272B377ECC}" name="Liason/Review Redlines Forecast " dataDxfId="887">
      <calculatedColumnFormula>IF(ISBLANK(Table13[[#This Row],[Update record in CRM ]]), "", WORKDAY(Table13[[#This Row],[Update record in CRM ]], 7))</calculatedColumnFormula>
    </tableColumn>
    <tableColumn id="107" xr3:uid="{7255FD0D-DDEF-4606-9A3F-E7C78FB3DFBB}" name="Days Passed Passed Since Liason/Review Redlines" dataDxfId="886">
      <calculatedColumnFormula>IF(ISBLANK(Table13[[#This Row],[Liaison/review redlines ]]), "", IF(ISBLANK(Table13[[#This Row],[Draft Agreement (Est. 90 days) ]]), NETWORKDAYS(Table13[[#This Row],[Liaison/review redlines ]], TODAY()), NETWORKDAYS(Table13[[#This Row],[Liaison/review redlines ]], Table13[[#This Row],[Draft Agreement (Est. 90 days) ]])))</calculatedColumnFormula>
    </tableColumn>
    <tableColumn id="36" xr3:uid="{9C866838-51B1-4A1B-A452-0CF1BF2B397C}" name="Draft Agreement (Est. 90 days) " dataDxfId="885"/>
    <tableColumn id="110" xr3:uid="{15DA51D7-9ACC-4219-8CCC-866C069B15D1}" name="Draft Agreement Forecast " dataDxfId="884">
      <calculatedColumnFormula>IF(ISBLANK(Table13[[#This Row],[Liaison/review redlines ]]), "", WORKDAY(Table13[[#This Row],[Liaison/review redlines ]], 90))</calculatedColumnFormula>
    </tableColumn>
    <tableColumn id="109" xr3:uid="{F505C572-034A-412A-BF27-7F201CE7AC87}" name="Days Passed Since Agreement Drafted " dataDxfId="883">
      <calculatedColumnFormula>IF(ISBLANK(Table13[[#This Row],[Draft Agreement (Est. 90 days) ]]), "", IF(ISBLANK(Table13[[#This Row],[Executed Agreement (10 days)]]), NETWORKDAYS(Table13[[#This Row],[Draft Agreement (Est. 90 days) ]], TODAY()), NETWORKDAYS(Table13[[#This Row],[Draft Agreement (Est. 90 days) ]], Table13[[#This Row],[Executed Agreement (10 days)]])))</calculatedColumnFormula>
    </tableColumn>
    <tableColumn id="37" xr3:uid="{D7BAE8D1-E57E-4DBD-8293-85E6DAD264E7}" name="Executed Agreement (10 days)" dataDxfId="882"/>
    <tableColumn id="112" xr3:uid="{0685E599-C719-4381-BB3D-08DF1F7EFC92}" name="Agreement Execution Forecast " dataDxfId="881">
      <calculatedColumnFormula>IF(ISBLANK(Table13[[#This Row],[Draft Agreement (Est. 90 days) ]]), "", WORKDAY(Table13[[#This Row],[Draft Agreement (Est. 90 days) ]], 10))</calculatedColumnFormula>
    </tableColumn>
    <tableColumn id="111" xr3:uid="{69843898-2C59-4DBF-91B5-06A3715BA39C}" name="Days Passed Since Agreement Executed " dataDxfId="880">
      <calculatedColumnFormula>IF(ISBLANK(Table13[[#This Row],[Executed Agreement (10 days)]]), "", IF(ISBLANK(Table13[[#This Row],[Prog Manager schedules Kick-off meeting (Est. 3 days) ]]), NETWORKDAYS(Table13[[#This Row],[Executed Agreement (10 days)]], TODAY()), NETWORKDAYS(Table13[[#This Row],[Executed Agreement (10 days)]], Table13[[#This Row],[Prog Manager schedules Kick-off meeting (Est. 3 days) ]])))</calculatedColumnFormula>
    </tableColumn>
    <tableColumn id="38" xr3:uid="{80DF0006-21AE-4931-81D9-E0407B080492}" name="Prog Manager schedules Kick-off meeting (Est. 3 days) " dataDxfId="879"/>
    <tableColumn id="113" xr3:uid="{84AA6A19-3AB1-40B4-A84A-A3BCDBF7A2CE}" name="Kickoff Meeting Forecast " dataDxfId="878">
      <calculatedColumnFormula>IF(ISBLANK(Table13[[#This Row],[Executed Agreement (10 days)]]), "", WORKDAY(Table13[[#This Row],[Executed Agreement (10 days)]], 3))</calculatedColumnFormula>
    </tableColumn>
    <tableColumn id="114" xr3:uid="{D011A530-578C-402D-A384-F3CCA1CD94D7}" name="Days Passed Since Kickoff Meeting" dataDxfId="877">
      <calculatedColumnFormula>IF(ISBLANK(Table13[[#This Row],[Prog Manager schedules Kick-off meeting (Est. 3 days) ]]), "", IF(ISBLANK(Table13[[#This Row],[Budget Approvals (Est. 7 days) ]]), NETWORKDAYS(Table13[[#This Row],[Prog Manager schedules Kick-off meeting (Est. 3 days) ]], TODAY()), NETWORKDAYS(Table13[[#This Row],[Prog Manager schedules Kick-off meeting (Est. 3 days) ]], Table13[[#This Row],[Budget Approvals (Est. 7 days) ]])))</calculatedColumnFormula>
    </tableColumn>
    <tableColumn id="44" xr3:uid="{965EFB09-537E-428B-903D-9B0563EE9446}" name="Budget Approvals (Est. 7 days) " dataDxfId="876"/>
    <tableColumn id="116" xr3:uid="{C4F9E278-2ECE-40D9-A296-AD16A5867FC5}" name="Budget Approval Forecast " dataDxfId="875">
      <calculatedColumnFormula>IF(ISBLANK(Table13[[#This Row],[Prog Manager schedules Kick-off meeting (Est. 3 days) ]]), "", WORKDAY(Table13[[#This Row],[Prog Manager schedules Kick-off meeting (Est. 3 days) ]], 7))</calculatedColumnFormula>
    </tableColumn>
    <tableColumn id="115" xr3:uid="{3DC98DE0-5547-4D37-8D31-F08824CEC09D}" name="Days Passed Since Budget Approval" dataDxfId="874">
      <calculatedColumnFormula>IF(ISBLANK(Table13[[#This Row],[Budget Approvals (Est. 7 days) ]]), "", IF(ISBLANK(Table13[[#This Row],[Order backhaul (Est. 7 days) ]]), NETWORKDAYS(Table13[[#This Row],[Budget Approvals (Est. 7 days) ]], TODAY()), NETWORKDAYS(Table13[[#This Row],[Budget Approvals (Est. 7 days) ]], Table13[[#This Row],[Order backhaul (Est. 7 days) ]])))</calculatedColumnFormula>
    </tableColumn>
    <tableColumn id="45" xr3:uid="{51891A07-4C79-49B4-AB09-AF7A8271D80A}" name="Order backhaul (Est. 7 days) " dataDxfId="873"/>
    <tableColumn id="118" xr3:uid="{7032C626-55B4-4271-8BD6-A782B15DFE6A}" name="Backhaul Order Forecast " dataDxfId="872">
      <calculatedColumnFormula>IF(ISBLANK(Table13[[#This Row],[Budget Approvals (Est. 7 days) ]]), "", WORKDAY(Table13[[#This Row],[Budget Approvals (Est. 7 days) ]], 7))</calculatedColumnFormula>
    </tableColumn>
    <tableColumn id="117" xr3:uid="{31D70FA2-47F9-458A-A8BC-5A578F03A31E}" name="Days Passed Since Backhaul Ordered" dataDxfId="871">
      <calculatedColumnFormula>IF(ISBLANK(Table13[[#This Row],[Order backhaul (Est. 7 days) ]]), "", IF(ISBLANK(Table13[[#This Row],[Quotes updates if changes in BOM list (Est. 7 days) ]]), NETWORKDAYS(Table13[[#This Row],[Order backhaul (Est. 7 days) ]], TODAY()), NETWORKDAYS(Table13[[#This Row],[Order backhaul (Est. 7 days) ]], Table13[[#This Row],[Quotes updates if changes in BOM list (Est. 7 days) ]])))</calculatedColumnFormula>
    </tableColumn>
    <tableColumn id="46" xr3:uid="{CF1D0642-0148-4930-8587-311FB1A5A662}" name="Quotes updates if changes in BOM list (Est. 7 days) " dataDxfId="870"/>
    <tableColumn id="120" xr3:uid="{6F3FAC77-E725-41C3-A86D-E11F7E9B0445}" name="Quote Update Forecast " dataDxfId="869">
      <calculatedColumnFormula>IF(ISBLANK(Table13[[#This Row],[Order backhaul (Est. 7 days) ]]), "", WORKDAY(Table13[[#This Row],[Order backhaul (Est. 7 days) ]], 7))</calculatedColumnFormula>
    </tableColumn>
    <tableColumn id="119" xr3:uid="{95F5A75A-81D6-4EB1-883D-0797F5783C87}" name="Days Passed Since Quote Updated " dataDxfId="868">
      <calculatedColumnFormula>IF(ISBLANK(Table13[[#This Row],[Quotes updates if changes in BOM list (Est. 7 days) ]]), "", IF(ISBLANK(Table13[[#This Row],[Final BOM (Est. 7 days) ]]), NETWORKDAYS(Table13[[#This Row],[Quotes updates if changes in BOM list (Est. 7 days) ]], TODAY()), NETWORKDAYS(Table13[[#This Row],[Quotes updates if changes in BOM list (Est. 7 days) ]], Table13[[#This Row],[Final BOM (Est. 7 days) ]])))</calculatedColumnFormula>
    </tableColumn>
    <tableColumn id="47" xr3:uid="{D37293E6-EAE1-42E4-BBF6-A665FA43A1BB}" name="Final BOM (Est. 7 days) " dataDxfId="867"/>
    <tableColumn id="122" xr3:uid="{14BEE378-F366-45D3-B087-3115F3895BCF}" name="Final BOM Forecast" dataDxfId="866">
      <calculatedColumnFormula>IF(ISBLANK(Table13[[#This Row],[Quotes updates if changes in BOM list (Est. 7 days) ]]), "", WORKDAY(Table13[[#This Row],[Quotes updates if changes in BOM list (Est. 7 days) ]], 7))</calculatedColumnFormula>
    </tableColumn>
    <tableColumn id="121" xr3:uid="{CA456E36-63C3-45C3-8FAC-3B18AF840E6E}" name="Days Passed Since Final BOM" dataDxfId="865">
      <calculatedColumnFormula>IF(ISBLANK(Table13[[#This Row],[Final BOM (Est. 7 days) ]]), "", IF(ISBLANK(Table13[[#This Row],[Submit POs (Est. 7 days) ]]), NETWORKDAYS(Table13[[#This Row],[Final BOM (Est. 7 days) ]], TODAY()), NETWORKDAYS(Table13[[#This Row],[Final BOM (Est. 7 days) ]], Table13[[#This Row],[Submit POs (Est. 7 days) ]])))</calculatedColumnFormula>
    </tableColumn>
    <tableColumn id="48" xr3:uid="{8A145848-0B38-4B80-8422-86A6E389F2A3}" name="Submit POs (Est. 7 days) " dataDxfId="864"/>
    <tableColumn id="124" xr3:uid="{78436907-53D3-4139-AFC2-3B155C22E582}" name="PO Submission Forecast " dataDxfId="863">
      <calculatedColumnFormula>IF(ISBLANK(Table13[[#This Row],[Final BOM (Est. 7 days) ]]), "", WORKDAY(Table13[[#This Row],[Final BOM (Est. 7 days) ]], 7))</calculatedColumnFormula>
    </tableColumn>
    <tableColumn id="123" xr3:uid="{60C186C3-0525-46B8-966F-DB5A0BF7122A}" name="Days Passed Since PO Submission" dataDxfId="862">
      <calculatedColumnFormula>IF(ISBLANK(Table13[[#This Row],[Submit POs (Est. 7 days) ]]), "", IF(ISBLANK(Table13[[#This Row],[Coordinate materials logistics (Est. 8 weeks) ]]), NETWORKDAYS(Table13[[#This Row],[Submit POs (Est. 7 days) ]], TODAY()), NETWORKDAYS(Table13[[#This Row],[Submit POs (Est. 7 days) ]], Table13[[#This Row],[Coordinate materials logistics (Est. 8 weeks) ]])))</calculatedColumnFormula>
    </tableColumn>
    <tableColumn id="153" xr3:uid="{7AF7B2B3-52FA-4DF2-86F4-FDDDF5CE34C9}" name="RTP" dataDxfId="861"/>
    <tableColumn id="154" xr3:uid="{574EB292-A8A4-40BF-B6D1-A81B360A4137}" name="RTP Forecast " dataDxfId="860">
      <calculatedColumnFormula>IF(ISBLANK(Table13[[#This Row],[Executed Agreement (10 days)]]), "", WORKDAY(Table13[[#This Row],[Executed Agreement (10 days)]], 180))</calculatedColumnFormula>
    </tableColumn>
    <tableColumn id="155" xr3:uid="{921155A2-AD8F-44DF-B981-4B51465827F2}" name="Days Since RTP Received " dataDxfId="859">
      <calculatedColumnFormula>IF(ISBLANK(Table13[[#This Row],[Submit POs (Est. 7 days) ]]), "", IF(ISBLANK(Table13[[#This Row],[Coordinate materials logistics (Est. 8 weeks) ]]), NETWORKDAYS(Table13[[#This Row],[Submit POs (Est. 7 days) ]], TODAY()), NETWORKDAYS(Table13[[#This Row],[Submit POs (Est. 7 days) ]], Table13[[#This Row],[Coordinate materials logistics (Est. 8 weeks) ]])))</calculatedColumnFormula>
    </tableColumn>
    <tableColumn id="49" xr3:uid="{ED5265F0-C4EB-4B35-9BF6-D7FC0D9738EF}" name="Coordinate materials logistics (Est. 8 weeks) " dataDxfId="858"/>
    <tableColumn id="126" xr3:uid="{CB15ADA9-CB91-4A7C-BFBE-3D8846FB2166}" name="Materials Logistic Coordination Completion Forecast " dataDxfId="857">
      <calculatedColumnFormula>IF(ISBLANK(Table13[[#This Row],[RTP]]), "", WORKDAY(Table13[[#This Row],[RTP]], 40))</calculatedColumnFormula>
    </tableColumn>
    <tableColumn id="125" xr3:uid="{7DEE5379-A492-42E8-B133-2552383F1198}" name="Days Passed Since Materials Logistics Coordination Completion" dataDxfId="856">
      <calculatedColumnFormula>IF(ISBLANK(Table13[[#This Row],[Coordinate materials logistics (Est. 8 weeks) ]]), "", IF(ISBLANK(Table13[[#This Row],[Monitor Construction Start (Est. 6 months) ]]), NETWORKDAYS(Table13[[#This Row],[Coordinate materials logistics (Est. 8 weeks) ]], TODAY()), NETWORKDAYS(Table13[[#This Row],[Coordinate materials logistics (Est. 8 weeks) ]], Table13[[#This Row],[Monitor Construction Start (Est. 6 months) ]])))</calculatedColumnFormula>
    </tableColumn>
    <tableColumn id="50" xr3:uid="{9CF8A7A8-45D5-408E-ABF6-40177A4487E0}" name="Monitor Construction Start (Est. 6 months) " dataDxfId="855"/>
    <tableColumn id="128" xr3:uid="{7B39A5F5-85DB-497B-95EE-83808DDD1BA5}" name="Construction Start Forecast " dataDxfId="854">
      <calculatedColumnFormula>IF(ISBLANK(Table13[[#This Row],[Coordinate materials logistics (Est. 8 weeks) ]]), "", WORKDAY(Table13[[#This Row],[Coordinate materials logistics (Est. 8 weeks) ]], 7))</calculatedColumnFormula>
    </tableColumn>
    <tableColumn id="127" xr3:uid="{EB1D6C8D-05A8-407E-A297-7395ED9A72E0}" name="Days Passed Since Construction Start" dataDxfId="853">
      <calculatedColumnFormula>IF(ISBLANK(Table13[[#This Row],[Monitor Construction Start (Est. 6 months) ]]), "", IF(ISBLANK(Table13[[#This Row],[Construction Completion]]), NETWORKDAYS(Table13[[#This Row],[Monitor Construction Start (Est. 6 months) ]], TODAY()), NETWORKDAYS(Table13[[#This Row],[Monitor Construction Start (Est. 6 months) ]], Table13[[#This Row],[Construction Completion]])))</calculatedColumnFormula>
    </tableColumn>
    <tableColumn id="51" xr3:uid="{EE925203-E775-4ACB-B382-7D813992C24E}" name="Core switches configuration (Est. 2 weeks) " dataDxfId="852"/>
    <tableColumn id="130" xr3:uid="{8BF41BB7-C38D-4896-96BB-621782B5C440}" name="Core Switch Configuration Forecast " dataDxfId="851">
      <calculatedColumnFormula>IF(ISBLANK(Table13[[#This Row],[Monitor Construction Start (Est. 6 months) ]]), "", WORKDAY(Table13[[#This Row],[Monitor Construction Start (Est. 6 months) ]], 15))</calculatedColumnFormula>
    </tableColumn>
    <tableColumn id="129" xr3:uid="{5F37CA0F-FEF7-46FF-A67C-2D24D6112A50}" name="Days Passed Since Core Switch Configuration" dataDxfId="850">
      <calculatedColumnFormula>IF(ISBLANK(Table13[[#This Row],[Core switches configuration (Est. 2 weeks) ]]), "", IF(ISBLANK(Table13[[#This Row],[Integration (Est. 2 weeks) ]]), NETWORKDAYS(Table13[[#This Row],[Core switches configuration (Est. 2 weeks) ]], TODAY()), NETWORKDAYS(Table13[[#This Row],[Core switches configuration (Est. 2 weeks) ]], Table13[[#This Row],[Integration (Est. 2 weeks) ]])))</calculatedColumnFormula>
    </tableColumn>
    <tableColumn id="52" xr3:uid="{E4D4DF0D-AF6F-4A30-8A40-5BCABDC13D42}" name="Backhaul Delivery coordination (Est. 3 months) " dataDxfId="849"/>
    <tableColumn id="132" xr3:uid="{241CA20C-377C-4838-9D18-A4A08CDE8C2B}" name="Backhaul Delivery Forecast " dataDxfId="848">
      <calculatedColumnFormula>IF(ISBLANK(Table13[[#This Row],[Monitor Construction Start (Est. 6 months) ]]), "", WORKDAY(Table13[[#This Row],[Monitor Construction Start (Est. 6 months) ]], 90))</calculatedColumnFormula>
    </tableColumn>
    <tableColumn id="131" xr3:uid="{43097184-E718-4667-AE33-7F36595FC559}" name="Days Passed Since Backhaul Delivery " dataDxfId="847">
      <calculatedColumnFormula>IF(ISBLANK(Table13[[#This Row],[Backhaul Delivery coordination (Est. 3 months) ]]), "", IF(ISBLANK(Table13[[#This Row],[Integration (Est. 2 weeks) ]]), NETWORKDAYS(Table13[[#This Row],[Backhaul Delivery coordination (Est. 3 months) ]], TODAY()), NETWORKDAYS(Table13[[#This Row],[Backhaul Delivery coordination (Est. 3 months) ]], Table13[[#This Row],[Integration (Est. 2 weeks) ]])))</calculatedColumnFormula>
    </tableColumn>
    <tableColumn id="53" xr3:uid="{BD248AB5-4463-4163-B6F3-9672FABF8270}" name="Integration (Est. 2 weeks) " dataDxfId="846"/>
    <tableColumn id="134" xr3:uid="{CB75F213-C04A-4A48-827F-D5158CEDFE1B}" name="Integration Completion Forecast " dataDxfId="845">
      <calculatedColumnFormula>IF(ISBLANK(Table13[[#This Row],[Backhaul Delivery coordination (Est. 3 months) ]]), "", WORKDAY(Table13[[#This Row],[Backhaul Delivery coordination (Est. 3 months) ]], 10))</calculatedColumnFormula>
    </tableColumn>
    <tableColumn id="133" xr3:uid="{07A94A69-4967-4B04-BE17-49C792D4B699}" name="Days Passed Since Integration Completion " dataDxfId="844">
      <calculatedColumnFormula>IF(ISBLANK(Table13[[#This Row],[Integration (Est. 2 weeks) ]]), "", IF(ISBLANK(Table13[[#This Row],[Construction Completion]]), NETWORKDAYS(Table13[[#This Row],[Integration (Est. 2 weeks) ]], TODAY()), NETWORKDAYS(Table13[[#This Row],[Integration (Est. 2 weeks) ]], Table13[[#This Row],[Construction Completion]])))</calculatedColumnFormula>
    </tableColumn>
    <tableColumn id="18" xr3:uid="{BDF31862-1B7A-4618-B0B0-08D0A844FACA}" name="Construction Completion" dataDxfId="843"/>
    <tableColumn id="19" xr3:uid="{20531A09-AF5D-4C98-A308-F0D1068EBDB0}" name="Construction Completion Forecast " dataDxfId="842">
      <calculatedColumnFormula>IF(ISBLANK(Table13[[#This Row],[Monitor Construction Start (Est. 6 months) ]]), "", WORKDAY(Table13[[#This Row],[Monitor Construction Start (Est. 6 months) ]], 180))</calculatedColumnFormula>
    </tableColumn>
    <tableColumn id="20" xr3:uid="{8B0EC9D4-5A37-45E9-A0F3-F4DA4CCA8344}" name="Days Passed Since Construction Completion" dataDxfId="841">
      <calculatedColumnFormula>IF(ISBLANK(Table13[[#This Row],[Construction Completion]]), "", IF(ISBLANK(Table13[[#This Row],[QC site review (Est. 7 days) ]]), NETWORKDAYS(Table13[[#This Row],[Construction Completion]], TODAY()), NETWORKDAYS(Table13[[#This Row],[Construction Completion]], Table13[[#This Row],[QC site review (Est. 7 days) ]])))</calculatedColumnFormula>
    </tableColumn>
    <tableColumn id="54" xr3:uid="{4A8F0A0F-9540-4CA4-A884-F02774BFB8E4}" name="Optional: Customer Success Team to assist on training efforts to onboard new users (Vault) "/>
    <tableColumn id="55" xr3:uid="{531C8D5C-1DFD-4665-A6DA-05993FBDF6FD}" name="QC site review (Est. 7 days) " dataDxfId="840"/>
    <tableColumn id="136" xr3:uid="{D2AB4198-83A6-43E3-AD69-3347EF813287}" name="QC Site Review Forecast " dataDxfId="839">
      <calculatedColumnFormula>IF(ISBLANK(Table13[[#This Row],[Construction Completion]]), "", WORKDAY(Table13[[#This Row],[Construction Completion]], 7))</calculatedColumnFormula>
    </tableColumn>
    <tableColumn id="135" xr3:uid="{B617251E-5F2C-4063-80FD-DA566C30F6E1}" name="Days Passed Since QC Site Review " dataDxfId="838">
      <calculatedColumnFormula>IF(ISBLANK(Table13[[#This Row],[QC site review (Est. 7 days) ]]), "", IF(ISBLANK(Table13[[#This Row],[Site Walk (Est. 2 weeks) ]]), NETWORKDAYS(Table13[[#This Row],[QC site review (Est. 7 days) ]], TODAY()), NETWORKDAYS(Table13[[#This Row],[QC site review (Est. 7 days) ]], Table13[[#This Row],[Site Walk (Est. 2 weeks) ]])))</calculatedColumnFormula>
    </tableColumn>
    <tableColumn id="56" xr3:uid="{6FA3324F-E27C-4B24-8F81-7CA03BFBEA4A}" name="Site Walk (Est. 2 weeks) " dataDxfId="837"/>
    <tableColumn id="138" xr3:uid="{F2C5B0B7-DDBF-47F6-91DA-17BFCD2FF66F}" name="Site Walk Forecast " dataDxfId="836">
      <calculatedColumnFormula>IF(ISBLANK(Table13[[#This Row],[QC site review (Est. 7 days) ]]), "", WORKDAY(Table13[[#This Row],[QC site review (Est. 7 days) ]], 10))</calculatedColumnFormula>
    </tableColumn>
    <tableColumn id="137" xr3:uid="{13A00E13-DAD6-4B57-B260-CC472BBC41F4}" name="Days Passed Since Site Walk " dataDxfId="835">
      <calculatedColumnFormula>IF(ISBLANK(Table13[[#This Row],[Site Walk (Est. 2 weeks) ]]), "", IF(ISBLANK(Table13[[#This Row],[FNE Closeout Package (Est. 2 weeks) ]]), NETWORKDAYS(Table13[[#This Row],[Site Walk (Est. 2 weeks) ]], TODAY()), NETWORKDAYS(Table13[[#This Row],[Site Walk (Est. 2 weeks) ]], Table13[[#This Row],[FNE Closeout Package (Est. 2 weeks) ]])))</calculatedColumnFormula>
    </tableColumn>
    <tableColumn id="57" xr3:uid="{DAB3BE87-6A8C-4E45-B3E7-356AA79F5330}" name="FNE Closeout Package (Est. 2 weeks) " dataDxfId="834"/>
    <tableColumn id="140" xr3:uid="{499BE77F-A512-4DBF-8EAA-08583622E407}" name="FNE Closeout Package Forecast" dataDxfId="833">
      <calculatedColumnFormula>IF(ISBLANK(Table13[[#This Row],[Site Walk (Est. 2 weeks) ]]), "", WORKDAY(Table13[[#This Row],[Site Walk (Est. 2 weeks) ]], 10))</calculatedColumnFormula>
    </tableColumn>
    <tableColumn id="139" xr3:uid="{41758926-55F0-4F11-977E-FB29DE67418A}" name="Days Passed Since FNE Closeout Package " dataDxfId="832">
      <calculatedColumnFormula>IF(ISBLANK(Table13[[#This Row],[FNE Closeout Package (Est. 2 weeks) ]]), "", IF(ISBLANK(Table13[[#This Row],[Accepts Network (Est. 1 week) ]]), NETWORKDAYS(Table13[[#This Row],[FNE Closeout Package (Est. 2 weeks) ]], TODAY()), NETWORKDAYS(Table13[[#This Row],[FNE Closeout Package (Est. 2 weeks) ]], Table13[[#This Row],[Accepts Network (Est. 1 week) ]])))</calculatedColumnFormula>
    </tableColumn>
    <tableColumn id="58" xr3:uid="{63E13380-3B75-45F5-A9B5-AC5AEEC34AAA}" name="Accepts Network (Est. 1 week) " dataDxfId="831"/>
    <tableColumn id="141" xr3:uid="{A79FB2AE-6666-4D5C-9146-E760A7BC1188}" name="Network Acceptance Forecast" dataDxfId="830">
      <calculatedColumnFormula>IF(ISBLANK(Table13[[#This Row],[FNE Closeout Package (Est. 2 weeks) ]]), "", WORKDAY(Table13[[#This Row],[FNE Closeout Package (Est. 2 weeks) ]], 7))</calculatedColumnFormula>
    </tableColumn>
    <tableColumn id="142" xr3:uid="{1A76B297-E60E-46F8-87B3-12A858705132}" name="Days Passed Since Network Acceptance" dataDxfId="829">
      <calculatedColumnFormula>IF(ISBLANK(Table13[[#This Row],[Accepts Network (Est. 1 week) ]]), "", IF(ISBLANK(Table13[[#This Row],[Project Completion]]), NETWORKDAYS(Table13[[#This Row],[Accepts Network (Est. 1 week) ]], TODAY()), NETWORKDAYS(Table13[[#This Row],[Accepts Network (Est. 1 week) ]], Table13[[#This Row],[Project Completion]])))</calculatedColumnFormula>
    </tableColumn>
    <tableColumn id="143" xr3:uid="{82ADEB1A-2932-45F5-B18A-94101E2FEDC1}" name="Project Completion" dataDxfId="828"/>
    <tableColumn id="144" xr3:uid="{CD572239-36DA-456B-A4CD-FF852F1B2DAD}" name="Project Completion Forecast" dataDxfId="827">
      <calculatedColumnFormula>IF(ISBLANK(Table13[[#This Row],[Accepts Network (Est. 1 week) ]]), "", WORKDAY(Table13[[#This Row],[Accepts Network (Est. 1 week) ]], 10))</calculatedColumnFormula>
    </tableColumn>
    <tableColumn id="39" xr3:uid="{DC0DA392-1AA9-41BE-AF4E-EFA4838EA465}" name="Days Since Project Completion" dataDxfId="826">
      <calculatedColumnFormula>IF(ISBLANK(Table13[[#This Row],[Project Completion]]), " ", NETWORKDAYS(Table13[[#This Row],[Project Completion]], TODAY()))</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3A154A-C219-409C-A873-1B195D7C7BA6}" name="Table4" displayName="Table4" ref="A3:AJ50" totalsRowCount="1" headerRowDxfId="825" totalsRowDxfId="824">
  <autoFilter ref="A3:AJ49" xr:uid="{893A154A-C219-409C-A873-1B195D7C7BA6}"/>
  <tableColumns count="36">
    <tableColumn id="1" xr3:uid="{E18BF076-1598-4544-9DEF-B8A1164A0CB2}" name="Column1" totalsRowLabel="Total" totalsRowDxfId="823"/>
    <tableColumn id="2" xr3:uid="{71F8D33E-3FF8-4FC7-A093-5582F62516BE}" name="Design Stage" totalsRowDxfId="822"/>
    <tableColumn id="3" xr3:uid="{32076DFA-1139-4EBD-988E-A715B332C089}" name="Opp Name" totalsRowDxfId="821"/>
    <tableColumn id="4" xr3:uid="{4D57561A-0912-48B2-8ADF-C29D3BF99D91}" name="Opp ID" totalsRowDxfId="820"/>
    <tableColumn id="5" xr3:uid="{F1A210BD-B45A-46D7-80F7-195C47397126}" name="Deal Type" totalsRowDxfId="819"/>
    <tableColumn id="6" xr3:uid="{D334A5C2-D488-4F51-9CC6-A86A7B26B46F}" name="Property Type" dataDxfId="818" totalsRowDxfId="817"/>
    <tableColumn id="7" xr3:uid="{C1D0FF7C-22A7-4DC0-B9EE-C58CE86AEAB7}" name="Deal Stage" totalsRowDxfId="816"/>
    <tableColumn id="8" xr3:uid="{5C672590-5865-4485-A072-C5640B1A2C20}" name="BD Name" totalsRowDxfId="815"/>
    <tableColumn id="10" xr3:uid="{15EA33DE-8FDE-4F3C-BE66-35788B8318EA}" name="#Units" totalsRowDxfId="814"/>
    <tableColumn id="9" xr3:uid="{713F229A-9ED3-49E0-B8DB-94A4F33A7A56}" name="Receive date" totalsRowFunction="countNums" dataDxfId="813" totalsRowDxfId="812"/>
    <tableColumn id="11" xr3:uid="{86351E47-1EC0-4E49-B664-887D2C5321AE}" name="Kickoff date" dataDxfId="811" totalsRowDxfId="810"/>
    <tableColumn id="12" xr3:uid="{9341E848-2022-43CA-9646-3335294765D1}" name="ROM Request" dataDxfId="809" totalsRowDxfId="808"/>
    <tableColumn id="13" xr3:uid="{D339C809-3AE8-4982-827A-9BB157AAD8BA}" name="ROM Receive" totalsRowFunction="countNums" dataDxfId="807" totalsRowDxfId="806"/>
    <tableColumn id="14" xr3:uid="{0BB645A1-A89C-4E75-9772-F331F8003C2E}" name="Backhaul Cost Request" dataDxfId="805" totalsRowDxfId="804"/>
    <tableColumn id="15" xr3:uid="{CCF0D82B-3AD3-4AF8-A064-0CFC62F50439}" name="Backhaul Cost Receive" totalsRowFunction="countNums" dataDxfId="803" totalsRowDxfId="802"/>
    <tableColumn id="16" xr3:uid="{3EA0F8D7-F25B-4E89-BF6C-90EE830EE29F}" name="OSP Request" dataDxfId="801" totalsRowDxfId="800"/>
    <tableColumn id="17" xr3:uid="{C9F0FADA-2197-4C0F-BFEB-E0E16B6EBB6E}" name="OSP Receive" totalsRowFunction="countNums" dataDxfId="799" totalsRowDxfId="798"/>
    <tableColumn id="18" xr3:uid="{06BAE4AC-4587-4D49-AE45-A2109A27A900}" name="FM Request" totalsRowDxfId="797"/>
    <tableColumn id="19" xr3:uid="{F838FA84-F5A6-4BCC-8D3F-D80EA0BAEA0A}" name="FM receive" totalsRowFunction="countNums" totalsRowDxfId="796"/>
    <tableColumn id="20" xr3:uid="{A64EDB21-B570-4154-93E2-E72FFBEFFEA3}" name="FM review" totalsRowDxfId="795"/>
    <tableColumn id="21" xr3:uid="{8A91256B-79BF-4A43-995F-FF610F234CEE}" name="FM Approval meeting " totalsRowDxfId="794"/>
    <tableColumn id="22" xr3:uid="{3D638136-3B07-44D3-93CF-E402FF7145C8}" name="1-pager Submission to BD" dataDxfId="793" totalsRowDxfId="792"/>
    <tableColumn id="23" xr3:uid="{D4E489C8-DAE5-48B2-8E1B-5160DE049685}" name="Proposal Accepted" totalsRowDxfId="791"/>
    <tableColumn id="24" xr3:uid="{0A579A3C-2462-4055-A855-31D37690357C}" name="Firm Pricing request" totalsRowDxfId="790"/>
    <tableColumn id="25" xr3:uid="{081B93C2-3239-46A4-9575-D8B6C6AE0592}" name="Site walk  &amp;  Firm quote" totalsRowDxfId="789"/>
    <tableColumn id="26" xr3:uid="{248E3A71-F725-4D41-A0E8-2993542748C1}" name="Final Design &amp; BOM(20 calendar days from site walk)" totalsRowFunction="countNums" totalsRowDxfId="788"/>
    <tableColumn id="27" xr3:uid="{A58543CB-A877-4B0F-8472-DBBE8DF7D45C}" name="FM request2" totalsRowDxfId="787"/>
    <tableColumn id="28" xr3:uid="{3A6D2159-B856-4A68-927A-78EA32CC4D0D}" name="FM Review3" totalsRowFunction="countNums" totalsRowDxfId="786"/>
    <tableColumn id="29" xr3:uid="{7F98CE3D-EE65-40E9-B246-9824BC220692}" name="Tax Review" totalsRowDxfId="785"/>
    <tableColumn id="30" xr3:uid="{73A1B92D-0C18-4A33-A129-2F1626E6DE4F}" name="Tax Approval" totalsRowFunction="countNums" totalsRowDxfId="784"/>
    <tableColumn id="31" xr3:uid="{64D7397B-F448-49FE-B2FF-89788F8BC051}" name="Final proposal submission" totalsRowFunction="countNums" totalsRowDxfId="783"/>
    <tableColumn id="32" xr3:uid="{B0DDE9C9-F653-4F3A-9A8E-E828301498FC}" name="CAC Presentation (If applicable)" totalsRowFunction="countNums" totalsRowDxfId="782"/>
    <tableColumn id="33" xr3:uid="{A762E737-8D0F-4201-9070-6F5B937FCD85}" name="BD submits proposal" totalsRowFunction="countNums" totalsRowDxfId="781"/>
    <tableColumn id="34" xr3:uid="{2F0BE332-D143-49CA-B573-19B7195BBC3B}" name="Final Proposal Accepted" totalsRowDxfId="780"/>
    <tableColumn id="35" xr3:uid="{6B4D10F2-0D88-4485-83F7-BF3D290A5B88}" name="Legal agreement" totalsRowFunction="countNums" totalsRowDxfId="779"/>
    <tableColumn id="36" xr3:uid="{D4D609AC-F613-4381-82B6-2BF376B31E81}" name="Executed Agreement" totalsRowFunction="countNums" totalsRowDxfId="778"/>
  </tableColumns>
  <tableStyleInfo name="TableStyleMedium1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B92A9D9-C6F1-466B-8B9E-2167BBA60A59}" name="Table5" displayName="Table5" ref="A2:AD53" totalsRowCount="1" headerRowDxfId="777">
  <autoFilter ref="A2:AD52" xr:uid="{DB92A9D9-C6F1-466B-8B9E-2167BBA60A59}"/>
  <tableColumns count="30">
    <tableColumn id="1" xr3:uid="{20DCA02D-CF77-4F97-93D7-4EB04B261099}" name="Construction Stage" totalsRowLabel="Total"/>
    <tableColumn id="2" xr3:uid="{089594BB-7623-4BA4-9D1A-52FB46D21E2B}" name="Site Name"/>
    <tableColumn id="3" xr3:uid="{362303F4-83C7-4F60-B711-3D72EB5E2024}" name="Site ID"/>
    <tableColumn id="4" xr3:uid="{32374BA2-A797-455E-8C47-90EF1A285078}" name="A&amp;E Request" dataDxfId="776"/>
    <tableColumn id="5" xr3:uid="{929321AF-EC1A-4B50-B88A-394FBE41C184}" name="A&amp;E receive" totalsRowFunction="countNums"/>
    <tableColumn id="6" xr3:uid="{B6FE140E-1037-4316-A8AA-DBA747103EDE}" name="Budget Request"/>
    <tableColumn id="7" xr3:uid="{799277E6-3441-481F-AC56-BAC9D447A909}" name="Budget Approval" totalsRowFunction="countNums"/>
    <tableColumn id="8" xr3:uid="{9A9E2AA6-E3CE-4A4C-9246-BC6D07F30CE8}" name="Quotes from OEM"/>
    <tableColumn id="9" xr3:uid="{3DF33B02-5872-4C02-B82E-9D2815E0F093}" name="PO Request for OEM "/>
    <tableColumn id="10" xr3:uid="{62FAEE63-A193-450B-8D1A-62D7A026F055}" name="PO Approval" totalsRowFunction="countNums"/>
    <tableColumn id="11" xr3:uid="{12324525-577C-4EFC-A3E0-2B0054CD697E}" name="backhaul ordered"/>
    <tableColumn id="12" xr3:uid="{9F288530-4492-44A4-899A-8405DC2B3E41}" name="RTP Request" dataDxfId="775"/>
    <tableColumn id="13" xr3:uid="{03816155-C29B-43EA-8735-22AC90456894}" name="RTP Approved" totalsRowFunction="countNums" dataDxfId="774"/>
    <tableColumn id="14" xr3:uid="{DCB29E53-5BA8-4257-833A-0731E6CC5A96}" name="RFP Request"/>
    <tableColumn id="15" xr3:uid="{29E8D553-1A06-44B1-B2BF-494940A162A4}" name="RFP Received" totalsRowFunction="countNums"/>
    <tableColumn id="16" xr3:uid="{0683DE3A-1BDA-4D99-92E1-E23CEEA421E0}" name="PO for GC Request"/>
    <tableColumn id="17" xr3:uid="{B7EB311E-3BB3-46D9-B891-4C8AB4992174}" name="PO for GC Approved" totalsRowFunction="countNums"/>
    <tableColumn id="18" xr3:uid="{9BD68725-8B20-41E2-9357-61C75791714B}" name="Construction Start" totalsRowFunction="countNums" dataDxfId="773"/>
    <tableColumn id="19" xr3:uid="{82F0E707-F1F6-46BF-94E1-B1572F450B64}" name="Construction Complete" dataDxfId="772"/>
    <tableColumn id="20" xr3:uid="{DB1CFBC6-D1AA-4876-B8D0-FA36A5B6D1C8}" name="Build (6 months)"/>
    <tableColumn id="21" xr3:uid="{293C1C8B-25CF-4C56-BEA9-DCD5A501F02B}" name="Integration Start" dataDxfId="771"/>
    <tableColumn id="22" xr3:uid="{73F48609-2A2E-4DB7-A1E4-DC234FD6F29D}" name="Integration Complete" totalsRowFunction="countNums" dataDxfId="770"/>
    <tableColumn id="23" xr3:uid="{701FF708-4AD8-4C4E-ACE0-3C38B48B6DA3}" name="Close Out Package(2weeks from integration complete)" totalsRowFunction="countNums"/>
    <tableColumn id="24" xr3:uid="{A4AF0930-E885-4345-930C-BFFE093FBC74}" name="Acceptance testing (2 weeks from close out package)" totalsRowFunction="countNums"/>
    <tableColumn id="25" xr3:uid="{DFDEC29B-1469-48D0-9632-A4D155F34CC8}" name="Customer acceptance(1 month after acceptance testing)" totalsRowFunction="countNums"/>
    <tableColumn id="26" xr3:uid="{63D36FC7-3030-4534-9245-0F5B39381097}" name="Operations handoff(1 week after customer acceptance)" totalsRowFunction="countNums"/>
    <tableColumn id="27" xr3:uid="{0F529520-BE9F-427D-9878-975030C44567}" name="FNE Date"/>
    <tableColumn id="28" xr3:uid="{8612B7A1-60F7-4CB4-866D-536D5B6D1E02}" name="FNE Notice" totalsRowFunction="countNums"/>
    <tableColumn id="29" xr3:uid="{CFA8FCD6-18D5-43F3-A67C-6F392A357AC5}" name="PMDB Update" totalsRowFunction="countNums"/>
    <tableColumn id="30" xr3:uid="{3940B5BC-590B-4AA9-9C15-7469EC46AD26}" name="Revenue Billing(PMDB)" totalsRowFunction="countNums"/>
  </tableColumns>
  <tableStyleInfo name="TableStyleLight2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9B188-A5E6-4ED3-A8DE-259D6DA54FEB}">
  <sheetPr codeName="Sheet1"/>
  <dimension ref="A1:GF56"/>
  <sheetViews>
    <sheetView topLeftCell="J1" zoomScale="85" zoomScaleNormal="85" workbookViewId="0">
      <selection activeCell="J2" sqref="J1:J1048576"/>
    </sheetView>
  </sheetViews>
  <sheetFormatPr defaultRowHeight="15" customHeight="1" outlineLevelCol="3" x14ac:dyDescent="0.25"/>
  <cols>
    <col min="1" max="1" width="18.85546875" customWidth="1"/>
    <col min="2" max="2" width="23.140625" bestFit="1" customWidth="1"/>
    <col min="3" max="3" width="43.28515625" customWidth="1" outlineLevel="1"/>
    <col min="4" max="4" width="11.28515625" customWidth="1" outlineLevel="1"/>
    <col min="5" max="5" width="23" customWidth="1" outlineLevel="1"/>
    <col min="6" max="6" width="15.5703125" customWidth="1" outlineLevel="1"/>
    <col min="7" max="7" width="12.85546875" customWidth="1" outlineLevel="1"/>
    <col min="8" max="8" width="16.5703125" customWidth="1" outlineLevel="1"/>
    <col min="9" max="9" width="15" bestFit="1" customWidth="1"/>
    <col min="10" max="10" width="15.85546875" customWidth="1"/>
    <col min="11" max="11" width="14.7109375" hidden="1" customWidth="1" outlineLevel="1"/>
    <col min="12" max="12" width="15.5703125" hidden="1" customWidth="1" outlineLevel="1"/>
    <col min="13" max="13" width="14" hidden="1" customWidth="1" outlineLevel="2"/>
    <col min="14" max="14" width="14.28515625" hidden="1" customWidth="1" outlineLevel="2"/>
    <col min="15" max="15" width="15.42578125" hidden="1" customWidth="1" outlineLevel="1" collapsed="1"/>
    <col min="16" max="16" width="15.42578125" hidden="1" customWidth="1" outlineLevel="2"/>
    <col min="17" max="17" width="14.28515625" hidden="1" customWidth="1" outlineLevel="2"/>
    <col min="18" max="18" width="15.140625" hidden="1" customWidth="1" outlineLevel="1" collapsed="1"/>
    <col min="19" max="20" width="15.140625" hidden="1" customWidth="1" outlineLevel="2"/>
    <col min="21" max="21" width="23.28515625" hidden="1" customWidth="1" outlineLevel="1" collapsed="1"/>
    <col min="22" max="23" width="23.28515625" hidden="1" customWidth="1" outlineLevel="2"/>
    <col min="24" max="24" width="23" hidden="1" customWidth="1" outlineLevel="1" collapsed="1"/>
    <col min="25" max="26" width="23" hidden="1" customWidth="1" outlineLevel="2"/>
    <col min="27" max="27" width="14.5703125" hidden="1" customWidth="1" outlineLevel="1" collapsed="1"/>
    <col min="28" max="29" width="14.5703125" hidden="1" customWidth="1" outlineLevel="2"/>
    <col min="30" max="30" width="14.28515625" hidden="1" customWidth="1" outlineLevel="1" collapsed="1"/>
    <col min="31" max="32" width="14.28515625" hidden="1" customWidth="1" outlineLevel="2"/>
    <col min="33" max="33" width="14.7109375" hidden="1" customWidth="1" outlineLevel="1" collapsed="1"/>
    <col min="34" max="35" width="14.7109375" hidden="1" customWidth="1" outlineLevel="2"/>
    <col min="36" max="36" width="14" hidden="1" customWidth="1" outlineLevel="1" collapsed="1"/>
    <col min="37" max="37" width="14" hidden="1" customWidth="1" outlineLevel="1"/>
    <col min="38" max="38" width="12.7109375" customWidth="1" collapsed="1"/>
    <col min="39" max="39" width="27.42578125" bestFit="1" customWidth="1"/>
    <col min="40" max="40" width="20.28515625" customWidth="1" outlineLevel="1"/>
    <col min="41" max="42" width="20.28515625" customWidth="1" outlineLevel="2"/>
    <col min="43" max="43" width="22.140625" customWidth="1" outlineLevel="1"/>
    <col min="44" max="45" width="22.140625" customWidth="1" outlineLevel="2"/>
    <col min="46" max="46" width="20.140625" customWidth="1" outlineLevel="1"/>
    <col min="47" max="48" width="20.140625" customWidth="1" outlineLevel="2"/>
    <col min="49" max="49" width="20.140625" customWidth="1" outlineLevel="1"/>
    <col min="50" max="51" width="20.140625" customWidth="1" outlineLevel="2"/>
    <col min="52" max="52" width="25.140625" customWidth="1" outlineLevel="1"/>
    <col min="53" max="54" width="25.140625" hidden="1" customWidth="1" outlineLevel="2"/>
    <col min="55" max="55" width="15.140625" customWidth="1" outlineLevel="1" collapsed="1"/>
    <col min="56" max="57" width="15.140625" hidden="1" customWidth="1" outlineLevel="2"/>
    <col min="58" max="58" width="15.140625" customWidth="1" outlineLevel="1" collapsed="1"/>
    <col min="59" max="60" width="15.140625" hidden="1" customWidth="1" outlineLevel="2"/>
    <col min="61" max="61" width="14.42578125" customWidth="1" outlineLevel="1" collapsed="1"/>
    <col min="62" max="63" width="14.42578125" hidden="1" customWidth="1" outlineLevel="2"/>
    <col min="64" max="64" width="15.7109375" customWidth="1" outlineLevel="1" collapsed="1"/>
    <col min="65" max="66" width="15.7109375" hidden="1" customWidth="1" outlineLevel="2"/>
    <col min="67" max="67" width="16.42578125" customWidth="1" outlineLevel="1" collapsed="1"/>
    <col min="68" max="69" width="16.42578125" hidden="1" customWidth="1" outlineLevel="2"/>
    <col min="70" max="70" width="19.28515625" customWidth="1" outlineLevel="1" collapsed="1"/>
    <col min="71" max="71" width="25.28515625" customWidth="1"/>
    <col min="72" max="73" width="25.28515625" customWidth="1" outlineLevel="1"/>
    <col min="74" max="74" width="21.42578125" customWidth="1"/>
    <col min="75" max="76" width="21.42578125" customWidth="1" outlineLevel="1"/>
    <col min="77" max="77" width="19.42578125" customWidth="1"/>
    <col min="78" max="79" width="19.42578125" customWidth="1" outlineLevel="1"/>
    <col min="80" max="80" width="13.85546875" bestFit="1" customWidth="1"/>
    <col min="81" max="82" width="13.85546875" customWidth="1" outlineLevel="1"/>
    <col min="83" max="83" width="20.7109375" customWidth="1"/>
    <col min="84" max="84" width="55.140625" customWidth="1" collapsed="1"/>
    <col min="85" max="85" width="10" customWidth="1"/>
    <col min="86" max="86" width="15.5703125" customWidth="1" outlineLevel="1"/>
    <col min="87" max="88" width="15.5703125" hidden="1" customWidth="1" outlineLevel="2"/>
    <col min="89" max="89" width="14.85546875" customWidth="1" outlineLevel="1" collapsed="1"/>
    <col min="90" max="91" width="14.85546875" hidden="1" customWidth="1" outlineLevel="2"/>
    <col min="92" max="92" width="11.28515625" customWidth="1" outlineLevel="1" collapsed="1"/>
    <col min="93" max="94" width="11.28515625" hidden="1" customWidth="1" outlineLevel="2"/>
    <col min="95" max="95" width="18.85546875" customWidth="1" outlineLevel="1" collapsed="1"/>
    <col min="96" max="97" width="18.85546875" hidden="1" customWidth="1" outlineLevel="2"/>
    <col min="98" max="98" width="20.140625" customWidth="1" outlineLevel="1" collapsed="1"/>
    <col min="99" max="99" width="17.42578125" customWidth="1" outlineLevel="1"/>
    <col min="100" max="101" width="17.42578125" hidden="1" customWidth="1" outlineLevel="2"/>
    <col min="102" max="102" width="15" customWidth="1" outlineLevel="1" collapsed="1"/>
    <col min="103" max="104" width="15" hidden="1" customWidth="1" outlineLevel="2"/>
    <col min="105" max="105" width="12" customWidth="1" outlineLevel="1" collapsed="1"/>
    <col min="106" max="107" width="12" hidden="1" customWidth="1" outlineLevel="2"/>
    <col min="108" max="108" width="15.140625" customWidth="1" outlineLevel="1" collapsed="1"/>
    <col min="109" max="110" width="15.140625" hidden="1" customWidth="1" outlineLevel="2"/>
    <col min="111" max="111" width="16.42578125" customWidth="1" outlineLevel="1" collapsed="1"/>
    <col min="112" max="113" width="16.42578125" hidden="1" customWidth="1" outlineLevel="2"/>
    <col min="114" max="114" width="15.140625" customWidth="1" outlineLevel="1" collapsed="1"/>
    <col min="115" max="116" width="15.140625" hidden="1" customWidth="1" outlineLevel="2"/>
    <col min="117" max="117" width="16" customWidth="1" outlineLevel="1" collapsed="1"/>
    <col min="118" max="119" width="16" hidden="1" customWidth="1" outlineLevel="2"/>
    <col min="120" max="120" width="12.7109375" customWidth="1" outlineLevel="1" collapsed="1"/>
    <col min="121" max="122" width="12.7109375" hidden="1" customWidth="1" outlineLevel="2"/>
    <col min="123" max="123" width="22" customWidth="1" outlineLevel="1" collapsed="1"/>
    <col min="124" max="125" width="22" hidden="1" customWidth="1" outlineLevel="2"/>
    <col min="126" max="126" width="20" customWidth="1" outlineLevel="1" collapsed="1"/>
    <col min="127" max="128" width="20" hidden="1" customWidth="1" outlineLevel="2"/>
    <col min="129" max="129" width="15" customWidth="1" outlineLevel="1" collapsed="1"/>
    <col min="130" max="131" width="15" hidden="1" customWidth="1" outlineLevel="2"/>
    <col min="132" max="132" width="18.85546875" customWidth="1" outlineLevel="1" collapsed="1"/>
    <col min="133" max="133" width="18.7109375" customWidth="1" outlineLevel="1"/>
    <col min="134" max="135" width="18.7109375" hidden="1" customWidth="1" outlineLevel="2"/>
    <col min="136" max="136" width="13.7109375" customWidth="1" outlineLevel="1" collapsed="1"/>
    <col min="137" max="138" width="13.7109375" hidden="1" customWidth="1" outlineLevel="2"/>
    <col min="139" max="139" width="24.140625" customWidth="1" outlineLevel="1" collapsed="1"/>
    <col min="140" max="141" width="24.140625" hidden="1" customWidth="1" outlineLevel="2"/>
    <col min="142" max="142" width="23.42578125" customWidth="1" outlineLevel="1" collapsed="1"/>
    <col min="143" max="144" width="23.42578125" hidden="1" customWidth="1" outlineLevel="2"/>
    <col min="145" max="145" width="25.28515625" customWidth="1" outlineLevel="1" collapsed="1"/>
    <col min="146" max="147" width="25.28515625" hidden="1" customWidth="1" outlineLevel="2"/>
    <col min="148" max="148" width="23.140625" customWidth="1" outlineLevel="1" collapsed="1"/>
    <col min="149" max="150" width="23.140625" customWidth="1" outlineLevel="3"/>
    <col min="151" max="151" width="75.28515625" customWidth="1"/>
    <col min="152" max="152" width="20.7109375" bestFit="1" customWidth="1"/>
    <col min="153" max="153" width="23" bestFit="1" customWidth="1"/>
    <col min="154" max="155" width="21.42578125" customWidth="1"/>
    <col min="156" max="156" width="23" bestFit="1" customWidth="1"/>
    <col min="157" max="157" width="13" customWidth="1"/>
    <col min="158" max="158" width="15.7109375" customWidth="1"/>
    <col min="159" max="159" width="24" customWidth="1"/>
    <col min="189" max="189" width="10.5703125" bestFit="1" customWidth="1"/>
  </cols>
  <sheetData>
    <row r="1" spans="1:188" x14ac:dyDescent="0.25">
      <c r="A1" s="185" t="s">
        <v>0</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5"/>
      <c r="BC1" s="185"/>
      <c r="BD1" s="185"/>
      <c r="BE1" s="185"/>
      <c r="BF1" s="185"/>
      <c r="BG1" s="185"/>
      <c r="BH1" s="185"/>
      <c r="BI1" s="185"/>
      <c r="BJ1" s="185"/>
      <c r="BK1" s="185"/>
      <c r="BL1" s="185"/>
      <c r="BM1" s="185"/>
      <c r="BN1" s="185"/>
      <c r="BO1" s="185"/>
      <c r="BP1" s="185"/>
      <c r="BQ1" s="185"/>
      <c r="BR1" s="185"/>
      <c r="BS1" s="185"/>
      <c r="BT1" s="185"/>
      <c r="BU1" s="185"/>
      <c r="BV1" s="185"/>
      <c r="BW1" s="185"/>
      <c r="BX1" s="185"/>
      <c r="BY1" s="185"/>
      <c r="BZ1" s="185"/>
      <c r="CA1" s="185"/>
      <c r="CB1" s="185"/>
      <c r="CC1" s="99"/>
      <c r="CD1" s="99"/>
      <c r="CE1" s="86"/>
      <c r="CF1" s="86"/>
      <c r="CG1" s="86"/>
      <c r="CH1" s="184" t="s">
        <v>1</v>
      </c>
      <c r="CI1" s="184"/>
      <c r="CJ1" s="184"/>
      <c r="CK1" s="184"/>
      <c r="CL1" s="184"/>
      <c r="CM1" s="184"/>
      <c r="CN1" s="184"/>
      <c r="CO1" s="184"/>
      <c r="CP1" s="184"/>
      <c r="CQ1" s="184"/>
      <c r="CR1" s="184"/>
      <c r="CS1" s="184"/>
      <c r="CT1" s="184"/>
      <c r="CU1" s="184"/>
      <c r="CV1" s="184"/>
      <c r="CW1" s="184"/>
      <c r="CX1" s="184"/>
      <c r="CY1" s="184"/>
      <c r="CZ1" s="184"/>
      <c r="DA1" s="184"/>
      <c r="DB1" s="184"/>
      <c r="DC1" s="184"/>
      <c r="DD1" s="184"/>
      <c r="DE1" s="184"/>
      <c r="DF1" s="184"/>
      <c r="DG1" s="184"/>
      <c r="DH1" s="184"/>
      <c r="DI1" s="184"/>
      <c r="DJ1" s="184"/>
      <c r="DK1" s="184"/>
      <c r="DL1" s="184"/>
      <c r="DM1" s="184"/>
      <c r="DN1" s="184"/>
      <c r="DO1" s="184"/>
      <c r="DP1" s="184"/>
      <c r="DQ1" s="184"/>
      <c r="DR1" s="184"/>
      <c r="DS1" s="184"/>
      <c r="DT1" s="184"/>
      <c r="DU1" s="184"/>
      <c r="DV1" s="184"/>
      <c r="DW1" s="184"/>
      <c r="DX1" s="184"/>
      <c r="DY1" s="184"/>
      <c r="DZ1" s="184"/>
      <c r="EA1" s="184"/>
      <c r="EB1" s="184"/>
      <c r="EC1" s="184"/>
      <c r="ED1" s="184"/>
      <c r="EE1" s="184"/>
      <c r="EF1" s="184"/>
      <c r="EG1" s="184"/>
      <c r="EH1" s="184"/>
      <c r="EI1" s="184"/>
      <c r="EJ1" s="184"/>
      <c r="EK1" s="184"/>
      <c r="EL1" s="184"/>
      <c r="EM1" s="184"/>
      <c r="EN1" s="184"/>
      <c r="EO1" s="184"/>
      <c r="EP1" s="184"/>
      <c r="EQ1" s="184"/>
      <c r="ER1" s="184"/>
      <c r="ES1" s="184"/>
      <c r="ET1" s="184"/>
      <c r="EU1" s="184"/>
      <c r="EV1" s="184"/>
      <c r="EW1" s="184"/>
      <c r="EX1" s="184"/>
      <c r="EY1" s="184"/>
      <c r="EZ1" s="184"/>
      <c r="FA1" s="184"/>
      <c r="FB1" s="184"/>
    </row>
    <row r="2" spans="1:188" ht="15" customHeight="1" x14ac:dyDescent="0.25">
      <c r="A2" t="s">
        <v>2</v>
      </c>
      <c r="B2" t="s">
        <v>3</v>
      </c>
      <c r="C2" t="s">
        <v>4</v>
      </c>
      <c r="D2" t="s">
        <v>5</v>
      </c>
      <c r="E2" t="s">
        <v>4</v>
      </c>
      <c r="F2" t="s">
        <v>4</v>
      </c>
      <c r="G2" t="s">
        <v>4</v>
      </c>
      <c r="H2" t="s">
        <v>4</v>
      </c>
      <c r="I2" t="s">
        <v>4</v>
      </c>
      <c r="J2" t="s">
        <v>6</v>
      </c>
      <c r="K2" t="s">
        <v>7</v>
      </c>
      <c r="L2" t="s">
        <v>7</v>
      </c>
      <c r="O2" t="s">
        <v>7</v>
      </c>
      <c r="R2" t="s">
        <v>7</v>
      </c>
      <c r="U2" t="s">
        <v>7</v>
      </c>
      <c r="X2" t="s">
        <v>7</v>
      </c>
      <c r="AA2" t="s">
        <v>7</v>
      </c>
      <c r="AD2" t="s">
        <v>7</v>
      </c>
      <c r="AG2" t="s">
        <v>7</v>
      </c>
      <c r="AJ2" t="s">
        <v>7</v>
      </c>
      <c r="AL2" t="s">
        <v>7</v>
      </c>
      <c r="AN2" t="s">
        <v>8</v>
      </c>
      <c r="BS2" t="s">
        <v>8</v>
      </c>
    </row>
    <row r="3" spans="1:188" ht="45" x14ac:dyDescent="0.25">
      <c r="A3" s="81" t="s">
        <v>383</v>
      </c>
      <c r="B3" s="81" t="s">
        <v>9</v>
      </c>
      <c r="C3" s="81" t="s">
        <v>10</v>
      </c>
      <c r="D3" s="81" t="s">
        <v>11</v>
      </c>
      <c r="E3" s="81" t="s">
        <v>12</v>
      </c>
      <c r="F3" s="82" t="s">
        <v>13</v>
      </c>
      <c r="G3" s="81" t="s">
        <v>14</v>
      </c>
      <c r="H3" s="81" t="s">
        <v>15</v>
      </c>
      <c r="I3" s="81" t="s">
        <v>17</v>
      </c>
      <c r="J3" s="82" t="s">
        <v>16</v>
      </c>
      <c r="K3" s="82" t="s">
        <v>18</v>
      </c>
      <c r="L3" s="83" t="s">
        <v>19</v>
      </c>
      <c r="M3" s="83" t="s">
        <v>389</v>
      </c>
      <c r="N3" s="83" t="s">
        <v>404</v>
      </c>
      <c r="O3" s="83" t="s">
        <v>20</v>
      </c>
      <c r="P3" s="83" t="s">
        <v>390</v>
      </c>
      <c r="Q3" s="83" t="s">
        <v>393</v>
      </c>
      <c r="R3" s="83" t="s">
        <v>21</v>
      </c>
      <c r="S3" s="83" t="s">
        <v>391</v>
      </c>
      <c r="T3" s="83" t="s">
        <v>392</v>
      </c>
      <c r="U3" s="83" t="s">
        <v>22</v>
      </c>
      <c r="V3" s="83" t="s">
        <v>394</v>
      </c>
      <c r="W3" s="83" t="s">
        <v>395</v>
      </c>
      <c r="X3" s="83" t="s">
        <v>23</v>
      </c>
      <c r="Y3" s="83" t="s">
        <v>396</v>
      </c>
      <c r="Z3" s="83" t="s">
        <v>397</v>
      </c>
      <c r="AA3" s="83" t="s">
        <v>24</v>
      </c>
      <c r="AB3" s="83" t="s">
        <v>398</v>
      </c>
      <c r="AC3" s="83" t="s">
        <v>399</v>
      </c>
      <c r="AD3" s="83" t="s">
        <v>25</v>
      </c>
      <c r="AE3" s="83" t="s">
        <v>400</v>
      </c>
      <c r="AF3" s="83" t="s">
        <v>401</v>
      </c>
      <c r="AG3" s="83" t="s">
        <v>26</v>
      </c>
      <c r="AH3" s="83" t="s">
        <v>402</v>
      </c>
      <c r="AI3" s="83" t="s">
        <v>403</v>
      </c>
      <c r="AJ3" s="82" t="s">
        <v>27</v>
      </c>
      <c r="AK3" s="82" t="s">
        <v>405</v>
      </c>
      <c r="AL3" s="91" t="s">
        <v>28</v>
      </c>
      <c r="AM3" s="82" t="s">
        <v>29</v>
      </c>
      <c r="AN3" s="82" t="s">
        <v>30</v>
      </c>
      <c r="AO3" s="82" t="s">
        <v>411</v>
      </c>
      <c r="AP3" s="82" t="s">
        <v>412</v>
      </c>
      <c r="AQ3" s="82" t="s">
        <v>31</v>
      </c>
      <c r="AR3" s="82" t="s">
        <v>413</v>
      </c>
      <c r="AS3" s="82" t="s">
        <v>414</v>
      </c>
      <c r="AT3" s="83" t="s">
        <v>415</v>
      </c>
      <c r="AU3" s="83" t="s">
        <v>416</v>
      </c>
      <c r="AV3" s="83" t="s">
        <v>417</v>
      </c>
      <c r="AW3" s="83" t="s">
        <v>418</v>
      </c>
      <c r="AX3" s="83" t="s">
        <v>419</v>
      </c>
      <c r="AY3" s="83" t="s">
        <v>420</v>
      </c>
      <c r="AZ3" s="83" t="s">
        <v>33</v>
      </c>
      <c r="BA3" s="83" t="s">
        <v>421</v>
      </c>
      <c r="BB3" s="83" t="s">
        <v>422</v>
      </c>
      <c r="BC3" s="82" t="s">
        <v>423</v>
      </c>
      <c r="BD3" s="82" t="s">
        <v>424</v>
      </c>
      <c r="BE3" s="82" t="s">
        <v>425</v>
      </c>
      <c r="BF3" s="82" t="s">
        <v>426</v>
      </c>
      <c r="BG3" s="82" t="s">
        <v>427</v>
      </c>
      <c r="BH3" s="82" t="s">
        <v>428</v>
      </c>
      <c r="BI3" s="82" t="s">
        <v>34</v>
      </c>
      <c r="BJ3" s="82" t="s">
        <v>429</v>
      </c>
      <c r="BK3" s="82" t="s">
        <v>430</v>
      </c>
      <c r="BL3" s="82" t="s">
        <v>35</v>
      </c>
      <c r="BM3" s="82" t="s">
        <v>431</v>
      </c>
      <c r="BN3" s="82" t="s">
        <v>432</v>
      </c>
      <c r="BO3" s="82" t="s">
        <v>36</v>
      </c>
      <c r="BP3" s="82" t="s">
        <v>433</v>
      </c>
      <c r="BQ3" s="82" t="s">
        <v>434</v>
      </c>
      <c r="BR3" s="82" t="s">
        <v>37</v>
      </c>
      <c r="BS3" s="82" t="s">
        <v>38</v>
      </c>
      <c r="BT3" s="82" t="s">
        <v>435</v>
      </c>
      <c r="BU3" s="82" t="s">
        <v>436</v>
      </c>
      <c r="BV3" s="82" t="s">
        <v>39</v>
      </c>
      <c r="BW3" s="82" t="s">
        <v>410</v>
      </c>
      <c r="BX3" s="82" t="s">
        <v>437</v>
      </c>
      <c r="BY3" s="82" t="s">
        <v>409</v>
      </c>
      <c r="BZ3" s="82" t="s">
        <v>408</v>
      </c>
      <c r="CA3" s="82" t="s">
        <v>438</v>
      </c>
      <c r="CB3" s="82" t="s">
        <v>41</v>
      </c>
      <c r="CC3" s="82" t="s">
        <v>439</v>
      </c>
      <c r="CD3" s="82" t="s">
        <v>440</v>
      </c>
      <c r="CE3" s="82" t="s">
        <v>42</v>
      </c>
      <c r="CF3" s="82" t="s">
        <v>43</v>
      </c>
      <c r="CG3" s="82" t="s">
        <v>44</v>
      </c>
      <c r="CH3" s="83" t="s">
        <v>45</v>
      </c>
      <c r="CI3" s="83" t="s">
        <v>442</v>
      </c>
      <c r="CJ3" s="83" t="s">
        <v>443</v>
      </c>
      <c r="CK3" s="83" t="s">
        <v>46</v>
      </c>
      <c r="CL3" s="83" t="s">
        <v>444</v>
      </c>
      <c r="CM3" s="83" t="s">
        <v>447</v>
      </c>
      <c r="CN3" s="83" t="s">
        <v>47</v>
      </c>
      <c r="CO3" s="83" t="s">
        <v>445</v>
      </c>
      <c r="CP3" s="83" t="s">
        <v>446</v>
      </c>
      <c r="CQ3" s="83" t="s">
        <v>48</v>
      </c>
      <c r="CR3" s="83" t="s">
        <v>448</v>
      </c>
      <c r="CS3" s="83" t="s">
        <v>449</v>
      </c>
      <c r="CT3" s="92" t="s">
        <v>49</v>
      </c>
      <c r="CU3" s="83" t="s">
        <v>50</v>
      </c>
      <c r="CV3" s="83" t="s">
        <v>450</v>
      </c>
      <c r="CW3" s="83" t="s">
        <v>451</v>
      </c>
      <c r="CX3" s="83" t="s">
        <v>51</v>
      </c>
      <c r="CY3" s="83" t="s">
        <v>452</v>
      </c>
      <c r="CZ3" s="83" t="s">
        <v>453</v>
      </c>
      <c r="DA3" s="91" t="s">
        <v>52</v>
      </c>
      <c r="DB3" s="91" t="s">
        <v>455</v>
      </c>
      <c r="DC3" s="91" t="s">
        <v>454</v>
      </c>
      <c r="DD3" s="82" t="s">
        <v>53</v>
      </c>
      <c r="DE3" s="82" t="s">
        <v>456</v>
      </c>
      <c r="DF3" s="82" t="s">
        <v>457</v>
      </c>
      <c r="DG3" s="82" t="s">
        <v>54</v>
      </c>
      <c r="DH3" s="82" t="s">
        <v>458</v>
      </c>
      <c r="DI3" s="82" t="s">
        <v>459</v>
      </c>
      <c r="DJ3" s="82" t="s">
        <v>55</v>
      </c>
      <c r="DK3" s="82" t="s">
        <v>460</v>
      </c>
      <c r="DL3" s="82" t="s">
        <v>461</v>
      </c>
      <c r="DM3" s="82" t="s">
        <v>56</v>
      </c>
      <c r="DN3" s="82" t="s">
        <v>462</v>
      </c>
      <c r="DO3" s="82" t="s">
        <v>463</v>
      </c>
      <c r="DP3" s="82" t="s">
        <v>57</v>
      </c>
      <c r="DQ3" s="82" t="s">
        <v>464</v>
      </c>
      <c r="DR3" s="82" t="s">
        <v>465</v>
      </c>
      <c r="DS3" s="82" t="s">
        <v>58</v>
      </c>
      <c r="DT3" s="82" t="s">
        <v>466</v>
      </c>
      <c r="DU3" s="82" t="s">
        <v>467</v>
      </c>
      <c r="DV3" s="82" t="s">
        <v>59</v>
      </c>
      <c r="DW3" s="82" t="s">
        <v>468</v>
      </c>
      <c r="DX3" s="82" t="s">
        <v>469</v>
      </c>
      <c r="DY3" s="82" t="s">
        <v>60</v>
      </c>
      <c r="DZ3" s="82" t="s">
        <v>470</v>
      </c>
      <c r="EA3" s="82" t="s">
        <v>471</v>
      </c>
      <c r="EB3" s="91" t="s">
        <v>61</v>
      </c>
      <c r="EC3" s="82" t="s">
        <v>62</v>
      </c>
      <c r="ED3" s="82" t="s">
        <v>472</v>
      </c>
      <c r="EE3" s="82" t="s">
        <v>473</v>
      </c>
      <c r="EF3" s="82" t="s">
        <v>63</v>
      </c>
      <c r="EG3" s="82" t="s">
        <v>474</v>
      </c>
      <c r="EH3" s="82" t="s">
        <v>475</v>
      </c>
      <c r="EI3" s="87" t="s">
        <v>64</v>
      </c>
      <c r="EJ3" s="87" t="s">
        <v>476</v>
      </c>
      <c r="EK3" s="87" t="s">
        <v>477</v>
      </c>
      <c r="EL3" s="82" t="s">
        <v>65</v>
      </c>
      <c r="EM3" s="82" t="s">
        <v>478</v>
      </c>
      <c r="EN3" s="82" t="s">
        <v>479</v>
      </c>
      <c r="EO3" s="82" t="s">
        <v>66</v>
      </c>
      <c r="EP3" s="82" t="s">
        <v>480</v>
      </c>
      <c r="EQ3" s="82" t="s">
        <v>481</v>
      </c>
      <c r="ER3" s="82" t="s">
        <v>67</v>
      </c>
      <c r="ES3" s="82" t="s">
        <v>482</v>
      </c>
      <c r="ET3" s="82" t="s">
        <v>483</v>
      </c>
      <c r="EU3" s="82" t="s">
        <v>68</v>
      </c>
      <c r="EV3" s="82" t="s">
        <v>407</v>
      </c>
      <c r="EW3" s="82" t="s">
        <v>484</v>
      </c>
      <c r="EX3" s="82" t="s">
        <v>69</v>
      </c>
      <c r="EY3" s="82" t="s">
        <v>406</v>
      </c>
      <c r="EZ3" s="82" t="s">
        <v>441</v>
      </c>
      <c r="FA3" s="82" t="s">
        <v>70</v>
      </c>
      <c r="FB3" s="82" t="s">
        <v>71</v>
      </c>
      <c r="GE3" s="3"/>
      <c r="GF3" s="3"/>
    </row>
    <row r="4" spans="1:188" x14ac:dyDescent="0.25">
      <c r="B4" t="s">
        <v>72</v>
      </c>
      <c r="C4" t="s">
        <v>96</v>
      </c>
      <c r="D4" s="103"/>
      <c r="E4" t="s">
        <v>74</v>
      </c>
      <c r="F4" s="1"/>
      <c r="H4" t="s">
        <v>84</v>
      </c>
      <c r="I4">
        <v>262</v>
      </c>
      <c r="J4" s="3">
        <v>45658</v>
      </c>
      <c r="K4" s="3">
        <v>45689</v>
      </c>
      <c r="L4" s="3">
        <v>45820</v>
      </c>
      <c r="M4" s="2">
        <f>WORKDAY(Table2[[#This Row],[Kickoff date]], 7)</f>
        <v>45699</v>
      </c>
      <c r="N4" s="102">
        <f ca="1">NETWORKDAYS(Table2[[#This Row],[ROM Request]], TODAY())</f>
        <v>23</v>
      </c>
      <c r="O4" s="2">
        <v>45817</v>
      </c>
      <c r="P4" s="2">
        <f>WORKDAY(Table2[[#This Row],[ROM Request]], 10)</f>
        <v>45834</v>
      </c>
      <c r="Q4" s="102">
        <f ca="1">NETWORKDAYS(Table2[[#This Row],[ROM Receive]], TODAY())</f>
        <v>26</v>
      </c>
      <c r="R4" s="2">
        <v>45790</v>
      </c>
      <c r="S4" s="2">
        <f>WORKDAY(Table2[[#This Row],[ROM Receive Forecast]], 15)</f>
        <v>45855</v>
      </c>
      <c r="T4" s="102">
        <f ca="1">NETWORKDAYS(Table2[[#This Row],[Backhaul Cost Request]], TODAY())</f>
        <v>45</v>
      </c>
      <c r="U4" s="2">
        <v>45807</v>
      </c>
      <c r="V4" s="2">
        <f>WORKDAY(Table2[[#This Row],[Backhaul Cost Request Forecast]], 15)</f>
        <v>45876</v>
      </c>
      <c r="W4" s="102">
        <f ca="1">NETWORKDAYS(Table2[[#This Row],[Backhaul Cost Receive]], TODAY())</f>
        <v>32</v>
      </c>
      <c r="X4" s="2">
        <f>Table2[[#This Row],[Kickoff date]]</f>
        <v>45689</v>
      </c>
      <c r="Y4" s="2">
        <f>WORKDAY(Table2[[#This Row],[Backhaul Cost Request Forecast]], 7)</f>
        <v>45866</v>
      </c>
      <c r="Z4" s="102">
        <f ca="1">NETWORKDAYS(Table2[[#This Row],[OSP Request]], TODAY())</f>
        <v>116</v>
      </c>
      <c r="AA4" s="2">
        <v>45818</v>
      </c>
      <c r="AB4" s="2">
        <f>WORKDAY(Table2[[#This Row],[OSP Request Forecast]], 10)</f>
        <v>45880</v>
      </c>
      <c r="AC4" s="102">
        <f ca="1">NETWORKDAYS(Table2[[#This Row],[OSP Receive]], TODAY())</f>
        <v>25</v>
      </c>
      <c r="AD4" s="2">
        <f>Table2[[#This Row],[Kickoff date]]</f>
        <v>45689</v>
      </c>
      <c r="AE4" s="3">
        <f>WORKDAY(Table2[[#This Row],[Kickoff date]], 7)</f>
        <v>45699</v>
      </c>
      <c r="AF4" s="102">
        <f ca="1">NETWORKDAYS(Table2[[#This Row],[FM Request]], TODAY())</f>
        <v>116</v>
      </c>
      <c r="AG4" s="2">
        <v>45793</v>
      </c>
      <c r="AH4" s="3">
        <f>WORKDAY(Table2[[#This Row],[FM Request Forecast ]], 2)</f>
        <v>45701</v>
      </c>
      <c r="AI4" s="102">
        <f ca="1">NETWORKDAYS(Table2[[#This Row],[FM receive]], TODAY())</f>
        <v>42</v>
      </c>
      <c r="AJ4" s="2"/>
      <c r="AK4" s="3">
        <f>WORKDAY(Table2[[#This Row],[FM Receive Forecast ]], 2)</f>
        <v>45705</v>
      </c>
      <c r="AL4" s="3"/>
      <c r="AM4" s="3">
        <f>K4+23</f>
        <v>45712</v>
      </c>
      <c r="AN4" s="2">
        <v>45809</v>
      </c>
      <c r="AO4" s="3">
        <f>WORKDAY(Table2[[#This Row],[1-pager Submission to BD]], 7)</f>
        <v>45721</v>
      </c>
      <c r="AP4" s="102"/>
      <c r="AQ4" s="2">
        <v>45824</v>
      </c>
      <c r="AR4" s="3">
        <f>WORKDAY(Table2[[#This Row],[Proposal Acceptance Forecast]], 7)</f>
        <v>45730</v>
      </c>
      <c r="AS4" s="102">
        <f ca="1">NETWORKDAYS(Table2[[#This Row],[Firm Pricing request]], TODAY())</f>
        <v>21</v>
      </c>
      <c r="AT4" s="2"/>
      <c r="AU4" s="3">
        <f>WORKDAY(Table2[[#This Row],[Firm Pricing Request Forecast]], 7)</f>
        <v>45741</v>
      </c>
      <c r="AV4" s="102">
        <f ca="1">NETWORKDAYS(Table2[[#This Row],[Site Walk]], TODAY())</f>
        <v>32751</v>
      </c>
      <c r="AW4" s="2"/>
      <c r="AX4" s="3">
        <f>WORKDAY(Table2[[#This Row],[Site Walk Forecast]], 7)</f>
        <v>45750</v>
      </c>
      <c r="AY4" s="102">
        <f ca="1">NETWORKDAYS(Table2[[#This Row],[Firm Quote Receival]], TODAY())</f>
        <v>32751</v>
      </c>
      <c r="AZ4" s="2"/>
      <c r="BA4" s="3">
        <f>WORKDAY(Table2[[#This Row],[Firm Quote Receival Forecast ]], 7)</f>
        <v>45761</v>
      </c>
      <c r="BB4" s="102">
        <f ca="1">NETWORKDAYS(Table2[[#This Row],[Final Design &amp; BOM(20 calendar days from site walk)]], TODAY())</f>
        <v>32751</v>
      </c>
      <c r="BC4" s="2"/>
      <c r="BD4" s="3">
        <f>WORKDAY(Table2[[#This Row],[Final Design &amp; BOM Forecast ]], 7)</f>
        <v>45770</v>
      </c>
      <c r="BE4" s="102">
        <f ca="1">NETWORKDAYS(Table2[[#This Row],[FM Request 2]], TODAY())</f>
        <v>32751</v>
      </c>
      <c r="BF4" s="2"/>
      <c r="BG4" s="3">
        <f>WORKDAY(Table2[[#This Row],[FM Request 2 Forecast]], 7)</f>
        <v>45779</v>
      </c>
      <c r="BH4" s="102"/>
      <c r="BI4" s="2"/>
      <c r="BJ4" s="3">
        <f>WORKDAY(Table2[[#This Row],[FM Review 2 Forecast]], 7)</f>
        <v>45790</v>
      </c>
      <c r="BK4" s="102">
        <f ca="1">NETWORKDAYS(Table2[[#This Row],[Tax Review]], TODAY())</f>
        <v>32751</v>
      </c>
      <c r="BL4" s="2">
        <v>45658</v>
      </c>
      <c r="BM4" s="3">
        <f>WORKDAY(Table2[[#This Row],[Tax Review]], 7)</f>
        <v>10</v>
      </c>
      <c r="BN4" s="102">
        <f ca="1">NETWORKDAYS(Table2[[#This Row],[Tax Approval]], TODAY())</f>
        <v>139</v>
      </c>
      <c r="BO4" s="2">
        <v>45662</v>
      </c>
      <c r="BP4" s="3">
        <f>WORKDAY(Table2[[#This Row],[Tax Approval Forecast]], 7)</f>
        <v>19</v>
      </c>
      <c r="BQ4" s="102">
        <f ca="1">NETWORKDAYS(Table2[[#This Row],[Final proposal submission]], TODAY())</f>
        <v>136</v>
      </c>
      <c r="BR4" s="2">
        <v>45663</v>
      </c>
      <c r="BS4" s="2"/>
      <c r="BT4" s="3">
        <f>WORKDAY(Table2[[#This Row],[Final Proposal Submission Forecast]], 7)</f>
        <v>30</v>
      </c>
      <c r="BU4" s="102">
        <f ca="1">NETWORKDAYS(Table2[[#This Row],[BD submits proposal]], TODAY())</f>
        <v>32751</v>
      </c>
      <c r="BV4" s="2">
        <v>45717</v>
      </c>
      <c r="BW4" s="3">
        <f>WORKDAY(Table2[[#This Row],[BD Submits Proposal Forecast]], 7)</f>
        <v>39</v>
      </c>
      <c r="BX4" s="102">
        <f ca="1">NETWORKDAYS(Table2[[#This Row],[Final Proposal Accepted]], TODAY())</f>
        <v>96</v>
      </c>
      <c r="BY4" s="2"/>
      <c r="BZ4" s="3">
        <f>WORKDAY(Table2[[#This Row],[Final Proposal Accepted]], 90)</f>
        <v>45842</v>
      </c>
      <c r="CA4" s="102">
        <f ca="1">NETWORKDAYS(Table2[[#This Row],[Legal Agreement]], TODAY())</f>
        <v>32751</v>
      </c>
      <c r="CB4" s="2"/>
      <c r="CC4" s="3">
        <f>WORKDAY(Table2[[#This Row],[Legal Agreement Forecast]], 10)</f>
        <v>45856</v>
      </c>
      <c r="CD4" s="102">
        <f ca="1">NETWORKDAYS(Table2[[#This Row],[Executed Agreement]], TODAY())</f>
        <v>32751</v>
      </c>
      <c r="CE4" t="s">
        <v>91</v>
      </c>
      <c r="CF4" t="s">
        <v>97</v>
      </c>
      <c r="CG4" s="103"/>
      <c r="CH4" s="3">
        <v>43831</v>
      </c>
      <c r="CI4" s="3">
        <f>WORKDAY(Table2[[#This Row],[Executed Agreement]], 7)</f>
        <v>10</v>
      </c>
      <c r="CJ4" s="102">
        <f ca="1">NETWORKDAYS(Table2[[#This Row],[A&amp;E Request]], TODAY())</f>
        <v>1444</v>
      </c>
      <c r="CL4" s="3">
        <f>WORKDAY(Table2[[#This Row],[A&amp;E Request Forecast]], 10)</f>
        <v>24</v>
      </c>
      <c r="CM4" s="102">
        <f ca="1">NETWORKDAYS(Table2[[#This Row],[A&amp;E receive]], TODAY())</f>
        <v>32751</v>
      </c>
      <c r="CN4" s="3"/>
      <c r="CO4" s="3">
        <f>WORKDAY(Table2[[#This Row],[FM Approval meeting ]], 10)</f>
        <v>13</v>
      </c>
      <c r="CP4" s="102">
        <f ca="1">NETWORKDAYS(Table2[[#This Row],[Budget Request]], TODAY())</f>
        <v>32751</v>
      </c>
      <c r="CR4" s="3">
        <f>WORKDAY(Table2[[#This Row],[Budget Request Forecast]], 7)</f>
        <v>24</v>
      </c>
      <c r="CS4" s="102">
        <f ca="1">NETWORKDAYS(Table2[[#This Row],[Budget Approval]], TODAY())</f>
        <v>32751</v>
      </c>
      <c r="CT4" s="3"/>
      <c r="CU4" s="3"/>
      <c r="CV4" s="3">
        <f>WORKDAY(Table2[[#This Row],[Budget Approval Forecast ]], 7)</f>
        <v>33</v>
      </c>
      <c r="CW4" s="102">
        <f ca="1">NETWORKDAYS(Table2[[#This Row],[PO Request for OEM ]], TODAY())</f>
        <v>32751</v>
      </c>
      <c r="CY4" s="3">
        <f>WORKDAY(Table2[[#This Row],[PO Request for OEM Forecast]], 10)</f>
        <v>47</v>
      </c>
      <c r="CZ4" s="102">
        <f ca="1">NETWORKDAYS(Table2[[#This Row],[PO Approval]], TODAY())</f>
        <v>32751</v>
      </c>
      <c r="DA4" s="3"/>
      <c r="DB4" s="3">
        <f>WORKDAY(Table2[[#This Row],[PO Approval Forecast]], 10)</f>
        <v>61</v>
      </c>
      <c r="DC4" s="102">
        <f ca="1">NETWORKDAYS(Table2[[#This Row],[backhaul ordered]], TODAY())</f>
        <v>32751</v>
      </c>
      <c r="DD4" s="3"/>
      <c r="DE4" s="3">
        <f>WORKDAY(Table2[[#This Row],[Backhaul Order Forecast]], 10)</f>
        <v>75</v>
      </c>
      <c r="DF4" s="102">
        <f ca="1">NETWORKDAYS(Table2[[#This Row],[RTP Request]], TODAY())</f>
        <v>32751</v>
      </c>
      <c r="DG4" s="3"/>
      <c r="DH4" s="3">
        <f>WORKDAY(Table2[[#This Row],[RTP Request Forecast]], 10)</f>
        <v>89</v>
      </c>
      <c r="DI4" s="102">
        <f ca="1">NETWORKDAYS(Table2[[#This Row],[RTP Approved]], TODAY())</f>
        <v>32751</v>
      </c>
      <c r="DJ4" s="3"/>
      <c r="DK4" s="3">
        <f>WORKDAY(Table2[[#This Row],[RTP Approval Forecast ]], 7)</f>
        <v>100</v>
      </c>
      <c r="DL4" s="102">
        <f ca="1">NETWORKDAYS(Table2[[#This Row],[RFP Request]], TODAY())</f>
        <v>32751</v>
      </c>
      <c r="DN4" s="3">
        <f>WORKDAY(Table2[[#This Row],[RFP Request Forecast ]], 10)</f>
        <v>114</v>
      </c>
      <c r="DO4" s="102">
        <f ca="1">NETWORKDAYS(Table2[[#This Row],[RFP Received]], TODAY())</f>
        <v>32751</v>
      </c>
      <c r="DP4" s="3"/>
      <c r="DQ4" s="3">
        <f>WORKDAY(Table2[[#This Row],[RFP Received Forecast ]], 7)</f>
        <v>123</v>
      </c>
      <c r="DR4" s="102">
        <f ca="1">NETWORKDAYS(Table2[[#This Row],[PO for GC Request]], TODAY())</f>
        <v>32751</v>
      </c>
      <c r="DT4" s="3">
        <f>WORKDAY(Table2[[#This Row],[PO for GC Request Forecast ]], 7)</f>
        <v>132</v>
      </c>
      <c r="DU4" s="102">
        <f ca="1">NETWORKDAYS(Table2[[#This Row],[PO for GC Approved]], TODAY())</f>
        <v>32751</v>
      </c>
      <c r="DV4" s="3"/>
      <c r="DW4" s="3">
        <f>WORKDAY(Table2[[#This Row],[PO for GC Approval Forecast ]], 10)</f>
        <v>146</v>
      </c>
      <c r="DX4" s="102">
        <f ca="1">NETWORKDAYS(Table2[[#This Row],[Construction Start]], TODAY())</f>
        <v>32751</v>
      </c>
      <c r="DY4" s="3"/>
      <c r="DZ4" s="3">
        <f>WORKDAY(Table2[[#This Row],[Construction Start Forecast ]], 20)</f>
        <v>174</v>
      </c>
      <c r="EA4" s="102">
        <f ca="1">NETWORKDAYS(Table2[[#This Row],[Construction Complete]], TODAY())</f>
        <v>32751</v>
      </c>
      <c r="EB4" s="3"/>
      <c r="EC4" s="3"/>
      <c r="ED4" s="3">
        <f>WORKDAY(Table2[[#This Row],[Construction Complete Forecast ]], 10)</f>
        <v>188</v>
      </c>
      <c r="EE4" s="102">
        <f ca="1">NETWORKDAYS(Table2[[#This Row],[Integration Start]], TODAY())</f>
        <v>32751</v>
      </c>
      <c r="EF4" s="3"/>
      <c r="EG4" s="3">
        <f>WORKDAY(Table2[[#This Row],[Integration Start Forecast ]], 10)</f>
        <v>202</v>
      </c>
      <c r="EH4" s="102">
        <f ca="1">NETWORKDAYS(Table2[[#This Row],[Integration Complete]], TODAY())</f>
        <v>32751</v>
      </c>
      <c r="EJ4" s="3">
        <f>WORKDAY(Table2[[#This Row],[Integration Complete Forecast ]], 10)</f>
        <v>216</v>
      </c>
      <c r="EK4" s="102">
        <f ca="1">NETWORKDAYS(Table2[[#This Row],[Close Out Package(2weeks from integration complete]], TODAY())</f>
        <v>32751</v>
      </c>
      <c r="EM4" s="3">
        <f>WORKDAY(Table2[[#This Row],[Close Out Package Forecast ]], 10)</f>
        <v>230</v>
      </c>
      <c r="EN4" s="102">
        <f ca="1">NETWORKDAYS(Table2[[#This Row],[Acceptance testing 2 weeks from close out package)]], TODAY())</f>
        <v>32751</v>
      </c>
      <c r="EP4" s="3">
        <f>WORKDAY(Table2[[#This Row],[Acceptance Testing Forecast ]], 20)</f>
        <v>258</v>
      </c>
      <c r="EQ4" s="102">
        <f ca="1">NETWORKDAYS(Table2[[#This Row],[Customer acceptance(1 month after acceptance testing)]], TODAY())</f>
        <v>32751</v>
      </c>
      <c r="ES4" s="3">
        <f>WORKDAY(Table2[[#This Row],[Customer Acceptance Forecast ]], 5)</f>
        <v>265</v>
      </c>
      <c r="ET4" s="102">
        <f ca="1">NETWORKDAYS(Table2[[#This Row],[Operations handoff(1 week after customer acceptance)]], TODAY())</f>
        <v>32751</v>
      </c>
      <c r="EU4" s="2" t="s">
        <v>98</v>
      </c>
      <c r="EV4" s="3">
        <f>WORKDAY(Table2[[#This Row],[Operations Handoff Forecast ]], 7)</f>
        <v>276</v>
      </c>
      <c r="EW4" s="102" t="e">
        <f ca="1">NETWORKDAYS(Table2[[#This Row],[FNE Date]], TODAY())</f>
        <v>#VALUE!</v>
      </c>
      <c r="EX4" s="2"/>
      <c r="EY4" s="3">
        <f>WORKDAY(Table2[[#This Row],[FNE Date Forecast ]], 7)</f>
        <v>285</v>
      </c>
      <c r="EZ4" s="102">
        <f ca="1">NETWORKDAYS(Table2[[#This Row],[FNE Notice]], TODAY())</f>
        <v>32751</v>
      </c>
      <c r="FA4" s="2"/>
      <c r="FB4" s="2"/>
    </row>
    <row r="5" spans="1:188" x14ac:dyDescent="0.25">
      <c r="B5" t="s">
        <v>72</v>
      </c>
      <c r="C5" s="73" t="s">
        <v>120</v>
      </c>
      <c r="D5" s="103"/>
      <c r="E5" t="s">
        <v>115</v>
      </c>
      <c r="H5" t="s">
        <v>103</v>
      </c>
      <c r="I5">
        <v>1</v>
      </c>
      <c r="J5" s="3">
        <v>45773</v>
      </c>
      <c r="K5" s="3">
        <f>J5+10</f>
        <v>45783</v>
      </c>
      <c r="L5" s="3">
        <v>45790</v>
      </c>
      <c r="M5" s="3">
        <f>WORKDAY(Table2[[#This Row],[Kickoff date]], 7)</f>
        <v>45792</v>
      </c>
      <c r="N5" s="104">
        <f ca="1">NETWORKDAYS(Table2[[#This Row],[ROM Request]], TODAY())</f>
        <v>45</v>
      </c>
      <c r="O5" s="3">
        <v>45823</v>
      </c>
      <c r="P5" s="3">
        <f>WORKDAY(Table2[[#This Row],[ROM Request]], 10)</f>
        <v>45804</v>
      </c>
      <c r="Q5" s="104">
        <f ca="1">NETWORKDAYS(Table2[[#This Row],[ROM Receive]], TODAY())</f>
        <v>21</v>
      </c>
      <c r="R5" s="3">
        <v>45821</v>
      </c>
      <c r="S5" s="3">
        <v>5</v>
      </c>
      <c r="T5" s="104">
        <f ca="1">NETWORKDAYS(Table2[[#This Row],[Backhaul Cost Request]], TODAY())</f>
        <v>22</v>
      </c>
      <c r="U5" s="3">
        <f>R5+17</f>
        <v>45838</v>
      </c>
      <c r="V5" s="3">
        <f>WORKDAY(Table2[[#This Row],[Backhaul Cost Request Forecast]], 15)</f>
        <v>26</v>
      </c>
      <c r="W5" s="104">
        <f ca="1">NETWORKDAYS(Table2[[#This Row],[Backhaul Cost Receive]], TODAY())</f>
        <v>11</v>
      </c>
      <c r="X5" s="3">
        <f>Table2[[#This Row],[Kickoff date]]</f>
        <v>45783</v>
      </c>
      <c r="Y5" s="3">
        <f>WORKDAY(Table2[[#This Row],[Backhaul Cost Request Forecast]], 7)</f>
        <v>16</v>
      </c>
      <c r="Z5" s="104">
        <f ca="1">NETWORKDAYS(Table2[[#This Row],[OSP Request]], TODAY())</f>
        <v>50</v>
      </c>
      <c r="AA5" s="3">
        <v>45661</v>
      </c>
      <c r="AB5" s="3">
        <f>WORKDAY(Table2[[#This Row],[OSP Request Forecast]], 10)</f>
        <v>30</v>
      </c>
      <c r="AC5" s="104">
        <f ca="1">NETWORKDAYS(Table2[[#This Row],[OSP Receive]], TODAY())</f>
        <v>136</v>
      </c>
      <c r="AD5" s="3">
        <f>Table2[[#This Row],[Kickoff date]]</f>
        <v>45783</v>
      </c>
      <c r="AE5" s="3">
        <f>WORKDAY(Table2[[#This Row],[Kickoff date]], 7)</f>
        <v>45792</v>
      </c>
      <c r="AF5" s="104">
        <f ca="1">NETWORKDAYS(Table2[[#This Row],[FM Request]], TODAY())</f>
        <v>50</v>
      </c>
      <c r="AG5" s="3"/>
      <c r="AH5" s="3">
        <f>WORKDAY(Table2[[#This Row],[FM Request Forecast ]], 2)</f>
        <v>45796</v>
      </c>
      <c r="AI5" s="104">
        <f ca="1">NETWORKDAYS(Table2[[#This Row],[FM receive]], TODAY())</f>
        <v>32751</v>
      </c>
      <c r="AJ5" s="3"/>
      <c r="AK5" s="3">
        <f>WORKDAY(Table2[[#This Row],[FM Receive Forecast ]], 2)</f>
        <v>45798</v>
      </c>
      <c r="AM5" s="3">
        <f>K5+21</f>
        <v>45804</v>
      </c>
      <c r="AN5" s="3">
        <v>45823</v>
      </c>
      <c r="AO5" s="3">
        <f>WORKDAY(Table2[[#This Row],[1-pager Submission to BD]], 7)</f>
        <v>45813</v>
      </c>
      <c r="AP5" s="103">
        <f ca="1">IF(ISBLANK(Table2[[#This Row],[Firm Pricing request]]), NETWORKDAYS(Table2[[#This Row],[Proposal Accepted]], TODAY()), NETWORKDAYS(Table2[[#This Row],[Proposal Accepted]], Table2[[#This Row],[Firm Pricing request]]))</f>
        <v>21</v>
      </c>
      <c r="AQ5" s="3"/>
      <c r="AR5" s="3">
        <f>WORKDAY(Table2[[#This Row],[Proposal Acceptance Forecast]], 7)</f>
        <v>45824</v>
      </c>
      <c r="AS5" s="103">
        <f ca="1">NETWORKDAYS(Table2[[#This Row],[Firm Pricing request]], TODAY())</f>
        <v>32751</v>
      </c>
      <c r="AT5" s="3"/>
      <c r="AU5" s="3">
        <f>WORKDAY(Table2[[#This Row],[Firm Pricing Request Forecast]], 7)</f>
        <v>45833</v>
      </c>
      <c r="AV5" s="103">
        <f ca="1">NETWORKDAYS(Table2[[#This Row],[Site Walk]], TODAY())</f>
        <v>32751</v>
      </c>
      <c r="AW5" s="3"/>
      <c r="AX5" s="3">
        <f>WORKDAY(Table2[[#This Row],[Site Walk Forecast]], 7)</f>
        <v>45842</v>
      </c>
      <c r="AY5" s="103">
        <f ca="1">NETWORKDAYS(Table2[[#This Row],[Firm Quote Receival]], TODAY())</f>
        <v>32751</v>
      </c>
      <c r="AZ5" s="3"/>
      <c r="BA5" s="3">
        <f>WORKDAY(Table2[[#This Row],[Firm Quote Receival Forecast ]], 7)</f>
        <v>45853</v>
      </c>
      <c r="BB5" s="103">
        <f ca="1">NETWORKDAYS(Table2[[#This Row],[Final Design &amp; BOM(20 calendar days from site walk)]], TODAY())</f>
        <v>32751</v>
      </c>
      <c r="BC5" s="3"/>
      <c r="BD5" s="3">
        <f>WORKDAY(Table2[[#This Row],[Final Design &amp; BOM Forecast ]], 7)</f>
        <v>45862</v>
      </c>
      <c r="BE5" s="103">
        <f ca="1">NETWORKDAYS(Table2[[#This Row],[FM Request 2]], TODAY())</f>
        <v>32751</v>
      </c>
      <c r="BF5" s="3"/>
      <c r="BG5" s="3">
        <f>WORKDAY(Table2[[#This Row],[FM Request 2 Forecast]], 7)</f>
        <v>45873</v>
      </c>
      <c r="BH5" s="103"/>
      <c r="BI5" s="3"/>
      <c r="BJ5" s="3">
        <f>WORKDAY(Table2[[#This Row],[FM Review 2 Forecast]], 7)</f>
        <v>45882</v>
      </c>
      <c r="BK5" s="103">
        <f ca="1">NETWORKDAYS(Table2[[#This Row],[Tax Review]], TODAY())</f>
        <v>32751</v>
      </c>
      <c r="BL5" s="3"/>
      <c r="BM5" s="3">
        <f>WORKDAY(Table2[[#This Row],[Tax Review]], 7)</f>
        <v>10</v>
      </c>
      <c r="BN5" s="103">
        <f ca="1">NETWORKDAYS(Table2[[#This Row],[Tax Approval]], TODAY())</f>
        <v>32751</v>
      </c>
      <c r="BO5" s="3"/>
      <c r="BP5" s="3">
        <f>WORKDAY(Table2[[#This Row],[Tax Approval Forecast]], 7)</f>
        <v>19</v>
      </c>
      <c r="BQ5" s="103">
        <f ca="1">NETWORKDAYS(Table2[[#This Row],[Final proposal submission]], TODAY())</f>
        <v>32751</v>
      </c>
      <c r="BR5" s="3"/>
      <c r="BS5" s="3"/>
      <c r="BT5" s="3">
        <f>WORKDAY(Table2[[#This Row],[Final Proposal Submission Forecast]], 7)</f>
        <v>30</v>
      </c>
      <c r="BU5" s="103">
        <f ca="1">NETWORKDAYS(Table2[[#This Row],[BD submits proposal]], TODAY())</f>
        <v>32751</v>
      </c>
      <c r="BV5" s="3"/>
      <c r="BW5" s="3">
        <f>WORKDAY(Table2[[#This Row],[BD Submits Proposal Forecast]], 7)</f>
        <v>39</v>
      </c>
      <c r="BX5" s="103">
        <f ca="1">NETWORKDAYS(Table2[[#This Row],[Final Proposal Accepted]], TODAY())</f>
        <v>32751</v>
      </c>
      <c r="BY5" s="3"/>
      <c r="BZ5" s="3">
        <f>WORKDAY(Table2[[#This Row],[Final Proposal Accepted]], 90)</f>
        <v>125</v>
      </c>
      <c r="CA5" s="103">
        <f ca="1">NETWORKDAYS(Table2[[#This Row],[Legal Agreement]], TODAY())</f>
        <v>32751</v>
      </c>
      <c r="CB5" s="3"/>
      <c r="CC5" s="3">
        <f>WORKDAY(Table2[[#This Row],[Legal Agreement Forecast]], 10)</f>
        <v>139</v>
      </c>
      <c r="CD5" s="103">
        <f ca="1">NETWORKDAYS(Table2[[#This Row],[Executed Agreement]], TODAY())</f>
        <v>32751</v>
      </c>
      <c r="CE5" t="s">
        <v>91</v>
      </c>
      <c r="CF5" t="s">
        <v>121</v>
      </c>
      <c r="CG5" s="103"/>
      <c r="CH5" s="3"/>
      <c r="CI5" s="3">
        <f>WORKDAY(Table2[[#This Row],[Executed Agreement]], 7)</f>
        <v>10</v>
      </c>
      <c r="CJ5" s="103">
        <f ca="1">NETWORKDAYS(Table2[[#This Row],[A&amp;E Request]], TODAY())</f>
        <v>32751</v>
      </c>
      <c r="CL5" s="3">
        <f>WORKDAY(Table2[[#This Row],[A&amp;E Request Forecast]], 10)</f>
        <v>24</v>
      </c>
      <c r="CM5" s="103">
        <f ca="1">NETWORKDAYS(Table2[[#This Row],[A&amp;E receive]], TODAY())</f>
        <v>32751</v>
      </c>
      <c r="CO5" s="3">
        <f>WORKDAY(Table2[[#This Row],[FM Approval meeting ]], 10)</f>
        <v>13</v>
      </c>
      <c r="CP5" s="103">
        <f ca="1">NETWORKDAYS(Table2[[#This Row],[Budget Request]], TODAY())</f>
        <v>32751</v>
      </c>
      <c r="CR5" s="3">
        <f>WORKDAY(Table2[[#This Row],[Budget Request Forecast]], 7)</f>
        <v>24</v>
      </c>
      <c r="CS5" s="103">
        <f ca="1">NETWORKDAYS(Table2[[#This Row],[Budget Approval]], TODAY())</f>
        <v>32751</v>
      </c>
      <c r="CV5" s="3">
        <f>WORKDAY(Table2[[#This Row],[Budget Approval Forecast ]], 7)</f>
        <v>33</v>
      </c>
      <c r="CW5" s="103">
        <f ca="1">NETWORKDAYS(Table2[[#This Row],[PO Request for OEM ]], TODAY())</f>
        <v>32751</v>
      </c>
      <c r="CY5" s="3">
        <f>WORKDAY(Table2[[#This Row],[PO Request for OEM Forecast]], 10)</f>
        <v>47</v>
      </c>
      <c r="CZ5" s="103">
        <f ca="1">NETWORKDAYS(Table2[[#This Row],[PO Approval]], TODAY())</f>
        <v>32751</v>
      </c>
      <c r="DB5" s="3">
        <f>WORKDAY(Table2[[#This Row],[PO Approval Forecast]], 10)</f>
        <v>61</v>
      </c>
      <c r="DC5" s="103">
        <f ca="1">NETWORKDAYS(Table2[[#This Row],[backhaul ordered]], TODAY())</f>
        <v>32751</v>
      </c>
      <c r="DE5" s="3">
        <f>WORKDAY(Table2[[#This Row],[Backhaul Order Forecast]], 10)</f>
        <v>75</v>
      </c>
      <c r="DF5" s="103">
        <f ca="1">NETWORKDAYS(Table2[[#This Row],[RTP Request]], TODAY())</f>
        <v>32751</v>
      </c>
      <c r="DG5" s="3"/>
      <c r="DH5" s="3">
        <f>WORKDAY(Table2[[#This Row],[RTP Request Forecast]], 10)</f>
        <v>89</v>
      </c>
      <c r="DI5" s="103">
        <f ca="1">NETWORKDAYS(Table2[[#This Row],[RTP Approved]], TODAY())</f>
        <v>32751</v>
      </c>
      <c r="DK5" s="3">
        <f>WORKDAY(Table2[[#This Row],[RTP Approval Forecast ]], 7)</f>
        <v>100</v>
      </c>
      <c r="DL5" s="103">
        <f ca="1">NETWORKDAYS(Table2[[#This Row],[RFP Request]], TODAY())</f>
        <v>32751</v>
      </c>
      <c r="DM5" s="3"/>
      <c r="DN5" s="3">
        <f>WORKDAY(Table2[[#This Row],[RFP Request Forecast ]], 10)</f>
        <v>114</v>
      </c>
      <c r="DO5" s="103">
        <f ca="1">NETWORKDAYS(Table2[[#This Row],[RFP Received]], TODAY())</f>
        <v>32751</v>
      </c>
      <c r="DQ5" s="3">
        <f>WORKDAY(Table2[[#This Row],[RFP Received Forecast ]], 7)</f>
        <v>123</v>
      </c>
      <c r="DR5" s="103">
        <f ca="1">NETWORKDAYS(Table2[[#This Row],[PO for GC Request]], TODAY())</f>
        <v>32751</v>
      </c>
      <c r="DS5" s="3">
        <v>45807</v>
      </c>
      <c r="DT5" s="3">
        <f>WORKDAY(Table2[[#This Row],[PO for GC Request Forecast ]], 7)</f>
        <v>132</v>
      </c>
      <c r="DU5" s="103">
        <f ca="1">NETWORKDAYS(Table2[[#This Row],[PO for GC Approved]], TODAY())</f>
        <v>32</v>
      </c>
      <c r="DW5" s="3">
        <f>WORKDAY(Table2[[#This Row],[PO for GC Approval Forecast ]], 10)</f>
        <v>146</v>
      </c>
      <c r="DX5" s="103">
        <f ca="1">NETWORKDAYS(Table2[[#This Row],[Construction Start]], TODAY())</f>
        <v>32751</v>
      </c>
      <c r="DZ5" s="3">
        <f>WORKDAY(Table2[[#This Row],[Construction Start Forecast ]], 20)</f>
        <v>174</v>
      </c>
      <c r="EA5" s="103">
        <f ca="1">NETWORKDAYS(Table2[[#This Row],[Construction Complete]], TODAY())</f>
        <v>32751</v>
      </c>
      <c r="ED5" s="3">
        <f>WORKDAY(Table2[[#This Row],[Construction Complete Forecast ]], 10)</f>
        <v>188</v>
      </c>
      <c r="EE5" s="103">
        <f ca="1">NETWORKDAYS(Table2[[#This Row],[Integration Start]], TODAY())</f>
        <v>32751</v>
      </c>
      <c r="EF5" s="3"/>
      <c r="EG5" s="3">
        <f>WORKDAY(Table2[[#This Row],[Integration Start Forecast ]], 10)</f>
        <v>202</v>
      </c>
      <c r="EH5" s="103">
        <f ca="1">NETWORKDAYS(Table2[[#This Row],[Integration Complete]], TODAY())</f>
        <v>32751</v>
      </c>
      <c r="EJ5" s="3">
        <f>WORKDAY(Table2[[#This Row],[Integration Complete Forecast ]], 10)</f>
        <v>216</v>
      </c>
      <c r="EK5" s="103">
        <f ca="1">NETWORKDAYS(Table2[[#This Row],[Close Out Package(2weeks from integration complete]], TODAY())</f>
        <v>32751</v>
      </c>
      <c r="EM5" s="3">
        <f>WORKDAY(Table2[[#This Row],[Close Out Package Forecast ]], 10)</f>
        <v>230</v>
      </c>
      <c r="EN5" s="103">
        <f ca="1">NETWORKDAYS(Table2[[#This Row],[Acceptance testing 2 weeks from close out package)]], TODAY())</f>
        <v>32751</v>
      </c>
      <c r="EP5" s="3">
        <f>WORKDAY(Table2[[#This Row],[Acceptance Testing Forecast ]], 20)</f>
        <v>258</v>
      </c>
      <c r="EQ5" s="103">
        <f ca="1">NETWORKDAYS(Table2[[#This Row],[Customer acceptance(1 month after acceptance testing)]], TODAY())</f>
        <v>32751</v>
      </c>
      <c r="ES5" s="3">
        <f>WORKDAY(Table2[[#This Row],[Customer Acceptance Forecast ]], 5)</f>
        <v>265</v>
      </c>
      <c r="ET5" s="103">
        <f ca="1">NETWORKDAYS(Table2[[#This Row],[Operations handoff(1 week after customer acceptance)]], TODAY())</f>
        <v>32751</v>
      </c>
      <c r="EU5" s="3"/>
      <c r="EV5" s="3">
        <f>WORKDAY(Table2[[#This Row],[Operations Handoff Forecast ]], 7)</f>
        <v>276</v>
      </c>
      <c r="EW5" s="103">
        <f ca="1">NETWORKDAYS(Table2[[#This Row],[FNE Date]], TODAY())</f>
        <v>32751</v>
      </c>
      <c r="EX5" s="3"/>
      <c r="EY5" s="3">
        <f>WORKDAY(Table2[[#This Row],[FNE Date Forecast ]], 7)</f>
        <v>285</v>
      </c>
      <c r="EZ5" s="103">
        <f ca="1">NETWORKDAYS(Table2[[#This Row],[FNE Notice]], TODAY())</f>
        <v>32751</v>
      </c>
      <c r="FA5" s="3"/>
      <c r="FB5" s="3"/>
    </row>
    <row r="6" spans="1:188" x14ac:dyDescent="0.25">
      <c r="B6" t="s">
        <v>72</v>
      </c>
      <c r="C6" s="73" t="s">
        <v>129</v>
      </c>
      <c r="D6" s="103"/>
      <c r="E6" t="s">
        <v>74</v>
      </c>
      <c r="H6" t="s">
        <v>105</v>
      </c>
      <c r="I6">
        <v>350</v>
      </c>
      <c r="J6" s="3">
        <v>45777</v>
      </c>
      <c r="K6" s="3">
        <f>J6+7</f>
        <v>45784</v>
      </c>
      <c r="L6" s="3">
        <v>45796</v>
      </c>
      <c r="M6" s="3">
        <f>WORKDAY(Table2[[#This Row],[Kickoff date]], 7)</f>
        <v>45793</v>
      </c>
      <c r="N6" s="104">
        <f ca="1">NETWORKDAYS(Table2[[#This Row],[ROM Request]], TODAY())</f>
        <v>41</v>
      </c>
      <c r="O6" s="3">
        <f>L6+15</f>
        <v>45811</v>
      </c>
      <c r="P6" s="3">
        <f>WORKDAY(Table2[[#This Row],[ROM Request]], 10)</f>
        <v>45810</v>
      </c>
      <c r="Q6" s="104">
        <f ca="1">NETWORKDAYS(Table2[[#This Row],[ROM Receive]], TODAY())</f>
        <v>30</v>
      </c>
      <c r="R6" s="3">
        <v>45757</v>
      </c>
      <c r="S6" s="3">
        <f>WORKDAY(Table2[[#This Row],[ROM Receive Forecast]], 15)</f>
        <v>45831</v>
      </c>
      <c r="T6" s="104">
        <f ca="1">NETWORKDAYS(Table2[[#This Row],[Backhaul Cost Request]], TODAY())</f>
        <v>68</v>
      </c>
      <c r="U6" s="3">
        <f>R6+19</f>
        <v>45776</v>
      </c>
      <c r="V6" s="3">
        <v>1</v>
      </c>
      <c r="W6" s="104">
        <f ca="1">NETWORKDAYS(Table2[[#This Row],[Backhaul Cost Receive]], TODAY())</f>
        <v>55</v>
      </c>
      <c r="X6" s="3">
        <f>Table2[[#This Row],[Kickoff date]]</f>
        <v>45784</v>
      </c>
      <c r="Y6" s="3">
        <f>WORKDAY(Table2[[#This Row],[Backhaul Cost Request Forecast]], 7)</f>
        <v>45840</v>
      </c>
      <c r="Z6" s="104">
        <f ca="1">NETWORKDAYS(Table2[[#This Row],[OSP Request]], TODAY())</f>
        <v>49</v>
      </c>
      <c r="AA6" s="3">
        <v>45717</v>
      </c>
      <c r="AB6" s="3">
        <f>WORKDAY(Table2[[#This Row],[OSP Request Forecast]], 10)</f>
        <v>45854</v>
      </c>
      <c r="AC6" s="104">
        <f ca="1">NETWORKDAYS(Table2[[#This Row],[OSP Receive]], TODAY())</f>
        <v>96</v>
      </c>
      <c r="AD6" s="3">
        <f>Table2[[#This Row],[Kickoff date]]</f>
        <v>45784</v>
      </c>
      <c r="AE6" s="3">
        <f>WORKDAY(Table2[[#This Row],[Kickoff date]], 7)</f>
        <v>45793</v>
      </c>
      <c r="AF6" s="104">
        <f ca="1">NETWORKDAYS(Table2[[#This Row],[FM Request]], TODAY())</f>
        <v>49</v>
      </c>
      <c r="AG6" s="3"/>
      <c r="AH6" s="3">
        <f>WORKDAY(Table2[[#This Row],[FM Request Forecast ]], 2)</f>
        <v>45797</v>
      </c>
      <c r="AI6" s="104">
        <f ca="1">NETWORKDAYS(Table2[[#This Row],[FM receive]], TODAY())</f>
        <v>32751</v>
      </c>
      <c r="AJ6" s="3"/>
      <c r="AK6" s="3">
        <f>WORKDAY(Table2[[#This Row],[FM Receive Forecast ]], 2)</f>
        <v>45799</v>
      </c>
      <c r="AM6" s="3">
        <f>K6+17</f>
        <v>45801</v>
      </c>
      <c r="AN6" s="3"/>
      <c r="AO6" s="3">
        <f>WORKDAY(Table2[[#This Row],[1-pager Submission to BD]], 7)</f>
        <v>45811</v>
      </c>
      <c r="AP6" s="103">
        <f ca="1">IF(ISBLANK(Table2[[#This Row],[Firm Pricing request]]), NETWORKDAYS(Table2[[#This Row],[Proposal Accepted]], TODAY()), NETWORKDAYS(Table2[[#This Row],[Proposal Accepted]], Table2[[#This Row],[Firm Pricing request]]))</f>
        <v>32751</v>
      </c>
      <c r="AQ6" s="3"/>
      <c r="AR6" s="3">
        <f>WORKDAY(Table2[[#This Row],[Proposal Acceptance Forecast]], 7)</f>
        <v>45820</v>
      </c>
      <c r="AS6" s="103">
        <f ca="1">NETWORKDAYS(Table2[[#This Row],[Firm Pricing request]], TODAY())</f>
        <v>32751</v>
      </c>
      <c r="AT6" s="3"/>
      <c r="AU6" s="3">
        <f>WORKDAY(Table2[[#This Row],[Firm Pricing Request Forecast]], 7)</f>
        <v>45831</v>
      </c>
      <c r="AV6" s="103">
        <f ca="1">NETWORKDAYS(Table2[[#This Row],[Site Walk]], TODAY())</f>
        <v>32751</v>
      </c>
      <c r="AW6" s="3"/>
      <c r="AX6" s="3">
        <f>WORKDAY(Table2[[#This Row],[Site Walk Forecast]], 7)</f>
        <v>45840</v>
      </c>
      <c r="AY6" s="103">
        <f ca="1">NETWORKDAYS(Table2[[#This Row],[Firm Quote Receival]], TODAY())</f>
        <v>32751</v>
      </c>
      <c r="AZ6" s="3"/>
      <c r="BA6" s="3">
        <f>WORKDAY(Table2[[#This Row],[Firm Quote Receival Forecast ]], 7)</f>
        <v>45849</v>
      </c>
      <c r="BB6" s="103">
        <f ca="1">NETWORKDAYS(Table2[[#This Row],[Final Design &amp; BOM(20 calendar days from site walk)]], TODAY())</f>
        <v>32751</v>
      </c>
      <c r="BC6" s="3"/>
      <c r="BD6" s="3">
        <f>WORKDAY(Table2[[#This Row],[Final Design &amp; BOM Forecast ]], 7)</f>
        <v>45860</v>
      </c>
      <c r="BE6" s="103">
        <f ca="1">NETWORKDAYS(Table2[[#This Row],[FM Request 2]], TODAY())</f>
        <v>32751</v>
      </c>
      <c r="BF6" s="3"/>
      <c r="BG6" s="3">
        <f>WORKDAY(Table2[[#This Row],[FM Request 2 Forecast]], 7)</f>
        <v>45869</v>
      </c>
      <c r="BH6" s="103"/>
      <c r="BI6" s="3"/>
      <c r="BJ6" s="3">
        <f>WORKDAY(Table2[[#This Row],[FM Review 2 Forecast]], 7)</f>
        <v>45880</v>
      </c>
      <c r="BK6" s="103">
        <f ca="1">NETWORKDAYS(Table2[[#This Row],[Tax Review]], TODAY())</f>
        <v>32751</v>
      </c>
      <c r="BL6" s="3"/>
      <c r="BM6" s="3">
        <f>WORKDAY(Table2[[#This Row],[Tax Review]], 7)</f>
        <v>10</v>
      </c>
      <c r="BN6" s="103">
        <f ca="1">NETWORKDAYS(Table2[[#This Row],[Tax Approval]], TODAY())</f>
        <v>32751</v>
      </c>
      <c r="BO6" s="3"/>
      <c r="BP6" s="3">
        <f>WORKDAY(Table2[[#This Row],[Tax Approval Forecast]], 7)</f>
        <v>19</v>
      </c>
      <c r="BQ6" s="103">
        <f ca="1">NETWORKDAYS(Table2[[#This Row],[Final proposal submission]], TODAY())</f>
        <v>32751</v>
      </c>
      <c r="BR6" s="3"/>
      <c r="BS6" s="3"/>
      <c r="BT6" s="3">
        <f>WORKDAY(Table2[[#This Row],[Final Proposal Submission Forecast]], 7)</f>
        <v>30</v>
      </c>
      <c r="BU6" s="103">
        <f ca="1">NETWORKDAYS(Table2[[#This Row],[BD submits proposal]], TODAY())</f>
        <v>32751</v>
      </c>
      <c r="BV6" s="3"/>
      <c r="BW6" s="3">
        <f>WORKDAY(Table2[[#This Row],[BD Submits Proposal Forecast]], 7)</f>
        <v>39</v>
      </c>
      <c r="BX6" s="103">
        <f ca="1">NETWORKDAYS(Table2[[#This Row],[Final Proposal Accepted]], TODAY())</f>
        <v>32751</v>
      </c>
      <c r="BY6" s="3"/>
      <c r="BZ6" s="3">
        <f>WORKDAY(Table2[[#This Row],[Final Proposal Accepted]], 90)</f>
        <v>125</v>
      </c>
      <c r="CA6" s="103">
        <f ca="1">NETWORKDAYS(Table2[[#This Row],[Legal Agreement]], TODAY())</f>
        <v>32751</v>
      </c>
      <c r="CB6" s="3"/>
      <c r="CC6" s="3">
        <f>WORKDAY(Table2[[#This Row],[Legal Agreement Forecast]], 10)</f>
        <v>139</v>
      </c>
      <c r="CD6" s="103">
        <f ca="1">NETWORKDAYS(Table2[[#This Row],[Executed Agreement]], TODAY())</f>
        <v>32751</v>
      </c>
      <c r="CE6" t="s">
        <v>91</v>
      </c>
      <c r="CF6" t="s">
        <v>130</v>
      </c>
      <c r="CG6" s="103"/>
      <c r="CH6" s="3">
        <v>45706</v>
      </c>
      <c r="CI6" s="3">
        <f>WORKDAY(Table2[[#This Row],[Executed Agreement]], 7)</f>
        <v>10</v>
      </c>
      <c r="CJ6" s="103">
        <f ca="1">NETWORKDAYS(Table2[[#This Row],[A&amp;E Request]], TODAY())</f>
        <v>105</v>
      </c>
      <c r="CL6" s="3">
        <f>WORKDAY(Table2[[#This Row],[A&amp;E Request Forecast]], 10)</f>
        <v>24</v>
      </c>
      <c r="CM6" s="103">
        <f ca="1">NETWORKDAYS(Table2[[#This Row],[A&amp;E receive]], TODAY())</f>
        <v>32751</v>
      </c>
      <c r="CO6" s="3">
        <f>WORKDAY(Table2[[#This Row],[FM Approval meeting ]], 10)</f>
        <v>13</v>
      </c>
      <c r="CP6" s="103">
        <f ca="1">NETWORKDAYS(Table2[[#This Row],[Budget Request]], TODAY())</f>
        <v>32751</v>
      </c>
      <c r="CR6" s="3">
        <f>WORKDAY(Table2[[#This Row],[Budget Request Forecast]], 7)</f>
        <v>24</v>
      </c>
      <c r="CS6" s="103">
        <f ca="1">NETWORKDAYS(Table2[[#This Row],[Budget Approval]], TODAY())</f>
        <v>32751</v>
      </c>
      <c r="CV6" s="3">
        <f>WORKDAY(Table2[[#This Row],[Budget Approval Forecast ]], 7)</f>
        <v>33</v>
      </c>
      <c r="CW6" s="103">
        <f ca="1">NETWORKDAYS(Table2[[#This Row],[PO Request for OEM ]], TODAY())</f>
        <v>32751</v>
      </c>
      <c r="CY6" s="3">
        <f>WORKDAY(Table2[[#This Row],[PO Request for OEM Forecast]], 10)</f>
        <v>47</v>
      </c>
      <c r="CZ6" s="103">
        <f ca="1">NETWORKDAYS(Table2[[#This Row],[PO Approval]], TODAY())</f>
        <v>32751</v>
      </c>
      <c r="DB6" s="3">
        <f>WORKDAY(Table2[[#This Row],[PO Approval Forecast]], 10)</f>
        <v>61</v>
      </c>
      <c r="DC6" s="103">
        <f ca="1">NETWORKDAYS(Table2[[#This Row],[backhaul ordered]], TODAY())</f>
        <v>32751</v>
      </c>
      <c r="DD6">
        <v>45736</v>
      </c>
      <c r="DE6" s="3">
        <f>WORKDAY(Table2[[#This Row],[Backhaul Order Forecast]], 10)</f>
        <v>75</v>
      </c>
      <c r="DF6" s="103">
        <f ca="1">NETWORKDAYS(Table2[[#This Row],[RTP Request]], TODAY())</f>
        <v>83</v>
      </c>
      <c r="DG6" s="3"/>
      <c r="DH6" s="3">
        <f>WORKDAY(Table2[[#This Row],[RTP Request Forecast]], 10)</f>
        <v>89</v>
      </c>
      <c r="DI6" s="103">
        <f ca="1">NETWORKDAYS(Table2[[#This Row],[RTP Approved]], TODAY())</f>
        <v>32751</v>
      </c>
      <c r="DK6" s="3">
        <f>WORKDAY(Table2[[#This Row],[RTP Approval Forecast ]], 7)</f>
        <v>100</v>
      </c>
      <c r="DL6" s="103">
        <f ca="1">NETWORKDAYS(Table2[[#This Row],[RFP Request]], TODAY())</f>
        <v>32751</v>
      </c>
      <c r="DM6" s="3">
        <v>45744</v>
      </c>
      <c r="DN6" s="3">
        <f>WORKDAY(Table2[[#This Row],[RFP Request Forecast ]], 10)</f>
        <v>114</v>
      </c>
      <c r="DO6" s="103">
        <f ca="1">NETWORKDAYS(Table2[[#This Row],[RFP Received]], TODAY())</f>
        <v>77</v>
      </c>
      <c r="DQ6" s="3">
        <f>WORKDAY(Table2[[#This Row],[RFP Received Forecast ]], 7)</f>
        <v>123</v>
      </c>
      <c r="DR6" s="103">
        <f ca="1">NETWORKDAYS(Table2[[#This Row],[PO for GC Request]], TODAY())</f>
        <v>32751</v>
      </c>
      <c r="DS6" s="3">
        <v>45807</v>
      </c>
      <c r="DT6" s="3">
        <f>WORKDAY(Table2[[#This Row],[PO for GC Request Forecast ]], 7)</f>
        <v>132</v>
      </c>
      <c r="DU6" s="103">
        <f ca="1">NETWORKDAYS(Table2[[#This Row],[PO for GC Approved]], TODAY())</f>
        <v>32</v>
      </c>
      <c r="DW6" s="3">
        <f>WORKDAY(Table2[[#This Row],[PO for GC Approval Forecast ]], 10)</f>
        <v>146</v>
      </c>
      <c r="DX6" s="103">
        <f ca="1">NETWORKDAYS(Table2[[#This Row],[Construction Start]], TODAY())</f>
        <v>32751</v>
      </c>
      <c r="DZ6" s="3">
        <f>WORKDAY(Table2[[#This Row],[Construction Start Forecast ]], 20)</f>
        <v>174</v>
      </c>
      <c r="EA6" s="103">
        <f ca="1">NETWORKDAYS(Table2[[#This Row],[Construction Complete]], TODAY())</f>
        <v>32751</v>
      </c>
      <c r="ED6" s="3">
        <f>WORKDAY(Table2[[#This Row],[Construction Complete Forecast ]], 10)</f>
        <v>188</v>
      </c>
      <c r="EE6" s="103">
        <f ca="1">NETWORKDAYS(Table2[[#This Row],[Integration Start]], TODAY())</f>
        <v>32751</v>
      </c>
      <c r="EF6" s="3"/>
      <c r="EG6" s="3">
        <f>WORKDAY(Table2[[#This Row],[Integration Start Forecast ]], 10)</f>
        <v>202</v>
      </c>
      <c r="EH6" s="103">
        <f ca="1">NETWORKDAYS(Table2[[#This Row],[Integration Complete]], TODAY())</f>
        <v>32751</v>
      </c>
      <c r="EJ6" s="3">
        <f>WORKDAY(Table2[[#This Row],[Integration Complete Forecast ]], 10)</f>
        <v>216</v>
      </c>
      <c r="EK6" s="103">
        <f ca="1">NETWORKDAYS(Table2[[#This Row],[Close Out Package(2weeks from integration complete]], TODAY())</f>
        <v>32751</v>
      </c>
      <c r="EM6" s="3">
        <f>WORKDAY(Table2[[#This Row],[Close Out Package Forecast ]], 10)</f>
        <v>230</v>
      </c>
      <c r="EN6" s="103">
        <f ca="1">NETWORKDAYS(Table2[[#This Row],[Acceptance testing 2 weeks from close out package)]], TODAY())</f>
        <v>32751</v>
      </c>
      <c r="EP6" s="3">
        <f>WORKDAY(Table2[[#This Row],[Acceptance Testing Forecast ]], 20)</f>
        <v>258</v>
      </c>
      <c r="EQ6" s="103">
        <f ca="1">NETWORKDAYS(Table2[[#This Row],[Customer acceptance(1 month after acceptance testing)]], TODAY())</f>
        <v>32751</v>
      </c>
      <c r="ES6" s="3">
        <f>WORKDAY(Table2[[#This Row],[Customer Acceptance Forecast ]], 5)</f>
        <v>265</v>
      </c>
      <c r="ET6" s="103">
        <f ca="1">NETWORKDAYS(Table2[[#This Row],[Operations handoff(1 week after customer acceptance)]], TODAY())</f>
        <v>32751</v>
      </c>
      <c r="EU6" s="3"/>
      <c r="EV6" s="3">
        <f>WORKDAY(Table2[[#This Row],[Operations Handoff Forecast ]], 7)</f>
        <v>276</v>
      </c>
      <c r="EW6" s="103">
        <f ca="1">NETWORKDAYS(Table2[[#This Row],[FNE Date]], TODAY())</f>
        <v>32751</v>
      </c>
      <c r="EX6" s="3"/>
      <c r="EY6" s="3">
        <f>WORKDAY(Table2[[#This Row],[FNE Date Forecast ]], 7)</f>
        <v>285</v>
      </c>
      <c r="EZ6" s="103">
        <f ca="1">NETWORKDAYS(Table2[[#This Row],[FNE Notice]], TODAY())</f>
        <v>32751</v>
      </c>
      <c r="FA6" s="3"/>
      <c r="FB6" s="3"/>
    </row>
    <row r="7" spans="1:188" x14ac:dyDescent="0.25">
      <c r="A7" t="s">
        <v>124</v>
      </c>
      <c r="B7" t="s">
        <v>72</v>
      </c>
      <c r="C7" s="73" t="s">
        <v>135</v>
      </c>
      <c r="D7" s="103"/>
      <c r="E7" t="s">
        <v>136</v>
      </c>
      <c r="H7" t="s">
        <v>103</v>
      </c>
      <c r="I7">
        <v>6955</v>
      </c>
      <c r="J7" s="3">
        <v>45780</v>
      </c>
      <c r="K7" s="3">
        <f>J7+10</f>
        <v>45790</v>
      </c>
      <c r="L7" s="3">
        <v>45734</v>
      </c>
      <c r="M7" s="3">
        <f>WORKDAY(Table2[[#This Row],[Kickoff date]], 7)</f>
        <v>45799</v>
      </c>
      <c r="N7" s="104">
        <f ca="1">NETWORKDAYS(Table2[[#This Row],[ROM Request]], TODAY())</f>
        <v>85</v>
      </c>
      <c r="O7" s="3">
        <v>45749</v>
      </c>
      <c r="P7" s="3">
        <f>WORKDAY(Table2[[#This Row],[ROM Request]], 10)</f>
        <v>45748</v>
      </c>
      <c r="Q7" s="104">
        <f ca="1">NETWORKDAYS(Table2[[#This Row],[ROM Receive]], TODAY())</f>
        <v>74</v>
      </c>
      <c r="R7" s="3">
        <v>45792</v>
      </c>
      <c r="S7" s="3">
        <f>WORKDAY(Table2[[#This Row],[ROM Receive Forecast]], 15)</f>
        <v>45769</v>
      </c>
      <c r="T7" s="104">
        <f ca="1">NETWORKDAYS(Table2[[#This Row],[Backhaul Cost Request]], TODAY())</f>
        <v>43</v>
      </c>
      <c r="U7" s="3">
        <v>45771</v>
      </c>
      <c r="V7" s="3">
        <f>WORKDAY(Table2[[#This Row],[Backhaul Cost Request Forecast]], 15)</f>
        <v>45790</v>
      </c>
      <c r="W7" s="104">
        <f ca="1">NETWORKDAYS(Table2[[#This Row],[Backhaul Cost Receive]], TODAY())</f>
        <v>58</v>
      </c>
      <c r="X7" s="3">
        <f>Table2[[#This Row],[Kickoff date]]</f>
        <v>45790</v>
      </c>
      <c r="Y7" s="3">
        <f>WORKDAY(Table2[[#This Row],[Backhaul Cost Request Forecast]], 7)</f>
        <v>45778</v>
      </c>
      <c r="Z7" s="104">
        <f ca="1">NETWORKDAYS(Table2[[#This Row],[OSP Request]], TODAY())</f>
        <v>45</v>
      </c>
      <c r="AA7" s="3">
        <v>45771</v>
      </c>
      <c r="AB7" s="3">
        <f>WORKDAY(Table2[[#This Row],[OSP Request Forecast]], 10)</f>
        <v>45792</v>
      </c>
      <c r="AC7" s="104">
        <f ca="1">NETWORKDAYS(Table2[[#This Row],[OSP Receive]], TODAY())</f>
        <v>58</v>
      </c>
      <c r="AD7" s="3">
        <f>Table2[[#This Row],[Kickoff date]]</f>
        <v>45790</v>
      </c>
      <c r="AE7" s="3">
        <f>WORKDAY(Table2[[#This Row],[Kickoff date]], 7)</f>
        <v>45799</v>
      </c>
      <c r="AF7" s="104">
        <f ca="1">NETWORKDAYS(Table2[[#This Row],[FM Request]], TODAY())</f>
        <v>45</v>
      </c>
      <c r="AG7" s="3"/>
      <c r="AH7" s="3">
        <f>WORKDAY(Table2[[#This Row],[FM Request Forecast ]], 2)</f>
        <v>45803</v>
      </c>
      <c r="AI7" s="104">
        <f ca="1">NETWORKDAYS(Table2[[#This Row],[FM receive]], TODAY())</f>
        <v>32751</v>
      </c>
      <c r="AJ7" s="3"/>
      <c r="AK7" s="3">
        <f>WORKDAY(Table2[[#This Row],[FM Receive Forecast ]], 2)</f>
        <v>45805</v>
      </c>
      <c r="AM7" s="3">
        <f>K7+19</f>
        <v>45809</v>
      </c>
      <c r="AN7" s="3"/>
      <c r="AO7" s="3">
        <f>WORKDAY(Table2[[#This Row],[1-pager Submission to BD]], 7)</f>
        <v>45818</v>
      </c>
      <c r="AP7" s="103">
        <f ca="1">IF(ISBLANK(Table2[[#This Row],[Firm Pricing request]]), NETWORKDAYS(Table2[[#This Row],[Proposal Accepted]], TODAY()), NETWORKDAYS(Table2[[#This Row],[Proposal Accepted]], Table2[[#This Row],[Firm Pricing request]]))</f>
        <v>32751</v>
      </c>
      <c r="AQ7" s="3"/>
      <c r="AR7" s="3">
        <f>WORKDAY(Table2[[#This Row],[Proposal Acceptance Forecast]], 7)</f>
        <v>45827</v>
      </c>
      <c r="AS7" s="103">
        <f ca="1">NETWORKDAYS(Table2[[#This Row],[Firm Pricing request]], TODAY())</f>
        <v>32751</v>
      </c>
      <c r="AT7" s="3"/>
      <c r="AU7" s="3">
        <f>WORKDAY(Table2[[#This Row],[Firm Pricing Request Forecast]], 7)</f>
        <v>45838</v>
      </c>
      <c r="AV7" s="103">
        <f ca="1">NETWORKDAYS(Table2[[#This Row],[Site Walk]], TODAY())</f>
        <v>32751</v>
      </c>
      <c r="AW7" s="3"/>
      <c r="AX7" s="3">
        <f>WORKDAY(Table2[[#This Row],[Site Walk Forecast]], 7)</f>
        <v>45847</v>
      </c>
      <c r="AY7" s="103">
        <f ca="1">NETWORKDAYS(Table2[[#This Row],[Firm Quote Receival]], TODAY())</f>
        <v>32751</v>
      </c>
      <c r="AZ7" s="3"/>
      <c r="BA7" s="3">
        <f>WORKDAY(Table2[[#This Row],[Firm Quote Receival Forecast ]], 7)</f>
        <v>45856</v>
      </c>
      <c r="BB7" s="103">
        <f ca="1">NETWORKDAYS(Table2[[#This Row],[Final Design &amp; BOM(20 calendar days from site walk)]], TODAY())</f>
        <v>32751</v>
      </c>
      <c r="BC7" s="3"/>
      <c r="BD7" s="3">
        <f>WORKDAY(Table2[[#This Row],[Final Design &amp; BOM Forecast ]], 7)</f>
        <v>45867</v>
      </c>
      <c r="BE7" s="103">
        <f ca="1">NETWORKDAYS(Table2[[#This Row],[FM Request 2]], TODAY())</f>
        <v>32751</v>
      </c>
      <c r="BF7" s="3"/>
      <c r="BG7" s="3">
        <f>WORKDAY(Table2[[#This Row],[FM Request 2 Forecast]], 7)</f>
        <v>45876</v>
      </c>
      <c r="BH7" s="103"/>
      <c r="BI7" s="3"/>
      <c r="BJ7" s="3">
        <f>WORKDAY(Table2[[#This Row],[FM Review 2 Forecast]], 7)</f>
        <v>45887</v>
      </c>
      <c r="BK7" s="103">
        <f ca="1">NETWORKDAYS(Table2[[#This Row],[Tax Review]], TODAY())</f>
        <v>32751</v>
      </c>
      <c r="BL7" s="3"/>
      <c r="BM7" s="3">
        <f>WORKDAY(Table2[[#This Row],[Tax Review]], 7)</f>
        <v>10</v>
      </c>
      <c r="BN7" s="103">
        <f ca="1">NETWORKDAYS(Table2[[#This Row],[Tax Approval]], TODAY())</f>
        <v>32751</v>
      </c>
      <c r="BO7" s="3"/>
      <c r="BP7" s="3">
        <f>WORKDAY(Table2[[#This Row],[Tax Approval Forecast]], 7)</f>
        <v>19</v>
      </c>
      <c r="BQ7" s="103">
        <f ca="1">NETWORKDAYS(Table2[[#This Row],[Final proposal submission]], TODAY())</f>
        <v>32751</v>
      </c>
      <c r="BR7" s="3"/>
      <c r="BS7" s="3"/>
      <c r="BT7" s="3">
        <f>WORKDAY(Table2[[#This Row],[Final Proposal Submission Forecast]], 7)</f>
        <v>30</v>
      </c>
      <c r="BU7" s="103">
        <f ca="1">NETWORKDAYS(Table2[[#This Row],[BD submits proposal]], TODAY())</f>
        <v>32751</v>
      </c>
      <c r="BV7" s="3"/>
      <c r="BW7" s="3">
        <f>WORKDAY(Table2[[#This Row],[BD Submits Proposal Forecast]], 7)</f>
        <v>39</v>
      </c>
      <c r="BX7" s="103">
        <f ca="1">NETWORKDAYS(Table2[[#This Row],[Final Proposal Accepted]], TODAY())</f>
        <v>32751</v>
      </c>
      <c r="BY7" s="3"/>
      <c r="BZ7" s="3">
        <f>WORKDAY(Table2[[#This Row],[Final Proposal Accepted]], 90)</f>
        <v>125</v>
      </c>
      <c r="CA7" s="103">
        <f ca="1">NETWORKDAYS(Table2[[#This Row],[Legal Agreement]], TODAY())</f>
        <v>32751</v>
      </c>
      <c r="CB7" s="3"/>
      <c r="CC7" s="3">
        <f>WORKDAY(Table2[[#This Row],[Legal Agreement Forecast]], 10)</f>
        <v>139</v>
      </c>
      <c r="CD7" s="103">
        <f ca="1">NETWORKDAYS(Table2[[#This Row],[Executed Agreement]], TODAY())</f>
        <v>32751</v>
      </c>
      <c r="CE7" t="s">
        <v>91</v>
      </c>
      <c r="CF7" t="s">
        <v>137</v>
      </c>
      <c r="CG7" s="103"/>
      <c r="CH7" s="3"/>
      <c r="CI7" s="3">
        <f>WORKDAY(Table2[[#This Row],[Executed Agreement]], 7)</f>
        <v>10</v>
      </c>
      <c r="CJ7" s="103">
        <f ca="1">NETWORKDAYS(Table2[[#This Row],[A&amp;E Request]], TODAY())</f>
        <v>32751</v>
      </c>
      <c r="CL7" s="3">
        <f>WORKDAY(Table2[[#This Row],[A&amp;E Request Forecast]], 10)</f>
        <v>24</v>
      </c>
      <c r="CM7" s="103">
        <f ca="1">NETWORKDAYS(Table2[[#This Row],[A&amp;E receive]], TODAY())</f>
        <v>32751</v>
      </c>
      <c r="CO7" s="3">
        <f>WORKDAY(Table2[[#This Row],[FM Approval meeting ]], 10)</f>
        <v>13</v>
      </c>
      <c r="CP7" s="103">
        <f ca="1">NETWORKDAYS(Table2[[#This Row],[Budget Request]], TODAY())</f>
        <v>32751</v>
      </c>
      <c r="CR7" s="3">
        <f>WORKDAY(Table2[[#This Row],[Budget Request Forecast]], 7)</f>
        <v>24</v>
      </c>
      <c r="CS7" s="103">
        <f ca="1">NETWORKDAYS(Table2[[#This Row],[Budget Approval]], TODAY())</f>
        <v>32751</v>
      </c>
      <c r="CV7" s="3">
        <f>WORKDAY(Table2[[#This Row],[Budget Approval Forecast ]], 7)</f>
        <v>33</v>
      </c>
      <c r="CW7" s="103">
        <f ca="1">NETWORKDAYS(Table2[[#This Row],[PO Request for OEM ]], TODAY())</f>
        <v>32751</v>
      </c>
      <c r="CY7" s="3">
        <f>WORKDAY(Table2[[#This Row],[PO Request for OEM Forecast]], 10)</f>
        <v>47</v>
      </c>
      <c r="CZ7" s="103">
        <f ca="1">NETWORKDAYS(Table2[[#This Row],[PO Approval]], TODAY())</f>
        <v>32751</v>
      </c>
      <c r="DB7" s="3">
        <f>WORKDAY(Table2[[#This Row],[PO Approval Forecast]], 10)</f>
        <v>61</v>
      </c>
      <c r="DC7" s="103">
        <f ca="1">NETWORKDAYS(Table2[[#This Row],[backhaul ordered]], TODAY())</f>
        <v>32751</v>
      </c>
      <c r="DE7" s="3">
        <f>WORKDAY(Table2[[#This Row],[Backhaul Order Forecast]], 10)</f>
        <v>75</v>
      </c>
      <c r="DF7" s="103">
        <f ca="1">NETWORKDAYS(Table2[[#This Row],[RTP Request]], TODAY())</f>
        <v>32751</v>
      </c>
      <c r="DG7" s="3"/>
      <c r="DH7" s="3">
        <f>WORKDAY(Table2[[#This Row],[RTP Request Forecast]], 10)</f>
        <v>89</v>
      </c>
      <c r="DI7" s="103">
        <f ca="1">NETWORKDAYS(Table2[[#This Row],[RTP Approved]], TODAY())</f>
        <v>32751</v>
      </c>
      <c r="DK7" s="3">
        <f>WORKDAY(Table2[[#This Row],[RTP Approval Forecast ]], 7)</f>
        <v>100</v>
      </c>
      <c r="DL7" s="103">
        <f ca="1">NETWORKDAYS(Table2[[#This Row],[RFP Request]], TODAY())</f>
        <v>32751</v>
      </c>
      <c r="DN7" s="3">
        <f>WORKDAY(Table2[[#This Row],[RFP Request Forecast ]], 10)</f>
        <v>114</v>
      </c>
      <c r="DO7" s="103">
        <f ca="1">NETWORKDAYS(Table2[[#This Row],[RFP Received]], TODAY())</f>
        <v>32751</v>
      </c>
      <c r="DQ7" s="3">
        <f>WORKDAY(Table2[[#This Row],[RFP Received Forecast ]], 7)</f>
        <v>123</v>
      </c>
      <c r="DR7" s="103">
        <f ca="1">NETWORKDAYS(Table2[[#This Row],[PO for GC Request]], TODAY())</f>
        <v>32751</v>
      </c>
      <c r="DT7" s="3">
        <f>WORKDAY(Table2[[#This Row],[PO for GC Request Forecast ]], 7)</f>
        <v>132</v>
      </c>
      <c r="DU7" s="103">
        <f ca="1">NETWORKDAYS(Table2[[#This Row],[PO for GC Approved]], TODAY())</f>
        <v>32751</v>
      </c>
      <c r="DW7" s="3">
        <f>WORKDAY(Table2[[#This Row],[PO for GC Approval Forecast ]], 10)</f>
        <v>146</v>
      </c>
      <c r="DX7" s="103">
        <f ca="1">NETWORKDAYS(Table2[[#This Row],[Construction Start]], TODAY())</f>
        <v>32751</v>
      </c>
      <c r="DZ7" s="3">
        <f>WORKDAY(Table2[[#This Row],[Construction Start Forecast ]], 20)</f>
        <v>174</v>
      </c>
      <c r="EA7" s="103">
        <f ca="1">NETWORKDAYS(Table2[[#This Row],[Construction Complete]], TODAY())</f>
        <v>32751</v>
      </c>
      <c r="ED7" s="3">
        <f>WORKDAY(Table2[[#This Row],[Construction Complete Forecast ]], 10)</f>
        <v>188</v>
      </c>
      <c r="EE7" s="103">
        <f ca="1">NETWORKDAYS(Table2[[#This Row],[Integration Start]], TODAY())</f>
        <v>32751</v>
      </c>
      <c r="EF7" s="3"/>
      <c r="EG7" s="3">
        <f>WORKDAY(Table2[[#This Row],[Integration Start Forecast ]], 10)</f>
        <v>202</v>
      </c>
      <c r="EH7" s="103">
        <f ca="1">NETWORKDAYS(Table2[[#This Row],[Integration Complete]], TODAY())</f>
        <v>32751</v>
      </c>
      <c r="EJ7" s="3">
        <f>WORKDAY(Table2[[#This Row],[Integration Complete Forecast ]], 10)</f>
        <v>216</v>
      </c>
      <c r="EK7" s="103">
        <f ca="1">NETWORKDAYS(Table2[[#This Row],[Close Out Package(2weeks from integration complete]], TODAY())</f>
        <v>32751</v>
      </c>
      <c r="EM7" s="3">
        <f>WORKDAY(Table2[[#This Row],[Close Out Package Forecast ]], 10)</f>
        <v>230</v>
      </c>
      <c r="EN7" s="103">
        <f ca="1">NETWORKDAYS(Table2[[#This Row],[Acceptance testing 2 weeks from close out package)]], TODAY())</f>
        <v>32751</v>
      </c>
      <c r="EP7" s="3">
        <f>WORKDAY(Table2[[#This Row],[Acceptance Testing Forecast ]], 20)</f>
        <v>258</v>
      </c>
      <c r="EQ7" s="103">
        <f ca="1">NETWORKDAYS(Table2[[#This Row],[Customer acceptance(1 month after acceptance testing)]], TODAY())</f>
        <v>32751</v>
      </c>
      <c r="ES7" s="3">
        <f>WORKDAY(Table2[[#This Row],[Customer Acceptance Forecast ]], 5)</f>
        <v>265</v>
      </c>
      <c r="ET7" s="103">
        <f ca="1">NETWORKDAYS(Table2[[#This Row],[Operations handoff(1 week after customer acceptance)]], TODAY())</f>
        <v>32751</v>
      </c>
      <c r="EU7" s="3" t="s">
        <v>138</v>
      </c>
      <c r="EV7" s="3">
        <f>WORKDAY(Table2[[#This Row],[Operations Handoff Forecast ]], 7)</f>
        <v>276</v>
      </c>
      <c r="EW7" s="103" t="e">
        <f ca="1">NETWORKDAYS(Table2[[#This Row],[FNE Date]], TODAY())</f>
        <v>#VALUE!</v>
      </c>
      <c r="EX7" s="3"/>
      <c r="EY7" s="3">
        <f>WORKDAY(Table2[[#This Row],[FNE Date Forecast ]], 7)</f>
        <v>285</v>
      </c>
      <c r="EZ7" s="103">
        <f ca="1">NETWORKDAYS(Table2[[#This Row],[FNE Notice]], TODAY())</f>
        <v>32751</v>
      </c>
      <c r="FA7" s="3"/>
      <c r="FB7" s="3"/>
    </row>
    <row r="8" spans="1:188" x14ac:dyDescent="0.25">
      <c r="A8" t="s">
        <v>101</v>
      </c>
      <c r="B8" t="s">
        <v>139</v>
      </c>
      <c r="C8" s="73" t="s">
        <v>140</v>
      </c>
      <c r="D8" s="103"/>
      <c r="E8" t="s">
        <v>115</v>
      </c>
      <c r="H8" t="s">
        <v>75</v>
      </c>
      <c r="I8">
        <v>264</v>
      </c>
      <c r="J8" s="3">
        <v>45781</v>
      </c>
      <c r="K8" s="3">
        <f>J8+15</f>
        <v>45796</v>
      </c>
      <c r="L8" s="3">
        <v>45734</v>
      </c>
      <c r="M8" s="3">
        <f>WORKDAY(Table2[[#This Row],[Kickoff date]], 7)</f>
        <v>45805</v>
      </c>
      <c r="N8" s="104">
        <f ca="1">NETWORKDAYS(Table2[[#This Row],[ROM Request]], TODAY())</f>
        <v>85</v>
      </c>
      <c r="O8" s="3">
        <v>45768</v>
      </c>
      <c r="P8" s="3">
        <f>WORKDAY(Table2[[#This Row],[ROM Request]], 10)</f>
        <v>45748</v>
      </c>
      <c r="Q8" s="104">
        <f ca="1">NETWORKDAYS(Table2[[#This Row],[ROM Receive]], TODAY())</f>
        <v>61</v>
      </c>
      <c r="R8" s="3">
        <v>45807</v>
      </c>
      <c r="S8" s="3">
        <f>WORKDAY(Table2[[#This Row],[ROM Receive Forecast]], 15)</f>
        <v>45769</v>
      </c>
      <c r="T8" s="104">
        <f ca="1">NETWORKDAYS(Table2[[#This Row],[Backhaul Cost Request]], TODAY())</f>
        <v>32</v>
      </c>
      <c r="U8" s="3">
        <f>R8+22</f>
        <v>45829</v>
      </c>
      <c r="V8" s="3">
        <f>WORKDAY(Table2[[#This Row],[Backhaul Cost Request Forecast]], 15)</f>
        <v>45790</v>
      </c>
      <c r="W8" s="104">
        <f ca="1">NETWORKDAYS(Table2[[#This Row],[Backhaul Cost Receive]], TODAY())</f>
        <v>16</v>
      </c>
      <c r="X8" s="3">
        <f>Table2[[#This Row],[Kickoff date]]</f>
        <v>45796</v>
      </c>
      <c r="Y8" s="3">
        <f>WORKDAY(Table2[[#This Row],[Backhaul Cost Request Forecast]], 7)</f>
        <v>45778</v>
      </c>
      <c r="Z8" s="104">
        <f ca="1">NETWORKDAYS(Table2[[#This Row],[OSP Request]], TODAY())</f>
        <v>41</v>
      </c>
      <c r="AA8" s="3">
        <v>45779</v>
      </c>
      <c r="AB8" s="3">
        <f>WORKDAY(Table2[[#This Row],[OSP Request Forecast]], 10)</f>
        <v>45792</v>
      </c>
      <c r="AC8" s="104">
        <f ca="1">NETWORKDAYS(Table2[[#This Row],[OSP Receive]], TODAY())</f>
        <v>52</v>
      </c>
      <c r="AD8" s="3">
        <f>Table2[[#This Row],[Kickoff date]]</f>
        <v>45796</v>
      </c>
      <c r="AE8" s="3">
        <f>WORKDAY(Table2[[#This Row],[Kickoff date]], 7)</f>
        <v>45805</v>
      </c>
      <c r="AF8" s="104">
        <f ca="1">NETWORKDAYS(Table2[[#This Row],[FM Request]], TODAY())</f>
        <v>41</v>
      </c>
      <c r="AG8" s="3"/>
      <c r="AH8" s="3">
        <f>WORKDAY(Table2[[#This Row],[FM Request Forecast ]], 2)</f>
        <v>45807</v>
      </c>
      <c r="AI8" s="104">
        <f ca="1">NETWORKDAYS(Table2[[#This Row],[FM receive]], TODAY())</f>
        <v>32751</v>
      </c>
      <c r="AJ8" s="3"/>
      <c r="AK8" s="3">
        <f>WORKDAY(Table2[[#This Row],[FM Receive Forecast ]], 2)</f>
        <v>45811</v>
      </c>
      <c r="AM8" s="3">
        <f>K8+11</f>
        <v>45807</v>
      </c>
      <c r="AN8" s="3"/>
      <c r="AO8" s="3">
        <f>WORKDAY(Table2[[#This Row],[1-pager Submission to BD]], 7)</f>
        <v>45818</v>
      </c>
      <c r="AP8" s="103">
        <f ca="1">IF(ISBLANK(Table2[[#This Row],[Firm Pricing request]]), NETWORKDAYS(Table2[[#This Row],[Proposal Accepted]], TODAY()), NETWORKDAYS(Table2[[#This Row],[Proposal Accepted]], Table2[[#This Row],[Firm Pricing request]]))</f>
        <v>32751</v>
      </c>
      <c r="AQ8" s="3"/>
      <c r="AR8" s="3">
        <f>WORKDAY(Table2[[#This Row],[Proposal Acceptance Forecast]], 7)</f>
        <v>45827</v>
      </c>
      <c r="AS8" s="103">
        <f ca="1">NETWORKDAYS(Table2[[#This Row],[Firm Pricing request]], TODAY())</f>
        <v>32751</v>
      </c>
      <c r="AT8" s="3"/>
      <c r="AU8" s="3">
        <f>WORKDAY(Table2[[#This Row],[Firm Pricing Request Forecast]], 7)</f>
        <v>45838</v>
      </c>
      <c r="AV8" s="103">
        <f ca="1">NETWORKDAYS(Table2[[#This Row],[Site Walk]], TODAY())</f>
        <v>32751</v>
      </c>
      <c r="AW8" s="3"/>
      <c r="AX8" s="3">
        <f>WORKDAY(Table2[[#This Row],[Site Walk Forecast]], 7)</f>
        <v>45847</v>
      </c>
      <c r="AY8" s="103">
        <f ca="1">NETWORKDAYS(Table2[[#This Row],[Firm Quote Receival]], TODAY())</f>
        <v>32751</v>
      </c>
      <c r="AZ8" s="3"/>
      <c r="BA8" s="3">
        <f>WORKDAY(Table2[[#This Row],[Firm Quote Receival Forecast ]], 7)</f>
        <v>45856</v>
      </c>
      <c r="BB8" s="103">
        <f ca="1">NETWORKDAYS(Table2[[#This Row],[Final Design &amp; BOM(20 calendar days from site walk)]], TODAY())</f>
        <v>32751</v>
      </c>
      <c r="BC8" s="3"/>
      <c r="BD8" s="3">
        <f>WORKDAY(Table2[[#This Row],[Final Design &amp; BOM Forecast ]], 7)</f>
        <v>45867</v>
      </c>
      <c r="BE8" s="103">
        <f ca="1">NETWORKDAYS(Table2[[#This Row],[FM Request 2]], TODAY())</f>
        <v>32751</v>
      </c>
      <c r="BF8" s="3"/>
      <c r="BG8" s="3">
        <f>WORKDAY(Table2[[#This Row],[FM Request 2 Forecast]], 7)</f>
        <v>45876</v>
      </c>
      <c r="BH8" s="103"/>
      <c r="BI8" s="3"/>
      <c r="BJ8" s="3">
        <f>WORKDAY(Table2[[#This Row],[FM Review 2 Forecast]], 7)</f>
        <v>45887</v>
      </c>
      <c r="BK8" s="103">
        <f ca="1">NETWORKDAYS(Table2[[#This Row],[Tax Review]], TODAY())</f>
        <v>32751</v>
      </c>
      <c r="BL8" s="3"/>
      <c r="BM8" s="3">
        <f>WORKDAY(Table2[[#This Row],[Tax Review]], 7)</f>
        <v>10</v>
      </c>
      <c r="BN8" s="103">
        <f ca="1">NETWORKDAYS(Table2[[#This Row],[Tax Approval]], TODAY())</f>
        <v>32751</v>
      </c>
      <c r="BO8" s="3"/>
      <c r="BP8" s="3">
        <f>WORKDAY(Table2[[#This Row],[Tax Approval Forecast]], 7)</f>
        <v>19</v>
      </c>
      <c r="BQ8" s="103">
        <f ca="1">NETWORKDAYS(Table2[[#This Row],[Final proposal submission]], TODAY())</f>
        <v>32751</v>
      </c>
      <c r="BR8" s="3"/>
      <c r="BS8" s="3"/>
      <c r="BT8" s="3">
        <f>WORKDAY(Table2[[#This Row],[Final Proposal Submission Forecast]], 7)</f>
        <v>30</v>
      </c>
      <c r="BU8" s="103">
        <f ca="1">NETWORKDAYS(Table2[[#This Row],[BD submits proposal]], TODAY())</f>
        <v>32751</v>
      </c>
      <c r="BV8" s="3"/>
      <c r="BW8" s="3">
        <f>WORKDAY(Table2[[#This Row],[BD Submits Proposal Forecast]], 7)</f>
        <v>39</v>
      </c>
      <c r="BX8" s="103">
        <f ca="1">NETWORKDAYS(Table2[[#This Row],[Final Proposal Accepted]], TODAY())</f>
        <v>32751</v>
      </c>
      <c r="BY8" s="3"/>
      <c r="BZ8" s="3">
        <f>WORKDAY(Table2[[#This Row],[Final Proposal Accepted]], 90)</f>
        <v>125</v>
      </c>
      <c r="CA8" s="103">
        <f ca="1">NETWORKDAYS(Table2[[#This Row],[Legal Agreement]], TODAY())</f>
        <v>32751</v>
      </c>
      <c r="CB8" s="3"/>
      <c r="CC8" s="3">
        <f>WORKDAY(Table2[[#This Row],[Legal Agreement Forecast]], 10)</f>
        <v>139</v>
      </c>
      <c r="CD8" s="103">
        <f ca="1">NETWORKDAYS(Table2[[#This Row],[Executed Agreement]], TODAY())</f>
        <v>32751</v>
      </c>
      <c r="CE8" t="s">
        <v>91</v>
      </c>
      <c r="CF8" t="s">
        <v>141</v>
      </c>
      <c r="CG8" s="103"/>
      <c r="CH8" s="3"/>
      <c r="CI8" s="3">
        <f>WORKDAY(Table2[[#This Row],[Executed Agreement]], 7)</f>
        <v>10</v>
      </c>
      <c r="CJ8" s="103">
        <f ca="1">NETWORKDAYS(Table2[[#This Row],[A&amp;E Request]], TODAY())</f>
        <v>32751</v>
      </c>
      <c r="CL8" s="3">
        <f>WORKDAY(Table2[[#This Row],[A&amp;E Request Forecast]], 10)</f>
        <v>24</v>
      </c>
      <c r="CM8" s="103">
        <f ca="1">NETWORKDAYS(Table2[[#This Row],[A&amp;E receive]], TODAY())</f>
        <v>32751</v>
      </c>
      <c r="CN8" s="3">
        <v>43831</v>
      </c>
      <c r="CO8" s="3">
        <f>WORKDAY(Table2[[#This Row],[FM Approval meeting ]], 10)</f>
        <v>13</v>
      </c>
      <c r="CP8" s="103">
        <f ca="1">NETWORKDAYS(Table2[[#This Row],[Budget Request]], TODAY())</f>
        <v>1444</v>
      </c>
      <c r="CR8" s="3">
        <f>WORKDAY(Table2[[#This Row],[Budget Request Forecast]], 7)</f>
        <v>24</v>
      </c>
      <c r="CS8" s="103">
        <f ca="1">NETWORKDAYS(Table2[[#This Row],[Budget Approval]], TODAY())</f>
        <v>32751</v>
      </c>
      <c r="CV8" s="3">
        <f>WORKDAY(Table2[[#This Row],[Budget Approval Forecast ]], 7)</f>
        <v>33</v>
      </c>
      <c r="CW8" s="103">
        <f ca="1">NETWORKDAYS(Table2[[#This Row],[PO Request for OEM ]], TODAY())</f>
        <v>32751</v>
      </c>
      <c r="CY8" s="3">
        <f>WORKDAY(Table2[[#This Row],[PO Request for OEM Forecast]], 10)</f>
        <v>47</v>
      </c>
      <c r="CZ8" s="103">
        <f ca="1">NETWORKDAYS(Table2[[#This Row],[PO Approval]], TODAY())</f>
        <v>32751</v>
      </c>
      <c r="DB8" s="3">
        <f>WORKDAY(Table2[[#This Row],[PO Approval Forecast]], 10)</f>
        <v>61</v>
      </c>
      <c r="DC8" s="103">
        <f ca="1">NETWORKDAYS(Table2[[#This Row],[backhaul ordered]], TODAY())</f>
        <v>32751</v>
      </c>
      <c r="DE8" s="3">
        <f>WORKDAY(Table2[[#This Row],[Backhaul Order Forecast]], 10)</f>
        <v>75</v>
      </c>
      <c r="DF8" s="103">
        <f ca="1">NETWORKDAYS(Table2[[#This Row],[RTP Request]], TODAY())</f>
        <v>32751</v>
      </c>
      <c r="DG8" s="3"/>
      <c r="DH8" s="3">
        <f>WORKDAY(Table2[[#This Row],[RTP Request Forecast]], 10)</f>
        <v>89</v>
      </c>
      <c r="DI8" s="103">
        <f ca="1">NETWORKDAYS(Table2[[#This Row],[RTP Approved]], TODAY())</f>
        <v>32751</v>
      </c>
      <c r="DK8" s="3">
        <f>WORKDAY(Table2[[#This Row],[RTP Approval Forecast ]], 7)</f>
        <v>100</v>
      </c>
      <c r="DL8" s="103">
        <f ca="1">NETWORKDAYS(Table2[[#This Row],[RFP Request]], TODAY())</f>
        <v>32751</v>
      </c>
      <c r="DN8" s="3">
        <f>WORKDAY(Table2[[#This Row],[RFP Request Forecast ]], 10)</f>
        <v>114</v>
      </c>
      <c r="DO8" s="103">
        <f ca="1">NETWORKDAYS(Table2[[#This Row],[RFP Received]], TODAY())</f>
        <v>32751</v>
      </c>
      <c r="DQ8" s="3">
        <f>WORKDAY(Table2[[#This Row],[RFP Received Forecast ]], 7)</f>
        <v>123</v>
      </c>
      <c r="DR8" s="103">
        <f ca="1">NETWORKDAYS(Table2[[#This Row],[PO for GC Request]], TODAY())</f>
        <v>32751</v>
      </c>
      <c r="DT8" s="3">
        <f>WORKDAY(Table2[[#This Row],[PO for GC Request Forecast ]], 7)</f>
        <v>132</v>
      </c>
      <c r="DU8" s="103">
        <f ca="1">NETWORKDAYS(Table2[[#This Row],[PO for GC Approved]], TODAY())</f>
        <v>32751</v>
      </c>
      <c r="DW8" s="3">
        <f>WORKDAY(Table2[[#This Row],[PO for GC Approval Forecast ]], 10)</f>
        <v>146</v>
      </c>
      <c r="DX8" s="103">
        <f ca="1">NETWORKDAYS(Table2[[#This Row],[Construction Start]], TODAY())</f>
        <v>32751</v>
      </c>
      <c r="DZ8" s="3">
        <f>WORKDAY(Table2[[#This Row],[Construction Start Forecast ]], 20)</f>
        <v>174</v>
      </c>
      <c r="EA8" s="103">
        <f ca="1">NETWORKDAYS(Table2[[#This Row],[Construction Complete]], TODAY())</f>
        <v>32751</v>
      </c>
      <c r="ED8" s="3">
        <f>WORKDAY(Table2[[#This Row],[Construction Complete Forecast ]], 10)</f>
        <v>188</v>
      </c>
      <c r="EE8" s="103">
        <f ca="1">NETWORKDAYS(Table2[[#This Row],[Integration Start]], TODAY())</f>
        <v>32751</v>
      </c>
      <c r="EF8" s="3"/>
      <c r="EG8" s="3">
        <f>WORKDAY(Table2[[#This Row],[Integration Start Forecast ]], 10)</f>
        <v>202</v>
      </c>
      <c r="EH8" s="103">
        <f ca="1">NETWORKDAYS(Table2[[#This Row],[Integration Complete]], TODAY())</f>
        <v>32751</v>
      </c>
      <c r="EJ8" s="3">
        <f>WORKDAY(Table2[[#This Row],[Integration Complete Forecast ]], 10)</f>
        <v>216</v>
      </c>
      <c r="EK8" s="103">
        <f ca="1">NETWORKDAYS(Table2[[#This Row],[Close Out Package(2weeks from integration complete]], TODAY())</f>
        <v>32751</v>
      </c>
      <c r="EM8" s="3">
        <f>WORKDAY(Table2[[#This Row],[Close Out Package Forecast ]], 10)</f>
        <v>230</v>
      </c>
      <c r="EN8" s="103">
        <f ca="1">NETWORKDAYS(Table2[[#This Row],[Acceptance testing 2 weeks from close out package)]], TODAY())</f>
        <v>32751</v>
      </c>
      <c r="EP8" s="3">
        <f>WORKDAY(Table2[[#This Row],[Acceptance Testing Forecast ]], 20)</f>
        <v>258</v>
      </c>
      <c r="EQ8" s="103">
        <f ca="1">NETWORKDAYS(Table2[[#This Row],[Customer acceptance(1 month after acceptance testing)]], TODAY())</f>
        <v>32751</v>
      </c>
      <c r="ES8" s="3">
        <f>WORKDAY(Table2[[#This Row],[Customer Acceptance Forecast ]], 5)</f>
        <v>265</v>
      </c>
      <c r="ET8" s="103">
        <f ca="1">NETWORKDAYS(Table2[[#This Row],[Operations handoff(1 week after customer acceptance)]], TODAY())</f>
        <v>32751</v>
      </c>
      <c r="EU8" s="3" t="s">
        <v>138</v>
      </c>
      <c r="EV8" s="3">
        <f>WORKDAY(Table2[[#This Row],[Operations Handoff Forecast ]], 7)</f>
        <v>276</v>
      </c>
      <c r="EW8" s="103" t="e">
        <f ca="1">NETWORKDAYS(Table2[[#This Row],[FNE Date]], TODAY())</f>
        <v>#VALUE!</v>
      </c>
      <c r="EX8" s="3"/>
      <c r="EY8" s="3">
        <f>WORKDAY(Table2[[#This Row],[FNE Date Forecast ]], 7)</f>
        <v>285</v>
      </c>
      <c r="EZ8" s="103">
        <f ca="1">NETWORKDAYS(Table2[[#This Row],[FNE Notice]], TODAY())</f>
        <v>32751</v>
      </c>
      <c r="FA8" s="3"/>
      <c r="FB8" s="3"/>
    </row>
    <row r="9" spans="1:188" x14ac:dyDescent="0.25">
      <c r="A9" t="s">
        <v>110</v>
      </c>
      <c r="B9" t="s">
        <v>72</v>
      </c>
      <c r="C9" s="77" t="s">
        <v>146</v>
      </c>
      <c r="D9" s="103"/>
      <c r="E9" t="s">
        <v>74</v>
      </c>
      <c r="H9" t="s">
        <v>75</v>
      </c>
      <c r="I9">
        <v>210</v>
      </c>
      <c r="J9" s="3">
        <v>45785</v>
      </c>
      <c r="K9" s="3">
        <f>J9+12</f>
        <v>45797</v>
      </c>
      <c r="L9" s="3">
        <v>45761</v>
      </c>
      <c r="M9" s="3">
        <f>WORKDAY(Table2[[#This Row],[Kickoff date]], 7)</f>
        <v>45806</v>
      </c>
      <c r="N9" s="104">
        <f ca="1">NETWORKDAYS(Table2[[#This Row],[ROM Request]], TODAY())</f>
        <v>66</v>
      </c>
      <c r="O9" s="3">
        <v>45779</v>
      </c>
      <c r="P9" s="3">
        <f>WORKDAY(Table2[[#This Row],[ROM Request]], 10)</f>
        <v>45775</v>
      </c>
      <c r="Q9" s="104">
        <f ca="1">NETWORKDAYS(Table2[[#This Row],[ROM Receive]], TODAY())</f>
        <v>52</v>
      </c>
      <c r="R9" s="3">
        <v>45761</v>
      </c>
      <c r="S9" s="3">
        <f>WORKDAY(Table2[[#This Row],[ROM Receive Forecast]], 15)</f>
        <v>45796</v>
      </c>
      <c r="T9" s="104">
        <f ca="1">NETWORKDAYS(Table2[[#This Row],[Backhaul Cost Request]], TODAY())</f>
        <v>66</v>
      </c>
      <c r="U9" s="3">
        <v>45790</v>
      </c>
      <c r="V9" s="3">
        <f>WORKDAY(Table2[[#This Row],[Backhaul Cost Request Forecast]], 15)</f>
        <v>45817</v>
      </c>
      <c r="W9" s="104">
        <f ca="1">NETWORKDAYS(Table2[[#This Row],[Backhaul Cost Receive]], TODAY())</f>
        <v>45</v>
      </c>
      <c r="X9" s="3">
        <f>Table2[[#This Row],[Kickoff date]]</f>
        <v>45797</v>
      </c>
      <c r="Y9" s="3">
        <f>WORKDAY(Table2[[#This Row],[Backhaul Cost Request Forecast]], 7)</f>
        <v>45805</v>
      </c>
      <c r="Z9" s="104">
        <f ca="1">NETWORKDAYS(Table2[[#This Row],[OSP Request]], TODAY())</f>
        <v>40</v>
      </c>
      <c r="AA9" s="3">
        <v>45793</v>
      </c>
      <c r="AB9" s="3">
        <f>WORKDAY(Table2[[#This Row],[OSP Request Forecast]], 10)</f>
        <v>45819</v>
      </c>
      <c r="AC9" s="104">
        <f ca="1">NETWORKDAYS(Table2[[#This Row],[OSP Receive]], TODAY())</f>
        <v>42</v>
      </c>
      <c r="AD9" s="3">
        <f>Table2[[#This Row],[Kickoff date]]</f>
        <v>45797</v>
      </c>
      <c r="AE9" s="3">
        <f>WORKDAY(Table2[[#This Row],[Kickoff date]], 7)</f>
        <v>45806</v>
      </c>
      <c r="AF9" s="104">
        <f ca="1">NETWORKDAYS(Table2[[#This Row],[FM Request]], TODAY())</f>
        <v>40</v>
      </c>
      <c r="AG9" s="3">
        <v>45792</v>
      </c>
      <c r="AH9" s="3">
        <f>WORKDAY(Table2[[#This Row],[FM Request Forecast ]], 2)</f>
        <v>45810</v>
      </c>
      <c r="AI9" s="104">
        <f ca="1">NETWORKDAYS(Table2[[#This Row],[FM receive]], TODAY())</f>
        <v>43</v>
      </c>
      <c r="AJ9" s="3"/>
      <c r="AK9" s="3">
        <f>WORKDAY(Table2[[#This Row],[FM Receive Forecast ]], 2)</f>
        <v>45812</v>
      </c>
      <c r="AL9" s="3"/>
      <c r="AM9" s="3">
        <f>K9+8</f>
        <v>45805</v>
      </c>
      <c r="AN9" s="3"/>
      <c r="AO9" s="3">
        <f>WORKDAY(Table2[[#This Row],[1-pager Submission to BD]], 7)</f>
        <v>45814</v>
      </c>
      <c r="AP9" s="103">
        <f ca="1">IF(ISBLANK(Table2[[#This Row],[Firm Pricing request]]), NETWORKDAYS(Table2[[#This Row],[Proposal Accepted]], TODAY()), NETWORKDAYS(Table2[[#This Row],[Proposal Accepted]], Table2[[#This Row],[Firm Pricing request]]))</f>
        <v>32751</v>
      </c>
      <c r="AQ9" s="3"/>
      <c r="AR9" s="3">
        <f>WORKDAY(Table2[[#This Row],[Proposal Acceptance Forecast]], 7)</f>
        <v>45825</v>
      </c>
      <c r="AS9" s="103">
        <f ca="1">NETWORKDAYS(Table2[[#This Row],[Firm Pricing request]], TODAY())</f>
        <v>32751</v>
      </c>
      <c r="AT9" s="3"/>
      <c r="AU9" s="3">
        <f>WORKDAY(Table2[[#This Row],[Firm Pricing Request Forecast]], 7)</f>
        <v>45834</v>
      </c>
      <c r="AV9" s="103">
        <f ca="1">NETWORKDAYS(Table2[[#This Row],[Site Walk]], TODAY())</f>
        <v>32751</v>
      </c>
      <c r="AW9" s="3"/>
      <c r="AX9" s="3">
        <f>WORKDAY(Table2[[#This Row],[Site Walk Forecast]], 7)</f>
        <v>45845</v>
      </c>
      <c r="AY9" s="103">
        <f ca="1">NETWORKDAYS(Table2[[#This Row],[Firm Quote Receival]], TODAY())</f>
        <v>32751</v>
      </c>
      <c r="AZ9" s="3"/>
      <c r="BA9" s="3">
        <f>WORKDAY(Table2[[#This Row],[Firm Quote Receival Forecast ]], 7)</f>
        <v>45854</v>
      </c>
      <c r="BB9" s="103">
        <f ca="1">NETWORKDAYS(Table2[[#This Row],[Final Design &amp; BOM(20 calendar days from site walk)]], TODAY())</f>
        <v>32751</v>
      </c>
      <c r="BC9" s="3"/>
      <c r="BD9" s="3">
        <f>WORKDAY(Table2[[#This Row],[Final Design &amp; BOM Forecast ]], 7)</f>
        <v>45863</v>
      </c>
      <c r="BE9" s="103">
        <f ca="1">NETWORKDAYS(Table2[[#This Row],[FM Request 2]], TODAY())</f>
        <v>32751</v>
      </c>
      <c r="BF9" s="3"/>
      <c r="BG9" s="3">
        <f>WORKDAY(Table2[[#This Row],[FM Request 2 Forecast]], 7)</f>
        <v>45874</v>
      </c>
      <c r="BH9" s="103"/>
      <c r="BI9" s="3"/>
      <c r="BJ9" s="3">
        <f>WORKDAY(Table2[[#This Row],[FM Review 2 Forecast]], 7)</f>
        <v>45883</v>
      </c>
      <c r="BK9" s="103">
        <f ca="1">NETWORKDAYS(Table2[[#This Row],[Tax Review]], TODAY())</f>
        <v>32751</v>
      </c>
      <c r="BL9" s="3"/>
      <c r="BM9" s="3">
        <f>WORKDAY(Table2[[#This Row],[Tax Review]], 7)</f>
        <v>10</v>
      </c>
      <c r="BN9" s="103">
        <f ca="1">NETWORKDAYS(Table2[[#This Row],[Tax Approval]], TODAY())</f>
        <v>32751</v>
      </c>
      <c r="BO9" s="3"/>
      <c r="BP9" s="3">
        <f>WORKDAY(Table2[[#This Row],[Tax Approval Forecast]], 7)</f>
        <v>19</v>
      </c>
      <c r="BQ9" s="103">
        <f ca="1">NETWORKDAYS(Table2[[#This Row],[Final proposal submission]], TODAY())</f>
        <v>32751</v>
      </c>
      <c r="BR9" s="3"/>
      <c r="BS9" s="3"/>
      <c r="BT9" s="3">
        <f>WORKDAY(Table2[[#This Row],[Final Proposal Submission Forecast]], 7)</f>
        <v>30</v>
      </c>
      <c r="BU9" s="103">
        <f ca="1">NETWORKDAYS(Table2[[#This Row],[BD submits proposal]], TODAY())</f>
        <v>32751</v>
      </c>
      <c r="BV9" s="3"/>
      <c r="BW9" s="3">
        <f>WORKDAY(Table2[[#This Row],[BD Submits Proposal Forecast]], 7)</f>
        <v>39</v>
      </c>
      <c r="BX9" s="103">
        <f ca="1">NETWORKDAYS(Table2[[#This Row],[Final Proposal Accepted]], TODAY())</f>
        <v>32751</v>
      </c>
      <c r="BY9" s="3"/>
      <c r="BZ9" s="3">
        <f>WORKDAY(Table2[[#This Row],[Final Proposal Accepted]], 90)</f>
        <v>125</v>
      </c>
      <c r="CA9" s="103">
        <f ca="1">NETWORKDAYS(Table2[[#This Row],[Legal Agreement]], TODAY())</f>
        <v>32751</v>
      </c>
      <c r="CB9" s="3"/>
      <c r="CC9" s="3">
        <f>WORKDAY(Table2[[#This Row],[Legal Agreement Forecast]], 10)</f>
        <v>139</v>
      </c>
      <c r="CD9" s="103">
        <f ca="1">NETWORKDAYS(Table2[[#This Row],[Executed Agreement]], TODAY())</f>
        <v>32751</v>
      </c>
      <c r="CE9" t="s">
        <v>76</v>
      </c>
      <c r="CF9" t="s">
        <v>147</v>
      </c>
      <c r="CG9" s="103"/>
      <c r="CH9" s="3"/>
      <c r="CI9" s="3">
        <f>WORKDAY(Table2[[#This Row],[Executed Agreement]], 7)</f>
        <v>10</v>
      </c>
      <c r="CJ9" s="103">
        <f ca="1">NETWORKDAYS(Table2[[#This Row],[A&amp;E Request]], TODAY())</f>
        <v>32751</v>
      </c>
      <c r="CL9" s="3">
        <f>WORKDAY(Table2[[#This Row],[A&amp;E Request Forecast]], 10)</f>
        <v>24</v>
      </c>
      <c r="CM9" s="103">
        <f ca="1">NETWORKDAYS(Table2[[#This Row],[A&amp;E receive]], TODAY())</f>
        <v>32751</v>
      </c>
      <c r="CN9" s="3"/>
      <c r="CO9" s="3">
        <f>WORKDAY(Table2[[#This Row],[FM Approval meeting ]], 10)</f>
        <v>13</v>
      </c>
      <c r="CP9" s="103">
        <f ca="1">NETWORKDAYS(Table2[[#This Row],[Budget Request]], TODAY())</f>
        <v>32751</v>
      </c>
      <c r="CR9" s="3">
        <f>WORKDAY(Table2[[#This Row],[Budget Request Forecast]], 7)</f>
        <v>24</v>
      </c>
      <c r="CS9" s="103">
        <f ca="1">NETWORKDAYS(Table2[[#This Row],[Budget Approval]], TODAY())</f>
        <v>32751</v>
      </c>
      <c r="CT9" s="3"/>
      <c r="CU9" s="3"/>
      <c r="CV9" s="3">
        <f>WORKDAY(Table2[[#This Row],[Budget Approval Forecast ]], 7)</f>
        <v>33</v>
      </c>
      <c r="CW9" s="103">
        <f ca="1">NETWORKDAYS(Table2[[#This Row],[PO Request for OEM ]], TODAY())</f>
        <v>32751</v>
      </c>
      <c r="CY9" s="3">
        <f>WORKDAY(Table2[[#This Row],[PO Request for OEM Forecast]], 10)</f>
        <v>47</v>
      </c>
      <c r="CZ9" s="103">
        <f ca="1">NETWORKDAYS(Table2[[#This Row],[PO Approval]], TODAY())</f>
        <v>32751</v>
      </c>
      <c r="DA9" s="3"/>
      <c r="DB9" s="3">
        <f>WORKDAY(Table2[[#This Row],[PO Approval Forecast]], 10)</f>
        <v>61</v>
      </c>
      <c r="DC9" s="103">
        <f ca="1">NETWORKDAYS(Table2[[#This Row],[backhaul ordered]], TODAY())</f>
        <v>32751</v>
      </c>
      <c r="DD9" s="3"/>
      <c r="DE9" s="3">
        <f>WORKDAY(Table2[[#This Row],[Backhaul Order Forecast]], 10)</f>
        <v>75</v>
      </c>
      <c r="DF9" s="103">
        <f ca="1">NETWORKDAYS(Table2[[#This Row],[RTP Request]], TODAY())</f>
        <v>32751</v>
      </c>
      <c r="DG9" s="3"/>
      <c r="DH9" s="3">
        <f>WORKDAY(Table2[[#This Row],[RTP Request Forecast]], 10)</f>
        <v>89</v>
      </c>
      <c r="DI9" s="103">
        <f ca="1">NETWORKDAYS(Table2[[#This Row],[RTP Approved]], TODAY())</f>
        <v>32751</v>
      </c>
      <c r="DJ9" s="3"/>
      <c r="DK9" s="3">
        <f>WORKDAY(Table2[[#This Row],[RTP Approval Forecast ]], 7)</f>
        <v>100</v>
      </c>
      <c r="DL9" s="103">
        <f ca="1">NETWORKDAYS(Table2[[#This Row],[RFP Request]], TODAY())</f>
        <v>32751</v>
      </c>
      <c r="DN9" s="3">
        <f>WORKDAY(Table2[[#This Row],[RFP Request Forecast ]], 10)</f>
        <v>114</v>
      </c>
      <c r="DO9" s="103">
        <f ca="1">NETWORKDAYS(Table2[[#This Row],[RFP Received]], TODAY())</f>
        <v>32751</v>
      </c>
      <c r="DP9" s="3"/>
      <c r="DQ9" s="3">
        <f>WORKDAY(Table2[[#This Row],[RFP Received Forecast ]], 7)</f>
        <v>123</v>
      </c>
      <c r="DR9" s="103">
        <f ca="1">NETWORKDAYS(Table2[[#This Row],[PO for GC Request]], TODAY())</f>
        <v>32751</v>
      </c>
      <c r="DT9" s="3">
        <f>WORKDAY(Table2[[#This Row],[PO for GC Request Forecast ]], 7)</f>
        <v>132</v>
      </c>
      <c r="DU9" s="103">
        <f ca="1">NETWORKDAYS(Table2[[#This Row],[PO for GC Approved]], TODAY())</f>
        <v>32751</v>
      </c>
      <c r="DV9" s="3"/>
      <c r="DW9" s="3">
        <f>WORKDAY(Table2[[#This Row],[PO for GC Approval Forecast ]], 10)</f>
        <v>146</v>
      </c>
      <c r="DX9" s="103">
        <f ca="1">NETWORKDAYS(Table2[[#This Row],[Construction Start]], TODAY())</f>
        <v>32751</v>
      </c>
      <c r="DY9" s="3"/>
      <c r="DZ9" s="3">
        <f>WORKDAY(Table2[[#This Row],[Construction Start Forecast ]], 20)</f>
        <v>174</v>
      </c>
      <c r="EA9" s="103">
        <f ca="1">NETWORKDAYS(Table2[[#This Row],[Construction Complete]], TODAY())</f>
        <v>32751</v>
      </c>
      <c r="EB9" s="3"/>
      <c r="EC9" s="3"/>
      <c r="ED9" s="3">
        <f>WORKDAY(Table2[[#This Row],[Construction Complete Forecast ]], 10)</f>
        <v>188</v>
      </c>
      <c r="EE9" s="103">
        <f ca="1">NETWORKDAYS(Table2[[#This Row],[Integration Start]], TODAY())</f>
        <v>32751</v>
      </c>
      <c r="EF9" s="3"/>
      <c r="EG9" s="3">
        <f>WORKDAY(Table2[[#This Row],[Integration Start Forecast ]], 10)</f>
        <v>202</v>
      </c>
      <c r="EH9" s="103">
        <f ca="1">NETWORKDAYS(Table2[[#This Row],[Integration Complete]], TODAY())</f>
        <v>32751</v>
      </c>
      <c r="EJ9" s="3">
        <f>WORKDAY(Table2[[#This Row],[Integration Complete Forecast ]], 10)</f>
        <v>216</v>
      </c>
      <c r="EK9" s="103">
        <f ca="1">NETWORKDAYS(Table2[[#This Row],[Close Out Package(2weeks from integration complete]], TODAY())</f>
        <v>32751</v>
      </c>
      <c r="EM9" s="3">
        <f>WORKDAY(Table2[[#This Row],[Close Out Package Forecast ]], 10)</f>
        <v>230</v>
      </c>
      <c r="EN9" s="103">
        <f ca="1">NETWORKDAYS(Table2[[#This Row],[Acceptance testing 2 weeks from close out package)]], TODAY())</f>
        <v>32751</v>
      </c>
      <c r="EP9" s="3">
        <f>WORKDAY(Table2[[#This Row],[Acceptance Testing Forecast ]], 20)</f>
        <v>258</v>
      </c>
      <c r="EQ9" s="103">
        <f ca="1">NETWORKDAYS(Table2[[#This Row],[Customer acceptance(1 month after acceptance testing)]], TODAY())</f>
        <v>32751</v>
      </c>
      <c r="ES9" s="3">
        <f>WORKDAY(Table2[[#This Row],[Customer Acceptance Forecast ]], 5)</f>
        <v>265</v>
      </c>
      <c r="ET9" s="103">
        <f ca="1">NETWORKDAYS(Table2[[#This Row],[Operations handoff(1 week after customer acceptance)]], TODAY())</f>
        <v>32751</v>
      </c>
      <c r="EU9" s="3" t="s">
        <v>98</v>
      </c>
      <c r="EV9" s="3">
        <f>WORKDAY(Table2[[#This Row],[Operations Handoff Forecast ]], 7)</f>
        <v>276</v>
      </c>
      <c r="EW9" s="103" t="e">
        <f ca="1">NETWORKDAYS(Table2[[#This Row],[FNE Date]], TODAY())</f>
        <v>#VALUE!</v>
      </c>
      <c r="EX9" s="3"/>
      <c r="EY9" s="3">
        <f>WORKDAY(Table2[[#This Row],[FNE Date Forecast ]], 7)</f>
        <v>285</v>
      </c>
      <c r="EZ9" s="103">
        <f ca="1">NETWORKDAYS(Table2[[#This Row],[FNE Notice]], TODAY())</f>
        <v>32751</v>
      </c>
      <c r="FA9" s="3"/>
      <c r="FB9" s="3"/>
    </row>
    <row r="10" spans="1:188" x14ac:dyDescent="0.25">
      <c r="A10" t="s">
        <v>148</v>
      </c>
      <c r="B10" t="s">
        <v>72</v>
      </c>
      <c r="C10" t="s">
        <v>149</v>
      </c>
      <c r="D10" s="103"/>
      <c r="E10" t="s">
        <v>115</v>
      </c>
      <c r="H10" t="s">
        <v>84</v>
      </c>
      <c r="I10">
        <v>102</v>
      </c>
      <c r="J10" s="3">
        <v>45786</v>
      </c>
      <c r="K10" s="3">
        <f>J10+15</f>
        <v>45801</v>
      </c>
      <c r="L10" s="3">
        <v>45783</v>
      </c>
      <c r="M10" s="3">
        <f>WORKDAY(Table2[[#This Row],[Kickoff date]], 7)</f>
        <v>45811</v>
      </c>
      <c r="N10" s="104">
        <f ca="1">NETWORKDAYS(Table2[[#This Row],[ROM Request]], TODAY())</f>
        <v>50</v>
      </c>
      <c r="O10" s="3">
        <v>45798</v>
      </c>
      <c r="P10" s="3">
        <f>WORKDAY(Table2[[#This Row],[ROM Request]], 10)</f>
        <v>45797</v>
      </c>
      <c r="Q10" s="104">
        <f ca="1">NETWORKDAYS(Table2[[#This Row],[ROM Receive]], TODAY())</f>
        <v>39</v>
      </c>
      <c r="R10" s="3">
        <v>45783</v>
      </c>
      <c r="S10" s="3">
        <f>WORKDAY(Table2[[#This Row],[ROM Receive Forecast]], 15)</f>
        <v>45818</v>
      </c>
      <c r="T10" s="104">
        <f ca="1">NETWORKDAYS(Table2[[#This Row],[Backhaul Cost Request]], TODAY())</f>
        <v>50</v>
      </c>
      <c r="U10" s="3">
        <v>45796</v>
      </c>
      <c r="V10" s="3">
        <f>WORKDAY(Table2[[#This Row],[Backhaul Cost Request Forecast]], 15)</f>
        <v>45839</v>
      </c>
      <c r="W10" s="104">
        <f ca="1">NETWORKDAYS(Table2[[#This Row],[Backhaul Cost Receive]], TODAY())</f>
        <v>41</v>
      </c>
      <c r="X10" s="3">
        <f>Table2[[#This Row],[Kickoff date]]</f>
        <v>45801</v>
      </c>
      <c r="Y10" s="3">
        <f>WORKDAY(Table2[[#This Row],[Backhaul Cost Request Forecast]], 7)</f>
        <v>45827</v>
      </c>
      <c r="Z10" s="104">
        <f ca="1">NETWORKDAYS(Table2[[#This Row],[OSP Request]], TODAY())</f>
        <v>36</v>
      </c>
      <c r="AA10" s="3">
        <v>45798</v>
      </c>
      <c r="AB10" s="3">
        <f>WORKDAY(Table2[[#This Row],[OSP Request Forecast]], 10)</f>
        <v>45841</v>
      </c>
      <c r="AC10" s="104">
        <f ca="1">NETWORKDAYS(Table2[[#This Row],[OSP Receive]], TODAY())</f>
        <v>39</v>
      </c>
      <c r="AD10" s="3">
        <f>Table2[[#This Row],[Kickoff date]]</f>
        <v>45801</v>
      </c>
      <c r="AE10" s="3">
        <f>WORKDAY(Table2[[#This Row],[Kickoff date]], 7)</f>
        <v>45811</v>
      </c>
      <c r="AF10" s="104">
        <f ca="1">NETWORKDAYS(Table2[[#This Row],[FM Request]], TODAY())</f>
        <v>36</v>
      </c>
      <c r="AG10" s="3">
        <v>45799</v>
      </c>
      <c r="AH10" s="3">
        <f>WORKDAY(Table2[[#This Row],[FM Request Forecast ]], 2)</f>
        <v>45813</v>
      </c>
      <c r="AI10" s="104">
        <f ca="1">NETWORKDAYS(Table2[[#This Row],[FM receive]], TODAY())</f>
        <v>38</v>
      </c>
      <c r="AJ10" s="3"/>
      <c r="AK10" s="3">
        <f>WORKDAY(Table2[[#This Row],[FM Receive Forecast ]], 2)</f>
        <v>45817</v>
      </c>
      <c r="AL10" s="3"/>
      <c r="AM10" s="3">
        <f>K10+9</f>
        <v>45810</v>
      </c>
      <c r="AN10" s="3"/>
      <c r="AO10" s="3">
        <f>WORKDAY(Table2[[#This Row],[1-pager Submission to BD]], 7)</f>
        <v>45819</v>
      </c>
      <c r="AP10" s="103">
        <f ca="1">IF(ISBLANK(Table2[[#This Row],[Firm Pricing request]]), NETWORKDAYS(Table2[[#This Row],[Proposal Accepted]], TODAY()), NETWORKDAYS(Table2[[#This Row],[Proposal Accepted]], Table2[[#This Row],[Firm Pricing request]]))</f>
        <v>32751</v>
      </c>
      <c r="AQ10" s="3"/>
      <c r="AR10" s="3">
        <f>WORKDAY(Table2[[#This Row],[Proposal Acceptance Forecast]], 7)</f>
        <v>45828</v>
      </c>
      <c r="AS10" s="103">
        <f ca="1">NETWORKDAYS(Table2[[#This Row],[Firm Pricing request]], TODAY())</f>
        <v>32751</v>
      </c>
      <c r="AT10" s="3"/>
      <c r="AU10" s="3">
        <f>WORKDAY(Table2[[#This Row],[Firm Pricing Request Forecast]], 7)</f>
        <v>45839</v>
      </c>
      <c r="AV10" s="103">
        <f ca="1">NETWORKDAYS(Table2[[#This Row],[Site Walk]], TODAY())</f>
        <v>32751</v>
      </c>
      <c r="AW10" s="3"/>
      <c r="AX10" s="3">
        <f>WORKDAY(Table2[[#This Row],[Site Walk Forecast]], 7)</f>
        <v>45848</v>
      </c>
      <c r="AY10" s="103">
        <f ca="1">NETWORKDAYS(Table2[[#This Row],[Firm Quote Receival]], TODAY())</f>
        <v>32751</v>
      </c>
      <c r="AZ10" s="3"/>
      <c r="BA10" s="3">
        <f>WORKDAY(Table2[[#This Row],[Firm Quote Receival Forecast ]], 7)</f>
        <v>45859</v>
      </c>
      <c r="BB10" s="103">
        <f ca="1">NETWORKDAYS(Table2[[#This Row],[Final Design &amp; BOM(20 calendar days from site walk)]], TODAY())</f>
        <v>32751</v>
      </c>
      <c r="BC10" s="3"/>
      <c r="BD10" s="3">
        <f>WORKDAY(Table2[[#This Row],[Final Design &amp; BOM Forecast ]], 7)</f>
        <v>45868</v>
      </c>
      <c r="BE10" s="103">
        <f ca="1">NETWORKDAYS(Table2[[#This Row],[FM Request 2]], TODAY())</f>
        <v>32751</v>
      </c>
      <c r="BF10" s="3"/>
      <c r="BG10" s="3">
        <f>WORKDAY(Table2[[#This Row],[FM Request 2 Forecast]], 7)</f>
        <v>45877</v>
      </c>
      <c r="BH10" s="103"/>
      <c r="BI10" s="3"/>
      <c r="BJ10" s="3">
        <f>WORKDAY(Table2[[#This Row],[FM Review 2 Forecast]], 7)</f>
        <v>45888</v>
      </c>
      <c r="BK10" s="103">
        <f ca="1">NETWORKDAYS(Table2[[#This Row],[Tax Review]], TODAY())</f>
        <v>32751</v>
      </c>
      <c r="BL10" s="3"/>
      <c r="BM10" s="3">
        <f>WORKDAY(Table2[[#This Row],[Tax Review]], 7)</f>
        <v>10</v>
      </c>
      <c r="BN10" s="103">
        <f ca="1">NETWORKDAYS(Table2[[#This Row],[Tax Approval]], TODAY())</f>
        <v>32751</v>
      </c>
      <c r="BO10" s="3"/>
      <c r="BP10" s="3">
        <f>WORKDAY(Table2[[#This Row],[Tax Approval Forecast]], 7)</f>
        <v>19</v>
      </c>
      <c r="BQ10" s="103">
        <f ca="1">NETWORKDAYS(Table2[[#This Row],[Final proposal submission]], TODAY())</f>
        <v>32751</v>
      </c>
      <c r="BR10" s="3"/>
      <c r="BS10" s="3"/>
      <c r="BT10" s="3">
        <f>WORKDAY(Table2[[#This Row],[Final Proposal Submission Forecast]], 7)</f>
        <v>30</v>
      </c>
      <c r="BU10" s="103">
        <f ca="1">NETWORKDAYS(Table2[[#This Row],[BD submits proposal]], TODAY())</f>
        <v>32751</v>
      </c>
      <c r="BV10" s="3"/>
      <c r="BW10" s="3">
        <f>WORKDAY(Table2[[#This Row],[BD Submits Proposal Forecast]], 7)</f>
        <v>39</v>
      </c>
      <c r="BX10" s="103">
        <f ca="1">NETWORKDAYS(Table2[[#This Row],[Final Proposal Accepted]], TODAY())</f>
        <v>32751</v>
      </c>
      <c r="BY10" s="3"/>
      <c r="BZ10" s="3">
        <f>WORKDAY(Table2[[#This Row],[Final Proposal Accepted]], 90)</f>
        <v>125</v>
      </c>
      <c r="CA10" s="103">
        <f ca="1">NETWORKDAYS(Table2[[#This Row],[Legal Agreement]], TODAY())</f>
        <v>32751</v>
      </c>
      <c r="CB10" s="3"/>
      <c r="CC10" s="3">
        <f>WORKDAY(Table2[[#This Row],[Legal Agreement Forecast]], 10)</f>
        <v>139</v>
      </c>
      <c r="CD10" s="103">
        <f ca="1">NETWORKDAYS(Table2[[#This Row],[Executed Agreement]], TODAY())</f>
        <v>32751</v>
      </c>
      <c r="CE10" t="s">
        <v>76</v>
      </c>
      <c r="CF10" t="s">
        <v>150</v>
      </c>
      <c r="CG10" s="103"/>
      <c r="CH10" s="3"/>
      <c r="CI10" s="3">
        <f>WORKDAY(Table2[[#This Row],[Executed Agreement]], 7)</f>
        <v>10</v>
      </c>
      <c r="CJ10" s="103">
        <f ca="1">NETWORKDAYS(Table2[[#This Row],[A&amp;E Request]], TODAY())</f>
        <v>32751</v>
      </c>
      <c r="CL10" s="3">
        <f>WORKDAY(Table2[[#This Row],[A&amp;E Request Forecast]], 10)</f>
        <v>24</v>
      </c>
      <c r="CM10" s="103">
        <f ca="1">NETWORKDAYS(Table2[[#This Row],[A&amp;E receive]], TODAY())</f>
        <v>32751</v>
      </c>
      <c r="CN10" s="3"/>
      <c r="CO10" s="3">
        <f>WORKDAY(Table2[[#This Row],[FM Approval meeting ]], 10)</f>
        <v>13</v>
      </c>
      <c r="CP10" s="103">
        <f ca="1">NETWORKDAYS(Table2[[#This Row],[Budget Request]], TODAY())</f>
        <v>32751</v>
      </c>
      <c r="CR10" s="3">
        <f>WORKDAY(Table2[[#This Row],[Budget Request Forecast]], 7)</f>
        <v>24</v>
      </c>
      <c r="CS10" s="103">
        <f ca="1">NETWORKDAYS(Table2[[#This Row],[Budget Approval]], TODAY())</f>
        <v>32751</v>
      </c>
      <c r="CT10" s="3"/>
      <c r="CU10" s="3"/>
      <c r="CV10" s="3">
        <f>WORKDAY(Table2[[#This Row],[Budget Approval Forecast ]], 7)</f>
        <v>33</v>
      </c>
      <c r="CW10" s="103">
        <f ca="1">NETWORKDAYS(Table2[[#This Row],[PO Request for OEM ]], TODAY())</f>
        <v>32751</v>
      </c>
      <c r="CY10" s="3">
        <f>WORKDAY(Table2[[#This Row],[PO Request for OEM Forecast]], 10)</f>
        <v>47</v>
      </c>
      <c r="CZ10" s="103">
        <f ca="1">NETWORKDAYS(Table2[[#This Row],[PO Approval]], TODAY())</f>
        <v>32751</v>
      </c>
      <c r="DA10" s="3"/>
      <c r="DB10" s="3">
        <f>WORKDAY(Table2[[#This Row],[PO Approval Forecast]], 10)</f>
        <v>61</v>
      </c>
      <c r="DC10" s="103">
        <f ca="1">NETWORKDAYS(Table2[[#This Row],[backhaul ordered]], TODAY())</f>
        <v>32751</v>
      </c>
      <c r="DD10" s="3"/>
      <c r="DE10" s="3">
        <f>WORKDAY(Table2[[#This Row],[Backhaul Order Forecast]], 10)</f>
        <v>75</v>
      </c>
      <c r="DF10" s="103">
        <f ca="1">NETWORKDAYS(Table2[[#This Row],[RTP Request]], TODAY())</f>
        <v>32751</v>
      </c>
      <c r="DG10" s="3"/>
      <c r="DH10" s="3">
        <f>WORKDAY(Table2[[#This Row],[RTP Request Forecast]], 10)</f>
        <v>89</v>
      </c>
      <c r="DI10" s="103">
        <f ca="1">NETWORKDAYS(Table2[[#This Row],[RTP Approved]], TODAY())</f>
        <v>32751</v>
      </c>
      <c r="DJ10" s="3"/>
      <c r="DK10" s="3">
        <f>WORKDAY(Table2[[#This Row],[RTP Approval Forecast ]], 7)</f>
        <v>100</v>
      </c>
      <c r="DL10" s="103">
        <f ca="1">NETWORKDAYS(Table2[[#This Row],[RFP Request]], TODAY())</f>
        <v>32751</v>
      </c>
      <c r="DN10" s="3">
        <f>WORKDAY(Table2[[#This Row],[RFP Request Forecast ]], 10)</f>
        <v>114</v>
      </c>
      <c r="DO10" s="103">
        <f ca="1">NETWORKDAYS(Table2[[#This Row],[RFP Received]], TODAY())</f>
        <v>32751</v>
      </c>
      <c r="DP10" s="3"/>
      <c r="DQ10" s="3">
        <f>WORKDAY(Table2[[#This Row],[RFP Received Forecast ]], 7)</f>
        <v>123</v>
      </c>
      <c r="DR10" s="103">
        <f ca="1">NETWORKDAYS(Table2[[#This Row],[PO for GC Request]], TODAY())</f>
        <v>32751</v>
      </c>
      <c r="DT10" s="3">
        <f>WORKDAY(Table2[[#This Row],[PO for GC Request Forecast ]], 7)</f>
        <v>132</v>
      </c>
      <c r="DU10" s="103">
        <f ca="1">NETWORKDAYS(Table2[[#This Row],[PO for GC Approved]], TODAY())</f>
        <v>32751</v>
      </c>
      <c r="DV10" s="3">
        <v>45194</v>
      </c>
      <c r="DW10" s="3">
        <f>WORKDAY(Table2[[#This Row],[PO for GC Approval Forecast ]], 10)</f>
        <v>146</v>
      </c>
      <c r="DX10" s="103">
        <f ca="1">NETWORKDAYS(Table2[[#This Row],[Construction Start]], TODAY())</f>
        <v>471</v>
      </c>
      <c r="DY10" s="3">
        <v>45364</v>
      </c>
      <c r="DZ10" s="3">
        <f>WORKDAY(Table2[[#This Row],[Construction Start Forecast ]], 20)</f>
        <v>174</v>
      </c>
      <c r="EA10" s="103">
        <f ca="1">NETWORKDAYS(Table2[[#This Row],[Construction Complete]], TODAY())</f>
        <v>349</v>
      </c>
      <c r="EB10" s="3"/>
      <c r="EC10" s="3">
        <v>45364</v>
      </c>
      <c r="ED10" s="3">
        <f>WORKDAY(Table2[[#This Row],[Construction Complete Forecast ]], 10)</f>
        <v>188</v>
      </c>
      <c r="EE10" s="103">
        <f ca="1">NETWORKDAYS(Table2[[#This Row],[Integration Start]], TODAY())</f>
        <v>349</v>
      </c>
      <c r="EF10" s="3">
        <v>45364</v>
      </c>
      <c r="EG10" s="3">
        <f>WORKDAY(Table2[[#This Row],[Integration Start Forecast ]], 10)</f>
        <v>202</v>
      </c>
      <c r="EH10" s="103">
        <f ca="1">NETWORKDAYS(Table2[[#This Row],[Integration Complete]], TODAY())</f>
        <v>349</v>
      </c>
      <c r="EJ10" s="3">
        <f>WORKDAY(Table2[[#This Row],[Integration Complete Forecast ]], 10)</f>
        <v>216</v>
      </c>
      <c r="EK10" s="103">
        <f ca="1">NETWORKDAYS(Table2[[#This Row],[Close Out Package(2weeks from integration complete]], TODAY())</f>
        <v>32751</v>
      </c>
      <c r="EM10" s="3">
        <f>WORKDAY(Table2[[#This Row],[Close Out Package Forecast ]], 10)</f>
        <v>230</v>
      </c>
      <c r="EN10" s="103">
        <f ca="1">NETWORKDAYS(Table2[[#This Row],[Acceptance testing 2 weeks from close out package)]], TODAY())</f>
        <v>32751</v>
      </c>
      <c r="EP10" s="3">
        <f>WORKDAY(Table2[[#This Row],[Acceptance Testing Forecast ]], 20)</f>
        <v>258</v>
      </c>
      <c r="EQ10" s="103">
        <f ca="1">NETWORKDAYS(Table2[[#This Row],[Customer acceptance(1 month after acceptance testing)]], TODAY())</f>
        <v>32751</v>
      </c>
      <c r="ES10" s="3">
        <f>WORKDAY(Table2[[#This Row],[Customer Acceptance Forecast ]], 5)</f>
        <v>265</v>
      </c>
      <c r="ET10" s="103">
        <f ca="1">NETWORKDAYS(Table2[[#This Row],[Operations handoff(1 week after customer acceptance)]], TODAY())</f>
        <v>32751</v>
      </c>
      <c r="EU10" s="3" t="s">
        <v>151</v>
      </c>
      <c r="EV10" s="3">
        <f>WORKDAY(Table2[[#This Row],[Operations Handoff Forecast ]], 7)</f>
        <v>276</v>
      </c>
      <c r="EW10" s="103" t="e">
        <f ca="1">NETWORKDAYS(Table2[[#This Row],[FNE Date]], TODAY())</f>
        <v>#VALUE!</v>
      </c>
      <c r="EX10" s="3"/>
      <c r="EY10" s="3">
        <f>WORKDAY(Table2[[#This Row],[FNE Date Forecast ]], 7)</f>
        <v>285</v>
      </c>
      <c r="EZ10" s="103">
        <f ca="1">NETWORKDAYS(Table2[[#This Row],[FNE Notice]], TODAY())</f>
        <v>32751</v>
      </c>
      <c r="FA10" s="3"/>
      <c r="FB10" s="3"/>
    </row>
    <row r="11" spans="1:188" x14ac:dyDescent="0.25">
      <c r="A11" t="s">
        <v>101</v>
      </c>
      <c r="B11" t="s">
        <v>139</v>
      </c>
      <c r="C11" t="s">
        <v>152</v>
      </c>
      <c r="D11" s="103"/>
      <c r="E11" t="s">
        <v>115</v>
      </c>
      <c r="H11" t="s">
        <v>84</v>
      </c>
      <c r="I11">
        <v>151</v>
      </c>
      <c r="J11" s="3">
        <v>45787</v>
      </c>
      <c r="K11" s="3">
        <f>J11+12</f>
        <v>45799</v>
      </c>
      <c r="L11" s="3">
        <v>45679</v>
      </c>
      <c r="M11" s="3">
        <f>WORKDAY(Table2[[#This Row],[Kickoff date]], 7)</f>
        <v>45810</v>
      </c>
      <c r="N11" s="104">
        <f ca="1">NETWORKDAYS(Table2[[#This Row],[ROM Request]], TODAY())</f>
        <v>124</v>
      </c>
      <c r="O11" s="3">
        <v>45798</v>
      </c>
      <c r="P11" s="3">
        <f>WORKDAY(Table2[[#This Row],[ROM Request]], 10)</f>
        <v>45693</v>
      </c>
      <c r="Q11" s="104">
        <f ca="1">NETWORKDAYS(Table2[[#This Row],[ROM Receive]], TODAY())</f>
        <v>39</v>
      </c>
      <c r="R11" s="3">
        <v>45807</v>
      </c>
      <c r="S11" s="3">
        <f>WORKDAY(Table2[[#This Row],[ROM Receive Forecast]], 15)</f>
        <v>45714</v>
      </c>
      <c r="T11" s="104">
        <f ca="1">NETWORKDAYS(Table2[[#This Row],[Backhaul Cost Request]], TODAY())</f>
        <v>32</v>
      </c>
      <c r="U11" s="3">
        <f>R11+20</f>
        <v>45827</v>
      </c>
      <c r="V11" s="3">
        <f>WORKDAY(Table2[[#This Row],[Backhaul Cost Request Forecast]], 15)</f>
        <v>45735</v>
      </c>
      <c r="W11" s="104">
        <f ca="1">NETWORKDAYS(Table2[[#This Row],[Backhaul Cost Receive]], TODAY())</f>
        <v>18</v>
      </c>
      <c r="X11" s="3">
        <f>Table2[[#This Row],[Kickoff date]]</f>
        <v>45799</v>
      </c>
      <c r="Y11" s="3">
        <f>WORKDAY(Table2[[#This Row],[Backhaul Cost Request Forecast]], 7)</f>
        <v>45723</v>
      </c>
      <c r="Z11" s="104">
        <f ca="1">NETWORKDAYS(Table2[[#This Row],[OSP Request]], TODAY())</f>
        <v>38</v>
      </c>
      <c r="AA11" s="3"/>
      <c r="AB11" s="3">
        <f>WORKDAY(Table2[[#This Row],[OSP Request Forecast]], 10)</f>
        <v>45737</v>
      </c>
      <c r="AC11" s="104">
        <f ca="1">NETWORKDAYS(Table2[[#This Row],[OSP Receive]], TODAY())</f>
        <v>32751</v>
      </c>
      <c r="AD11" s="3">
        <f>Table2[[#This Row],[Kickoff date]]</f>
        <v>45799</v>
      </c>
      <c r="AE11" s="3">
        <f>WORKDAY(Table2[[#This Row],[Kickoff date]], 7)</f>
        <v>45810</v>
      </c>
      <c r="AF11" s="104">
        <f ca="1">NETWORKDAYS(Table2[[#This Row],[FM Request]], TODAY())</f>
        <v>38</v>
      </c>
      <c r="AG11" s="3"/>
      <c r="AH11" s="3">
        <f>WORKDAY(Table2[[#This Row],[FM Request Forecast ]], 2)</f>
        <v>45812</v>
      </c>
      <c r="AI11" s="104">
        <f ca="1">NETWORKDAYS(Table2[[#This Row],[FM receive]], TODAY())</f>
        <v>32751</v>
      </c>
      <c r="AJ11" s="3"/>
      <c r="AK11" s="3">
        <f>WORKDAY(Table2[[#This Row],[FM Receive Forecast ]], 2)</f>
        <v>45814</v>
      </c>
      <c r="AM11" s="3">
        <f>K11+2</f>
        <v>45801</v>
      </c>
      <c r="AN11" s="3"/>
      <c r="AO11" s="3">
        <f>WORKDAY(Table2[[#This Row],[1-pager Submission to BD]], 7)</f>
        <v>45811</v>
      </c>
      <c r="AP11" s="103">
        <f ca="1">IF(ISBLANK(Table2[[#This Row],[Firm Pricing request]]), NETWORKDAYS(Table2[[#This Row],[Proposal Accepted]], TODAY()), NETWORKDAYS(Table2[[#This Row],[Proposal Accepted]], Table2[[#This Row],[Firm Pricing request]]))</f>
        <v>32751</v>
      </c>
      <c r="AQ11" s="3"/>
      <c r="AR11" s="3">
        <f>WORKDAY(Table2[[#This Row],[Proposal Acceptance Forecast]], 7)</f>
        <v>45820</v>
      </c>
      <c r="AS11" s="103">
        <f ca="1">NETWORKDAYS(Table2[[#This Row],[Firm Pricing request]], TODAY())</f>
        <v>32751</v>
      </c>
      <c r="AT11" s="3"/>
      <c r="AU11" s="3">
        <f>WORKDAY(Table2[[#This Row],[Firm Pricing Request Forecast]], 7)</f>
        <v>45831</v>
      </c>
      <c r="AV11" s="103">
        <f ca="1">NETWORKDAYS(Table2[[#This Row],[Site Walk]], TODAY())</f>
        <v>32751</v>
      </c>
      <c r="AW11" s="3"/>
      <c r="AX11" s="3">
        <f>WORKDAY(Table2[[#This Row],[Site Walk Forecast]], 7)</f>
        <v>45840</v>
      </c>
      <c r="AY11" s="103">
        <f ca="1">NETWORKDAYS(Table2[[#This Row],[Firm Quote Receival]], TODAY())</f>
        <v>32751</v>
      </c>
      <c r="AZ11" s="3"/>
      <c r="BA11" s="3">
        <f>WORKDAY(Table2[[#This Row],[Firm Quote Receival Forecast ]], 7)</f>
        <v>45849</v>
      </c>
      <c r="BB11" s="103">
        <f ca="1">NETWORKDAYS(Table2[[#This Row],[Final Design &amp; BOM(20 calendar days from site walk)]], TODAY())</f>
        <v>32751</v>
      </c>
      <c r="BC11" s="3"/>
      <c r="BD11" s="3">
        <f>WORKDAY(Table2[[#This Row],[Final Design &amp; BOM Forecast ]], 7)</f>
        <v>45860</v>
      </c>
      <c r="BE11" s="103">
        <f ca="1">NETWORKDAYS(Table2[[#This Row],[FM Request 2]], TODAY())</f>
        <v>32751</v>
      </c>
      <c r="BF11" s="3"/>
      <c r="BG11" s="3">
        <f>WORKDAY(Table2[[#This Row],[FM Request 2 Forecast]], 7)</f>
        <v>45869</v>
      </c>
      <c r="BH11" s="103"/>
      <c r="BI11" s="3"/>
      <c r="BJ11" s="3">
        <f>WORKDAY(Table2[[#This Row],[FM Review 2 Forecast]], 7)</f>
        <v>45880</v>
      </c>
      <c r="BK11" s="103">
        <f ca="1">NETWORKDAYS(Table2[[#This Row],[Tax Review]], TODAY())</f>
        <v>32751</v>
      </c>
      <c r="BL11" s="3"/>
      <c r="BM11" s="3">
        <f>WORKDAY(Table2[[#This Row],[Tax Review]], 7)</f>
        <v>10</v>
      </c>
      <c r="BN11" s="103">
        <f ca="1">NETWORKDAYS(Table2[[#This Row],[Tax Approval]], TODAY())</f>
        <v>32751</v>
      </c>
      <c r="BO11" s="3"/>
      <c r="BP11" s="3">
        <f>WORKDAY(Table2[[#This Row],[Tax Approval Forecast]], 7)</f>
        <v>19</v>
      </c>
      <c r="BQ11" s="103">
        <f ca="1">NETWORKDAYS(Table2[[#This Row],[Final proposal submission]], TODAY())</f>
        <v>32751</v>
      </c>
      <c r="BR11" s="3"/>
      <c r="BS11" s="3"/>
      <c r="BT11" s="3">
        <f>WORKDAY(Table2[[#This Row],[Final Proposal Submission Forecast]], 7)</f>
        <v>30</v>
      </c>
      <c r="BU11" s="103">
        <f ca="1">NETWORKDAYS(Table2[[#This Row],[BD submits proposal]], TODAY())</f>
        <v>32751</v>
      </c>
      <c r="BV11" s="3"/>
      <c r="BW11" s="3">
        <f>WORKDAY(Table2[[#This Row],[BD Submits Proposal Forecast]], 7)</f>
        <v>39</v>
      </c>
      <c r="BX11" s="103">
        <f ca="1">NETWORKDAYS(Table2[[#This Row],[Final Proposal Accepted]], TODAY())</f>
        <v>32751</v>
      </c>
      <c r="BY11" s="3"/>
      <c r="BZ11" s="3">
        <f>WORKDAY(Table2[[#This Row],[Final Proposal Accepted]], 90)</f>
        <v>125</v>
      </c>
      <c r="CA11" s="103">
        <f ca="1">NETWORKDAYS(Table2[[#This Row],[Legal Agreement]], TODAY())</f>
        <v>32751</v>
      </c>
      <c r="CB11" s="3"/>
      <c r="CC11" s="3">
        <f>WORKDAY(Table2[[#This Row],[Legal Agreement Forecast]], 10)</f>
        <v>139</v>
      </c>
      <c r="CD11" s="103">
        <f ca="1">NETWORKDAYS(Table2[[#This Row],[Executed Agreement]], TODAY())</f>
        <v>32751</v>
      </c>
      <c r="CE11" t="s">
        <v>91</v>
      </c>
      <c r="CF11" t="s">
        <v>153</v>
      </c>
      <c r="CG11" s="103"/>
      <c r="CH11" s="3"/>
      <c r="CI11" s="3">
        <f>WORKDAY(Table2[[#This Row],[Executed Agreement]], 7)</f>
        <v>10</v>
      </c>
      <c r="CJ11" s="103">
        <f ca="1">NETWORKDAYS(Table2[[#This Row],[A&amp;E Request]], TODAY())</f>
        <v>32751</v>
      </c>
      <c r="CL11" s="3">
        <f>WORKDAY(Table2[[#This Row],[A&amp;E Request Forecast]], 10)</f>
        <v>24</v>
      </c>
      <c r="CM11" s="103">
        <f ca="1">NETWORKDAYS(Table2[[#This Row],[A&amp;E receive]], TODAY())</f>
        <v>32751</v>
      </c>
      <c r="CO11" s="3">
        <f>WORKDAY(Table2[[#This Row],[FM Approval meeting ]], 10)</f>
        <v>13</v>
      </c>
      <c r="CP11" s="103">
        <f ca="1">NETWORKDAYS(Table2[[#This Row],[Budget Request]], TODAY())</f>
        <v>32751</v>
      </c>
      <c r="CR11" s="3">
        <f>WORKDAY(Table2[[#This Row],[Budget Request Forecast]], 7)</f>
        <v>24</v>
      </c>
      <c r="CS11" s="103">
        <f ca="1">NETWORKDAYS(Table2[[#This Row],[Budget Approval]], TODAY())</f>
        <v>32751</v>
      </c>
      <c r="CV11" s="3">
        <f>WORKDAY(Table2[[#This Row],[Budget Approval Forecast ]], 7)</f>
        <v>33</v>
      </c>
      <c r="CW11" s="103">
        <f ca="1">NETWORKDAYS(Table2[[#This Row],[PO Request for OEM ]], TODAY())</f>
        <v>32751</v>
      </c>
      <c r="CY11" s="3">
        <f>WORKDAY(Table2[[#This Row],[PO Request for OEM Forecast]], 10)</f>
        <v>47</v>
      </c>
      <c r="CZ11" s="103">
        <f ca="1">NETWORKDAYS(Table2[[#This Row],[PO Approval]], TODAY())</f>
        <v>32751</v>
      </c>
      <c r="DB11" s="3">
        <f>WORKDAY(Table2[[#This Row],[PO Approval Forecast]], 10)</f>
        <v>61</v>
      </c>
      <c r="DC11" s="103">
        <f ca="1">NETWORKDAYS(Table2[[#This Row],[backhaul ordered]], TODAY())</f>
        <v>32751</v>
      </c>
      <c r="DD11">
        <v>45804</v>
      </c>
      <c r="DE11" s="3">
        <f>WORKDAY(Table2[[#This Row],[Backhaul Order Forecast]], 10)</f>
        <v>75</v>
      </c>
      <c r="DF11" s="103">
        <f ca="1">NETWORKDAYS(Table2[[#This Row],[RTP Request]], TODAY())</f>
        <v>35</v>
      </c>
      <c r="DG11" s="3"/>
      <c r="DH11" s="3">
        <f>WORKDAY(Table2[[#This Row],[RTP Request Forecast]], 10)</f>
        <v>89</v>
      </c>
      <c r="DI11" s="103">
        <f ca="1">NETWORKDAYS(Table2[[#This Row],[RTP Approved]], TODAY())</f>
        <v>32751</v>
      </c>
      <c r="DJ11">
        <v>45804</v>
      </c>
      <c r="DK11" s="3">
        <f>WORKDAY(Table2[[#This Row],[RTP Approval Forecast ]], 7)</f>
        <v>100</v>
      </c>
      <c r="DL11" s="103">
        <f ca="1">NETWORKDAYS(Table2[[#This Row],[RFP Request]], TODAY())</f>
        <v>35</v>
      </c>
      <c r="DM11" s="3">
        <v>45819</v>
      </c>
      <c r="DN11" s="3">
        <f>WORKDAY(Table2[[#This Row],[RFP Request Forecast ]], 10)</f>
        <v>114</v>
      </c>
      <c r="DO11" s="103">
        <f ca="1">NETWORKDAYS(Table2[[#This Row],[RFP Received]], TODAY())</f>
        <v>24</v>
      </c>
      <c r="DQ11" s="3">
        <f>WORKDAY(Table2[[#This Row],[RFP Received Forecast ]], 7)</f>
        <v>123</v>
      </c>
      <c r="DR11" s="103">
        <f ca="1">NETWORKDAYS(Table2[[#This Row],[PO for GC Request]], TODAY())</f>
        <v>32751</v>
      </c>
      <c r="DT11" s="3">
        <f>WORKDAY(Table2[[#This Row],[PO for GC Request Forecast ]], 7)</f>
        <v>132</v>
      </c>
      <c r="DU11" s="103">
        <f ca="1">NETWORKDAYS(Table2[[#This Row],[PO for GC Approved]], TODAY())</f>
        <v>32751</v>
      </c>
      <c r="DW11" s="3">
        <f>WORKDAY(Table2[[#This Row],[PO for GC Approval Forecast ]], 10)</f>
        <v>146</v>
      </c>
      <c r="DX11" s="103">
        <f ca="1">NETWORKDAYS(Table2[[#This Row],[Construction Start]], TODAY())</f>
        <v>32751</v>
      </c>
      <c r="DZ11" s="3">
        <f>WORKDAY(Table2[[#This Row],[Construction Start Forecast ]], 20)</f>
        <v>174</v>
      </c>
      <c r="EA11" s="103">
        <f ca="1">NETWORKDAYS(Table2[[#This Row],[Construction Complete]], TODAY())</f>
        <v>32751</v>
      </c>
      <c r="ED11" s="3">
        <f>WORKDAY(Table2[[#This Row],[Construction Complete Forecast ]], 10)</f>
        <v>188</v>
      </c>
      <c r="EE11" s="103">
        <f ca="1">NETWORKDAYS(Table2[[#This Row],[Integration Start]], TODAY())</f>
        <v>32751</v>
      </c>
      <c r="EF11" s="3"/>
      <c r="EG11" s="3">
        <f>WORKDAY(Table2[[#This Row],[Integration Start Forecast ]], 10)</f>
        <v>202</v>
      </c>
      <c r="EH11" s="103">
        <f ca="1">NETWORKDAYS(Table2[[#This Row],[Integration Complete]], TODAY())</f>
        <v>32751</v>
      </c>
      <c r="EJ11" s="3">
        <f>WORKDAY(Table2[[#This Row],[Integration Complete Forecast ]], 10)</f>
        <v>216</v>
      </c>
      <c r="EK11" s="103">
        <f ca="1">NETWORKDAYS(Table2[[#This Row],[Close Out Package(2weeks from integration complete]], TODAY())</f>
        <v>32751</v>
      </c>
      <c r="EM11" s="3">
        <f>WORKDAY(Table2[[#This Row],[Close Out Package Forecast ]], 10)</f>
        <v>230</v>
      </c>
      <c r="EN11" s="103">
        <f ca="1">NETWORKDAYS(Table2[[#This Row],[Acceptance testing 2 weeks from close out package)]], TODAY())</f>
        <v>32751</v>
      </c>
      <c r="EP11" s="3">
        <f>WORKDAY(Table2[[#This Row],[Acceptance Testing Forecast ]], 20)</f>
        <v>258</v>
      </c>
      <c r="EQ11" s="103">
        <f ca="1">NETWORKDAYS(Table2[[#This Row],[Customer acceptance(1 month after acceptance testing)]], TODAY())</f>
        <v>32751</v>
      </c>
      <c r="ES11" s="3">
        <f>WORKDAY(Table2[[#This Row],[Customer Acceptance Forecast ]], 5)</f>
        <v>265</v>
      </c>
      <c r="ET11" s="103">
        <f ca="1">NETWORKDAYS(Table2[[#This Row],[Operations handoff(1 week after customer acceptance)]], TODAY())</f>
        <v>32751</v>
      </c>
      <c r="EU11" s="3" t="s">
        <v>93</v>
      </c>
      <c r="EV11" s="3">
        <f>WORKDAY(Table2[[#This Row],[Operations Handoff Forecast ]], 7)</f>
        <v>276</v>
      </c>
      <c r="EW11" s="103" t="e">
        <f ca="1">NETWORKDAYS(Table2[[#This Row],[FNE Date]], TODAY())</f>
        <v>#VALUE!</v>
      </c>
      <c r="EX11" s="3"/>
      <c r="EY11" s="3">
        <f>WORKDAY(Table2[[#This Row],[FNE Date Forecast ]], 7)</f>
        <v>285</v>
      </c>
      <c r="EZ11" s="103">
        <f ca="1">NETWORKDAYS(Table2[[#This Row],[FNE Notice]], TODAY())</f>
        <v>32751</v>
      </c>
      <c r="FA11" s="3"/>
      <c r="FB11" s="3"/>
    </row>
    <row r="12" spans="1:188" x14ac:dyDescent="0.25">
      <c r="A12" t="s">
        <v>101</v>
      </c>
      <c r="B12" t="s">
        <v>139</v>
      </c>
      <c r="C12" s="78" t="s">
        <v>156</v>
      </c>
      <c r="D12" s="103"/>
      <c r="E12" t="s">
        <v>79</v>
      </c>
      <c r="H12" t="s">
        <v>103</v>
      </c>
      <c r="I12">
        <v>1</v>
      </c>
      <c r="J12" s="3">
        <v>45789</v>
      </c>
      <c r="K12" s="3">
        <f>J12+20</f>
        <v>45809</v>
      </c>
      <c r="L12" s="3">
        <v>45758</v>
      </c>
      <c r="M12" s="3">
        <f>WORKDAY(Table2[[#This Row],[Kickoff date]], 7)</f>
        <v>45818</v>
      </c>
      <c r="N12" s="104">
        <f ca="1">NETWORKDAYS(Table2[[#This Row],[ROM Request]], TODAY())</f>
        <v>67</v>
      </c>
      <c r="O12" s="3">
        <f>L12+17</f>
        <v>45775</v>
      </c>
      <c r="P12" s="3">
        <f>WORKDAY(Table2[[#This Row],[ROM Request]], 10)</f>
        <v>45772</v>
      </c>
      <c r="Q12" s="104">
        <f ca="1">NETWORKDAYS(Table2[[#This Row],[ROM Receive]], TODAY())</f>
        <v>56</v>
      </c>
      <c r="R12" s="3">
        <v>45758</v>
      </c>
      <c r="S12" s="3">
        <f>WORKDAY(Table2[[#This Row],[ROM Receive Forecast]], 15)</f>
        <v>45793</v>
      </c>
      <c r="T12" s="104">
        <f ca="1">NETWORKDAYS(Table2[[#This Row],[Backhaul Cost Request]], TODAY())</f>
        <v>67</v>
      </c>
      <c r="U12" s="3">
        <f>R12+21</f>
        <v>45779</v>
      </c>
      <c r="V12" s="3">
        <f>WORKDAY(Table2[[#This Row],[Backhaul Cost Request Forecast]], 15)</f>
        <v>45814</v>
      </c>
      <c r="W12" s="104">
        <f ca="1">NETWORKDAYS(Table2[[#This Row],[Backhaul Cost Receive]], TODAY())</f>
        <v>52</v>
      </c>
      <c r="X12" s="3">
        <f>Table2[[#This Row],[Kickoff date]]</f>
        <v>45809</v>
      </c>
      <c r="Y12" s="3">
        <f>WORKDAY(Table2[[#This Row],[Backhaul Cost Request Forecast]], 7)</f>
        <v>45804</v>
      </c>
      <c r="Z12" s="104">
        <f ca="1">NETWORKDAYS(Table2[[#This Row],[OSP Request]], TODAY())</f>
        <v>31</v>
      </c>
      <c r="AA12" s="3"/>
      <c r="AB12" s="3">
        <f>WORKDAY(Table2[[#This Row],[OSP Request Forecast]], 10)</f>
        <v>45818</v>
      </c>
      <c r="AC12" s="104">
        <f ca="1">NETWORKDAYS(Table2[[#This Row],[OSP Receive]], TODAY())</f>
        <v>32751</v>
      </c>
      <c r="AD12" s="3">
        <f>Table2[[#This Row],[Kickoff date]]</f>
        <v>45809</v>
      </c>
      <c r="AE12" s="3">
        <f>WORKDAY(Table2[[#This Row],[Kickoff date]], 7)</f>
        <v>45818</v>
      </c>
      <c r="AF12" s="104">
        <f ca="1">NETWORKDAYS(Table2[[#This Row],[FM Request]], TODAY())</f>
        <v>31</v>
      </c>
      <c r="AG12" s="3"/>
      <c r="AH12" s="3">
        <f>WORKDAY(Table2[[#This Row],[FM Request Forecast ]], 2)</f>
        <v>45820</v>
      </c>
      <c r="AI12" s="104">
        <f ca="1">NETWORKDAYS(Table2[[#This Row],[FM receive]], TODAY())</f>
        <v>32751</v>
      </c>
      <c r="AJ12" s="3"/>
      <c r="AK12" s="3">
        <f>WORKDAY(Table2[[#This Row],[FM Receive Forecast ]], 2)</f>
        <v>45824</v>
      </c>
      <c r="AM12" s="3">
        <f>K12+4</f>
        <v>45813</v>
      </c>
      <c r="AN12" s="3"/>
      <c r="AO12" s="3">
        <f>WORKDAY(Table2[[#This Row],[1-pager Submission to BD]], 7)</f>
        <v>45824</v>
      </c>
      <c r="AP12" s="103">
        <f ca="1">IF(ISBLANK(Table2[[#This Row],[Firm Pricing request]]), NETWORKDAYS(Table2[[#This Row],[Proposal Accepted]], TODAY()), NETWORKDAYS(Table2[[#This Row],[Proposal Accepted]], Table2[[#This Row],[Firm Pricing request]]))</f>
        <v>32751</v>
      </c>
      <c r="AQ12" s="3"/>
      <c r="AR12" s="3">
        <f>WORKDAY(Table2[[#This Row],[Proposal Acceptance Forecast]], 7)</f>
        <v>45833</v>
      </c>
      <c r="AS12" s="103">
        <f ca="1">NETWORKDAYS(Table2[[#This Row],[Firm Pricing request]], TODAY())</f>
        <v>32751</v>
      </c>
      <c r="AT12" s="3"/>
      <c r="AU12" s="3">
        <f>WORKDAY(Table2[[#This Row],[Firm Pricing Request Forecast]], 7)</f>
        <v>45842</v>
      </c>
      <c r="AV12" s="103">
        <f ca="1">NETWORKDAYS(Table2[[#This Row],[Site Walk]], TODAY())</f>
        <v>32751</v>
      </c>
      <c r="AW12" s="3"/>
      <c r="AX12" s="3">
        <f>WORKDAY(Table2[[#This Row],[Site Walk Forecast]], 7)</f>
        <v>45853</v>
      </c>
      <c r="AY12" s="103">
        <f ca="1">NETWORKDAYS(Table2[[#This Row],[Firm Quote Receival]], TODAY())</f>
        <v>32751</v>
      </c>
      <c r="AZ12" s="3"/>
      <c r="BA12" s="3">
        <f>WORKDAY(Table2[[#This Row],[Firm Quote Receival Forecast ]], 7)</f>
        <v>45862</v>
      </c>
      <c r="BB12" s="103">
        <f ca="1">NETWORKDAYS(Table2[[#This Row],[Final Design &amp; BOM(20 calendar days from site walk)]], TODAY())</f>
        <v>32751</v>
      </c>
      <c r="BC12" s="3"/>
      <c r="BD12" s="3">
        <f>WORKDAY(Table2[[#This Row],[Final Design &amp; BOM Forecast ]], 7)</f>
        <v>45873</v>
      </c>
      <c r="BE12" s="103">
        <f ca="1">NETWORKDAYS(Table2[[#This Row],[FM Request 2]], TODAY())</f>
        <v>32751</v>
      </c>
      <c r="BF12" s="3"/>
      <c r="BG12" s="3">
        <f>WORKDAY(Table2[[#This Row],[FM Request 2 Forecast]], 7)</f>
        <v>45882</v>
      </c>
      <c r="BH12" s="103"/>
      <c r="BI12" s="3"/>
      <c r="BJ12" s="3">
        <f>WORKDAY(Table2[[#This Row],[FM Review 2 Forecast]], 7)</f>
        <v>45891</v>
      </c>
      <c r="BK12" s="103">
        <f ca="1">NETWORKDAYS(Table2[[#This Row],[Tax Review]], TODAY())</f>
        <v>32751</v>
      </c>
      <c r="BL12" s="3"/>
      <c r="BM12" s="3">
        <f>WORKDAY(Table2[[#This Row],[Tax Review]], 7)</f>
        <v>10</v>
      </c>
      <c r="BN12" s="103">
        <f ca="1">NETWORKDAYS(Table2[[#This Row],[Tax Approval]], TODAY())</f>
        <v>32751</v>
      </c>
      <c r="BO12" s="3"/>
      <c r="BP12" s="3">
        <f>WORKDAY(Table2[[#This Row],[Tax Approval Forecast]], 7)</f>
        <v>19</v>
      </c>
      <c r="BQ12" s="103">
        <f ca="1">NETWORKDAYS(Table2[[#This Row],[Final proposal submission]], TODAY())</f>
        <v>32751</v>
      </c>
      <c r="BR12" s="3"/>
      <c r="BS12" s="3"/>
      <c r="BT12" s="3">
        <f>WORKDAY(Table2[[#This Row],[Final Proposal Submission Forecast]], 7)</f>
        <v>30</v>
      </c>
      <c r="BU12" s="103">
        <f ca="1">NETWORKDAYS(Table2[[#This Row],[BD submits proposal]], TODAY())</f>
        <v>32751</v>
      </c>
      <c r="BV12" s="3"/>
      <c r="BW12" s="3">
        <f>WORKDAY(Table2[[#This Row],[BD Submits Proposal Forecast]], 7)</f>
        <v>39</v>
      </c>
      <c r="BX12" s="103">
        <f ca="1">NETWORKDAYS(Table2[[#This Row],[Final Proposal Accepted]], TODAY())</f>
        <v>32751</v>
      </c>
      <c r="BY12" s="3"/>
      <c r="BZ12" s="3">
        <f>WORKDAY(Table2[[#This Row],[Final Proposal Accepted]], 90)</f>
        <v>125</v>
      </c>
      <c r="CA12" s="103">
        <f ca="1">NETWORKDAYS(Table2[[#This Row],[Legal Agreement]], TODAY())</f>
        <v>32751</v>
      </c>
      <c r="CB12" s="3"/>
      <c r="CC12" s="3">
        <f>WORKDAY(Table2[[#This Row],[Legal Agreement Forecast]], 10)</f>
        <v>139</v>
      </c>
      <c r="CD12" s="103">
        <f ca="1">NETWORKDAYS(Table2[[#This Row],[Executed Agreement]], TODAY())</f>
        <v>32751</v>
      </c>
      <c r="CE12" t="s">
        <v>91</v>
      </c>
      <c r="CF12" t="s">
        <v>157</v>
      </c>
      <c r="CG12" s="103"/>
      <c r="CH12" s="3"/>
      <c r="CI12" s="3">
        <f>WORKDAY(Table2[[#This Row],[Executed Agreement]], 7)</f>
        <v>10</v>
      </c>
      <c r="CJ12" s="103">
        <f ca="1">NETWORKDAYS(Table2[[#This Row],[A&amp;E Request]], TODAY())</f>
        <v>32751</v>
      </c>
      <c r="CL12" s="3">
        <f>WORKDAY(Table2[[#This Row],[A&amp;E Request Forecast]], 10)</f>
        <v>24</v>
      </c>
      <c r="CM12" s="103">
        <f ca="1">NETWORKDAYS(Table2[[#This Row],[A&amp;E receive]], TODAY())</f>
        <v>32751</v>
      </c>
      <c r="CO12" s="3">
        <f>WORKDAY(Table2[[#This Row],[FM Approval meeting ]], 10)</f>
        <v>13</v>
      </c>
      <c r="CP12" s="103">
        <f ca="1">NETWORKDAYS(Table2[[#This Row],[Budget Request]], TODAY())</f>
        <v>32751</v>
      </c>
      <c r="CR12" s="3">
        <f>WORKDAY(Table2[[#This Row],[Budget Request Forecast]], 7)</f>
        <v>24</v>
      </c>
      <c r="CS12" s="103">
        <f ca="1">NETWORKDAYS(Table2[[#This Row],[Budget Approval]], TODAY())</f>
        <v>32751</v>
      </c>
      <c r="CV12" s="3">
        <f>WORKDAY(Table2[[#This Row],[Budget Approval Forecast ]], 7)</f>
        <v>33</v>
      </c>
      <c r="CW12" s="103">
        <f ca="1">NETWORKDAYS(Table2[[#This Row],[PO Request for OEM ]], TODAY())</f>
        <v>32751</v>
      </c>
      <c r="CY12" s="3">
        <f>WORKDAY(Table2[[#This Row],[PO Request for OEM Forecast]], 10)</f>
        <v>47</v>
      </c>
      <c r="CZ12" s="103">
        <f ca="1">NETWORKDAYS(Table2[[#This Row],[PO Approval]], TODAY())</f>
        <v>32751</v>
      </c>
      <c r="DB12" s="3">
        <f>WORKDAY(Table2[[#This Row],[PO Approval Forecast]], 10)</f>
        <v>61</v>
      </c>
      <c r="DC12" s="103">
        <f ca="1">NETWORKDAYS(Table2[[#This Row],[backhaul ordered]], TODAY())</f>
        <v>32751</v>
      </c>
      <c r="DE12" s="3">
        <f>WORKDAY(Table2[[#This Row],[Backhaul Order Forecast]], 10)</f>
        <v>75</v>
      </c>
      <c r="DF12" s="103">
        <f ca="1">NETWORKDAYS(Table2[[#This Row],[RTP Request]], TODAY())</f>
        <v>32751</v>
      </c>
      <c r="DG12" s="3"/>
      <c r="DH12" s="3">
        <f>WORKDAY(Table2[[#This Row],[RTP Request Forecast]], 10)</f>
        <v>89</v>
      </c>
      <c r="DI12" s="103">
        <f ca="1">NETWORKDAYS(Table2[[#This Row],[RTP Approved]], TODAY())</f>
        <v>32751</v>
      </c>
      <c r="DK12" s="3">
        <f>WORKDAY(Table2[[#This Row],[RTP Approval Forecast ]], 7)</f>
        <v>100</v>
      </c>
      <c r="DL12" s="103">
        <f ca="1">NETWORKDAYS(Table2[[#This Row],[RFP Request]], TODAY())</f>
        <v>32751</v>
      </c>
      <c r="DN12" s="3">
        <f>WORKDAY(Table2[[#This Row],[RFP Request Forecast ]], 10)</f>
        <v>114</v>
      </c>
      <c r="DO12" s="103">
        <f ca="1">NETWORKDAYS(Table2[[#This Row],[RFP Received]], TODAY())</f>
        <v>32751</v>
      </c>
      <c r="DQ12" s="3">
        <f>WORKDAY(Table2[[#This Row],[RFP Received Forecast ]], 7)</f>
        <v>123</v>
      </c>
      <c r="DR12" s="103">
        <f ca="1">NETWORKDAYS(Table2[[#This Row],[PO for GC Request]], TODAY())</f>
        <v>32751</v>
      </c>
      <c r="DT12" s="3">
        <f>WORKDAY(Table2[[#This Row],[PO for GC Request Forecast ]], 7)</f>
        <v>132</v>
      </c>
      <c r="DU12" s="103">
        <f ca="1">NETWORKDAYS(Table2[[#This Row],[PO for GC Approved]], TODAY())</f>
        <v>32751</v>
      </c>
      <c r="DW12" s="3">
        <f>WORKDAY(Table2[[#This Row],[PO for GC Approval Forecast ]], 10)</f>
        <v>146</v>
      </c>
      <c r="DX12" s="103">
        <f ca="1">NETWORKDAYS(Table2[[#This Row],[Construction Start]], TODAY())</f>
        <v>32751</v>
      </c>
      <c r="DZ12" s="3">
        <f>WORKDAY(Table2[[#This Row],[Construction Start Forecast ]], 20)</f>
        <v>174</v>
      </c>
      <c r="EA12" s="103">
        <f ca="1">NETWORKDAYS(Table2[[#This Row],[Construction Complete]], TODAY())</f>
        <v>32751</v>
      </c>
      <c r="ED12" s="3">
        <f>WORKDAY(Table2[[#This Row],[Construction Complete Forecast ]], 10)</f>
        <v>188</v>
      </c>
      <c r="EE12" s="103">
        <f ca="1">NETWORKDAYS(Table2[[#This Row],[Integration Start]], TODAY())</f>
        <v>32751</v>
      </c>
      <c r="EF12" s="3"/>
      <c r="EG12" s="3">
        <f>WORKDAY(Table2[[#This Row],[Integration Start Forecast ]], 10)</f>
        <v>202</v>
      </c>
      <c r="EH12" s="103">
        <f ca="1">NETWORKDAYS(Table2[[#This Row],[Integration Complete]], TODAY())</f>
        <v>32751</v>
      </c>
      <c r="EJ12" s="3">
        <f>WORKDAY(Table2[[#This Row],[Integration Complete Forecast ]], 10)</f>
        <v>216</v>
      </c>
      <c r="EK12" s="103">
        <f ca="1">NETWORKDAYS(Table2[[#This Row],[Close Out Package(2weeks from integration complete]], TODAY())</f>
        <v>32751</v>
      </c>
      <c r="EM12" s="3">
        <f>WORKDAY(Table2[[#This Row],[Close Out Package Forecast ]], 10)</f>
        <v>230</v>
      </c>
      <c r="EN12" s="103">
        <f ca="1">NETWORKDAYS(Table2[[#This Row],[Acceptance testing 2 weeks from close out package)]], TODAY())</f>
        <v>32751</v>
      </c>
      <c r="EP12" s="3">
        <f>WORKDAY(Table2[[#This Row],[Acceptance Testing Forecast ]], 20)</f>
        <v>258</v>
      </c>
      <c r="EQ12" s="103">
        <f ca="1">NETWORKDAYS(Table2[[#This Row],[Customer acceptance(1 month after acceptance testing)]], TODAY())</f>
        <v>32751</v>
      </c>
      <c r="ES12" s="3">
        <f>WORKDAY(Table2[[#This Row],[Customer Acceptance Forecast ]], 5)</f>
        <v>265</v>
      </c>
      <c r="ET12" s="103">
        <f ca="1">NETWORKDAYS(Table2[[#This Row],[Operations handoff(1 week after customer acceptance)]], TODAY())</f>
        <v>32751</v>
      </c>
      <c r="EU12" s="3" t="s">
        <v>158</v>
      </c>
      <c r="EV12" s="3">
        <f>WORKDAY(Table2[[#This Row],[Operations Handoff Forecast ]], 7)</f>
        <v>276</v>
      </c>
      <c r="EW12" s="103" t="e">
        <f ca="1">NETWORKDAYS(Table2[[#This Row],[FNE Date]], TODAY())</f>
        <v>#VALUE!</v>
      </c>
      <c r="EX12" s="3"/>
      <c r="EY12" s="3">
        <f>WORKDAY(Table2[[#This Row],[FNE Date Forecast ]], 7)</f>
        <v>285</v>
      </c>
      <c r="EZ12" s="103">
        <f ca="1">NETWORKDAYS(Table2[[#This Row],[FNE Notice]], TODAY())</f>
        <v>32751</v>
      </c>
      <c r="FA12" s="3"/>
      <c r="FB12" s="3"/>
    </row>
    <row r="13" spans="1:188" x14ac:dyDescent="0.25">
      <c r="A13" t="s">
        <v>161</v>
      </c>
      <c r="B13" t="s">
        <v>162</v>
      </c>
      <c r="C13" t="s">
        <v>163</v>
      </c>
      <c r="D13" s="103"/>
      <c r="E13" t="s">
        <v>79</v>
      </c>
      <c r="H13" t="s">
        <v>164</v>
      </c>
      <c r="I13" t="s">
        <v>165</v>
      </c>
      <c r="J13" s="3">
        <v>45791</v>
      </c>
      <c r="K13" s="3">
        <f>J13+10</f>
        <v>45801</v>
      </c>
      <c r="L13" s="3">
        <v>45771</v>
      </c>
      <c r="M13" s="3">
        <f>WORKDAY(Table2[[#This Row],[Kickoff date]], 7)</f>
        <v>45811</v>
      </c>
      <c r="N13" s="104">
        <f ca="1">NETWORKDAYS(Table2[[#This Row],[ROM Request]], TODAY())</f>
        <v>58</v>
      </c>
      <c r="O13" s="3">
        <f>L13+16</f>
        <v>45787</v>
      </c>
      <c r="P13" s="3">
        <f>WORKDAY(Table2[[#This Row],[ROM Request]], 10)</f>
        <v>45785</v>
      </c>
      <c r="Q13" s="104">
        <f ca="1">NETWORKDAYS(Table2[[#This Row],[ROM Receive]], TODAY())</f>
        <v>46</v>
      </c>
      <c r="R13" s="3">
        <v>45789</v>
      </c>
      <c r="S13" s="3">
        <f>WORKDAY(Table2[[#This Row],[ROM Receive Forecast]], 15)</f>
        <v>45806</v>
      </c>
      <c r="T13" s="104">
        <f ca="1">NETWORKDAYS(Table2[[#This Row],[Backhaul Cost Request]], TODAY())</f>
        <v>46</v>
      </c>
      <c r="U13" s="3">
        <f>R13+20</f>
        <v>45809</v>
      </c>
      <c r="V13" s="3">
        <f>WORKDAY(Table2[[#This Row],[Backhaul Cost Request Forecast]], 15)</f>
        <v>45827</v>
      </c>
      <c r="W13" s="104">
        <f ca="1">NETWORKDAYS(Table2[[#This Row],[Backhaul Cost Receive]], TODAY())</f>
        <v>31</v>
      </c>
      <c r="X13" s="3">
        <f>Table2[[#This Row],[Kickoff date]]</f>
        <v>45801</v>
      </c>
      <c r="Y13" s="3">
        <f>WORKDAY(Table2[[#This Row],[Backhaul Cost Request Forecast]], 7)</f>
        <v>45817</v>
      </c>
      <c r="Z13" s="104">
        <f ca="1">NETWORKDAYS(Table2[[#This Row],[OSP Request]], TODAY())</f>
        <v>36</v>
      </c>
      <c r="AA13" s="3"/>
      <c r="AB13" s="3">
        <f>WORKDAY(Table2[[#This Row],[OSP Request Forecast]], 10)</f>
        <v>45831</v>
      </c>
      <c r="AC13" s="104">
        <f ca="1">NETWORKDAYS(Table2[[#This Row],[OSP Receive]], TODAY())</f>
        <v>32751</v>
      </c>
      <c r="AD13" s="3">
        <f>Table2[[#This Row],[Kickoff date]]</f>
        <v>45801</v>
      </c>
      <c r="AE13" s="3">
        <f>WORKDAY(Table2[[#This Row],[Kickoff date]], 7)</f>
        <v>45811</v>
      </c>
      <c r="AF13" s="104">
        <f ca="1">NETWORKDAYS(Table2[[#This Row],[FM Request]], TODAY())</f>
        <v>36</v>
      </c>
      <c r="AG13" s="3"/>
      <c r="AH13" s="3">
        <f>WORKDAY(Table2[[#This Row],[FM Request Forecast ]], 2)</f>
        <v>45813</v>
      </c>
      <c r="AI13" s="104">
        <f ca="1">NETWORKDAYS(Table2[[#This Row],[FM receive]], TODAY())</f>
        <v>32751</v>
      </c>
      <c r="AJ13" s="3"/>
      <c r="AK13" s="3">
        <f>WORKDAY(Table2[[#This Row],[FM Receive Forecast ]], 2)</f>
        <v>45817</v>
      </c>
      <c r="AM13" s="3">
        <f>K13+11</f>
        <v>45812</v>
      </c>
      <c r="AN13" s="3"/>
      <c r="AO13" s="3">
        <f>WORKDAY(Table2[[#This Row],[1-pager Submission to BD]], 7)</f>
        <v>45821</v>
      </c>
      <c r="AP13" s="103">
        <f ca="1">IF(ISBLANK(Table2[[#This Row],[Firm Pricing request]]), NETWORKDAYS(Table2[[#This Row],[Proposal Accepted]], TODAY()), NETWORKDAYS(Table2[[#This Row],[Proposal Accepted]], Table2[[#This Row],[Firm Pricing request]]))</f>
        <v>32751</v>
      </c>
      <c r="AQ13" s="3"/>
      <c r="AR13" s="3">
        <f>WORKDAY(Table2[[#This Row],[Proposal Acceptance Forecast]], 7)</f>
        <v>45832</v>
      </c>
      <c r="AS13" s="103">
        <f ca="1">NETWORKDAYS(Table2[[#This Row],[Firm Pricing request]], TODAY())</f>
        <v>32751</v>
      </c>
      <c r="AT13" s="3"/>
      <c r="AU13" s="3">
        <f>WORKDAY(Table2[[#This Row],[Firm Pricing Request Forecast]], 7)</f>
        <v>45841</v>
      </c>
      <c r="AV13" s="103">
        <f ca="1">NETWORKDAYS(Table2[[#This Row],[Site Walk]], TODAY())</f>
        <v>32751</v>
      </c>
      <c r="AW13" s="3"/>
      <c r="AX13" s="3">
        <f>WORKDAY(Table2[[#This Row],[Site Walk Forecast]], 7)</f>
        <v>45852</v>
      </c>
      <c r="AY13" s="103">
        <f ca="1">NETWORKDAYS(Table2[[#This Row],[Firm Quote Receival]], TODAY())</f>
        <v>32751</v>
      </c>
      <c r="AZ13" s="3"/>
      <c r="BA13" s="3">
        <f>WORKDAY(Table2[[#This Row],[Firm Quote Receival Forecast ]], 7)</f>
        <v>45861</v>
      </c>
      <c r="BB13" s="103">
        <f ca="1">NETWORKDAYS(Table2[[#This Row],[Final Design &amp; BOM(20 calendar days from site walk)]], TODAY())</f>
        <v>32751</v>
      </c>
      <c r="BC13" s="3"/>
      <c r="BD13" s="3">
        <f>WORKDAY(Table2[[#This Row],[Final Design &amp; BOM Forecast ]], 7)</f>
        <v>45870</v>
      </c>
      <c r="BE13" s="103">
        <f ca="1">NETWORKDAYS(Table2[[#This Row],[FM Request 2]], TODAY())</f>
        <v>32751</v>
      </c>
      <c r="BF13" s="3"/>
      <c r="BG13" s="3">
        <f>WORKDAY(Table2[[#This Row],[FM Request 2 Forecast]], 7)</f>
        <v>45881</v>
      </c>
      <c r="BH13" s="103"/>
      <c r="BI13" s="3"/>
      <c r="BJ13" s="3">
        <f>WORKDAY(Table2[[#This Row],[FM Review 2 Forecast]], 7)</f>
        <v>45890</v>
      </c>
      <c r="BK13" s="103">
        <f ca="1">NETWORKDAYS(Table2[[#This Row],[Tax Review]], TODAY())</f>
        <v>32751</v>
      </c>
      <c r="BL13" s="3"/>
      <c r="BM13" s="3">
        <f>WORKDAY(Table2[[#This Row],[Tax Review]], 7)</f>
        <v>10</v>
      </c>
      <c r="BN13" s="103">
        <f ca="1">NETWORKDAYS(Table2[[#This Row],[Tax Approval]], TODAY())</f>
        <v>32751</v>
      </c>
      <c r="BO13" s="3"/>
      <c r="BP13" s="3">
        <f>WORKDAY(Table2[[#This Row],[Tax Approval Forecast]], 7)</f>
        <v>19</v>
      </c>
      <c r="BQ13" s="103">
        <f ca="1">NETWORKDAYS(Table2[[#This Row],[Final proposal submission]], TODAY())</f>
        <v>32751</v>
      </c>
      <c r="BR13" s="3"/>
      <c r="BS13" s="3"/>
      <c r="BT13" s="3">
        <f>WORKDAY(Table2[[#This Row],[Final Proposal Submission Forecast]], 7)</f>
        <v>30</v>
      </c>
      <c r="BU13" s="103">
        <f ca="1">NETWORKDAYS(Table2[[#This Row],[BD submits proposal]], TODAY())</f>
        <v>32751</v>
      </c>
      <c r="BV13" s="3"/>
      <c r="BW13" s="3">
        <f>WORKDAY(Table2[[#This Row],[BD Submits Proposal Forecast]], 7)</f>
        <v>39</v>
      </c>
      <c r="BX13" s="103">
        <f ca="1">NETWORKDAYS(Table2[[#This Row],[Final Proposal Accepted]], TODAY())</f>
        <v>32751</v>
      </c>
      <c r="BY13" s="3"/>
      <c r="BZ13" s="3">
        <f>WORKDAY(Table2[[#This Row],[Final Proposal Accepted]], 90)</f>
        <v>125</v>
      </c>
      <c r="CA13" s="103">
        <f ca="1">NETWORKDAYS(Table2[[#This Row],[Legal Agreement]], TODAY())</f>
        <v>32751</v>
      </c>
      <c r="CB13" s="3"/>
      <c r="CC13" s="3">
        <f>WORKDAY(Table2[[#This Row],[Legal Agreement Forecast]], 10)</f>
        <v>139</v>
      </c>
      <c r="CD13" s="103">
        <f ca="1">NETWORKDAYS(Table2[[#This Row],[Executed Agreement]], TODAY())</f>
        <v>32751</v>
      </c>
      <c r="CE13" t="s">
        <v>76</v>
      </c>
      <c r="CF13" t="s">
        <v>166</v>
      </c>
      <c r="CG13" s="103"/>
      <c r="CH13" s="3"/>
      <c r="CI13" s="3">
        <f>WORKDAY(Table2[[#This Row],[Executed Agreement]], 7)</f>
        <v>10</v>
      </c>
      <c r="CJ13" s="103">
        <f ca="1">NETWORKDAYS(Table2[[#This Row],[A&amp;E Request]], TODAY())</f>
        <v>32751</v>
      </c>
      <c r="CL13" s="3">
        <f>WORKDAY(Table2[[#This Row],[A&amp;E Request Forecast]], 10)</f>
        <v>24</v>
      </c>
      <c r="CM13" s="103">
        <f ca="1">NETWORKDAYS(Table2[[#This Row],[A&amp;E receive]], TODAY())</f>
        <v>32751</v>
      </c>
      <c r="CO13" s="3">
        <f>WORKDAY(Table2[[#This Row],[FM Approval meeting ]], 10)</f>
        <v>13</v>
      </c>
      <c r="CP13" s="103">
        <f ca="1">NETWORKDAYS(Table2[[#This Row],[Budget Request]], TODAY())</f>
        <v>32751</v>
      </c>
      <c r="CR13" s="3">
        <f>WORKDAY(Table2[[#This Row],[Budget Request Forecast]], 7)</f>
        <v>24</v>
      </c>
      <c r="CS13" s="103">
        <f ca="1">NETWORKDAYS(Table2[[#This Row],[Budget Approval]], TODAY())</f>
        <v>32751</v>
      </c>
      <c r="CV13" s="3">
        <f>WORKDAY(Table2[[#This Row],[Budget Approval Forecast ]], 7)</f>
        <v>33</v>
      </c>
      <c r="CW13" s="103">
        <f ca="1">NETWORKDAYS(Table2[[#This Row],[PO Request for OEM ]], TODAY())</f>
        <v>32751</v>
      </c>
      <c r="CY13" s="3">
        <f>WORKDAY(Table2[[#This Row],[PO Request for OEM Forecast]], 10)</f>
        <v>47</v>
      </c>
      <c r="CZ13" s="103">
        <f ca="1">NETWORKDAYS(Table2[[#This Row],[PO Approval]], TODAY())</f>
        <v>32751</v>
      </c>
      <c r="DB13" s="3">
        <f>WORKDAY(Table2[[#This Row],[PO Approval Forecast]], 10)</f>
        <v>61</v>
      </c>
      <c r="DC13" s="103">
        <f ca="1">NETWORKDAYS(Table2[[#This Row],[backhaul ordered]], TODAY())</f>
        <v>32751</v>
      </c>
      <c r="DE13" s="3">
        <f>WORKDAY(Table2[[#This Row],[Backhaul Order Forecast]], 10)</f>
        <v>75</v>
      </c>
      <c r="DF13" s="103">
        <f ca="1">NETWORKDAYS(Table2[[#This Row],[RTP Request]], TODAY())</f>
        <v>32751</v>
      </c>
      <c r="DG13" s="3"/>
      <c r="DH13" s="3">
        <f>WORKDAY(Table2[[#This Row],[RTP Request Forecast]], 10)</f>
        <v>89</v>
      </c>
      <c r="DI13" s="103">
        <f ca="1">NETWORKDAYS(Table2[[#This Row],[RTP Approved]], TODAY())</f>
        <v>32751</v>
      </c>
      <c r="DK13" s="3">
        <f>WORKDAY(Table2[[#This Row],[RTP Approval Forecast ]], 7)</f>
        <v>100</v>
      </c>
      <c r="DL13" s="103">
        <f ca="1">NETWORKDAYS(Table2[[#This Row],[RFP Request]], TODAY())</f>
        <v>32751</v>
      </c>
      <c r="DN13" s="3">
        <f>WORKDAY(Table2[[#This Row],[RFP Request Forecast ]], 10)</f>
        <v>114</v>
      </c>
      <c r="DO13" s="103">
        <f ca="1">NETWORKDAYS(Table2[[#This Row],[RFP Received]], TODAY())</f>
        <v>32751</v>
      </c>
      <c r="DQ13" s="3">
        <f>WORKDAY(Table2[[#This Row],[RFP Received Forecast ]], 7)</f>
        <v>123</v>
      </c>
      <c r="DR13" s="103">
        <f ca="1">NETWORKDAYS(Table2[[#This Row],[PO for GC Request]], TODAY())</f>
        <v>32751</v>
      </c>
      <c r="DT13" s="3">
        <f>WORKDAY(Table2[[#This Row],[PO for GC Request Forecast ]], 7)</f>
        <v>132</v>
      </c>
      <c r="DU13" s="103">
        <f ca="1">NETWORKDAYS(Table2[[#This Row],[PO for GC Approved]], TODAY())</f>
        <v>32751</v>
      </c>
      <c r="DW13" s="3">
        <f>WORKDAY(Table2[[#This Row],[PO for GC Approval Forecast ]], 10)</f>
        <v>146</v>
      </c>
      <c r="DX13" s="103">
        <f ca="1">NETWORKDAYS(Table2[[#This Row],[Construction Start]], TODAY())</f>
        <v>32751</v>
      </c>
      <c r="DZ13" s="3">
        <f>WORKDAY(Table2[[#This Row],[Construction Start Forecast ]], 20)</f>
        <v>174</v>
      </c>
      <c r="EA13" s="103">
        <f ca="1">NETWORKDAYS(Table2[[#This Row],[Construction Complete]], TODAY())</f>
        <v>32751</v>
      </c>
      <c r="ED13" s="3">
        <f>WORKDAY(Table2[[#This Row],[Construction Complete Forecast ]], 10)</f>
        <v>188</v>
      </c>
      <c r="EE13" s="103">
        <f ca="1">NETWORKDAYS(Table2[[#This Row],[Integration Start]], TODAY())</f>
        <v>32751</v>
      </c>
      <c r="EF13" s="3"/>
      <c r="EG13" s="3">
        <f>WORKDAY(Table2[[#This Row],[Integration Start Forecast ]], 10)</f>
        <v>202</v>
      </c>
      <c r="EH13" s="103">
        <f ca="1">NETWORKDAYS(Table2[[#This Row],[Integration Complete]], TODAY())</f>
        <v>32751</v>
      </c>
      <c r="EJ13" s="3">
        <f>WORKDAY(Table2[[#This Row],[Integration Complete Forecast ]], 10)</f>
        <v>216</v>
      </c>
      <c r="EK13" s="103">
        <f ca="1">NETWORKDAYS(Table2[[#This Row],[Close Out Package(2weeks from integration complete]], TODAY())</f>
        <v>32751</v>
      </c>
      <c r="EM13" s="3">
        <f>WORKDAY(Table2[[#This Row],[Close Out Package Forecast ]], 10)</f>
        <v>230</v>
      </c>
      <c r="EN13" s="103">
        <f ca="1">NETWORKDAYS(Table2[[#This Row],[Acceptance testing 2 weeks from close out package)]], TODAY())</f>
        <v>32751</v>
      </c>
      <c r="EP13" s="3">
        <f>WORKDAY(Table2[[#This Row],[Acceptance Testing Forecast ]], 20)</f>
        <v>258</v>
      </c>
      <c r="EQ13" s="103">
        <f ca="1">NETWORKDAYS(Table2[[#This Row],[Customer acceptance(1 month after acceptance testing)]], TODAY())</f>
        <v>32751</v>
      </c>
      <c r="ES13" s="3">
        <f>WORKDAY(Table2[[#This Row],[Customer Acceptance Forecast ]], 5)</f>
        <v>265</v>
      </c>
      <c r="ET13" s="103">
        <f ca="1">NETWORKDAYS(Table2[[#This Row],[Operations handoff(1 week after customer acceptance)]], TODAY())</f>
        <v>32751</v>
      </c>
      <c r="EU13" s="3" t="s">
        <v>167</v>
      </c>
      <c r="EV13" s="3">
        <f>WORKDAY(Table2[[#This Row],[Operations Handoff Forecast ]], 7)</f>
        <v>276</v>
      </c>
      <c r="EW13" s="103" t="e">
        <f ca="1">NETWORKDAYS(Table2[[#This Row],[FNE Date]], TODAY())</f>
        <v>#VALUE!</v>
      </c>
      <c r="EX13" s="3"/>
      <c r="EY13" s="3">
        <f>WORKDAY(Table2[[#This Row],[FNE Date Forecast ]], 7)</f>
        <v>285</v>
      </c>
      <c r="EZ13" s="103">
        <f ca="1">NETWORKDAYS(Table2[[#This Row],[FNE Notice]], TODAY())</f>
        <v>32751</v>
      </c>
      <c r="FA13" s="3"/>
      <c r="FB13" s="3"/>
    </row>
    <row r="14" spans="1:188" x14ac:dyDescent="0.25">
      <c r="A14" t="s">
        <v>101</v>
      </c>
      <c r="B14" t="s">
        <v>25</v>
      </c>
      <c r="C14" t="s">
        <v>170</v>
      </c>
      <c r="D14" s="103"/>
      <c r="E14" t="s">
        <v>79</v>
      </c>
      <c r="H14" t="s">
        <v>164</v>
      </c>
      <c r="I14" t="s">
        <v>171</v>
      </c>
      <c r="J14" s="3">
        <v>45793</v>
      </c>
      <c r="K14" s="3">
        <f>J14+10</f>
        <v>45803</v>
      </c>
      <c r="L14" s="3">
        <v>45776</v>
      </c>
      <c r="M14" s="3">
        <f>WORKDAY(Table2[[#This Row],[Kickoff date]], 7)</f>
        <v>45812</v>
      </c>
      <c r="N14" s="104">
        <f ca="1">NETWORKDAYS(Table2[[#This Row],[ROM Request]], TODAY())</f>
        <v>55</v>
      </c>
      <c r="O14" s="3">
        <v>45796</v>
      </c>
      <c r="P14" s="3">
        <f>WORKDAY(Table2[[#This Row],[ROM Request]], 10)</f>
        <v>45790</v>
      </c>
      <c r="Q14" s="104">
        <f ca="1">NETWORKDAYS(Table2[[#This Row],[ROM Receive]], TODAY())</f>
        <v>41</v>
      </c>
      <c r="R14" s="3">
        <v>45800</v>
      </c>
      <c r="S14" s="3">
        <f>WORKDAY(Table2[[#This Row],[ROM Receive Forecast]], 15)</f>
        <v>45811</v>
      </c>
      <c r="T14" s="104">
        <f ca="1">NETWORKDAYS(Table2[[#This Row],[Backhaul Cost Request]], TODAY())</f>
        <v>37</v>
      </c>
      <c r="U14" s="3">
        <f>R14+23</f>
        <v>45823</v>
      </c>
      <c r="V14" s="3">
        <f>WORKDAY(Table2[[#This Row],[Backhaul Cost Request Forecast]], 15)</f>
        <v>45832</v>
      </c>
      <c r="W14" s="104">
        <f ca="1">NETWORKDAYS(Table2[[#This Row],[Backhaul Cost Receive]], TODAY())</f>
        <v>21</v>
      </c>
      <c r="X14" s="3">
        <f>Table2[[#This Row],[Kickoff date]]</f>
        <v>45803</v>
      </c>
      <c r="Y14" s="3">
        <f>WORKDAY(Table2[[#This Row],[Backhaul Cost Request Forecast]], 7)</f>
        <v>45820</v>
      </c>
      <c r="Z14" s="104">
        <f ca="1">NETWORKDAYS(Table2[[#This Row],[OSP Request]], TODAY())</f>
        <v>36</v>
      </c>
      <c r="AA14" s="3"/>
      <c r="AB14" s="3">
        <f>WORKDAY(Table2[[#This Row],[OSP Request Forecast]], 10)</f>
        <v>45834</v>
      </c>
      <c r="AC14" s="104">
        <f ca="1">NETWORKDAYS(Table2[[#This Row],[OSP Receive]], TODAY())</f>
        <v>32751</v>
      </c>
      <c r="AD14" s="3">
        <f>Table2[[#This Row],[Kickoff date]]</f>
        <v>45803</v>
      </c>
      <c r="AE14" s="3">
        <f>WORKDAY(Table2[[#This Row],[Kickoff date]], 7)</f>
        <v>45812</v>
      </c>
      <c r="AF14" s="104">
        <f ca="1">NETWORKDAYS(Table2[[#This Row],[FM Request]], TODAY())</f>
        <v>36</v>
      </c>
      <c r="AG14" s="3"/>
      <c r="AH14" s="3">
        <f>WORKDAY(Table2[[#This Row],[FM Request Forecast ]], 2)</f>
        <v>45814</v>
      </c>
      <c r="AI14" s="104">
        <f ca="1">NETWORKDAYS(Table2[[#This Row],[FM receive]], TODAY())</f>
        <v>32751</v>
      </c>
      <c r="AJ14" s="3"/>
      <c r="AK14" s="3">
        <f>WORKDAY(Table2[[#This Row],[FM Receive Forecast ]], 2)</f>
        <v>45818</v>
      </c>
      <c r="AM14" s="3">
        <f>K14+20</f>
        <v>45823</v>
      </c>
      <c r="AN14" s="3"/>
      <c r="AO14" s="3">
        <f>WORKDAY(Table2[[#This Row],[1-pager Submission to BD]], 7)</f>
        <v>45832</v>
      </c>
      <c r="AP14" s="103">
        <f ca="1">IF(ISBLANK(Table2[[#This Row],[Firm Pricing request]]), NETWORKDAYS(Table2[[#This Row],[Proposal Accepted]], TODAY()), NETWORKDAYS(Table2[[#This Row],[Proposal Accepted]], Table2[[#This Row],[Firm Pricing request]]))</f>
        <v>32751</v>
      </c>
      <c r="AQ14" s="3"/>
      <c r="AR14" s="3">
        <f>WORKDAY(Table2[[#This Row],[Proposal Acceptance Forecast]], 7)</f>
        <v>45841</v>
      </c>
      <c r="AS14" s="103">
        <f ca="1">NETWORKDAYS(Table2[[#This Row],[Firm Pricing request]], TODAY())</f>
        <v>32751</v>
      </c>
      <c r="AT14" s="3"/>
      <c r="AU14" s="3">
        <f>WORKDAY(Table2[[#This Row],[Firm Pricing Request Forecast]], 7)</f>
        <v>45852</v>
      </c>
      <c r="AV14" s="103">
        <f ca="1">NETWORKDAYS(Table2[[#This Row],[Site Walk]], TODAY())</f>
        <v>32751</v>
      </c>
      <c r="AW14" s="3"/>
      <c r="AX14" s="3">
        <f>WORKDAY(Table2[[#This Row],[Site Walk Forecast]], 7)</f>
        <v>45861</v>
      </c>
      <c r="AY14" s="103">
        <f ca="1">NETWORKDAYS(Table2[[#This Row],[Firm Quote Receival]], TODAY())</f>
        <v>32751</v>
      </c>
      <c r="AZ14" s="3"/>
      <c r="BA14" s="3">
        <f>WORKDAY(Table2[[#This Row],[Firm Quote Receival Forecast ]], 7)</f>
        <v>45870</v>
      </c>
      <c r="BB14" s="103">
        <f ca="1">NETWORKDAYS(Table2[[#This Row],[Final Design &amp; BOM(20 calendar days from site walk)]], TODAY())</f>
        <v>32751</v>
      </c>
      <c r="BC14" s="3"/>
      <c r="BD14" s="3">
        <f>WORKDAY(Table2[[#This Row],[Final Design &amp; BOM Forecast ]], 7)</f>
        <v>45881</v>
      </c>
      <c r="BE14" s="103">
        <f ca="1">NETWORKDAYS(Table2[[#This Row],[FM Request 2]], TODAY())</f>
        <v>32751</v>
      </c>
      <c r="BF14" s="3"/>
      <c r="BG14" s="3">
        <f>WORKDAY(Table2[[#This Row],[FM Request 2 Forecast]], 7)</f>
        <v>45890</v>
      </c>
      <c r="BH14" s="103"/>
      <c r="BI14" s="3"/>
      <c r="BJ14" s="3">
        <f>WORKDAY(Table2[[#This Row],[FM Review 2 Forecast]], 7)</f>
        <v>45901</v>
      </c>
      <c r="BK14" s="103">
        <f ca="1">NETWORKDAYS(Table2[[#This Row],[Tax Review]], TODAY())</f>
        <v>32751</v>
      </c>
      <c r="BL14" s="3"/>
      <c r="BM14" s="3">
        <f>WORKDAY(Table2[[#This Row],[Tax Review]], 7)</f>
        <v>10</v>
      </c>
      <c r="BN14" s="103">
        <f ca="1">NETWORKDAYS(Table2[[#This Row],[Tax Approval]], TODAY())</f>
        <v>32751</v>
      </c>
      <c r="BO14" s="3"/>
      <c r="BP14" s="3">
        <f>WORKDAY(Table2[[#This Row],[Tax Approval Forecast]], 7)</f>
        <v>19</v>
      </c>
      <c r="BQ14" s="103">
        <f ca="1">NETWORKDAYS(Table2[[#This Row],[Final proposal submission]], TODAY())</f>
        <v>32751</v>
      </c>
      <c r="BR14" s="3"/>
      <c r="BS14" s="3"/>
      <c r="BT14" s="3">
        <f>WORKDAY(Table2[[#This Row],[Final Proposal Submission Forecast]], 7)</f>
        <v>30</v>
      </c>
      <c r="BU14" s="103">
        <f ca="1">NETWORKDAYS(Table2[[#This Row],[BD submits proposal]], TODAY())</f>
        <v>32751</v>
      </c>
      <c r="BV14" s="3"/>
      <c r="BW14" s="3">
        <f>WORKDAY(Table2[[#This Row],[BD Submits Proposal Forecast]], 7)</f>
        <v>39</v>
      </c>
      <c r="BX14" s="103">
        <f ca="1">NETWORKDAYS(Table2[[#This Row],[Final Proposal Accepted]], TODAY())</f>
        <v>32751</v>
      </c>
      <c r="BY14" s="3"/>
      <c r="BZ14" s="3">
        <f>WORKDAY(Table2[[#This Row],[Final Proposal Accepted]], 90)</f>
        <v>125</v>
      </c>
      <c r="CA14" s="103">
        <f ca="1">NETWORKDAYS(Table2[[#This Row],[Legal Agreement]], TODAY())</f>
        <v>32751</v>
      </c>
      <c r="CB14" s="3"/>
      <c r="CC14" s="3">
        <f>WORKDAY(Table2[[#This Row],[Legal Agreement Forecast]], 10)</f>
        <v>139</v>
      </c>
      <c r="CD14" s="103">
        <f ca="1">NETWORKDAYS(Table2[[#This Row],[Executed Agreement]], TODAY())</f>
        <v>32751</v>
      </c>
      <c r="CE14" t="s">
        <v>91</v>
      </c>
      <c r="CF14" t="s">
        <v>172</v>
      </c>
      <c r="CG14" s="103"/>
      <c r="CH14" s="3"/>
      <c r="CI14" s="3">
        <f>WORKDAY(Table2[[#This Row],[Executed Agreement]], 7)</f>
        <v>10</v>
      </c>
      <c r="CJ14" s="103">
        <f ca="1">NETWORKDAYS(Table2[[#This Row],[A&amp;E Request]], TODAY())</f>
        <v>32751</v>
      </c>
      <c r="CL14" s="3">
        <f>WORKDAY(Table2[[#This Row],[A&amp;E Request Forecast]], 10)</f>
        <v>24</v>
      </c>
      <c r="CM14" s="103">
        <f ca="1">NETWORKDAYS(Table2[[#This Row],[A&amp;E receive]], TODAY())</f>
        <v>32751</v>
      </c>
      <c r="CO14" s="3">
        <f>WORKDAY(Table2[[#This Row],[FM Approval meeting ]], 10)</f>
        <v>13</v>
      </c>
      <c r="CP14" s="103">
        <f ca="1">NETWORKDAYS(Table2[[#This Row],[Budget Request]], TODAY())</f>
        <v>32751</v>
      </c>
      <c r="CR14" s="3">
        <f>WORKDAY(Table2[[#This Row],[Budget Request Forecast]], 7)</f>
        <v>24</v>
      </c>
      <c r="CS14" s="103">
        <f ca="1">NETWORKDAYS(Table2[[#This Row],[Budget Approval]], TODAY())</f>
        <v>32751</v>
      </c>
      <c r="CV14" s="3">
        <f>WORKDAY(Table2[[#This Row],[Budget Approval Forecast ]], 7)</f>
        <v>33</v>
      </c>
      <c r="CW14" s="103">
        <f ca="1">NETWORKDAYS(Table2[[#This Row],[PO Request for OEM ]], TODAY())</f>
        <v>32751</v>
      </c>
      <c r="CY14" s="3">
        <f>WORKDAY(Table2[[#This Row],[PO Request for OEM Forecast]], 10)</f>
        <v>47</v>
      </c>
      <c r="CZ14" s="103">
        <f ca="1">NETWORKDAYS(Table2[[#This Row],[PO Approval]], TODAY())</f>
        <v>32751</v>
      </c>
      <c r="DB14" s="3">
        <f>WORKDAY(Table2[[#This Row],[PO Approval Forecast]], 10)</f>
        <v>61</v>
      </c>
      <c r="DC14" s="103">
        <f ca="1">NETWORKDAYS(Table2[[#This Row],[backhaul ordered]], TODAY())</f>
        <v>32751</v>
      </c>
      <c r="DE14" s="3">
        <f>WORKDAY(Table2[[#This Row],[Backhaul Order Forecast]], 10)</f>
        <v>75</v>
      </c>
      <c r="DF14" s="103">
        <f ca="1">NETWORKDAYS(Table2[[#This Row],[RTP Request]], TODAY())</f>
        <v>32751</v>
      </c>
      <c r="DG14" s="3"/>
      <c r="DH14" s="3">
        <f>WORKDAY(Table2[[#This Row],[RTP Request Forecast]], 10)</f>
        <v>89</v>
      </c>
      <c r="DI14" s="103">
        <f ca="1">NETWORKDAYS(Table2[[#This Row],[RTP Approved]], TODAY())</f>
        <v>32751</v>
      </c>
      <c r="DK14" s="3">
        <f>WORKDAY(Table2[[#This Row],[RTP Approval Forecast ]], 7)</f>
        <v>100</v>
      </c>
      <c r="DL14" s="103">
        <f ca="1">NETWORKDAYS(Table2[[#This Row],[RFP Request]], TODAY())</f>
        <v>32751</v>
      </c>
      <c r="DN14" s="3">
        <f>WORKDAY(Table2[[#This Row],[RFP Request Forecast ]], 10)</f>
        <v>114</v>
      </c>
      <c r="DO14" s="103">
        <f ca="1">NETWORKDAYS(Table2[[#This Row],[RFP Received]], TODAY())</f>
        <v>32751</v>
      </c>
      <c r="DQ14" s="3">
        <f>WORKDAY(Table2[[#This Row],[RFP Received Forecast ]], 7)</f>
        <v>123</v>
      </c>
      <c r="DR14" s="103">
        <f ca="1">NETWORKDAYS(Table2[[#This Row],[PO for GC Request]], TODAY())</f>
        <v>32751</v>
      </c>
      <c r="DT14" s="3">
        <f>WORKDAY(Table2[[#This Row],[PO for GC Request Forecast ]], 7)</f>
        <v>132</v>
      </c>
      <c r="DU14" s="103">
        <f ca="1">NETWORKDAYS(Table2[[#This Row],[PO for GC Approved]], TODAY())</f>
        <v>32751</v>
      </c>
      <c r="DW14" s="3">
        <f>WORKDAY(Table2[[#This Row],[PO for GC Approval Forecast ]], 10)</f>
        <v>146</v>
      </c>
      <c r="DX14" s="103">
        <f ca="1">NETWORKDAYS(Table2[[#This Row],[Construction Start]], TODAY())</f>
        <v>32751</v>
      </c>
      <c r="DZ14" s="3">
        <f>WORKDAY(Table2[[#This Row],[Construction Start Forecast ]], 20)</f>
        <v>174</v>
      </c>
      <c r="EA14" s="103">
        <f ca="1">NETWORKDAYS(Table2[[#This Row],[Construction Complete]], TODAY())</f>
        <v>32751</v>
      </c>
      <c r="ED14" s="3">
        <f>WORKDAY(Table2[[#This Row],[Construction Complete Forecast ]], 10)</f>
        <v>188</v>
      </c>
      <c r="EE14" s="103">
        <f ca="1">NETWORKDAYS(Table2[[#This Row],[Integration Start]], TODAY())</f>
        <v>32751</v>
      </c>
      <c r="EF14" s="3"/>
      <c r="EG14" s="3">
        <f>WORKDAY(Table2[[#This Row],[Integration Start Forecast ]], 10)</f>
        <v>202</v>
      </c>
      <c r="EH14" s="103">
        <f ca="1">NETWORKDAYS(Table2[[#This Row],[Integration Complete]], TODAY())</f>
        <v>32751</v>
      </c>
      <c r="EJ14" s="3">
        <f>WORKDAY(Table2[[#This Row],[Integration Complete Forecast ]], 10)</f>
        <v>216</v>
      </c>
      <c r="EK14" s="103">
        <f ca="1">NETWORKDAYS(Table2[[#This Row],[Close Out Package(2weeks from integration complete]], TODAY())</f>
        <v>32751</v>
      </c>
      <c r="EM14" s="3">
        <f>WORKDAY(Table2[[#This Row],[Close Out Package Forecast ]], 10)</f>
        <v>230</v>
      </c>
      <c r="EN14" s="103">
        <f ca="1">NETWORKDAYS(Table2[[#This Row],[Acceptance testing 2 weeks from close out package)]], TODAY())</f>
        <v>32751</v>
      </c>
      <c r="EP14" s="3">
        <f>WORKDAY(Table2[[#This Row],[Acceptance Testing Forecast ]], 20)</f>
        <v>258</v>
      </c>
      <c r="EQ14" s="103">
        <f ca="1">NETWORKDAYS(Table2[[#This Row],[Customer acceptance(1 month after acceptance testing)]], TODAY())</f>
        <v>32751</v>
      </c>
      <c r="ES14" s="3">
        <f>WORKDAY(Table2[[#This Row],[Customer Acceptance Forecast ]], 5)</f>
        <v>265</v>
      </c>
      <c r="ET14" s="103">
        <f ca="1">NETWORKDAYS(Table2[[#This Row],[Operations handoff(1 week after customer acceptance)]], TODAY())</f>
        <v>32751</v>
      </c>
      <c r="EU14" s="3"/>
      <c r="EV14" s="3">
        <f>WORKDAY(Table2[[#This Row],[Operations Handoff Forecast ]], 7)</f>
        <v>276</v>
      </c>
      <c r="EW14" s="103">
        <f ca="1">NETWORKDAYS(Table2[[#This Row],[FNE Date]], TODAY())</f>
        <v>32751</v>
      </c>
      <c r="EX14" s="3"/>
      <c r="EY14" s="3">
        <f>WORKDAY(Table2[[#This Row],[FNE Date Forecast ]], 7)</f>
        <v>285</v>
      </c>
      <c r="EZ14" s="103">
        <f ca="1">NETWORKDAYS(Table2[[#This Row],[FNE Notice]], TODAY())</f>
        <v>32751</v>
      </c>
      <c r="FA14" s="3"/>
      <c r="FB14" s="3"/>
    </row>
    <row r="15" spans="1:188" x14ac:dyDescent="0.25">
      <c r="D15" s="103"/>
      <c r="J15" s="3">
        <v>45758</v>
      </c>
      <c r="K15" s="3">
        <v>45769</v>
      </c>
      <c r="L15" s="3">
        <v>45758</v>
      </c>
      <c r="M15" s="3">
        <f>WORKDAY(Table2[[#This Row],[Kickoff date]], 7)</f>
        <v>45778</v>
      </c>
      <c r="N15" s="104">
        <f ca="1">NETWORKDAYS(Table2[[#This Row],[ROM Request]], TODAY())</f>
        <v>67</v>
      </c>
      <c r="O15" s="3">
        <v>45777</v>
      </c>
      <c r="P15" s="3">
        <f>WORKDAY(Table2[[#This Row],[ROM Request]], 10)</f>
        <v>45772</v>
      </c>
      <c r="Q15" s="104">
        <f ca="1">NETWORKDAYS(Table2[[#This Row],[ROM Receive]], TODAY())</f>
        <v>54</v>
      </c>
      <c r="R15" s="3">
        <v>45757</v>
      </c>
      <c r="S15" s="3">
        <f>WORKDAY(Table2[[#This Row],[ROM Receive Forecast]], 15)</f>
        <v>45793</v>
      </c>
      <c r="T15" s="104">
        <f ca="1">NETWORKDAYS(Table2[[#This Row],[Backhaul Cost Request]], TODAY())</f>
        <v>68</v>
      </c>
      <c r="U15" s="3">
        <v>45778</v>
      </c>
      <c r="V15" s="3">
        <f>WORKDAY(Table2[[#This Row],[Backhaul Cost Request Forecast]], 15)</f>
        <v>45814</v>
      </c>
      <c r="W15" s="104">
        <f ca="1">NETWORKDAYS(Table2[[#This Row],[Backhaul Cost Receive]], TODAY())</f>
        <v>53</v>
      </c>
      <c r="X15" s="3">
        <f>Table2[[#This Row],[Kickoff date]]</f>
        <v>45769</v>
      </c>
      <c r="Y15" s="3">
        <f>WORKDAY(Table2[[#This Row],[Backhaul Cost Request Forecast]], 7)</f>
        <v>45804</v>
      </c>
      <c r="Z15" s="104">
        <f ca="1">NETWORKDAYS(Table2[[#This Row],[OSP Request]], TODAY())</f>
        <v>60</v>
      </c>
      <c r="AA15" s="3">
        <v>45772</v>
      </c>
      <c r="AB15" s="3">
        <f>WORKDAY(Table2[[#This Row],[OSP Request Forecast]], 10)</f>
        <v>45818</v>
      </c>
      <c r="AC15" s="104">
        <f ca="1">NETWORKDAYS(Table2[[#This Row],[OSP Receive]], TODAY())</f>
        <v>57</v>
      </c>
      <c r="AD15" s="3">
        <f>Table2[[#This Row],[Kickoff date]]</f>
        <v>45769</v>
      </c>
      <c r="AE15" s="3">
        <f>WORKDAY(Table2[[#This Row],[Kickoff date]], 7)</f>
        <v>45778</v>
      </c>
      <c r="AF15" s="104">
        <f ca="1">NETWORKDAYS(Table2[[#This Row],[FM Request]], TODAY())</f>
        <v>60</v>
      </c>
      <c r="AG15" s="3">
        <v>45782</v>
      </c>
      <c r="AH15" s="3">
        <f>WORKDAY(Table2[[#This Row],[FM Request Forecast ]], 2)</f>
        <v>45782</v>
      </c>
      <c r="AI15" s="104">
        <f ca="1">NETWORKDAYS(Table2[[#This Row],[FM receive]], TODAY())</f>
        <v>51</v>
      </c>
      <c r="AJ15" s="3"/>
      <c r="AK15" s="3">
        <f>WORKDAY(Table2[[#This Row],[FM Receive Forecast ]], 2)</f>
        <v>45784</v>
      </c>
      <c r="AL15" s="3"/>
      <c r="AM15" s="3">
        <v>45799</v>
      </c>
      <c r="AN15" s="3"/>
      <c r="AO15" s="3">
        <f>WORKDAY(Table2[[#This Row],[1-pager Submission to BD]], 7)</f>
        <v>45810</v>
      </c>
      <c r="AP15" s="103">
        <f ca="1">IF(ISBLANK(Table2[[#This Row],[Firm Pricing request]]), NETWORKDAYS(Table2[[#This Row],[Proposal Accepted]], TODAY()), NETWORKDAYS(Table2[[#This Row],[Proposal Accepted]], Table2[[#This Row],[Firm Pricing request]]))</f>
        <v>32751</v>
      </c>
      <c r="AQ15" s="3"/>
      <c r="AR15" s="3">
        <f>WORKDAY(Table2[[#This Row],[Proposal Acceptance Forecast]], 7)</f>
        <v>45819</v>
      </c>
      <c r="AS15" s="103">
        <f ca="1">NETWORKDAYS(Table2[[#This Row],[Firm Pricing request]], TODAY())</f>
        <v>32751</v>
      </c>
      <c r="AT15" s="3">
        <v>45802</v>
      </c>
      <c r="AU15" s="3">
        <f>WORKDAY(Table2[[#This Row],[Firm Pricing Request Forecast]], 7)</f>
        <v>45828</v>
      </c>
      <c r="AV15" s="103">
        <f ca="1">NETWORKDAYS(Table2[[#This Row],[Site Walk]], TODAY())</f>
        <v>36</v>
      </c>
      <c r="AW15" s="3"/>
      <c r="AX15" s="3">
        <f>WORKDAY(Table2[[#This Row],[Site Walk Forecast]], 7)</f>
        <v>45839</v>
      </c>
      <c r="AY15" s="103">
        <f ca="1">NETWORKDAYS(Table2[[#This Row],[Firm Quote Receival]], TODAY())</f>
        <v>32751</v>
      </c>
      <c r="AZ15" s="3">
        <v>45809</v>
      </c>
      <c r="BA15" s="3">
        <f>WORKDAY(Table2[[#This Row],[Firm Quote Receival Forecast ]], 7)</f>
        <v>45848</v>
      </c>
      <c r="BB15" s="103">
        <f ca="1">NETWORKDAYS(Table2[[#This Row],[Final Design &amp; BOM(20 calendar days from site walk)]], TODAY())</f>
        <v>31</v>
      </c>
      <c r="BC15" s="3">
        <v>45689</v>
      </c>
      <c r="BD15" s="3">
        <f>WORKDAY(Table2[[#This Row],[Final Design &amp; BOM Forecast ]], 7)</f>
        <v>45859</v>
      </c>
      <c r="BE15" s="103">
        <f ca="1">NETWORKDAYS(Table2[[#This Row],[FM Request 2]], TODAY())</f>
        <v>116</v>
      </c>
      <c r="BF15" s="3">
        <v>45689</v>
      </c>
      <c r="BG15" s="3">
        <f>WORKDAY(Table2[[#This Row],[FM Request 2 Forecast]], 7)</f>
        <v>45868</v>
      </c>
      <c r="BH15" s="103"/>
      <c r="BI15" s="3">
        <v>45689</v>
      </c>
      <c r="BJ15" s="3">
        <f>WORKDAY(Table2[[#This Row],[FM Review 2 Forecast]], 7)</f>
        <v>45877</v>
      </c>
      <c r="BK15" s="103">
        <f ca="1">NETWORKDAYS(Table2[[#This Row],[Tax Review]], TODAY())</f>
        <v>116</v>
      </c>
      <c r="BL15" s="3">
        <v>45698</v>
      </c>
      <c r="BM15" s="3">
        <f>WORKDAY(Table2[[#This Row],[Tax Review]], 7)</f>
        <v>45699</v>
      </c>
      <c r="BN15" s="103">
        <f ca="1">NETWORKDAYS(Table2[[#This Row],[Tax Approval]], TODAY())</f>
        <v>111</v>
      </c>
      <c r="BO15" s="3">
        <v>45701</v>
      </c>
      <c r="BP15" s="3">
        <f>WORKDAY(Table2[[#This Row],[Tax Approval Forecast]], 7)</f>
        <v>45708</v>
      </c>
      <c r="BQ15" s="103">
        <f ca="1">NETWORKDAYS(Table2[[#This Row],[Final proposal submission]], TODAY())</f>
        <v>108</v>
      </c>
      <c r="BR15" s="3">
        <v>45713</v>
      </c>
      <c r="BS15" s="3">
        <v>45717</v>
      </c>
      <c r="BT15" s="3">
        <f>WORKDAY(Table2[[#This Row],[Final Proposal Submission Forecast]], 7)</f>
        <v>45719</v>
      </c>
      <c r="BU15" s="103">
        <f ca="1">NETWORKDAYS(Table2[[#This Row],[BD submits proposal]], TODAY())</f>
        <v>96</v>
      </c>
      <c r="BV15" s="3">
        <v>45722</v>
      </c>
      <c r="BW15" s="3">
        <f>WORKDAY(Table2[[#This Row],[BD Submits Proposal Forecast]], 7)</f>
        <v>45728</v>
      </c>
      <c r="BX15" s="103">
        <f ca="1">NETWORKDAYS(Table2[[#This Row],[Final Proposal Accepted]], TODAY())</f>
        <v>93</v>
      </c>
      <c r="BY15" s="3"/>
      <c r="BZ15" s="3">
        <f>WORKDAY(Table2[[#This Row],[Final Proposal Accepted]], 90)</f>
        <v>45848</v>
      </c>
      <c r="CA15" s="103">
        <f ca="1">NETWORKDAYS(Table2[[#This Row],[Legal Agreement]], TODAY())</f>
        <v>32751</v>
      </c>
      <c r="CB15" s="3">
        <v>45839</v>
      </c>
      <c r="CC15" s="3">
        <f>WORKDAY(Table2[[#This Row],[Legal Agreement Forecast]], 10)</f>
        <v>45862</v>
      </c>
      <c r="CD15" s="103">
        <f ca="1">NETWORKDAYS(Table2[[#This Row],[Executed Agreement]], TODAY())</f>
        <v>10</v>
      </c>
      <c r="CG15" s="103"/>
      <c r="CH15" s="3"/>
      <c r="CI15" s="3">
        <f>WORKDAY(Table2[[#This Row],[Executed Agreement]], 7)</f>
        <v>45848</v>
      </c>
      <c r="CJ15" s="103">
        <f ca="1">NETWORKDAYS(Table2[[#This Row],[A&amp;E Request]], TODAY())</f>
        <v>32751</v>
      </c>
      <c r="CL15" s="3">
        <f>WORKDAY(Table2[[#This Row],[A&amp;E Request Forecast]], 10)</f>
        <v>45862</v>
      </c>
      <c r="CM15" s="103">
        <f ca="1">NETWORKDAYS(Table2[[#This Row],[A&amp;E receive]], TODAY())</f>
        <v>32751</v>
      </c>
      <c r="CN15" s="3">
        <v>45778</v>
      </c>
      <c r="CO15" s="3">
        <f>WORKDAY(Table2[[#This Row],[FM Approval meeting ]], 10)</f>
        <v>13</v>
      </c>
      <c r="CP15" s="103">
        <f ca="1">NETWORKDAYS(Table2[[#This Row],[Budget Request]], TODAY())</f>
        <v>53</v>
      </c>
      <c r="CQ15" s="3">
        <v>45784</v>
      </c>
      <c r="CR15" s="3">
        <f>WORKDAY(Table2[[#This Row],[Budget Request Forecast]], 7)</f>
        <v>24</v>
      </c>
      <c r="CS15" s="103">
        <f ca="1">NETWORKDAYS(Table2[[#This Row],[Budget Approval]], TODAY())</f>
        <v>49</v>
      </c>
      <c r="CT15" s="3"/>
      <c r="CU15" s="3">
        <v>45689</v>
      </c>
      <c r="CV15" s="3">
        <f>WORKDAY(Table2[[#This Row],[Budget Approval Forecast ]], 7)</f>
        <v>33</v>
      </c>
      <c r="CW15" s="103">
        <f ca="1">NETWORKDAYS(Table2[[#This Row],[PO Request for OEM ]], TODAY())</f>
        <v>116</v>
      </c>
      <c r="CX15" s="3">
        <v>45694</v>
      </c>
      <c r="CY15" s="3">
        <f>WORKDAY(Table2[[#This Row],[PO Request for OEM Forecast]], 10)</f>
        <v>47</v>
      </c>
      <c r="CZ15" s="103">
        <f ca="1">NETWORKDAYS(Table2[[#This Row],[PO Approval]], TODAY())</f>
        <v>113</v>
      </c>
      <c r="DA15" s="3"/>
      <c r="DB15" s="3">
        <f>WORKDAY(Table2[[#This Row],[PO Approval Forecast]], 10)</f>
        <v>61</v>
      </c>
      <c r="DC15" s="103">
        <f ca="1">NETWORKDAYS(Table2[[#This Row],[backhaul ordered]], TODAY())</f>
        <v>32751</v>
      </c>
      <c r="DD15" s="3"/>
      <c r="DE15" s="3">
        <f>WORKDAY(Table2[[#This Row],[Backhaul Order Forecast]], 10)</f>
        <v>75</v>
      </c>
      <c r="DF15" s="103">
        <f ca="1">NETWORKDAYS(Table2[[#This Row],[RTP Request]], TODAY())</f>
        <v>32751</v>
      </c>
      <c r="DH15" s="3">
        <f>WORKDAY(Table2[[#This Row],[RTP Request Forecast]], 10)</f>
        <v>89</v>
      </c>
      <c r="DI15" s="103">
        <f ca="1">NETWORKDAYS(Table2[[#This Row],[RTP Approved]], TODAY())</f>
        <v>32751</v>
      </c>
      <c r="DJ15" s="3"/>
      <c r="DK15" s="3">
        <f>WORKDAY(Table2[[#This Row],[RTP Approval Forecast ]], 7)</f>
        <v>100</v>
      </c>
      <c r="DL15" s="103">
        <f ca="1">NETWORKDAYS(Table2[[#This Row],[RFP Request]], TODAY())</f>
        <v>32751</v>
      </c>
      <c r="DN15" s="3">
        <f>WORKDAY(Table2[[#This Row],[RFP Request Forecast ]], 10)</f>
        <v>114</v>
      </c>
      <c r="DO15" s="103">
        <f ca="1">NETWORKDAYS(Table2[[#This Row],[RFP Received]], TODAY())</f>
        <v>32751</v>
      </c>
      <c r="DP15" s="3">
        <v>45662</v>
      </c>
      <c r="DQ15" s="3">
        <f>WORKDAY(Table2[[#This Row],[RFP Received Forecast ]], 7)</f>
        <v>123</v>
      </c>
      <c r="DR15" s="103">
        <f ca="1">NETWORKDAYS(Table2[[#This Row],[PO for GC Request]], TODAY())</f>
        <v>136</v>
      </c>
      <c r="DS15" s="3">
        <v>45666</v>
      </c>
      <c r="DT15" s="3">
        <f>WORKDAY(Table2[[#This Row],[PO for GC Request Forecast ]], 7)</f>
        <v>132</v>
      </c>
      <c r="DU15" s="103">
        <f ca="1">NETWORKDAYS(Table2[[#This Row],[PO for GC Approved]], TODAY())</f>
        <v>133</v>
      </c>
      <c r="DV15" s="3"/>
      <c r="DW15" s="3">
        <f>WORKDAY(Table2[[#This Row],[PO for GC Approval Forecast ]], 10)</f>
        <v>146</v>
      </c>
      <c r="DX15" s="103">
        <f ca="1">NETWORKDAYS(Table2[[#This Row],[Construction Start]], TODAY())</f>
        <v>32751</v>
      </c>
      <c r="DY15" s="3"/>
      <c r="DZ15" s="3">
        <f>WORKDAY(Table2[[#This Row],[Construction Start Forecast ]], 20)</f>
        <v>174</v>
      </c>
      <c r="EA15" s="103">
        <f ca="1">NETWORKDAYS(Table2[[#This Row],[Construction Complete]], TODAY())</f>
        <v>32751</v>
      </c>
      <c r="EB15" s="3"/>
      <c r="EC15" s="3">
        <v>45691</v>
      </c>
      <c r="ED15" s="3">
        <f>WORKDAY(Table2[[#This Row],[Construction Complete Forecast ]], 10)</f>
        <v>188</v>
      </c>
      <c r="EE15" s="103">
        <f ca="1">NETWORKDAYS(Table2[[#This Row],[Integration Start]], TODAY())</f>
        <v>116</v>
      </c>
      <c r="EF15" s="3">
        <f>EC15+18</f>
        <v>45709</v>
      </c>
      <c r="EG15" s="3">
        <f>WORKDAY(Table2[[#This Row],[Integration Start Forecast ]], 10)</f>
        <v>202</v>
      </c>
      <c r="EH15" s="103">
        <f ca="1">NETWORKDAYS(Table2[[#This Row],[Integration Complete]], TODAY())</f>
        <v>102</v>
      </c>
      <c r="EI15" s="3">
        <f>EF15+18</f>
        <v>45727</v>
      </c>
      <c r="EJ15" s="3">
        <f>WORKDAY(Table2[[#This Row],[Integration Complete Forecast ]], 10)</f>
        <v>216</v>
      </c>
      <c r="EK15" s="103">
        <f ca="1">NETWORKDAYS(Table2[[#This Row],[Close Out Package(2weeks from integration complete]], TODAY())</f>
        <v>90</v>
      </c>
      <c r="EL15" s="3">
        <f>EI15+18</f>
        <v>45745</v>
      </c>
      <c r="EM15" s="3">
        <f>WORKDAY(Table2[[#This Row],[Close Out Package Forecast ]], 10)</f>
        <v>230</v>
      </c>
      <c r="EN15" s="103">
        <f ca="1">NETWORKDAYS(Table2[[#This Row],[Acceptance testing 2 weeks from close out package)]], TODAY())</f>
        <v>76</v>
      </c>
      <c r="EO15" s="3">
        <f>EL15+30</f>
        <v>45775</v>
      </c>
      <c r="EP15" s="3">
        <f>WORKDAY(Table2[[#This Row],[Acceptance Testing Forecast ]], 20)</f>
        <v>258</v>
      </c>
      <c r="EQ15" s="103">
        <f ca="1">NETWORKDAYS(Table2[[#This Row],[Customer acceptance(1 month after acceptance testing)]], TODAY())</f>
        <v>56</v>
      </c>
      <c r="ER15" s="3">
        <f>EO15+9</f>
        <v>45784</v>
      </c>
      <c r="ES15" s="3">
        <f>WORKDAY(Table2[[#This Row],[Customer Acceptance Forecast ]], 5)</f>
        <v>265</v>
      </c>
      <c r="ET15" s="103">
        <f ca="1">NETWORKDAYS(Table2[[#This Row],[Operations handoff(1 week after customer acceptance)]], TODAY())</f>
        <v>49</v>
      </c>
      <c r="EU15" s="3">
        <v>45693</v>
      </c>
      <c r="EV15" s="3">
        <f>WORKDAY(Table2[[#This Row],[Operations Handoff Forecast ]], 7)</f>
        <v>276</v>
      </c>
      <c r="EW15" s="103">
        <f ca="1">NETWORKDAYS(Table2[[#This Row],[FNE Date]], TODAY())</f>
        <v>114</v>
      </c>
      <c r="EX15" s="3">
        <f>EU15+1</f>
        <v>45694</v>
      </c>
      <c r="EY15" s="3">
        <f>WORKDAY(Table2[[#This Row],[FNE Date Forecast ]], 7)</f>
        <v>285</v>
      </c>
      <c r="EZ15" s="103">
        <f ca="1">NETWORKDAYS(Table2[[#This Row],[FNE Notice]], TODAY())</f>
        <v>113</v>
      </c>
      <c r="FA15" s="3">
        <f>EX15+2</f>
        <v>45696</v>
      </c>
      <c r="FB15" s="3">
        <f>EX15+9</f>
        <v>45703</v>
      </c>
    </row>
    <row r="16" spans="1:188" x14ac:dyDescent="0.25">
      <c r="D16" s="103"/>
      <c r="J16" s="3">
        <v>45757</v>
      </c>
      <c r="K16" s="3">
        <v>45767</v>
      </c>
      <c r="L16" s="3">
        <v>45759</v>
      </c>
      <c r="M16" s="3">
        <f>WORKDAY(Table2[[#This Row],[Kickoff date]], 7)</f>
        <v>45776</v>
      </c>
      <c r="N16" s="104">
        <f ca="1">NETWORKDAYS(Table2[[#This Row],[ROM Request]], TODAY())</f>
        <v>66</v>
      </c>
      <c r="O16" s="3">
        <v>45769</v>
      </c>
      <c r="P16" s="3">
        <f>WORKDAY(Table2[[#This Row],[ROM Request]], 10)</f>
        <v>45772</v>
      </c>
      <c r="Q16" s="104">
        <f ca="1">NETWORKDAYS(Table2[[#This Row],[ROM Receive]], TODAY())</f>
        <v>60</v>
      </c>
      <c r="R16" s="3">
        <v>45759</v>
      </c>
      <c r="S16" s="3">
        <f>WORKDAY(Table2[[#This Row],[ROM Receive Forecast]], 15)</f>
        <v>45793</v>
      </c>
      <c r="T16" s="104">
        <f ca="1">NETWORKDAYS(Table2[[#This Row],[Backhaul Cost Request]], TODAY())</f>
        <v>66</v>
      </c>
      <c r="U16" s="3">
        <v>45770</v>
      </c>
      <c r="V16" s="3">
        <f>WORKDAY(Table2[[#This Row],[Backhaul Cost Request Forecast]], 15)</f>
        <v>45814</v>
      </c>
      <c r="W16" s="104">
        <f ca="1">NETWORKDAYS(Table2[[#This Row],[Backhaul Cost Receive]], TODAY())</f>
        <v>59</v>
      </c>
      <c r="X16" s="3">
        <f>Table2[[#This Row],[Kickoff date]]</f>
        <v>45767</v>
      </c>
      <c r="Y16" s="3">
        <f>WORKDAY(Table2[[#This Row],[Backhaul Cost Request Forecast]], 7)</f>
        <v>45804</v>
      </c>
      <c r="Z16" s="104">
        <f ca="1">NETWORKDAYS(Table2[[#This Row],[OSP Request]], TODAY())</f>
        <v>61</v>
      </c>
      <c r="AA16" s="3">
        <v>45770</v>
      </c>
      <c r="AB16" s="3">
        <f>WORKDAY(Table2[[#This Row],[OSP Request Forecast]], 10)</f>
        <v>45818</v>
      </c>
      <c r="AC16" s="104">
        <f ca="1">NETWORKDAYS(Table2[[#This Row],[OSP Receive]], TODAY())</f>
        <v>59</v>
      </c>
      <c r="AD16" s="3">
        <f>Table2[[#This Row],[Kickoff date]]</f>
        <v>45767</v>
      </c>
      <c r="AE16" s="3">
        <f>WORKDAY(Table2[[#This Row],[Kickoff date]], 7)</f>
        <v>45776</v>
      </c>
      <c r="AF16" s="104">
        <f ca="1">NETWORKDAYS(Table2[[#This Row],[FM Request]], TODAY())</f>
        <v>61</v>
      </c>
      <c r="AG16" s="3">
        <v>45773</v>
      </c>
      <c r="AH16" s="3">
        <f>WORKDAY(Table2[[#This Row],[FM Request Forecast ]], 2)</f>
        <v>45778</v>
      </c>
      <c r="AI16" s="104">
        <f ca="1">NETWORKDAYS(Table2[[#This Row],[FM receive]], TODAY())</f>
        <v>56</v>
      </c>
      <c r="AJ16" s="3"/>
      <c r="AK16" s="3">
        <f>WORKDAY(Table2[[#This Row],[FM Receive Forecast ]], 2)</f>
        <v>45782</v>
      </c>
      <c r="AL16" s="3"/>
      <c r="AM16" s="3">
        <v>45782</v>
      </c>
      <c r="AN16" s="3"/>
      <c r="AO16" s="3">
        <f>WORKDAY(Table2[[#This Row],[1-pager Submission to BD]], 7)</f>
        <v>45791</v>
      </c>
      <c r="AP16" s="103">
        <f ca="1">IF(ISBLANK(Table2[[#This Row],[Firm Pricing request]]), NETWORKDAYS(Table2[[#This Row],[Proposal Accepted]], TODAY()), NETWORKDAYS(Table2[[#This Row],[Proposal Accepted]], Table2[[#This Row],[Firm Pricing request]]))</f>
        <v>32751</v>
      </c>
      <c r="AQ16" s="3"/>
      <c r="AR16" s="3">
        <f>WORKDAY(Table2[[#This Row],[Proposal Acceptance Forecast]], 7)</f>
        <v>45800</v>
      </c>
      <c r="AS16" s="103">
        <f ca="1">NETWORKDAYS(Table2[[#This Row],[Firm Pricing request]], TODAY())</f>
        <v>32751</v>
      </c>
      <c r="AT16" s="3">
        <v>45784</v>
      </c>
      <c r="AU16" s="3">
        <f>WORKDAY(Table2[[#This Row],[Firm Pricing Request Forecast]], 7)</f>
        <v>45811</v>
      </c>
      <c r="AV16" s="103">
        <f ca="1">NETWORKDAYS(Table2[[#This Row],[Site Walk]], TODAY())</f>
        <v>49</v>
      </c>
      <c r="AW16" s="3"/>
      <c r="AX16" s="3">
        <f>WORKDAY(Table2[[#This Row],[Site Walk Forecast]], 7)</f>
        <v>45820</v>
      </c>
      <c r="AY16" s="103">
        <f ca="1">NETWORKDAYS(Table2[[#This Row],[Firm Quote Receival]], TODAY())</f>
        <v>32751</v>
      </c>
      <c r="AZ16" s="3">
        <v>45792</v>
      </c>
      <c r="BA16" s="3">
        <f>WORKDAY(Table2[[#This Row],[Firm Quote Receival Forecast ]], 7)</f>
        <v>45831</v>
      </c>
      <c r="BB16" s="103">
        <f ca="1">NETWORKDAYS(Table2[[#This Row],[Final Design &amp; BOM(20 calendar days from site walk)]], TODAY())</f>
        <v>43</v>
      </c>
      <c r="BC16" s="3">
        <v>45658</v>
      </c>
      <c r="BD16" s="3">
        <f>WORKDAY(Table2[[#This Row],[Final Design &amp; BOM Forecast ]], 7)</f>
        <v>45840</v>
      </c>
      <c r="BE16" s="103">
        <f ca="1">NETWORKDAYS(Table2[[#This Row],[FM Request 2]], TODAY())</f>
        <v>139</v>
      </c>
      <c r="BF16" s="3">
        <v>45660</v>
      </c>
      <c r="BG16" s="3">
        <f>WORKDAY(Table2[[#This Row],[FM Request 2 Forecast]], 7)</f>
        <v>45849</v>
      </c>
      <c r="BH16" s="103"/>
      <c r="BI16" s="3">
        <v>45658</v>
      </c>
      <c r="BJ16" s="3">
        <f>WORKDAY(Table2[[#This Row],[FM Review 2 Forecast]], 7)</f>
        <v>45860</v>
      </c>
      <c r="BK16" s="103">
        <f ca="1">NETWORKDAYS(Table2[[#This Row],[Tax Review]], TODAY())</f>
        <v>139</v>
      </c>
      <c r="BL16" s="3">
        <v>45661</v>
      </c>
      <c r="BM16" s="3">
        <f>WORKDAY(Table2[[#This Row],[Tax Review]], 7)</f>
        <v>45667</v>
      </c>
      <c r="BN16" s="103">
        <f ca="1">NETWORKDAYS(Table2[[#This Row],[Tax Approval]], TODAY())</f>
        <v>136</v>
      </c>
      <c r="BO16" s="3">
        <v>45662</v>
      </c>
      <c r="BP16" s="3">
        <f>WORKDAY(Table2[[#This Row],[Tax Approval Forecast]], 7)</f>
        <v>45678</v>
      </c>
      <c r="BQ16" s="103">
        <f ca="1">NETWORKDAYS(Table2[[#This Row],[Final proposal submission]], TODAY())</f>
        <v>136</v>
      </c>
      <c r="BR16" s="3">
        <v>45663</v>
      </c>
      <c r="BS16" s="3">
        <v>45668</v>
      </c>
      <c r="BT16" s="3">
        <f>WORKDAY(Table2[[#This Row],[Final Proposal Submission Forecast]], 7)</f>
        <v>45687</v>
      </c>
      <c r="BU16" s="103">
        <f ca="1">NETWORKDAYS(Table2[[#This Row],[BD submits proposal]], TODAY())</f>
        <v>131</v>
      </c>
      <c r="BV16" s="3">
        <v>45662</v>
      </c>
      <c r="BW16" s="3">
        <f>WORKDAY(Table2[[#This Row],[BD Submits Proposal Forecast]], 7)</f>
        <v>45698</v>
      </c>
      <c r="BX16" s="103">
        <f ca="1">NETWORKDAYS(Table2[[#This Row],[Final Proposal Accepted]], TODAY())</f>
        <v>136</v>
      </c>
      <c r="BY16" s="3"/>
      <c r="BZ16" s="3">
        <f>WORKDAY(Table2[[#This Row],[Final Proposal Accepted]], 90)</f>
        <v>45786</v>
      </c>
      <c r="CA16" s="103">
        <f ca="1">NETWORKDAYS(Table2[[#This Row],[Legal Agreement]], TODAY())</f>
        <v>32751</v>
      </c>
      <c r="CB16" s="3">
        <v>45759</v>
      </c>
      <c r="CC16" s="3">
        <f>WORKDAY(Table2[[#This Row],[Legal Agreement Forecast]], 10)</f>
        <v>45800</v>
      </c>
      <c r="CD16" s="103">
        <f ca="1">NETWORKDAYS(Table2[[#This Row],[Executed Agreement]], TODAY())</f>
        <v>66</v>
      </c>
      <c r="CG16" s="103"/>
      <c r="CH16" s="3">
        <v>45660</v>
      </c>
      <c r="CI16" s="3">
        <f>WORKDAY(Table2[[#This Row],[Executed Agreement]], 7)</f>
        <v>45769</v>
      </c>
      <c r="CJ16" s="103">
        <f ca="1">NETWORKDAYS(Table2[[#This Row],[A&amp;E Request]], TODAY())</f>
        <v>137</v>
      </c>
      <c r="CK16" s="3">
        <v>45673</v>
      </c>
      <c r="CL16" s="3">
        <f>WORKDAY(Table2[[#This Row],[A&amp;E Request Forecast]], 10)</f>
        <v>45783</v>
      </c>
      <c r="CM16" s="103">
        <f ca="1">NETWORKDAYS(Table2[[#This Row],[A&amp;E receive]], TODAY())</f>
        <v>128</v>
      </c>
      <c r="CN16" s="3">
        <v>45770</v>
      </c>
      <c r="CO16" s="3">
        <f>WORKDAY(Table2[[#This Row],[FM Approval meeting ]], 10)</f>
        <v>13</v>
      </c>
      <c r="CP16" s="103">
        <f ca="1">NETWORKDAYS(Table2[[#This Row],[Budget Request]], TODAY())</f>
        <v>59</v>
      </c>
      <c r="CQ16" s="3">
        <v>45775</v>
      </c>
      <c r="CR16" s="3">
        <f>WORKDAY(Table2[[#This Row],[Budget Request Forecast]], 7)</f>
        <v>24</v>
      </c>
      <c r="CS16" s="103">
        <f ca="1">NETWORKDAYS(Table2[[#This Row],[Budget Approval]], TODAY())</f>
        <v>56</v>
      </c>
      <c r="CT16" s="3"/>
      <c r="CU16" s="3">
        <v>45660</v>
      </c>
      <c r="CV16" s="3">
        <f>WORKDAY(Table2[[#This Row],[Budget Approval Forecast ]], 7)</f>
        <v>33</v>
      </c>
      <c r="CW16" s="103">
        <f ca="1">NETWORKDAYS(Table2[[#This Row],[PO Request for OEM ]], TODAY())</f>
        <v>137</v>
      </c>
      <c r="CX16" s="3">
        <v>45664</v>
      </c>
      <c r="CY16" s="3">
        <f>WORKDAY(Table2[[#This Row],[PO Request for OEM Forecast]], 10)</f>
        <v>47</v>
      </c>
      <c r="CZ16" s="103">
        <f ca="1">NETWORKDAYS(Table2[[#This Row],[PO Approval]], TODAY())</f>
        <v>135</v>
      </c>
      <c r="DA16" s="3"/>
      <c r="DB16" s="3">
        <f>WORKDAY(Table2[[#This Row],[PO Approval Forecast]], 10)</f>
        <v>61</v>
      </c>
      <c r="DC16" s="103">
        <f ca="1">NETWORKDAYS(Table2[[#This Row],[backhaul ordered]], TODAY())</f>
        <v>32751</v>
      </c>
      <c r="DD16" s="3"/>
      <c r="DE16" s="3">
        <f>WORKDAY(Table2[[#This Row],[Backhaul Order Forecast]], 10)</f>
        <v>75</v>
      </c>
      <c r="DF16" s="103">
        <f ca="1">NETWORKDAYS(Table2[[#This Row],[RTP Request]], TODAY())</f>
        <v>32751</v>
      </c>
      <c r="DH16" s="3">
        <f>WORKDAY(Table2[[#This Row],[RTP Request Forecast]], 10)</f>
        <v>89</v>
      </c>
      <c r="DI16" s="103">
        <f ca="1">NETWORKDAYS(Table2[[#This Row],[RTP Approved]], TODAY())</f>
        <v>32751</v>
      </c>
      <c r="DJ16" s="3"/>
      <c r="DK16" s="3">
        <f>WORKDAY(Table2[[#This Row],[RTP Approval Forecast ]], 7)</f>
        <v>100</v>
      </c>
      <c r="DL16" s="103">
        <f ca="1">NETWORKDAYS(Table2[[#This Row],[RFP Request]], TODAY())</f>
        <v>32751</v>
      </c>
      <c r="DN16" s="3">
        <f>WORKDAY(Table2[[#This Row],[RFP Request Forecast ]], 10)</f>
        <v>114</v>
      </c>
      <c r="DO16" s="103">
        <f ca="1">NETWORKDAYS(Table2[[#This Row],[RFP Received]], TODAY())</f>
        <v>32751</v>
      </c>
      <c r="DP16" s="3">
        <v>45658</v>
      </c>
      <c r="DQ16" s="3">
        <f>WORKDAY(Table2[[#This Row],[RFP Received Forecast ]], 7)</f>
        <v>123</v>
      </c>
      <c r="DR16" s="103">
        <f ca="1">NETWORKDAYS(Table2[[#This Row],[PO for GC Request]], TODAY())</f>
        <v>139</v>
      </c>
      <c r="DS16" s="3">
        <v>45687</v>
      </c>
      <c r="DT16" s="3">
        <f>WORKDAY(Table2[[#This Row],[PO for GC Request Forecast ]], 7)</f>
        <v>132</v>
      </c>
      <c r="DU16" s="103">
        <f ca="1">NETWORKDAYS(Table2[[#This Row],[PO for GC Approved]], TODAY())</f>
        <v>118</v>
      </c>
      <c r="DV16" s="3"/>
      <c r="DW16" s="3">
        <f>WORKDAY(Table2[[#This Row],[PO for GC Approval Forecast ]], 10)</f>
        <v>146</v>
      </c>
      <c r="DX16" s="103">
        <f ca="1">NETWORKDAYS(Table2[[#This Row],[Construction Start]], TODAY())</f>
        <v>32751</v>
      </c>
      <c r="DY16" s="3"/>
      <c r="DZ16" s="3">
        <f>WORKDAY(Table2[[#This Row],[Construction Start Forecast ]], 20)</f>
        <v>174</v>
      </c>
      <c r="EA16" s="103">
        <f ca="1">NETWORKDAYS(Table2[[#This Row],[Construction Complete]], TODAY())</f>
        <v>32751</v>
      </c>
      <c r="EB16" s="3"/>
      <c r="EC16" s="3">
        <v>45661</v>
      </c>
      <c r="ED16" s="3">
        <f>WORKDAY(Table2[[#This Row],[Construction Complete Forecast ]], 10)</f>
        <v>188</v>
      </c>
      <c r="EE16" s="103">
        <f ca="1">NETWORKDAYS(Table2[[#This Row],[Integration Start]], TODAY())</f>
        <v>136</v>
      </c>
      <c r="EF16" s="3">
        <f>EC16+28</f>
        <v>45689</v>
      </c>
      <c r="EG16" s="3">
        <f>WORKDAY(Table2[[#This Row],[Integration Start Forecast ]], 10)</f>
        <v>202</v>
      </c>
      <c r="EH16" s="103">
        <f ca="1">NETWORKDAYS(Table2[[#This Row],[Integration Complete]], TODAY())</f>
        <v>116</v>
      </c>
      <c r="EI16" s="3">
        <f>EF16+20</f>
        <v>45709</v>
      </c>
      <c r="EJ16" s="3">
        <f>WORKDAY(Table2[[#This Row],[Integration Complete Forecast ]], 10)</f>
        <v>216</v>
      </c>
      <c r="EK16" s="103">
        <f ca="1">NETWORKDAYS(Table2[[#This Row],[Close Out Package(2weeks from integration complete]], TODAY())</f>
        <v>102</v>
      </c>
      <c r="EL16" s="3">
        <v>45716</v>
      </c>
      <c r="EM16" s="3">
        <f>WORKDAY(Table2[[#This Row],[Close Out Package Forecast ]], 10)</f>
        <v>230</v>
      </c>
      <c r="EN16" s="103">
        <f ca="1">NETWORKDAYS(Table2[[#This Row],[Acceptance testing 2 weeks from close out package)]], TODAY())</f>
        <v>97</v>
      </c>
      <c r="EO16" s="3">
        <f>EL16+40</f>
        <v>45756</v>
      </c>
      <c r="EP16" s="3">
        <f>WORKDAY(Table2[[#This Row],[Acceptance Testing Forecast ]], 20)</f>
        <v>258</v>
      </c>
      <c r="EQ16" s="103">
        <f ca="1">NETWORKDAYS(Table2[[#This Row],[Customer acceptance(1 month after acceptance testing)]], TODAY())</f>
        <v>69</v>
      </c>
      <c r="ER16" s="3">
        <f>EO16+20</f>
        <v>45776</v>
      </c>
      <c r="ES16" s="3">
        <f>WORKDAY(Table2[[#This Row],[Customer Acceptance Forecast ]], 5)</f>
        <v>265</v>
      </c>
      <c r="ET16" s="103">
        <f ca="1">NETWORKDAYS(Table2[[#This Row],[Operations handoff(1 week after customer acceptance)]], TODAY())</f>
        <v>55</v>
      </c>
      <c r="EU16" s="3">
        <v>45662</v>
      </c>
      <c r="EV16" s="3">
        <f>WORKDAY(Table2[[#This Row],[Operations Handoff Forecast ]], 7)</f>
        <v>276</v>
      </c>
      <c r="EW16" s="103">
        <f ca="1">NETWORKDAYS(Table2[[#This Row],[FNE Date]], TODAY())</f>
        <v>136</v>
      </c>
      <c r="EX16" s="3">
        <f>EU16+3</f>
        <v>45665</v>
      </c>
      <c r="EY16" s="3">
        <f>WORKDAY(Table2[[#This Row],[FNE Date Forecast ]], 7)</f>
        <v>285</v>
      </c>
      <c r="EZ16" s="103">
        <f ca="1">NETWORKDAYS(Table2[[#This Row],[FNE Notice]], TODAY())</f>
        <v>134</v>
      </c>
      <c r="FA16" s="3">
        <f>EX16+3</f>
        <v>45668</v>
      </c>
      <c r="FB16" s="3">
        <f>EX16+4</f>
        <v>45669</v>
      </c>
    </row>
    <row r="17" spans="1:158" x14ac:dyDescent="0.25">
      <c r="B17" t="s">
        <v>72</v>
      </c>
      <c r="C17" t="s">
        <v>73</v>
      </c>
      <c r="D17" s="103"/>
      <c r="E17" t="s">
        <v>74</v>
      </c>
      <c r="F17" s="1"/>
      <c r="H17" t="s">
        <v>75</v>
      </c>
      <c r="I17">
        <v>205</v>
      </c>
      <c r="J17" s="3">
        <v>45759</v>
      </c>
      <c r="K17" s="3">
        <v>45688</v>
      </c>
      <c r="L17" s="3">
        <v>45703</v>
      </c>
      <c r="M17" s="2">
        <f>WORKDAY(Table2[[#This Row],[Kickoff date]], 7)</f>
        <v>45699</v>
      </c>
      <c r="N17" s="102">
        <f ca="1">NETWORKDAYS(Table2[[#This Row],[ROM Request]], TODAY())</f>
        <v>106</v>
      </c>
      <c r="O17" s="2">
        <f>L17+3</f>
        <v>45706</v>
      </c>
      <c r="P17" s="2">
        <f>WORKDAY(Table2[[#This Row],[ROM Request]], 10)</f>
        <v>45716</v>
      </c>
      <c r="Q17" s="102">
        <f ca="1">NETWORKDAYS(Table2[[#This Row],[ROM Receive]], TODAY())</f>
        <v>105</v>
      </c>
      <c r="R17" s="2">
        <v>45708</v>
      </c>
      <c r="S17" s="2">
        <f>WORKDAY(Table2[[#This Row],[ROM Receive Forecast]], 15)</f>
        <v>45737</v>
      </c>
      <c r="T17" s="102">
        <f ca="1">NETWORKDAYS(Table2[[#This Row],[Backhaul Cost Request]], TODAY())</f>
        <v>103</v>
      </c>
      <c r="U17" s="2">
        <v>45716</v>
      </c>
      <c r="V17" s="2">
        <f>WORKDAY(Table2[[#This Row],[Backhaul Cost Request Forecast]], 15)</f>
        <v>45758</v>
      </c>
      <c r="W17" s="102">
        <f ca="1">NETWORKDAYS(Table2[[#This Row],[Backhaul Cost Receive]], TODAY())</f>
        <v>97</v>
      </c>
      <c r="X17" s="2">
        <f>Table2[[#This Row],[Kickoff date]]</f>
        <v>45688</v>
      </c>
      <c r="Y17" s="2">
        <f>WORKDAY(Table2[[#This Row],[Backhaul Cost Request Forecast]], 7)</f>
        <v>45748</v>
      </c>
      <c r="Z17" s="102">
        <f ca="1">NETWORKDAYS(Table2[[#This Row],[OSP Request]], TODAY())</f>
        <v>117</v>
      </c>
      <c r="AA17" s="2"/>
      <c r="AB17" s="2">
        <f>WORKDAY(Table2[[#This Row],[OSP Request Forecast]], 10)</f>
        <v>45762</v>
      </c>
      <c r="AC17" s="102">
        <f ca="1">NETWORKDAYS(Table2[[#This Row],[OSP Receive]], TODAY())</f>
        <v>32751</v>
      </c>
      <c r="AD17" s="2">
        <f>Table2[[#This Row],[Kickoff date]]</f>
        <v>45688</v>
      </c>
      <c r="AE17" s="3">
        <f>WORKDAY(Table2[[#This Row],[Kickoff date]], 7)</f>
        <v>45699</v>
      </c>
      <c r="AF17" s="102">
        <f ca="1">NETWORKDAYS(Table2[[#This Row],[FM Request]], TODAY())</f>
        <v>117</v>
      </c>
      <c r="AG17" s="2">
        <v>45777</v>
      </c>
      <c r="AH17" s="3">
        <f>WORKDAY(Table2[[#This Row],[FM Request Forecast ]], 2)</f>
        <v>45701</v>
      </c>
      <c r="AI17" s="102">
        <f ca="1">NETWORKDAYS(Table2[[#This Row],[FM receive]], TODAY())</f>
        <v>54</v>
      </c>
      <c r="AJ17" s="2"/>
      <c r="AK17" s="3">
        <f>WORKDAY(Table2[[#This Row],[FM Receive Forecast ]], 2)</f>
        <v>45705</v>
      </c>
      <c r="AL17" s="3"/>
      <c r="AM17" s="3">
        <f>K17+10</f>
        <v>45698</v>
      </c>
      <c r="AN17" s="2"/>
      <c r="AO17" s="3">
        <f>WORKDAY(Table2[[#This Row],[1-pager Submission to BD]], 7)</f>
        <v>45707</v>
      </c>
      <c r="AP17" s="101">
        <f ca="1">IF(ISBLANK(Table2[[#This Row],[Firm Pricing request]]), NETWORKDAYS(Table2[[#This Row],[Proposal Accepted]], TODAY()), NETWORKDAYS(Table2[[#This Row],[Proposal Accepted]], Table2[[#This Row],[Firm Pricing request]]))</f>
        <v>32751</v>
      </c>
      <c r="AQ17" s="2"/>
      <c r="AR17" s="3">
        <f>WORKDAY(Table2[[#This Row],[Proposal Acceptance Forecast]], 7)</f>
        <v>45716</v>
      </c>
      <c r="AS17" s="101">
        <f ca="1">NETWORKDAYS(Table2[[#This Row],[Firm Pricing request]], TODAY())</f>
        <v>32751</v>
      </c>
      <c r="AT17" s="2">
        <v>45703</v>
      </c>
      <c r="AU17" s="3">
        <f>WORKDAY(Table2[[#This Row],[Firm Pricing Request Forecast]], 7)</f>
        <v>45727</v>
      </c>
      <c r="AV17" s="101">
        <f ca="1">NETWORKDAYS(Table2[[#This Row],[Site Walk]], TODAY())</f>
        <v>106</v>
      </c>
      <c r="AW17" s="2"/>
      <c r="AX17" s="3">
        <f>WORKDAY(Table2[[#This Row],[Site Walk Forecast]], 7)</f>
        <v>45736</v>
      </c>
      <c r="AY17" s="101">
        <f ca="1">NETWORKDAYS(Table2[[#This Row],[Firm Quote Receival]], TODAY())</f>
        <v>32751</v>
      </c>
      <c r="AZ17" s="2">
        <v>45717</v>
      </c>
      <c r="BA17" s="3">
        <f>WORKDAY(Table2[[#This Row],[Firm Quote Receival Forecast ]], 7)</f>
        <v>45747</v>
      </c>
      <c r="BB17" s="101">
        <f ca="1">NETWORKDAYS(Table2[[#This Row],[Final Design &amp; BOM(20 calendar days from site walk)]], TODAY())</f>
        <v>96</v>
      </c>
      <c r="BC17" s="2">
        <v>45717</v>
      </c>
      <c r="BD17" s="3">
        <f>WORKDAY(Table2[[#This Row],[Final Design &amp; BOM Forecast ]], 7)</f>
        <v>45756</v>
      </c>
      <c r="BE17" s="101">
        <f ca="1">NETWORKDAYS(Table2[[#This Row],[FM Request 2]], TODAY())</f>
        <v>96</v>
      </c>
      <c r="BF17" s="2">
        <v>45719</v>
      </c>
      <c r="BG17" s="3">
        <f>WORKDAY(Table2[[#This Row],[FM Request 2 Forecast]], 7)</f>
        <v>45765</v>
      </c>
      <c r="BH17" s="101"/>
      <c r="BI17" s="2">
        <v>45717</v>
      </c>
      <c r="BJ17" s="3">
        <f>WORKDAY(Table2[[#This Row],[FM Review 2 Forecast]], 7)</f>
        <v>45776</v>
      </c>
      <c r="BK17" s="101">
        <f ca="1">NETWORKDAYS(Table2[[#This Row],[Tax Review]], TODAY())</f>
        <v>96</v>
      </c>
      <c r="BL17" s="2">
        <v>45729</v>
      </c>
      <c r="BM17" s="3">
        <f>WORKDAY(Table2[[#This Row],[Tax Review]], 7)</f>
        <v>45727</v>
      </c>
      <c r="BN17" s="101">
        <f ca="1">NETWORKDAYS(Table2[[#This Row],[Tax Approval]], TODAY())</f>
        <v>88</v>
      </c>
      <c r="BO17" s="2">
        <v>45731</v>
      </c>
      <c r="BP17" s="3">
        <f>WORKDAY(Table2[[#This Row],[Tax Approval Forecast]], 7)</f>
        <v>45736</v>
      </c>
      <c r="BQ17" s="101">
        <f ca="1">NETWORKDAYS(Table2[[#This Row],[Final proposal submission]], TODAY())</f>
        <v>86</v>
      </c>
      <c r="BR17" s="2">
        <v>45746</v>
      </c>
      <c r="BS17" s="2">
        <v>45757</v>
      </c>
      <c r="BT17" s="3">
        <f>WORKDAY(Table2[[#This Row],[Final Proposal Submission Forecast]], 7)</f>
        <v>45747</v>
      </c>
      <c r="BU17" s="101">
        <f ca="1">NETWORKDAYS(Table2[[#This Row],[BD submits proposal]], TODAY())</f>
        <v>68</v>
      </c>
      <c r="BV17" s="2">
        <v>45748</v>
      </c>
      <c r="BW17" s="3">
        <f>WORKDAY(Table2[[#This Row],[BD Submits Proposal Forecast]], 7)</f>
        <v>45756</v>
      </c>
      <c r="BX17" s="101">
        <f ca="1">NETWORKDAYS(Table2[[#This Row],[Final Proposal Accepted]], TODAY())</f>
        <v>75</v>
      </c>
      <c r="BY17" s="2"/>
      <c r="BZ17" s="3">
        <f>WORKDAY(Table2[[#This Row],[Final Proposal Accepted]], 90)</f>
        <v>45874</v>
      </c>
      <c r="CA17" s="101">
        <f ca="1">NETWORKDAYS(Table2[[#This Row],[Legal Agreement]], TODAY())</f>
        <v>32751</v>
      </c>
      <c r="CB17" s="2">
        <v>45884</v>
      </c>
      <c r="CC17" s="3">
        <f>WORKDAY(Table2[[#This Row],[Legal Agreement Forecast]], 10)</f>
        <v>45888</v>
      </c>
      <c r="CD17" s="101">
        <f ca="1">NETWORKDAYS(Table2[[#This Row],[Executed Agreement]], TODAY())</f>
        <v>-25</v>
      </c>
      <c r="CE17" t="s">
        <v>76</v>
      </c>
      <c r="CF17" t="s">
        <v>77</v>
      </c>
      <c r="CG17" s="103"/>
      <c r="CH17" s="3">
        <v>45771</v>
      </c>
      <c r="CI17" s="3">
        <f>WORKDAY(Table2[[#This Row],[Executed Agreement]], 7)</f>
        <v>45895</v>
      </c>
      <c r="CJ17" s="101">
        <f ca="1">NETWORKDAYS(Table2[[#This Row],[A&amp;E Request]], TODAY())</f>
        <v>58</v>
      </c>
      <c r="CL17" s="3">
        <f>WORKDAY(Table2[[#This Row],[A&amp;E Request Forecast]], 10)</f>
        <v>45909</v>
      </c>
      <c r="CM17" s="101">
        <f ca="1">NETWORKDAYS(Table2[[#This Row],[A&amp;E receive]], TODAY())</f>
        <v>32751</v>
      </c>
      <c r="CN17" s="3">
        <v>45809</v>
      </c>
      <c r="CO17" s="3">
        <f>WORKDAY(Table2[[#This Row],[FM Approval meeting ]], 10)</f>
        <v>13</v>
      </c>
      <c r="CP17" s="101">
        <f ca="1">NETWORKDAYS(Table2[[#This Row],[Budget Request]], TODAY())</f>
        <v>31</v>
      </c>
      <c r="CQ17" s="3">
        <v>45812</v>
      </c>
      <c r="CR17" s="3">
        <f>WORKDAY(Table2[[#This Row],[Budget Request Forecast]], 7)</f>
        <v>24</v>
      </c>
      <c r="CS17" s="101">
        <f ca="1">NETWORKDAYS(Table2[[#This Row],[Budget Approval]], TODAY())</f>
        <v>29</v>
      </c>
      <c r="CT17" s="3"/>
      <c r="CU17" s="3">
        <v>45717</v>
      </c>
      <c r="CV17" s="3">
        <f>WORKDAY(Table2[[#This Row],[Budget Approval Forecast ]], 7)</f>
        <v>33</v>
      </c>
      <c r="CW17" s="101">
        <f ca="1">NETWORKDAYS(Table2[[#This Row],[PO Request for OEM ]], TODAY())</f>
        <v>96</v>
      </c>
      <c r="CX17" s="3">
        <v>45724</v>
      </c>
      <c r="CY17" s="3">
        <f>WORKDAY(Table2[[#This Row],[PO Request for OEM Forecast]], 10)</f>
        <v>47</v>
      </c>
      <c r="CZ17" s="101">
        <f ca="1">NETWORKDAYS(Table2[[#This Row],[PO Approval]], TODAY())</f>
        <v>91</v>
      </c>
      <c r="DA17" s="3"/>
      <c r="DB17" s="3">
        <f>WORKDAY(Table2[[#This Row],[PO Approval Forecast]], 10)</f>
        <v>61</v>
      </c>
      <c r="DC17" s="101">
        <f ca="1">NETWORKDAYS(Table2[[#This Row],[backhaul ordered]], TODAY())</f>
        <v>32751</v>
      </c>
      <c r="DD17" s="3">
        <v>45576</v>
      </c>
      <c r="DE17" s="3">
        <f>WORKDAY(Table2[[#This Row],[Backhaul Order Forecast]], 10)</f>
        <v>75</v>
      </c>
      <c r="DF17" s="101">
        <f ca="1">NETWORKDAYS(Table2[[#This Row],[RTP Request]], TODAY())</f>
        <v>197</v>
      </c>
      <c r="DG17" s="3">
        <v>45784</v>
      </c>
      <c r="DH17" s="3">
        <f>WORKDAY(Table2[[#This Row],[RTP Request Forecast]], 10)</f>
        <v>89</v>
      </c>
      <c r="DI17" s="101">
        <f ca="1">NETWORKDAYS(Table2[[#This Row],[RTP Approved]], TODAY())</f>
        <v>49</v>
      </c>
      <c r="DJ17" s="3">
        <v>45748</v>
      </c>
      <c r="DK17" s="3">
        <f>WORKDAY(Table2[[#This Row],[RTP Approval Forecast ]], 7)</f>
        <v>100</v>
      </c>
      <c r="DL17" s="101">
        <f ca="1">NETWORKDAYS(Table2[[#This Row],[RFP Request]], TODAY())</f>
        <v>75</v>
      </c>
      <c r="DM17" s="3">
        <v>45397</v>
      </c>
      <c r="DN17" s="3">
        <f>WORKDAY(Table2[[#This Row],[RFP Request Forecast ]], 10)</f>
        <v>114</v>
      </c>
      <c r="DO17" s="101">
        <f ca="1">NETWORKDAYS(Table2[[#This Row],[RFP Received]], TODAY())</f>
        <v>326</v>
      </c>
      <c r="DP17" s="3">
        <v>45797</v>
      </c>
      <c r="DQ17" s="3">
        <f>WORKDAY(Table2[[#This Row],[RFP Received Forecast ]], 7)</f>
        <v>123</v>
      </c>
      <c r="DR17" s="101">
        <f ca="1">NETWORKDAYS(Table2[[#This Row],[PO for GC Request]], TODAY())</f>
        <v>40</v>
      </c>
      <c r="DS17" s="3">
        <v>45798</v>
      </c>
      <c r="DT17" s="3">
        <f>WORKDAY(Table2[[#This Row],[PO for GC Request Forecast ]], 7)</f>
        <v>132</v>
      </c>
      <c r="DU17" s="101">
        <f ca="1">NETWORKDAYS(Table2[[#This Row],[PO for GC Approved]], TODAY())</f>
        <v>39</v>
      </c>
      <c r="DV17" s="3"/>
      <c r="DW17" s="3">
        <f>WORKDAY(Table2[[#This Row],[PO for GC Approval Forecast ]], 10)</f>
        <v>146</v>
      </c>
      <c r="DX17" s="101">
        <f ca="1">NETWORKDAYS(Table2[[#This Row],[Construction Start]], TODAY())</f>
        <v>32751</v>
      </c>
      <c r="DY17" s="3"/>
      <c r="DZ17" s="3">
        <f>WORKDAY(Table2[[#This Row],[Construction Start Forecast ]], 20)</f>
        <v>174</v>
      </c>
      <c r="EA17" s="101">
        <f ca="1">NETWORKDAYS(Table2[[#This Row],[Construction Complete]], TODAY())</f>
        <v>32751</v>
      </c>
      <c r="EB17" s="3"/>
      <c r="EC17" s="3">
        <v>45717</v>
      </c>
      <c r="ED17" s="3">
        <f>WORKDAY(Table2[[#This Row],[Construction Complete Forecast ]], 10)</f>
        <v>188</v>
      </c>
      <c r="EE17" s="101">
        <f ca="1">NETWORKDAYS(Table2[[#This Row],[Integration Start]], TODAY())</f>
        <v>96</v>
      </c>
      <c r="EF17" s="3">
        <f>EC17+30</f>
        <v>45747</v>
      </c>
      <c r="EG17" s="3">
        <f>WORKDAY(Table2[[#This Row],[Integration Start Forecast ]], 10)</f>
        <v>202</v>
      </c>
      <c r="EH17" s="101">
        <f ca="1">NETWORKDAYS(Table2[[#This Row],[Integration Complete]], TODAY())</f>
        <v>76</v>
      </c>
      <c r="EI17" s="3">
        <f>EF17+21</f>
        <v>45768</v>
      </c>
      <c r="EJ17" s="3">
        <f>WORKDAY(Table2[[#This Row],[Integration Complete Forecast ]], 10)</f>
        <v>216</v>
      </c>
      <c r="EK17" s="101">
        <f ca="1">NETWORKDAYS(Table2[[#This Row],[Close Out Package(2weeks from integration complete]], TODAY())</f>
        <v>61</v>
      </c>
      <c r="EL17" s="3">
        <f>EI17+5</f>
        <v>45773</v>
      </c>
      <c r="EM17" s="3">
        <f>WORKDAY(Table2[[#This Row],[Close Out Package Forecast ]], 10)</f>
        <v>230</v>
      </c>
      <c r="EN17" s="101">
        <f ca="1">NETWORKDAYS(Table2[[#This Row],[Acceptance testing 2 weeks from close out package)]], TODAY())</f>
        <v>56</v>
      </c>
      <c r="EO17" s="3">
        <f>EL17+50</f>
        <v>45823</v>
      </c>
      <c r="EP17" s="3">
        <f>WORKDAY(Table2[[#This Row],[Acceptance Testing Forecast ]], 20)</f>
        <v>258</v>
      </c>
      <c r="EQ17" s="101">
        <f ca="1">NETWORKDAYS(Table2[[#This Row],[Customer acceptance(1 month after acceptance testing)]], TODAY())</f>
        <v>21</v>
      </c>
      <c r="ER17" s="3">
        <f>EO17+9</f>
        <v>45832</v>
      </c>
      <c r="ES17" s="3">
        <f>WORKDAY(Table2[[#This Row],[Customer Acceptance Forecast ]], 5)</f>
        <v>265</v>
      </c>
      <c r="ET17" s="101">
        <f ca="1">NETWORKDAYS(Table2[[#This Row],[Operations handoff(1 week after customer acceptance)]], TODAY())</f>
        <v>15</v>
      </c>
      <c r="EU17" s="2">
        <v>45717</v>
      </c>
      <c r="EV17" s="3">
        <f>WORKDAY(Table2[[#This Row],[Operations Handoff Forecast ]], 7)</f>
        <v>276</v>
      </c>
      <c r="EW17" s="101">
        <f ca="1">NETWORKDAYS(Table2[[#This Row],[FNE Date]], TODAY())</f>
        <v>96</v>
      </c>
      <c r="EX17" s="2">
        <f>EU17+1</f>
        <v>45718</v>
      </c>
      <c r="EY17" s="3">
        <f>WORKDAY(Table2[[#This Row],[FNE Date Forecast ]], 7)</f>
        <v>285</v>
      </c>
      <c r="EZ17" s="101">
        <f ca="1">NETWORKDAYS(Table2[[#This Row],[FNE Notice]], TODAY())</f>
        <v>96</v>
      </c>
      <c r="FA17" s="2">
        <f>EX17+1</f>
        <v>45719</v>
      </c>
      <c r="FB17" s="2">
        <f>EX17+10</f>
        <v>45728</v>
      </c>
    </row>
    <row r="18" spans="1:158" x14ac:dyDescent="0.25">
      <c r="B18" t="s">
        <v>72</v>
      </c>
      <c r="C18" t="s">
        <v>83</v>
      </c>
      <c r="D18" s="103"/>
      <c r="E18" t="s">
        <v>74</v>
      </c>
      <c r="F18" s="1"/>
      <c r="H18" t="s">
        <v>84</v>
      </c>
      <c r="I18">
        <v>288</v>
      </c>
      <c r="J18" s="3">
        <v>45761</v>
      </c>
      <c r="K18" s="3">
        <f>J18+9</f>
        <v>45770</v>
      </c>
      <c r="L18" s="3">
        <v>45777</v>
      </c>
      <c r="M18" s="2">
        <f>WORKDAY(Table2[[#This Row],[Kickoff date]], 7)</f>
        <v>45779</v>
      </c>
      <c r="N18" s="102">
        <f ca="1">NETWORKDAYS(Table2[[#This Row],[ROM Request]], TODAY())</f>
        <v>54</v>
      </c>
      <c r="O18" s="2">
        <f>L18+7</f>
        <v>45784</v>
      </c>
      <c r="P18" s="2">
        <f>WORKDAY(Table2[[#This Row],[ROM Request]], 10)</f>
        <v>45791</v>
      </c>
      <c r="Q18" s="102">
        <f ca="1">NETWORKDAYS(Table2[[#This Row],[ROM Receive]], TODAY())</f>
        <v>49</v>
      </c>
      <c r="R18" s="2">
        <v>45785</v>
      </c>
      <c r="S18" s="2">
        <f>WORKDAY(Table2[[#This Row],[ROM Receive Forecast]], 15)</f>
        <v>45812</v>
      </c>
      <c r="T18" s="102">
        <f ca="1">NETWORKDAYS(Table2[[#This Row],[Backhaul Cost Request]], TODAY())</f>
        <v>48</v>
      </c>
      <c r="U18" s="2">
        <v>45805</v>
      </c>
      <c r="V18" s="2">
        <f>WORKDAY(Table2[[#This Row],[Backhaul Cost Request Forecast]], 15)</f>
        <v>45833</v>
      </c>
      <c r="W18" s="102">
        <f ca="1">NETWORKDAYS(Table2[[#This Row],[Backhaul Cost Receive]], TODAY())</f>
        <v>34</v>
      </c>
      <c r="X18" s="2">
        <f>Table2[[#This Row],[Kickoff date]]</f>
        <v>45770</v>
      </c>
      <c r="Y18" s="2">
        <f>WORKDAY(Table2[[#This Row],[Backhaul Cost Request Forecast]], 7)</f>
        <v>45821</v>
      </c>
      <c r="Z18" s="102">
        <f ca="1">NETWORKDAYS(Table2[[#This Row],[OSP Request]], TODAY())</f>
        <v>59</v>
      </c>
      <c r="AA18" s="2"/>
      <c r="AB18" s="2">
        <f>WORKDAY(Table2[[#This Row],[OSP Request Forecast]], 10)</f>
        <v>45835</v>
      </c>
      <c r="AC18" s="102">
        <f ca="1">NETWORKDAYS(Table2[[#This Row],[OSP Receive]], TODAY())</f>
        <v>32751</v>
      </c>
      <c r="AD18" s="2">
        <f>Table2[[#This Row],[Kickoff date]]</f>
        <v>45770</v>
      </c>
      <c r="AE18" s="3">
        <f>WORKDAY(Table2[[#This Row],[Kickoff date]], 7)</f>
        <v>45779</v>
      </c>
      <c r="AF18" s="102">
        <f ca="1">NETWORKDAYS(Table2[[#This Row],[FM Request]], TODAY())</f>
        <v>59</v>
      </c>
      <c r="AG18" s="2">
        <v>45786</v>
      </c>
      <c r="AH18" s="3">
        <f>WORKDAY(Table2[[#This Row],[FM Request Forecast ]], 2)</f>
        <v>45783</v>
      </c>
      <c r="AI18" s="102">
        <f ca="1">NETWORKDAYS(Table2[[#This Row],[FM receive]], TODAY())</f>
        <v>47</v>
      </c>
      <c r="AJ18" s="2"/>
      <c r="AK18" s="3">
        <f>WORKDAY(Table2[[#This Row],[FM Receive Forecast ]], 2)</f>
        <v>45785</v>
      </c>
      <c r="AL18" s="3"/>
      <c r="AM18" s="3">
        <f>K18+11</f>
        <v>45781</v>
      </c>
      <c r="AN18" s="2"/>
      <c r="AO18" s="3">
        <f>WORKDAY(Table2[[#This Row],[1-pager Submission to BD]], 7)</f>
        <v>45790</v>
      </c>
      <c r="AP18" s="101">
        <f ca="1">IF(ISBLANK(Table2[[#This Row],[Firm Pricing request]]), NETWORKDAYS(Table2[[#This Row],[Proposal Accepted]], TODAY()), NETWORKDAYS(Table2[[#This Row],[Proposal Accepted]], Table2[[#This Row],[Firm Pricing request]]))</f>
        <v>32751</v>
      </c>
      <c r="AQ18" s="2"/>
      <c r="AR18" s="3">
        <f>WORKDAY(Table2[[#This Row],[Proposal Acceptance Forecast]], 7)</f>
        <v>45799</v>
      </c>
      <c r="AS18" s="101">
        <f ca="1">NETWORKDAYS(Table2[[#This Row],[Firm Pricing request]], TODAY())</f>
        <v>32751</v>
      </c>
      <c r="AT18" s="2">
        <v>45782</v>
      </c>
      <c r="AU18" s="3">
        <f>WORKDAY(Table2[[#This Row],[Firm Pricing Request Forecast]], 7)</f>
        <v>45810</v>
      </c>
      <c r="AV18" s="101">
        <f ca="1">NETWORKDAYS(Table2[[#This Row],[Site Walk]], TODAY())</f>
        <v>51</v>
      </c>
      <c r="AW18" s="2"/>
      <c r="AX18" s="3">
        <f>WORKDAY(Table2[[#This Row],[Site Walk Forecast]], 7)</f>
        <v>45819</v>
      </c>
      <c r="AY18" s="101">
        <f ca="1">NETWORKDAYS(Table2[[#This Row],[Firm Quote Receival]], TODAY())</f>
        <v>32751</v>
      </c>
      <c r="AZ18" s="2">
        <v>45809</v>
      </c>
      <c r="BA18" s="3">
        <f>WORKDAY(Table2[[#This Row],[Firm Quote Receival Forecast ]], 7)</f>
        <v>45828</v>
      </c>
      <c r="BB18" s="101">
        <f ca="1">NETWORKDAYS(Table2[[#This Row],[Final Design &amp; BOM(20 calendar days from site walk)]], TODAY())</f>
        <v>31</v>
      </c>
      <c r="BC18" s="2">
        <v>45778</v>
      </c>
      <c r="BD18" s="3">
        <f>WORKDAY(Table2[[#This Row],[Final Design &amp; BOM Forecast ]], 7)</f>
        <v>45839</v>
      </c>
      <c r="BE18" s="101">
        <f ca="1">NETWORKDAYS(Table2[[#This Row],[FM Request 2]], TODAY())</f>
        <v>53</v>
      </c>
      <c r="BF18" s="2">
        <v>45780</v>
      </c>
      <c r="BG18" s="3">
        <f>WORKDAY(Table2[[#This Row],[FM Request 2 Forecast]], 7)</f>
        <v>45848</v>
      </c>
      <c r="BH18" s="101"/>
      <c r="BI18" s="2"/>
      <c r="BJ18" s="3">
        <f>WORKDAY(Table2[[#This Row],[FM Review 2 Forecast]], 7)</f>
        <v>45859</v>
      </c>
      <c r="BK18" s="101">
        <f ca="1">NETWORKDAYS(Table2[[#This Row],[Tax Review]], TODAY())</f>
        <v>32751</v>
      </c>
      <c r="BL18" s="2"/>
      <c r="BM18" s="3">
        <f>WORKDAY(Table2[[#This Row],[Tax Review]], 7)</f>
        <v>10</v>
      </c>
      <c r="BN18" s="101">
        <f ca="1">NETWORKDAYS(Table2[[#This Row],[Tax Approval]], TODAY())</f>
        <v>32751</v>
      </c>
      <c r="BO18" s="2"/>
      <c r="BP18" s="3">
        <f>WORKDAY(Table2[[#This Row],[Tax Approval Forecast]], 7)</f>
        <v>19</v>
      </c>
      <c r="BQ18" s="101">
        <f ca="1">NETWORKDAYS(Table2[[#This Row],[Final proposal submission]], TODAY())</f>
        <v>32751</v>
      </c>
      <c r="BR18" s="2"/>
      <c r="BS18" s="2"/>
      <c r="BT18" s="3">
        <f>WORKDAY(Table2[[#This Row],[Final Proposal Submission Forecast]], 7)</f>
        <v>30</v>
      </c>
      <c r="BU18" s="101">
        <f ca="1">NETWORKDAYS(Table2[[#This Row],[BD submits proposal]], TODAY())</f>
        <v>32751</v>
      </c>
      <c r="BV18" s="2">
        <v>45839</v>
      </c>
      <c r="BW18" s="3">
        <f>WORKDAY(Table2[[#This Row],[BD Submits Proposal Forecast]], 7)</f>
        <v>39</v>
      </c>
      <c r="BX18" s="101">
        <f ca="1">NETWORKDAYS(Table2[[#This Row],[Final Proposal Accepted]], TODAY())</f>
        <v>10</v>
      </c>
      <c r="BY18" s="2"/>
      <c r="BZ18" s="3">
        <f>WORKDAY(Table2[[#This Row],[Final Proposal Accepted]], 90)</f>
        <v>45965</v>
      </c>
      <c r="CA18" s="101">
        <f ca="1">NETWORKDAYS(Table2[[#This Row],[Legal Agreement]], TODAY())</f>
        <v>32751</v>
      </c>
      <c r="CB18" s="2"/>
      <c r="CC18" s="3">
        <f>WORKDAY(Table2[[#This Row],[Legal Agreement Forecast]], 10)</f>
        <v>45979</v>
      </c>
      <c r="CD18" s="101">
        <f ca="1">NETWORKDAYS(Table2[[#This Row],[Executed Agreement]], TODAY())</f>
        <v>32751</v>
      </c>
      <c r="CF18" t="s">
        <v>85</v>
      </c>
      <c r="CG18" s="103"/>
      <c r="CH18" s="3"/>
      <c r="CI18" s="3">
        <f>WORKDAY(Table2[[#This Row],[Executed Agreement]], 7)</f>
        <v>10</v>
      </c>
      <c r="CJ18" s="101">
        <f ca="1">NETWORKDAYS(Table2[[#This Row],[A&amp;E Request]], TODAY())</f>
        <v>32751</v>
      </c>
      <c r="CL18" s="3">
        <f>WORKDAY(Table2[[#This Row],[A&amp;E Request Forecast]], 10)</f>
        <v>24</v>
      </c>
      <c r="CM18" s="101">
        <f ca="1">NETWORKDAYS(Table2[[#This Row],[A&amp;E receive]], TODAY())</f>
        <v>32751</v>
      </c>
      <c r="CN18" s="3"/>
      <c r="CO18" s="3">
        <f>WORKDAY(Table2[[#This Row],[FM Approval meeting ]], 10)</f>
        <v>13</v>
      </c>
      <c r="CP18" s="101">
        <f ca="1">NETWORKDAYS(Table2[[#This Row],[Budget Request]], TODAY())</f>
        <v>32751</v>
      </c>
      <c r="CR18" s="3">
        <f>WORKDAY(Table2[[#This Row],[Budget Request Forecast]], 7)</f>
        <v>24</v>
      </c>
      <c r="CS18" s="101">
        <f ca="1">NETWORKDAYS(Table2[[#This Row],[Budget Approval]], TODAY())</f>
        <v>32751</v>
      </c>
      <c r="CT18" s="3"/>
      <c r="CU18" s="3"/>
      <c r="CV18" s="3">
        <f>WORKDAY(Table2[[#This Row],[Budget Approval Forecast ]], 7)</f>
        <v>33</v>
      </c>
      <c r="CW18" s="101">
        <f ca="1">NETWORKDAYS(Table2[[#This Row],[PO Request for OEM ]], TODAY())</f>
        <v>32751</v>
      </c>
      <c r="CY18" s="3">
        <f>WORKDAY(Table2[[#This Row],[PO Request for OEM Forecast]], 10)</f>
        <v>47</v>
      </c>
      <c r="CZ18" s="101">
        <f ca="1">NETWORKDAYS(Table2[[#This Row],[PO Approval]], TODAY())</f>
        <v>32751</v>
      </c>
      <c r="DA18" s="3"/>
      <c r="DB18" s="3">
        <f>WORKDAY(Table2[[#This Row],[PO Approval Forecast]], 10)</f>
        <v>61</v>
      </c>
      <c r="DC18" s="101">
        <f ca="1">NETWORKDAYS(Table2[[#This Row],[backhaul ordered]], TODAY())</f>
        <v>32751</v>
      </c>
      <c r="DD18" s="3"/>
      <c r="DE18" s="3">
        <f>WORKDAY(Table2[[#This Row],[Backhaul Order Forecast]], 10)</f>
        <v>75</v>
      </c>
      <c r="DF18" s="101">
        <f ca="1">NETWORKDAYS(Table2[[#This Row],[RTP Request]], TODAY())</f>
        <v>32751</v>
      </c>
      <c r="DG18" s="3"/>
      <c r="DH18" s="3">
        <f>WORKDAY(Table2[[#This Row],[RTP Request Forecast]], 10)</f>
        <v>89</v>
      </c>
      <c r="DI18" s="101">
        <f ca="1">NETWORKDAYS(Table2[[#This Row],[RTP Approved]], TODAY())</f>
        <v>32751</v>
      </c>
      <c r="DJ18" s="3">
        <v>45717</v>
      </c>
      <c r="DK18" s="3">
        <f>WORKDAY(Table2[[#This Row],[RTP Approval Forecast ]], 7)</f>
        <v>100</v>
      </c>
      <c r="DL18" s="101">
        <f ca="1">NETWORKDAYS(Table2[[#This Row],[RFP Request]], TODAY())</f>
        <v>96</v>
      </c>
      <c r="DM18" s="3">
        <f>DJ18+19</f>
        <v>45736</v>
      </c>
      <c r="DN18" s="3">
        <f>WORKDAY(Table2[[#This Row],[RFP Request Forecast ]], 10)</f>
        <v>114</v>
      </c>
      <c r="DO18" s="101">
        <f ca="1">NETWORKDAYS(Table2[[#This Row],[RFP Received]], TODAY())</f>
        <v>83</v>
      </c>
      <c r="DP18" s="3"/>
      <c r="DQ18" s="3">
        <f>WORKDAY(Table2[[#This Row],[RFP Received Forecast ]], 7)</f>
        <v>123</v>
      </c>
      <c r="DR18" s="101">
        <f ca="1">NETWORKDAYS(Table2[[#This Row],[PO for GC Request]], TODAY())</f>
        <v>32751</v>
      </c>
      <c r="DT18" s="3">
        <f>WORKDAY(Table2[[#This Row],[PO for GC Request Forecast ]], 7)</f>
        <v>132</v>
      </c>
      <c r="DU18" s="101">
        <f ca="1">NETWORKDAYS(Table2[[#This Row],[PO for GC Approved]], TODAY())</f>
        <v>32751</v>
      </c>
      <c r="DV18" s="3"/>
      <c r="DW18" s="3">
        <f>WORKDAY(Table2[[#This Row],[PO for GC Approval Forecast ]], 10)</f>
        <v>146</v>
      </c>
      <c r="DX18" s="101">
        <f ca="1">NETWORKDAYS(Table2[[#This Row],[Construction Start]], TODAY())</f>
        <v>32751</v>
      </c>
      <c r="DY18" s="3"/>
      <c r="DZ18" s="3">
        <f>WORKDAY(Table2[[#This Row],[Construction Start Forecast ]], 20)</f>
        <v>174</v>
      </c>
      <c r="EA18" s="101">
        <f ca="1">NETWORKDAYS(Table2[[#This Row],[Construction Complete]], TODAY())</f>
        <v>32751</v>
      </c>
      <c r="EB18" s="3"/>
      <c r="EC18" s="3"/>
      <c r="ED18" s="3">
        <f>WORKDAY(Table2[[#This Row],[Construction Complete Forecast ]], 10)</f>
        <v>188</v>
      </c>
      <c r="EE18" s="101">
        <f ca="1">NETWORKDAYS(Table2[[#This Row],[Integration Start]], TODAY())</f>
        <v>32751</v>
      </c>
      <c r="EF18" s="3"/>
      <c r="EG18" s="3">
        <f>WORKDAY(Table2[[#This Row],[Integration Start Forecast ]], 10)</f>
        <v>202</v>
      </c>
      <c r="EH18" s="101">
        <f ca="1">NETWORKDAYS(Table2[[#This Row],[Integration Complete]], TODAY())</f>
        <v>32751</v>
      </c>
      <c r="EJ18" s="3">
        <f>WORKDAY(Table2[[#This Row],[Integration Complete Forecast ]], 10)</f>
        <v>216</v>
      </c>
      <c r="EK18" s="101">
        <f ca="1">NETWORKDAYS(Table2[[#This Row],[Close Out Package(2weeks from integration complete]], TODAY())</f>
        <v>32751</v>
      </c>
      <c r="EM18" s="3">
        <f>WORKDAY(Table2[[#This Row],[Close Out Package Forecast ]], 10)</f>
        <v>230</v>
      </c>
      <c r="EN18" s="101">
        <f ca="1">NETWORKDAYS(Table2[[#This Row],[Acceptance testing 2 weeks from close out package)]], TODAY())</f>
        <v>32751</v>
      </c>
      <c r="EP18" s="3">
        <f>WORKDAY(Table2[[#This Row],[Acceptance Testing Forecast ]], 20)</f>
        <v>258</v>
      </c>
      <c r="EQ18" s="101">
        <f ca="1">NETWORKDAYS(Table2[[#This Row],[Customer acceptance(1 month after acceptance testing)]], TODAY())</f>
        <v>32751</v>
      </c>
      <c r="ES18" s="3">
        <f>WORKDAY(Table2[[#This Row],[Customer Acceptance Forecast ]], 5)</f>
        <v>265</v>
      </c>
      <c r="ET18" s="101">
        <f ca="1">NETWORKDAYS(Table2[[#This Row],[Operations handoff(1 week after customer acceptance)]], TODAY())</f>
        <v>32751</v>
      </c>
      <c r="EU18" s="2" t="s">
        <v>82</v>
      </c>
      <c r="EV18" s="3">
        <f>WORKDAY(Table2[[#This Row],[Operations Handoff Forecast ]], 7)</f>
        <v>276</v>
      </c>
      <c r="EW18" s="101" t="e">
        <f ca="1">NETWORKDAYS(Table2[[#This Row],[FNE Date]], TODAY())</f>
        <v>#VALUE!</v>
      </c>
      <c r="EX18" s="2"/>
      <c r="EY18" s="3">
        <f>WORKDAY(Table2[[#This Row],[FNE Date Forecast ]], 7)</f>
        <v>285</v>
      </c>
      <c r="EZ18" s="101">
        <f ca="1">NETWORKDAYS(Table2[[#This Row],[FNE Notice]], TODAY())</f>
        <v>32751</v>
      </c>
      <c r="FA18" s="2"/>
      <c r="FB18" s="2"/>
    </row>
    <row r="19" spans="1:158" x14ac:dyDescent="0.25">
      <c r="B19" t="s">
        <v>72</v>
      </c>
      <c r="C19" t="s">
        <v>86</v>
      </c>
      <c r="D19" s="103"/>
      <c r="E19" t="s">
        <v>74</v>
      </c>
      <c r="F19" s="1"/>
      <c r="H19" t="s">
        <v>84</v>
      </c>
      <c r="I19">
        <v>376</v>
      </c>
      <c r="J19" s="3">
        <v>45762</v>
      </c>
      <c r="K19" s="3">
        <f>J19+14</f>
        <v>45776</v>
      </c>
      <c r="L19" s="3">
        <v>45784</v>
      </c>
      <c r="M19" s="2">
        <f>WORKDAY(Table2[[#This Row],[Kickoff date]], 7)</f>
        <v>45785</v>
      </c>
      <c r="N19" s="102">
        <f ca="1">NETWORKDAYS(Table2[[#This Row],[ROM Request]], TODAY())</f>
        <v>49</v>
      </c>
      <c r="O19" s="2">
        <f>L19+3</f>
        <v>45787</v>
      </c>
      <c r="P19" s="2">
        <f>WORKDAY(Table2[[#This Row],[ROM Request]], 10)</f>
        <v>45798</v>
      </c>
      <c r="Q19" s="102">
        <f ca="1">NETWORKDAYS(Table2[[#This Row],[ROM Receive]], TODAY())</f>
        <v>46</v>
      </c>
      <c r="R19" s="2">
        <v>45791</v>
      </c>
      <c r="S19" s="2">
        <f>WORKDAY(Table2[[#This Row],[ROM Receive Forecast]], 15)</f>
        <v>45819</v>
      </c>
      <c r="T19" s="102">
        <f ca="1">NETWORKDAYS(Table2[[#This Row],[Backhaul Cost Request]], TODAY())</f>
        <v>44</v>
      </c>
      <c r="U19" s="2">
        <v>45807</v>
      </c>
      <c r="V19" s="2">
        <f>WORKDAY(Table2[[#This Row],[Backhaul Cost Request Forecast]], 15)</f>
        <v>45840</v>
      </c>
      <c r="W19" s="102">
        <f ca="1">NETWORKDAYS(Table2[[#This Row],[Backhaul Cost Receive]], TODAY())</f>
        <v>32</v>
      </c>
      <c r="X19" s="2">
        <f>Table2[[#This Row],[Kickoff date]]</f>
        <v>45776</v>
      </c>
      <c r="Y19" s="2">
        <f>WORKDAY(Table2[[#This Row],[Backhaul Cost Request Forecast]], 7)</f>
        <v>45828</v>
      </c>
      <c r="Z19" s="102">
        <f ca="1">NETWORKDAYS(Table2[[#This Row],[OSP Request]], TODAY())</f>
        <v>55</v>
      </c>
      <c r="AA19" s="2"/>
      <c r="AB19" s="2">
        <f>WORKDAY(Table2[[#This Row],[OSP Request Forecast]], 10)</f>
        <v>45842</v>
      </c>
      <c r="AC19" s="102">
        <f ca="1">NETWORKDAYS(Table2[[#This Row],[OSP Receive]], TODAY())</f>
        <v>32751</v>
      </c>
      <c r="AD19" s="2">
        <f>Table2[[#This Row],[Kickoff date]]</f>
        <v>45776</v>
      </c>
      <c r="AE19" s="3">
        <f>WORKDAY(Table2[[#This Row],[Kickoff date]], 7)</f>
        <v>45785</v>
      </c>
      <c r="AF19" s="102">
        <f ca="1">NETWORKDAYS(Table2[[#This Row],[FM Request]], TODAY())</f>
        <v>55</v>
      </c>
      <c r="AG19" s="2"/>
      <c r="AH19" s="3">
        <f>WORKDAY(Table2[[#This Row],[FM Request Forecast ]], 2)</f>
        <v>45789</v>
      </c>
      <c r="AI19" s="102">
        <f ca="1">NETWORKDAYS(Table2[[#This Row],[FM receive]], TODAY())</f>
        <v>32751</v>
      </c>
      <c r="AJ19" s="2"/>
      <c r="AK19" s="3">
        <f>WORKDAY(Table2[[#This Row],[FM Receive Forecast ]], 2)</f>
        <v>45791</v>
      </c>
      <c r="AM19" s="3">
        <f>K19+20</f>
        <v>45796</v>
      </c>
      <c r="AN19" s="2"/>
      <c r="AO19" s="3">
        <f>WORKDAY(Table2[[#This Row],[1-pager Submission to BD]], 7)</f>
        <v>45805</v>
      </c>
      <c r="AP19" s="101">
        <f ca="1">IF(ISBLANK(Table2[[#This Row],[Firm Pricing request]]), NETWORKDAYS(Table2[[#This Row],[Proposal Accepted]], TODAY()), NETWORKDAYS(Table2[[#This Row],[Proposal Accepted]], Table2[[#This Row],[Firm Pricing request]]))</f>
        <v>32751</v>
      </c>
      <c r="AQ19" s="2"/>
      <c r="AR19" s="3">
        <f>WORKDAY(Table2[[#This Row],[Proposal Acceptance Forecast]], 7)</f>
        <v>45814</v>
      </c>
      <c r="AS19" s="101">
        <f ca="1">NETWORKDAYS(Table2[[#This Row],[Firm Pricing request]], TODAY())</f>
        <v>32751</v>
      </c>
      <c r="AT19" s="2">
        <v>45805</v>
      </c>
      <c r="AU19" s="3">
        <f>WORKDAY(Table2[[#This Row],[Firm Pricing Request Forecast]], 7)</f>
        <v>45825</v>
      </c>
      <c r="AV19" s="101">
        <f ca="1">NETWORKDAYS(Table2[[#This Row],[Site Walk]], TODAY())</f>
        <v>34</v>
      </c>
      <c r="AW19" s="2"/>
      <c r="AX19" s="3">
        <f>WORKDAY(Table2[[#This Row],[Site Walk Forecast]], 7)</f>
        <v>45834</v>
      </c>
      <c r="AY19" s="101">
        <f ca="1">NETWORKDAYS(Table2[[#This Row],[Firm Quote Receival]], TODAY())</f>
        <v>32751</v>
      </c>
      <c r="AZ19" s="2">
        <v>45836</v>
      </c>
      <c r="BA19" s="3">
        <f>WORKDAY(Table2[[#This Row],[Firm Quote Receival Forecast ]], 7)</f>
        <v>45845</v>
      </c>
      <c r="BB19" s="101">
        <f ca="1">NETWORKDAYS(Table2[[#This Row],[Final Design &amp; BOM(20 calendar days from site walk)]], TODAY())</f>
        <v>11</v>
      </c>
      <c r="BC19" s="2"/>
      <c r="BD19" s="3">
        <f>WORKDAY(Table2[[#This Row],[Final Design &amp; BOM Forecast ]], 7)</f>
        <v>45854</v>
      </c>
      <c r="BE19" s="101">
        <f ca="1">NETWORKDAYS(Table2[[#This Row],[FM Request 2]], TODAY())</f>
        <v>32751</v>
      </c>
      <c r="BF19" s="2"/>
      <c r="BG19" s="3">
        <f>WORKDAY(Table2[[#This Row],[FM Request 2 Forecast]], 7)</f>
        <v>45863</v>
      </c>
      <c r="BH19" s="101"/>
      <c r="BI19" s="2"/>
      <c r="BJ19" s="3">
        <f>WORKDAY(Table2[[#This Row],[FM Review 2 Forecast]], 7)</f>
        <v>45874</v>
      </c>
      <c r="BK19" s="101">
        <f ca="1">NETWORKDAYS(Table2[[#This Row],[Tax Review]], TODAY())</f>
        <v>32751</v>
      </c>
      <c r="BL19" s="2"/>
      <c r="BM19" s="3">
        <f>WORKDAY(Table2[[#This Row],[Tax Review]], 7)</f>
        <v>10</v>
      </c>
      <c r="BN19" s="101">
        <f ca="1">NETWORKDAYS(Table2[[#This Row],[Tax Approval]], TODAY())</f>
        <v>32751</v>
      </c>
      <c r="BO19" s="2"/>
      <c r="BP19" s="3">
        <v>1</v>
      </c>
      <c r="BQ19" s="101">
        <f ca="1">NETWORKDAYS(Table2[[#This Row],[Final proposal submission]], TODAY())</f>
        <v>32751</v>
      </c>
      <c r="BR19" s="2"/>
      <c r="BS19" s="2"/>
      <c r="BT19" s="3">
        <f>WORKDAY(Table2[[#This Row],[Final Proposal Submission Forecast]], 7)</f>
        <v>10</v>
      </c>
      <c r="BU19" s="101">
        <f ca="1">NETWORKDAYS(Table2[[#This Row],[BD submits proposal]], TODAY())</f>
        <v>32751</v>
      </c>
      <c r="BV19" s="2">
        <v>45870</v>
      </c>
      <c r="BW19" s="3">
        <f>WORKDAY(Table2[[#This Row],[BD Submits Proposal Forecast]], 7)</f>
        <v>19</v>
      </c>
      <c r="BX19" s="101">
        <f ca="1">NETWORKDAYS(Table2[[#This Row],[Final Proposal Accepted]], TODAY())</f>
        <v>-15</v>
      </c>
      <c r="BY19" s="2"/>
      <c r="BZ19" s="3">
        <f>WORKDAY(Table2[[#This Row],[Final Proposal Accepted]], 90)</f>
        <v>45996</v>
      </c>
      <c r="CA19" s="101">
        <f ca="1">NETWORKDAYS(Table2[[#This Row],[Legal Agreement]], TODAY())</f>
        <v>32751</v>
      </c>
      <c r="CB19" s="2"/>
      <c r="CC19" s="3">
        <f>WORKDAY(Table2[[#This Row],[Legal Agreement Forecast]], 10)</f>
        <v>46010</v>
      </c>
      <c r="CD19" s="101">
        <f ca="1">NETWORKDAYS(Table2[[#This Row],[Executed Agreement]], TODAY())</f>
        <v>32751</v>
      </c>
      <c r="CE19" t="s">
        <v>87</v>
      </c>
      <c r="CF19" t="s">
        <v>88</v>
      </c>
      <c r="CG19" s="103"/>
      <c r="CH19" s="3"/>
      <c r="CI19" s="3">
        <f>WORKDAY(Table2[[#This Row],[Executed Agreement]], 7)</f>
        <v>10</v>
      </c>
      <c r="CJ19" s="101">
        <f ca="1">NETWORKDAYS(Table2[[#This Row],[A&amp;E Request]], TODAY())</f>
        <v>32751</v>
      </c>
      <c r="CL19" s="3">
        <f>WORKDAY(Table2[[#This Row],[A&amp;E Request Forecast]], 10)</f>
        <v>24</v>
      </c>
      <c r="CM19" s="101">
        <f ca="1">NETWORKDAYS(Table2[[#This Row],[A&amp;E receive]], TODAY())</f>
        <v>32751</v>
      </c>
      <c r="CO19" s="3">
        <f>WORKDAY(Table2[[#This Row],[FM Approval meeting ]], 10)</f>
        <v>13</v>
      </c>
      <c r="CP19" s="101">
        <f ca="1">NETWORKDAYS(Table2[[#This Row],[Budget Request]], TODAY())</f>
        <v>32751</v>
      </c>
      <c r="CR19" s="3">
        <f>WORKDAY(Table2[[#This Row],[Budget Request Forecast]], 7)</f>
        <v>24</v>
      </c>
      <c r="CS19" s="101">
        <f ca="1">NETWORKDAYS(Table2[[#This Row],[Budget Approval]], TODAY())</f>
        <v>32751</v>
      </c>
      <c r="CV19" s="3">
        <f>WORKDAY(Table2[[#This Row],[Budget Approval Forecast ]], 7)</f>
        <v>33</v>
      </c>
      <c r="CW19" s="101">
        <f ca="1">NETWORKDAYS(Table2[[#This Row],[PO Request for OEM ]], TODAY())</f>
        <v>32751</v>
      </c>
      <c r="CY19" s="3">
        <f>WORKDAY(Table2[[#This Row],[PO Request for OEM Forecast]], 10)</f>
        <v>47</v>
      </c>
      <c r="CZ19" s="101">
        <f ca="1">NETWORKDAYS(Table2[[#This Row],[PO Approval]], TODAY())</f>
        <v>32751</v>
      </c>
      <c r="DB19" s="3">
        <f>WORKDAY(Table2[[#This Row],[PO Approval Forecast]], 10)</f>
        <v>61</v>
      </c>
      <c r="DC19" s="101">
        <f ca="1">NETWORKDAYS(Table2[[#This Row],[backhaul ordered]], TODAY())</f>
        <v>32751</v>
      </c>
      <c r="DD19">
        <v>45383</v>
      </c>
      <c r="DE19" s="3">
        <f>WORKDAY(Table2[[#This Row],[Backhaul Order Forecast]], 10)</f>
        <v>75</v>
      </c>
      <c r="DF19" s="101">
        <f ca="1">NETWORKDAYS(Table2[[#This Row],[RTP Request]], TODAY())</f>
        <v>336</v>
      </c>
      <c r="DG19" s="3">
        <v>45575</v>
      </c>
      <c r="DH19" s="3">
        <f>WORKDAY(Table2[[#This Row],[RTP Request Forecast]], 10)</f>
        <v>89</v>
      </c>
      <c r="DI19" s="101">
        <f ca="1">NETWORKDAYS(Table2[[#This Row],[RTP Approved]], TODAY())</f>
        <v>198</v>
      </c>
      <c r="DJ19">
        <v>45778</v>
      </c>
      <c r="DK19" s="3">
        <f>WORKDAY(Table2[[#This Row],[RTP Approval Forecast ]], 7)</f>
        <v>100</v>
      </c>
      <c r="DL19" s="101">
        <f ca="1">NETWORKDAYS(Table2[[#This Row],[RFP Request]], TODAY())</f>
        <v>53</v>
      </c>
      <c r="DM19" s="3">
        <f>DJ19+19</f>
        <v>45797</v>
      </c>
      <c r="DN19" s="3">
        <f>WORKDAY(Table2[[#This Row],[RFP Request Forecast ]], 10)</f>
        <v>114</v>
      </c>
      <c r="DO19" s="101">
        <f ca="1">NETWORKDAYS(Table2[[#This Row],[RFP Received]], TODAY())</f>
        <v>40</v>
      </c>
      <c r="DQ19" s="3">
        <f>WORKDAY(Table2[[#This Row],[RFP Received Forecast ]], 7)</f>
        <v>123</v>
      </c>
      <c r="DR19" s="101">
        <f ca="1">NETWORKDAYS(Table2[[#This Row],[PO for GC Request]], TODAY())</f>
        <v>32751</v>
      </c>
      <c r="DT19" s="3">
        <f>WORKDAY(Table2[[#This Row],[PO for GC Request Forecast ]], 7)</f>
        <v>132</v>
      </c>
      <c r="DU19" s="101">
        <f ca="1">NETWORKDAYS(Table2[[#This Row],[PO for GC Approved]], TODAY())</f>
        <v>32751</v>
      </c>
      <c r="DW19" s="3">
        <f>WORKDAY(Table2[[#This Row],[PO for GC Approval Forecast ]], 10)</f>
        <v>146</v>
      </c>
      <c r="DX19" s="101">
        <f ca="1">NETWORKDAYS(Table2[[#This Row],[Construction Start]], TODAY())</f>
        <v>32751</v>
      </c>
      <c r="DZ19" s="3">
        <f>WORKDAY(Table2[[#This Row],[Construction Start Forecast ]], 20)</f>
        <v>174</v>
      </c>
      <c r="EA19" s="101">
        <f ca="1">NETWORKDAYS(Table2[[#This Row],[Construction Complete]], TODAY())</f>
        <v>32751</v>
      </c>
      <c r="ED19" s="3">
        <f>WORKDAY(Table2[[#This Row],[Construction Complete Forecast ]], 10)</f>
        <v>188</v>
      </c>
      <c r="EE19" s="101">
        <f ca="1">NETWORKDAYS(Table2[[#This Row],[Integration Start]], TODAY())</f>
        <v>32751</v>
      </c>
      <c r="EF19" s="3"/>
      <c r="EG19" s="3">
        <f>WORKDAY(Table2[[#This Row],[Integration Start Forecast ]], 10)</f>
        <v>202</v>
      </c>
      <c r="EH19" s="101">
        <f ca="1">NETWORKDAYS(Table2[[#This Row],[Integration Complete]], TODAY())</f>
        <v>32751</v>
      </c>
      <c r="EJ19" s="3">
        <f>WORKDAY(Table2[[#This Row],[Integration Complete Forecast ]], 10)</f>
        <v>216</v>
      </c>
      <c r="EK19" s="101">
        <f ca="1">NETWORKDAYS(Table2[[#This Row],[Close Out Package(2weeks from integration complete]], TODAY())</f>
        <v>32751</v>
      </c>
      <c r="EM19" s="3">
        <f>WORKDAY(Table2[[#This Row],[Close Out Package Forecast ]], 10)</f>
        <v>230</v>
      </c>
      <c r="EN19" s="101">
        <f ca="1">NETWORKDAYS(Table2[[#This Row],[Acceptance testing 2 weeks from close out package)]], TODAY())</f>
        <v>32751</v>
      </c>
      <c r="EP19" s="3">
        <f>WORKDAY(Table2[[#This Row],[Acceptance Testing Forecast ]], 20)</f>
        <v>258</v>
      </c>
      <c r="EQ19" s="101">
        <f ca="1">NETWORKDAYS(Table2[[#This Row],[Customer acceptance(1 month after acceptance testing)]], TODAY())</f>
        <v>32751</v>
      </c>
      <c r="ES19" s="3">
        <f>WORKDAY(Table2[[#This Row],[Customer Acceptance Forecast ]], 5)</f>
        <v>265</v>
      </c>
      <c r="ET19" s="101">
        <f ca="1">NETWORKDAYS(Table2[[#This Row],[Operations handoff(1 week after customer acceptance)]], TODAY())</f>
        <v>32751</v>
      </c>
      <c r="EU19" s="2" t="s">
        <v>89</v>
      </c>
      <c r="EV19" s="3">
        <f>WORKDAY(Table2[[#This Row],[Operations Handoff Forecast ]], 7)</f>
        <v>276</v>
      </c>
      <c r="EW19" s="101" t="e">
        <f ca="1">NETWORKDAYS(Table2[[#This Row],[FNE Date]], TODAY())</f>
        <v>#VALUE!</v>
      </c>
      <c r="EX19" s="2"/>
      <c r="EY19" s="3">
        <f>WORKDAY(Table2[[#This Row],[FNE Date Forecast ]], 7)</f>
        <v>285</v>
      </c>
      <c r="EZ19" s="101">
        <f ca="1">NETWORKDAYS(Table2[[#This Row],[FNE Notice]], TODAY())</f>
        <v>32751</v>
      </c>
      <c r="FA19" s="2"/>
      <c r="FB19" s="2"/>
    </row>
    <row r="20" spans="1:158" x14ac:dyDescent="0.25">
      <c r="B20" t="s">
        <v>72</v>
      </c>
      <c r="C20" t="s">
        <v>99</v>
      </c>
      <c r="D20" s="103"/>
      <c r="E20" t="s">
        <v>74</v>
      </c>
      <c r="F20" s="1"/>
      <c r="H20" t="s">
        <v>84</v>
      </c>
      <c r="I20">
        <v>359</v>
      </c>
      <c r="J20" s="3">
        <v>45766</v>
      </c>
      <c r="K20" s="3">
        <f>J20+8</f>
        <v>45774</v>
      </c>
      <c r="L20" s="3">
        <v>45786</v>
      </c>
      <c r="M20" s="2">
        <f>WORKDAY(Table2[[#This Row],[Kickoff date]], 7)</f>
        <v>45783</v>
      </c>
      <c r="N20" s="102">
        <f ca="1">NETWORKDAYS(Table2[[#This Row],[ROM Request]], TODAY())</f>
        <v>47</v>
      </c>
      <c r="O20" s="2">
        <f>L20+11</f>
        <v>45797</v>
      </c>
      <c r="P20" s="2">
        <f>WORKDAY(Table2[[#This Row],[ROM Request]], 10)</f>
        <v>45800</v>
      </c>
      <c r="Q20" s="102">
        <f ca="1">NETWORKDAYS(Table2[[#This Row],[ROM Receive]], TODAY())</f>
        <v>40</v>
      </c>
      <c r="R20" s="2">
        <v>45779</v>
      </c>
      <c r="S20" s="2">
        <f>WORKDAY(Table2[[#This Row],[ROM Receive Forecast]], 15)</f>
        <v>45821</v>
      </c>
      <c r="T20" s="102">
        <f ca="1">NETWORKDAYS(Table2[[#This Row],[Backhaul Cost Request]], TODAY())</f>
        <v>52</v>
      </c>
      <c r="U20" s="2">
        <v>45802</v>
      </c>
      <c r="V20" s="2">
        <f>WORKDAY(Table2[[#This Row],[Backhaul Cost Request Forecast]], 15)</f>
        <v>45842</v>
      </c>
      <c r="W20" s="102">
        <f ca="1">NETWORKDAYS(Table2[[#This Row],[Backhaul Cost Receive]], TODAY())</f>
        <v>36</v>
      </c>
      <c r="X20" s="2">
        <f>Table2[[#This Row],[Kickoff date]]</f>
        <v>45774</v>
      </c>
      <c r="Y20" s="2">
        <f>WORKDAY(Table2[[#This Row],[Backhaul Cost Request Forecast]], 7)</f>
        <v>45832</v>
      </c>
      <c r="Z20" s="102">
        <f ca="1">NETWORKDAYS(Table2[[#This Row],[OSP Request]], TODAY())</f>
        <v>56</v>
      </c>
      <c r="AA20" s="2"/>
      <c r="AB20" s="2">
        <f>WORKDAY(Table2[[#This Row],[OSP Request Forecast]], 10)</f>
        <v>45846</v>
      </c>
      <c r="AC20" s="102">
        <f ca="1">NETWORKDAYS(Table2[[#This Row],[OSP Receive]], TODAY())</f>
        <v>32751</v>
      </c>
      <c r="AD20" s="2">
        <f>Table2[[#This Row],[Kickoff date]]</f>
        <v>45774</v>
      </c>
      <c r="AE20" s="3">
        <f>WORKDAY(Table2[[#This Row],[Kickoff date]], 7)</f>
        <v>45783</v>
      </c>
      <c r="AF20" s="102">
        <f ca="1">NETWORKDAYS(Table2[[#This Row],[FM Request]], TODAY())</f>
        <v>56</v>
      </c>
      <c r="AG20" s="2"/>
      <c r="AH20" s="3">
        <f>WORKDAY(Table2[[#This Row],[FM Request Forecast ]], 2)</f>
        <v>45785</v>
      </c>
      <c r="AI20" s="102">
        <f ca="1">NETWORKDAYS(Table2[[#This Row],[FM receive]], TODAY())</f>
        <v>32751</v>
      </c>
      <c r="AJ20" s="2"/>
      <c r="AK20" s="3">
        <f>WORKDAY(Table2[[#This Row],[FM Receive Forecast ]], 2)</f>
        <v>45789</v>
      </c>
      <c r="AM20" s="3">
        <f>K20+14</f>
        <v>45788</v>
      </c>
      <c r="AN20" s="2"/>
      <c r="AO20" s="3">
        <f>WORKDAY(Table2[[#This Row],[1-pager Submission to BD]], 7)</f>
        <v>45797</v>
      </c>
      <c r="AP20" s="101">
        <f ca="1">IF(ISBLANK(Table2[[#This Row],[Firm Pricing request]]), NETWORKDAYS(Table2[[#This Row],[Proposal Accepted]], TODAY()), NETWORKDAYS(Table2[[#This Row],[Proposal Accepted]], Table2[[#This Row],[Firm Pricing request]]))</f>
        <v>32751</v>
      </c>
      <c r="AQ20" s="2"/>
      <c r="AR20" s="3">
        <f>WORKDAY(Table2[[#This Row],[Proposal Acceptance Forecast]], 7)</f>
        <v>45806</v>
      </c>
      <c r="AS20" s="101">
        <f ca="1">NETWORKDAYS(Table2[[#This Row],[Firm Pricing request]], TODAY())</f>
        <v>32751</v>
      </c>
      <c r="AT20" s="2"/>
      <c r="AU20" s="3">
        <f>WORKDAY(Table2[[#This Row],[Firm Pricing Request Forecast]], 7)</f>
        <v>45817</v>
      </c>
      <c r="AV20" s="101">
        <f ca="1">NETWORKDAYS(Table2[[#This Row],[Site Walk]], TODAY())</f>
        <v>32751</v>
      </c>
      <c r="AW20" s="2"/>
      <c r="AX20" s="3">
        <f>WORKDAY(Table2[[#This Row],[Site Walk Forecast]], 7)</f>
        <v>45826</v>
      </c>
      <c r="AY20" s="101">
        <f ca="1">NETWORKDAYS(Table2[[#This Row],[Firm Quote Receival]], TODAY())</f>
        <v>32751</v>
      </c>
      <c r="AZ20" s="2"/>
      <c r="BA20" s="3">
        <f>WORKDAY(Table2[[#This Row],[Firm Quote Receival Forecast ]], 7)</f>
        <v>45835</v>
      </c>
      <c r="BB20" s="101">
        <f ca="1">NETWORKDAYS(Table2[[#This Row],[Final Design &amp; BOM(20 calendar days from site walk)]], TODAY())</f>
        <v>32751</v>
      </c>
      <c r="BC20" s="2"/>
      <c r="BD20" s="3">
        <f>WORKDAY(Table2[[#This Row],[Final Design &amp; BOM Forecast ]], 7)</f>
        <v>45846</v>
      </c>
      <c r="BE20" s="101">
        <f ca="1">NETWORKDAYS(Table2[[#This Row],[FM Request 2]], TODAY())</f>
        <v>32751</v>
      </c>
      <c r="BF20" s="2"/>
      <c r="BG20" s="3">
        <f>WORKDAY(Table2[[#This Row],[FM Request 2 Forecast]], 7)</f>
        <v>45855</v>
      </c>
      <c r="BH20" s="101"/>
      <c r="BI20" s="2"/>
      <c r="BJ20" s="3">
        <f>WORKDAY(Table2[[#This Row],[FM Review 2 Forecast]], 7)</f>
        <v>45866</v>
      </c>
      <c r="BK20" s="101">
        <f ca="1">NETWORKDAYS(Table2[[#This Row],[Tax Review]], TODAY())</f>
        <v>32751</v>
      </c>
      <c r="BL20" s="2"/>
      <c r="BM20" s="3">
        <f>WORKDAY(Table2[[#This Row],[Tax Review]], 7)</f>
        <v>10</v>
      </c>
      <c r="BN20" s="101">
        <f ca="1">NETWORKDAYS(Table2[[#This Row],[Tax Approval]], TODAY())</f>
        <v>32751</v>
      </c>
      <c r="BO20" s="2"/>
      <c r="BP20" s="3">
        <f>WORKDAY(Table2[[#This Row],[Tax Approval Forecast]], 7)</f>
        <v>19</v>
      </c>
      <c r="BQ20" s="101">
        <f ca="1">NETWORKDAYS(Table2[[#This Row],[Final proposal submission]], TODAY())</f>
        <v>32751</v>
      </c>
      <c r="BR20" s="2"/>
      <c r="BS20" s="2"/>
      <c r="BT20" s="3">
        <f>WORKDAY(Table2[[#This Row],[Final Proposal Submission Forecast]], 7)</f>
        <v>30</v>
      </c>
      <c r="BU20" s="101">
        <f ca="1">NETWORKDAYS(Table2[[#This Row],[BD submits proposal]], TODAY())</f>
        <v>32751</v>
      </c>
      <c r="BV20" s="2"/>
      <c r="BW20" s="3">
        <f>WORKDAY(Table2[[#This Row],[BD Submits Proposal Forecast]], 7)</f>
        <v>39</v>
      </c>
      <c r="BX20" s="101">
        <f ca="1">NETWORKDAYS(Table2[[#This Row],[Final Proposal Accepted]], TODAY())</f>
        <v>32751</v>
      </c>
      <c r="BY20" s="2"/>
      <c r="BZ20" s="3">
        <f>WORKDAY(Table2[[#This Row],[Final Proposal Accepted]], 90)</f>
        <v>125</v>
      </c>
      <c r="CA20" s="101">
        <f ca="1">NETWORKDAYS(Table2[[#This Row],[Legal Agreement]], TODAY())</f>
        <v>32751</v>
      </c>
      <c r="CB20" s="2"/>
      <c r="CC20" s="3">
        <f>WORKDAY(Table2[[#This Row],[Legal Agreement Forecast]], 10)</f>
        <v>139</v>
      </c>
      <c r="CD20" s="101">
        <f ca="1">NETWORKDAYS(Table2[[#This Row],[Executed Agreement]], TODAY())</f>
        <v>32751</v>
      </c>
      <c r="CE20" t="s">
        <v>91</v>
      </c>
      <c r="CF20" t="s">
        <v>100</v>
      </c>
      <c r="CG20" s="103"/>
      <c r="CH20" s="3"/>
      <c r="CI20" s="3">
        <f>WORKDAY(Table2[[#This Row],[Executed Agreement]], 7)</f>
        <v>10</v>
      </c>
      <c r="CJ20" s="101">
        <f ca="1">NETWORKDAYS(Table2[[#This Row],[A&amp;E Request]], TODAY())</f>
        <v>32751</v>
      </c>
      <c r="CL20" s="3">
        <f>WORKDAY(Table2[[#This Row],[A&amp;E Request Forecast]], 10)</f>
        <v>24</v>
      </c>
      <c r="CM20" s="101">
        <f ca="1">NETWORKDAYS(Table2[[#This Row],[A&amp;E receive]], TODAY())</f>
        <v>32751</v>
      </c>
      <c r="CO20" s="3">
        <f>WORKDAY(Table2[[#This Row],[FM Approval meeting ]], 10)</f>
        <v>13</v>
      </c>
      <c r="CP20" s="101">
        <f ca="1">NETWORKDAYS(Table2[[#This Row],[Budget Request]], TODAY())</f>
        <v>32751</v>
      </c>
      <c r="CR20" s="3">
        <f>WORKDAY(Table2[[#This Row],[Budget Request Forecast]], 7)</f>
        <v>24</v>
      </c>
      <c r="CS20" s="101">
        <f ca="1">NETWORKDAYS(Table2[[#This Row],[Budget Approval]], TODAY())</f>
        <v>32751</v>
      </c>
      <c r="CV20" s="3">
        <f>WORKDAY(Table2[[#This Row],[Budget Approval Forecast ]], 7)</f>
        <v>33</v>
      </c>
      <c r="CW20" s="101">
        <f ca="1">NETWORKDAYS(Table2[[#This Row],[PO Request for OEM ]], TODAY())</f>
        <v>32751</v>
      </c>
      <c r="CY20" s="3">
        <f>WORKDAY(Table2[[#This Row],[PO Request for OEM Forecast]], 10)</f>
        <v>47</v>
      </c>
      <c r="CZ20" s="101">
        <f ca="1">NETWORKDAYS(Table2[[#This Row],[PO Approval]], TODAY())</f>
        <v>32751</v>
      </c>
      <c r="DB20" s="3">
        <f>WORKDAY(Table2[[#This Row],[PO Approval Forecast]], 10)</f>
        <v>61</v>
      </c>
      <c r="DC20" s="101">
        <f ca="1">NETWORKDAYS(Table2[[#This Row],[backhaul ordered]], TODAY())</f>
        <v>32751</v>
      </c>
      <c r="DE20" s="3">
        <f>WORKDAY(Table2[[#This Row],[Backhaul Order Forecast]], 10)</f>
        <v>75</v>
      </c>
      <c r="DF20" s="101">
        <f ca="1">NETWORKDAYS(Table2[[#This Row],[RTP Request]], TODAY())</f>
        <v>32751</v>
      </c>
      <c r="DG20" s="3"/>
      <c r="DH20" s="3">
        <f>WORKDAY(Table2[[#This Row],[RTP Request Forecast]], 10)</f>
        <v>89</v>
      </c>
      <c r="DI20" s="101">
        <f ca="1">NETWORKDAYS(Table2[[#This Row],[RTP Approved]], TODAY())</f>
        <v>32751</v>
      </c>
      <c r="DK20" s="3">
        <f>WORKDAY(Table2[[#This Row],[RTP Approval Forecast ]], 7)</f>
        <v>100</v>
      </c>
      <c r="DL20" s="101">
        <f ca="1">NETWORKDAYS(Table2[[#This Row],[RFP Request]], TODAY())</f>
        <v>32751</v>
      </c>
      <c r="DN20" s="3">
        <f>WORKDAY(Table2[[#This Row],[RFP Request Forecast ]], 10)</f>
        <v>114</v>
      </c>
      <c r="DO20" s="101">
        <f ca="1">NETWORKDAYS(Table2[[#This Row],[RFP Received]], TODAY())</f>
        <v>32751</v>
      </c>
      <c r="DQ20" s="3">
        <f>WORKDAY(Table2[[#This Row],[RFP Received Forecast ]], 7)</f>
        <v>123</v>
      </c>
      <c r="DR20" s="101">
        <f ca="1">NETWORKDAYS(Table2[[#This Row],[PO for GC Request]], TODAY())</f>
        <v>32751</v>
      </c>
      <c r="DT20" s="3">
        <f>WORKDAY(Table2[[#This Row],[PO for GC Request Forecast ]], 7)</f>
        <v>132</v>
      </c>
      <c r="DU20" s="101">
        <f ca="1">NETWORKDAYS(Table2[[#This Row],[PO for GC Approved]], TODAY())</f>
        <v>32751</v>
      </c>
      <c r="DW20" s="3">
        <f>WORKDAY(Table2[[#This Row],[PO for GC Approval Forecast ]], 10)</f>
        <v>146</v>
      </c>
      <c r="DX20" s="101">
        <f ca="1">NETWORKDAYS(Table2[[#This Row],[Construction Start]], TODAY())</f>
        <v>32751</v>
      </c>
      <c r="DZ20" s="3">
        <f>WORKDAY(Table2[[#This Row],[Construction Start Forecast ]], 20)</f>
        <v>174</v>
      </c>
      <c r="EA20" s="101">
        <f ca="1">NETWORKDAYS(Table2[[#This Row],[Construction Complete]], TODAY())</f>
        <v>32751</v>
      </c>
      <c r="ED20" s="3">
        <f>WORKDAY(Table2[[#This Row],[Construction Complete Forecast ]], 10)</f>
        <v>188</v>
      </c>
      <c r="EE20" s="101">
        <f ca="1">NETWORKDAYS(Table2[[#This Row],[Integration Start]], TODAY())</f>
        <v>32751</v>
      </c>
      <c r="EF20" s="3"/>
      <c r="EG20" s="3">
        <f>WORKDAY(Table2[[#This Row],[Integration Start Forecast ]], 10)</f>
        <v>202</v>
      </c>
      <c r="EH20" s="101">
        <f ca="1">NETWORKDAYS(Table2[[#This Row],[Integration Complete]], TODAY())</f>
        <v>32751</v>
      </c>
      <c r="EJ20" s="3">
        <f>WORKDAY(Table2[[#This Row],[Integration Complete Forecast ]], 10)</f>
        <v>216</v>
      </c>
      <c r="EK20" s="101">
        <f ca="1">NETWORKDAYS(Table2[[#This Row],[Close Out Package(2weeks from integration complete]], TODAY())</f>
        <v>32751</v>
      </c>
      <c r="EM20" s="3">
        <f>WORKDAY(Table2[[#This Row],[Close Out Package Forecast ]], 10)</f>
        <v>230</v>
      </c>
      <c r="EN20" s="101">
        <f ca="1">NETWORKDAYS(Table2[[#This Row],[Acceptance testing 2 weeks from close out package)]], TODAY())</f>
        <v>32751</v>
      </c>
      <c r="EP20" s="3">
        <f>WORKDAY(Table2[[#This Row],[Acceptance Testing Forecast ]], 20)</f>
        <v>258</v>
      </c>
      <c r="EQ20" s="101">
        <f ca="1">NETWORKDAYS(Table2[[#This Row],[Customer acceptance(1 month after acceptance testing)]], TODAY())</f>
        <v>32751</v>
      </c>
      <c r="ES20" s="3">
        <f>WORKDAY(Table2[[#This Row],[Customer Acceptance Forecast ]], 5)</f>
        <v>265</v>
      </c>
      <c r="ET20" s="101">
        <f ca="1">NETWORKDAYS(Table2[[#This Row],[Operations handoff(1 week after customer acceptance)]], TODAY())</f>
        <v>32751</v>
      </c>
      <c r="EU20" s="2" t="s">
        <v>98</v>
      </c>
      <c r="EV20" s="3">
        <f>WORKDAY(Table2[[#This Row],[Operations Handoff Forecast ]], 7)</f>
        <v>276</v>
      </c>
      <c r="EW20" s="101" t="e">
        <f ca="1">NETWORKDAYS(Table2[[#This Row],[FNE Date]], TODAY())</f>
        <v>#VALUE!</v>
      </c>
      <c r="EX20" s="2"/>
      <c r="EY20" s="3">
        <f>WORKDAY(Table2[[#This Row],[FNE Date Forecast ]], 7)</f>
        <v>285</v>
      </c>
      <c r="EZ20" s="101">
        <f ca="1">NETWORKDAYS(Table2[[#This Row],[FNE Notice]], TODAY())</f>
        <v>32751</v>
      </c>
      <c r="FA20" s="2"/>
      <c r="FB20" s="2"/>
    </row>
    <row r="21" spans="1:158" x14ac:dyDescent="0.25">
      <c r="A21" t="s">
        <v>101</v>
      </c>
      <c r="B21" t="s">
        <v>72</v>
      </c>
      <c r="C21" s="73" t="s">
        <v>102</v>
      </c>
      <c r="D21" s="103"/>
      <c r="E21" s="73" t="s">
        <v>74</v>
      </c>
      <c r="F21" s="1"/>
      <c r="H21" t="s">
        <v>103</v>
      </c>
      <c r="I21">
        <v>264</v>
      </c>
      <c r="J21" s="3">
        <v>45767</v>
      </c>
      <c r="K21" s="3">
        <f>J21+6</f>
        <v>45773</v>
      </c>
      <c r="L21" s="3">
        <v>45797</v>
      </c>
      <c r="M21" s="2">
        <f>WORKDAY(Table2[[#This Row],[Kickoff date]], 7)</f>
        <v>45783</v>
      </c>
      <c r="N21" s="102">
        <f ca="1">NETWORKDAYS(Table2[[#This Row],[ROM Request]], TODAY())</f>
        <v>40</v>
      </c>
      <c r="O21" s="2">
        <f>L21+10</f>
        <v>45807</v>
      </c>
      <c r="P21" s="2">
        <f>WORKDAY(Table2[[#This Row],[ROM Request]], 10)</f>
        <v>45811</v>
      </c>
      <c r="Q21" s="102">
        <f ca="1">NETWORKDAYS(Table2[[#This Row],[ROM Receive]], TODAY())</f>
        <v>32</v>
      </c>
      <c r="R21" s="2">
        <v>45804</v>
      </c>
      <c r="S21" s="2">
        <f>WORKDAY(Table2[[#This Row],[ROM Receive Forecast]], 15)</f>
        <v>45832</v>
      </c>
      <c r="T21" s="102">
        <f ca="1">NETWORKDAYS(Table2[[#This Row],[Backhaul Cost Request]], TODAY())</f>
        <v>35</v>
      </c>
      <c r="U21" s="2">
        <v>45814</v>
      </c>
      <c r="V21" s="2">
        <f>WORKDAY(Table2[[#This Row],[Backhaul Cost Request Forecast]], 15)</f>
        <v>45853</v>
      </c>
      <c r="W21" s="102">
        <f ca="1">NETWORKDAYS(Table2[[#This Row],[Backhaul Cost Receive]], TODAY())</f>
        <v>27</v>
      </c>
      <c r="X21" s="2">
        <f>Table2[[#This Row],[Kickoff date]]</f>
        <v>45773</v>
      </c>
      <c r="Y21" s="2">
        <f>WORKDAY(Table2[[#This Row],[Backhaul Cost Request Forecast]], 7)</f>
        <v>45841</v>
      </c>
      <c r="Z21" s="102">
        <f ca="1">NETWORKDAYS(Table2[[#This Row],[OSP Request]], TODAY())</f>
        <v>56</v>
      </c>
      <c r="AA21" s="2"/>
      <c r="AB21" s="2">
        <f>WORKDAY(Table2[[#This Row],[OSP Request Forecast]], 10)</f>
        <v>45855</v>
      </c>
      <c r="AC21" s="102">
        <f ca="1">NETWORKDAYS(Table2[[#This Row],[OSP Receive]], TODAY())</f>
        <v>32751</v>
      </c>
      <c r="AD21" s="2">
        <f>Table2[[#This Row],[Kickoff date]]</f>
        <v>45773</v>
      </c>
      <c r="AE21" s="3">
        <f>WORKDAY(Table2[[#This Row],[Kickoff date]], 7)</f>
        <v>45783</v>
      </c>
      <c r="AF21" s="102">
        <f ca="1">NETWORKDAYS(Table2[[#This Row],[FM Request]], TODAY())</f>
        <v>56</v>
      </c>
      <c r="AG21" s="2"/>
      <c r="AH21" s="3">
        <f>WORKDAY(Table2[[#This Row],[FM Request Forecast ]], 2)</f>
        <v>45785</v>
      </c>
      <c r="AI21" s="102">
        <f ca="1">NETWORKDAYS(Table2[[#This Row],[FM receive]], TODAY())</f>
        <v>32751</v>
      </c>
      <c r="AJ21" s="2"/>
      <c r="AK21" s="3">
        <f>WORKDAY(Table2[[#This Row],[FM Receive Forecast ]], 2)</f>
        <v>45789</v>
      </c>
      <c r="AM21" s="3">
        <f>K21+20</f>
        <v>45793</v>
      </c>
      <c r="AN21" s="2"/>
      <c r="AO21" s="3">
        <f>WORKDAY(Table2[[#This Row],[1-pager Submission to BD]], 7)</f>
        <v>45804</v>
      </c>
      <c r="AP21" s="101">
        <f ca="1">IF(ISBLANK(Table2[[#This Row],[Firm Pricing request]]), NETWORKDAYS(Table2[[#This Row],[Proposal Accepted]], TODAY()), NETWORKDAYS(Table2[[#This Row],[Proposal Accepted]], Table2[[#This Row],[Firm Pricing request]]))</f>
        <v>32751</v>
      </c>
      <c r="AQ21" s="2"/>
      <c r="AR21" s="3">
        <f>WORKDAY(Table2[[#This Row],[Proposal Acceptance Forecast]], 7)</f>
        <v>45813</v>
      </c>
      <c r="AS21" s="101">
        <f ca="1">NETWORKDAYS(Table2[[#This Row],[Firm Pricing request]], TODAY())</f>
        <v>32751</v>
      </c>
      <c r="AT21" s="2"/>
      <c r="AU21" s="3">
        <f>WORKDAY(Table2[[#This Row],[Firm Pricing Request Forecast]], 7)</f>
        <v>45824</v>
      </c>
      <c r="AV21" s="101">
        <f ca="1">NETWORKDAYS(Table2[[#This Row],[Site Walk]], TODAY())</f>
        <v>32751</v>
      </c>
      <c r="AW21" s="2"/>
      <c r="AX21" s="3">
        <f>WORKDAY(Table2[[#This Row],[Site Walk Forecast]], 7)</f>
        <v>45833</v>
      </c>
      <c r="AY21" s="101">
        <f ca="1">NETWORKDAYS(Table2[[#This Row],[Firm Quote Receival]], TODAY())</f>
        <v>32751</v>
      </c>
      <c r="AZ21" s="2"/>
      <c r="BA21" s="3">
        <f>WORKDAY(Table2[[#This Row],[Firm Quote Receival Forecast ]], 7)</f>
        <v>45842</v>
      </c>
      <c r="BB21" s="101">
        <f ca="1">NETWORKDAYS(Table2[[#This Row],[Final Design &amp; BOM(20 calendar days from site walk)]], TODAY())</f>
        <v>32751</v>
      </c>
      <c r="BC21" s="2"/>
      <c r="BD21" s="3">
        <f>WORKDAY(Table2[[#This Row],[Final Design &amp; BOM Forecast ]], 7)</f>
        <v>45853</v>
      </c>
      <c r="BE21" s="101">
        <f ca="1">NETWORKDAYS(Table2[[#This Row],[FM Request 2]], TODAY())</f>
        <v>32751</v>
      </c>
      <c r="BF21" s="2"/>
      <c r="BG21" s="3">
        <f>WORKDAY(Table2[[#This Row],[FM Request 2 Forecast]], 7)</f>
        <v>45862</v>
      </c>
      <c r="BH21" s="101"/>
      <c r="BI21" s="2"/>
      <c r="BJ21" s="3">
        <f>WORKDAY(Table2[[#This Row],[FM Review 2 Forecast]], 7)</f>
        <v>45873</v>
      </c>
      <c r="BK21" s="101">
        <f ca="1">NETWORKDAYS(Table2[[#This Row],[Tax Review]], TODAY())</f>
        <v>32751</v>
      </c>
      <c r="BL21" s="2"/>
      <c r="BM21" s="3">
        <f>WORKDAY(Table2[[#This Row],[Tax Review]], 7)</f>
        <v>10</v>
      </c>
      <c r="BN21" s="101">
        <f ca="1">NETWORKDAYS(Table2[[#This Row],[Tax Approval]], TODAY())</f>
        <v>32751</v>
      </c>
      <c r="BO21" s="2"/>
      <c r="BP21" s="3">
        <f>WORKDAY(Table2[[#This Row],[Tax Approval Forecast]], 7)</f>
        <v>19</v>
      </c>
      <c r="BQ21" s="101">
        <f ca="1">NETWORKDAYS(Table2[[#This Row],[Final proposal submission]], TODAY())</f>
        <v>32751</v>
      </c>
      <c r="BR21" s="2"/>
      <c r="BS21" s="2"/>
      <c r="BT21" s="3">
        <f>WORKDAY(Table2[[#This Row],[Final Proposal Submission Forecast]], 7)</f>
        <v>30</v>
      </c>
      <c r="BU21" s="101">
        <f ca="1">NETWORKDAYS(Table2[[#This Row],[BD submits proposal]], TODAY())</f>
        <v>32751</v>
      </c>
      <c r="BV21" s="2"/>
      <c r="BW21" s="3">
        <f>WORKDAY(Table2[[#This Row],[BD Submits Proposal Forecast]], 7)</f>
        <v>39</v>
      </c>
      <c r="BX21" s="101">
        <f ca="1">NETWORKDAYS(Table2[[#This Row],[Final Proposal Accepted]], TODAY())</f>
        <v>32751</v>
      </c>
      <c r="BY21" s="2"/>
      <c r="BZ21" s="3">
        <f>WORKDAY(Table2[[#This Row],[Final Proposal Accepted]], 90)</f>
        <v>125</v>
      </c>
      <c r="CA21" s="101">
        <f ca="1">NETWORKDAYS(Table2[[#This Row],[Legal Agreement]], TODAY())</f>
        <v>32751</v>
      </c>
      <c r="CB21" s="2"/>
      <c r="CC21" s="3">
        <f>WORKDAY(Table2[[#This Row],[Legal Agreement Forecast]], 10)</f>
        <v>139</v>
      </c>
      <c r="CD21" s="101">
        <f ca="1">NETWORKDAYS(Table2[[#This Row],[Executed Agreement]], TODAY())</f>
        <v>32751</v>
      </c>
      <c r="CE21" t="s">
        <v>91</v>
      </c>
      <c r="CF21" t="s">
        <v>100</v>
      </c>
      <c r="CG21" s="103"/>
      <c r="CH21" s="3"/>
      <c r="CI21" s="3">
        <f>WORKDAY(Table2[[#This Row],[Executed Agreement]], 7)</f>
        <v>10</v>
      </c>
      <c r="CJ21" s="101">
        <f ca="1">NETWORKDAYS(Table2[[#This Row],[A&amp;E Request]], TODAY())</f>
        <v>32751</v>
      </c>
      <c r="CL21" s="3">
        <f>WORKDAY(Table2[[#This Row],[A&amp;E Request Forecast]], 10)</f>
        <v>24</v>
      </c>
      <c r="CM21" s="101">
        <f ca="1">NETWORKDAYS(Table2[[#This Row],[A&amp;E receive]], TODAY())</f>
        <v>32751</v>
      </c>
      <c r="CO21" s="3">
        <f>WORKDAY(Table2[[#This Row],[FM Approval meeting ]], 10)</f>
        <v>13</v>
      </c>
      <c r="CP21" s="101">
        <f ca="1">NETWORKDAYS(Table2[[#This Row],[Budget Request]], TODAY())</f>
        <v>32751</v>
      </c>
      <c r="CR21" s="3">
        <f>WORKDAY(Table2[[#This Row],[Budget Request Forecast]], 7)</f>
        <v>24</v>
      </c>
      <c r="CS21" s="101">
        <f ca="1">NETWORKDAYS(Table2[[#This Row],[Budget Approval]], TODAY())</f>
        <v>32751</v>
      </c>
      <c r="CV21" s="3">
        <f>WORKDAY(Table2[[#This Row],[Budget Approval Forecast ]], 7)</f>
        <v>33</v>
      </c>
      <c r="CW21" s="101">
        <f ca="1">NETWORKDAYS(Table2[[#This Row],[PO Request for OEM ]], TODAY())</f>
        <v>32751</v>
      </c>
      <c r="CY21" s="3">
        <f>WORKDAY(Table2[[#This Row],[PO Request for OEM Forecast]], 10)</f>
        <v>47</v>
      </c>
      <c r="CZ21" s="101">
        <f ca="1">NETWORKDAYS(Table2[[#This Row],[PO Approval]], TODAY())</f>
        <v>32751</v>
      </c>
      <c r="DB21" s="3">
        <f>WORKDAY(Table2[[#This Row],[PO Approval Forecast]], 10)</f>
        <v>61</v>
      </c>
      <c r="DC21" s="101">
        <f ca="1">NETWORKDAYS(Table2[[#This Row],[backhaul ordered]], TODAY())</f>
        <v>32751</v>
      </c>
      <c r="DE21" s="3">
        <f>WORKDAY(Table2[[#This Row],[Backhaul Order Forecast]], 10)</f>
        <v>75</v>
      </c>
      <c r="DF21" s="101">
        <f ca="1">NETWORKDAYS(Table2[[#This Row],[RTP Request]], TODAY())</f>
        <v>32751</v>
      </c>
      <c r="DG21" s="3"/>
      <c r="DH21" s="3">
        <f>WORKDAY(Table2[[#This Row],[RTP Request Forecast]], 10)</f>
        <v>89</v>
      </c>
      <c r="DI21" s="101">
        <f ca="1">NETWORKDAYS(Table2[[#This Row],[RTP Approved]], TODAY())</f>
        <v>32751</v>
      </c>
      <c r="DK21" s="3">
        <f>WORKDAY(Table2[[#This Row],[RTP Approval Forecast ]], 7)</f>
        <v>100</v>
      </c>
      <c r="DL21" s="101">
        <f ca="1">NETWORKDAYS(Table2[[#This Row],[RFP Request]], TODAY())</f>
        <v>32751</v>
      </c>
      <c r="DN21" s="3">
        <f>WORKDAY(Table2[[#This Row],[RFP Request Forecast ]], 10)</f>
        <v>114</v>
      </c>
      <c r="DO21" s="101">
        <f ca="1">NETWORKDAYS(Table2[[#This Row],[RFP Received]], TODAY())</f>
        <v>32751</v>
      </c>
      <c r="DQ21" s="3">
        <f>WORKDAY(Table2[[#This Row],[RFP Received Forecast ]], 7)</f>
        <v>123</v>
      </c>
      <c r="DR21" s="101">
        <f ca="1">NETWORKDAYS(Table2[[#This Row],[PO for GC Request]], TODAY())</f>
        <v>32751</v>
      </c>
      <c r="DT21" s="3">
        <f>WORKDAY(Table2[[#This Row],[PO for GC Request Forecast ]], 7)</f>
        <v>132</v>
      </c>
      <c r="DU21" s="101">
        <f ca="1">NETWORKDAYS(Table2[[#This Row],[PO for GC Approved]], TODAY())</f>
        <v>32751</v>
      </c>
      <c r="DW21" s="3">
        <f>WORKDAY(Table2[[#This Row],[PO for GC Approval Forecast ]], 10)</f>
        <v>146</v>
      </c>
      <c r="DX21" s="101">
        <f ca="1">NETWORKDAYS(Table2[[#This Row],[Construction Start]], TODAY())</f>
        <v>32751</v>
      </c>
      <c r="DZ21" s="3">
        <f>WORKDAY(Table2[[#This Row],[Construction Start Forecast ]], 20)</f>
        <v>174</v>
      </c>
      <c r="EA21" s="101">
        <f ca="1">NETWORKDAYS(Table2[[#This Row],[Construction Complete]], TODAY())</f>
        <v>32751</v>
      </c>
      <c r="ED21" s="3">
        <f>WORKDAY(Table2[[#This Row],[Construction Complete Forecast ]], 10)</f>
        <v>188</v>
      </c>
      <c r="EE21" s="101">
        <f ca="1">NETWORKDAYS(Table2[[#This Row],[Integration Start]], TODAY())</f>
        <v>32751</v>
      </c>
      <c r="EF21" s="3"/>
      <c r="EG21" s="3">
        <f>WORKDAY(Table2[[#This Row],[Integration Start Forecast ]], 10)</f>
        <v>202</v>
      </c>
      <c r="EH21" s="101">
        <f ca="1">NETWORKDAYS(Table2[[#This Row],[Integration Complete]], TODAY())</f>
        <v>32751</v>
      </c>
      <c r="EJ21" s="3">
        <f>WORKDAY(Table2[[#This Row],[Integration Complete Forecast ]], 10)</f>
        <v>216</v>
      </c>
      <c r="EK21" s="101">
        <f ca="1">NETWORKDAYS(Table2[[#This Row],[Close Out Package(2weeks from integration complete]], TODAY())</f>
        <v>32751</v>
      </c>
      <c r="EM21" s="3">
        <f>WORKDAY(Table2[[#This Row],[Close Out Package Forecast ]], 10)</f>
        <v>230</v>
      </c>
      <c r="EN21" s="101">
        <f ca="1">NETWORKDAYS(Table2[[#This Row],[Acceptance testing 2 weeks from close out package)]], TODAY())</f>
        <v>32751</v>
      </c>
      <c r="EP21" s="3">
        <f>WORKDAY(Table2[[#This Row],[Acceptance Testing Forecast ]], 20)</f>
        <v>258</v>
      </c>
      <c r="EQ21" s="101">
        <f ca="1">NETWORKDAYS(Table2[[#This Row],[Customer acceptance(1 month after acceptance testing)]], TODAY())</f>
        <v>32751</v>
      </c>
      <c r="ES21" s="3">
        <f>WORKDAY(Table2[[#This Row],[Customer Acceptance Forecast ]], 5)</f>
        <v>265</v>
      </c>
      <c r="ET21" s="101">
        <f ca="1">NETWORKDAYS(Table2[[#This Row],[Operations handoff(1 week after customer acceptance)]], TODAY())</f>
        <v>32751</v>
      </c>
      <c r="EU21" s="2" t="s">
        <v>98</v>
      </c>
      <c r="EV21" s="3">
        <f>WORKDAY(Table2[[#This Row],[Operations Handoff Forecast ]], 7)</f>
        <v>276</v>
      </c>
      <c r="EW21" s="101" t="e">
        <f ca="1">NETWORKDAYS(Table2[[#This Row],[FNE Date]], TODAY())</f>
        <v>#VALUE!</v>
      </c>
      <c r="EX21" s="2"/>
      <c r="EY21" s="3">
        <f>WORKDAY(Table2[[#This Row],[FNE Date Forecast ]], 7)</f>
        <v>285</v>
      </c>
      <c r="EZ21" s="101">
        <f ca="1">NETWORKDAYS(Table2[[#This Row],[FNE Notice]], TODAY())</f>
        <v>32751</v>
      </c>
      <c r="FA21" s="2"/>
      <c r="FB21" s="2"/>
    </row>
    <row r="22" spans="1:158" x14ac:dyDescent="0.25">
      <c r="B22" t="s">
        <v>72</v>
      </c>
      <c r="C22" s="73" t="s">
        <v>108</v>
      </c>
      <c r="D22" s="103"/>
      <c r="E22" s="73" t="s">
        <v>74</v>
      </c>
      <c r="F22" s="1"/>
      <c r="H22" t="s">
        <v>75</v>
      </c>
      <c r="I22">
        <v>293</v>
      </c>
      <c r="J22" s="3">
        <v>45769</v>
      </c>
      <c r="K22" s="3">
        <f>J22+3</f>
        <v>45772</v>
      </c>
      <c r="L22" s="3">
        <v>45777</v>
      </c>
      <c r="M22" s="2">
        <f>WORKDAY(Table2[[#This Row],[Kickoff date]], 7)</f>
        <v>45783</v>
      </c>
      <c r="N22" s="102">
        <f ca="1">NETWORKDAYS(Table2[[#This Row],[ROM Request]], TODAY())</f>
        <v>54</v>
      </c>
      <c r="O22" s="2">
        <f>L22+7</f>
        <v>45784</v>
      </c>
      <c r="P22" s="2">
        <f>WORKDAY(Table2[[#This Row],[ROM Request]], 10)</f>
        <v>45791</v>
      </c>
      <c r="Q22" s="102">
        <f ca="1">NETWORKDAYS(Table2[[#This Row],[ROM Receive]], TODAY())</f>
        <v>49</v>
      </c>
      <c r="R22" s="2">
        <v>45786</v>
      </c>
      <c r="S22" s="2">
        <f>WORKDAY(Table2[[#This Row],[ROM Receive Forecast]], 15)</f>
        <v>45812</v>
      </c>
      <c r="T22" s="102">
        <f ca="1">NETWORKDAYS(Table2[[#This Row],[Backhaul Cost Request]], TODAY())</f>
        <v>47</v>
      </c>
      <c r="U22" s="2">
        <v>45815</v>
      </c>
      <c r="V22" s="2">
        <f>WORKDAY(Table2[[#This Row],[Backhaul Cost Request Forecast]], 15)</f>
        <v>45833</v>
      </c>
      <c r="W22" s="102">
        <f ca="1">NETWORKDAYS(Table2[[#This Row],[Backhaul Cost Receive]], TODAY())</f>
        <v>26</v>
      </c>
      <c r="X22" s="2">
        <f>Table2[[#This Row],[Kickoff date]]</f>
        <v>45772</v>
      </c>
      <c r="Y22" s="2">
        <f>WORKDAY(Table2[[#This Row],[Backhaul Cost Request Forecast]], 7)</f>
        <v>45821</v>
      </c>
      <c r="Z22" s="102">
        <f ca="1">NETWORKDAYS(Table2[[#This Row],[OSP Request]], TODAY())</f>
        <v>57</v>
      </c>
      <c r="AA22" s="2"/>
      <c r="AB22" s="2">
        <f>WORKDAY(Table2[[#This Row],[OSP Request Forecast]], 10)</f>
        <v>45835</v>
      </c>
      <c r="AC22" s="102">
        <f ca="1">NETWORKDAYS(Table2[[#This Row],[OSP Receive]], TODAY())</f>
        <v>32751</v>
      </c>
      <c r="AD22" s="2">
        <f>Table2[[#This Row],[Kickoff date]]</f>
        <v>45772</v>
      </c>
      <c r="AE22" s="3">
        <f>WORKDAY(Table2[[#This Row],[Kickoff date]], 7)</f>
        <v>45783</v>
      </c>
      <c r="AF22" s="102">
        <f ca="1">NETWORKDAYS(Table2[[#This Row],[FM Request]], TODAY())</f>
        <v>57</v>
      </c>
      <c r="AG22" s="2"/>
      <c r="AH22" s="3">
        <f>WORKDAY(Table2[[#This Row],[FM Request Forecast ]], 2)</f>
        <v>45785</v>
      </c>
      <c r="AI22" s="102">
        <f ca="1">NETWORKDAYS(Table2[[#This Row],[FM receive]], TODAY())</f>
        <v>32751</v>
      </c>
      <c r="AJ22" s="2"/>
      <c r="AK22" s="3">
        <f>WORKDAY(Table2[[#This Row],[FM Receive Forecast ]], 2)</f>
        <v>45789</v>
      </c>
      <c r="AM22" s="3">
        <f>K22+18</f>
        <v>45790</v>
      </c>
      <c r="AN22" s="2"/>
      <c r="AO22" s="3">
        <f>WORKDAY(Table2[[#This Row],[1-pager Submission to BD]], 7)</f>
        <v>45799</v>
      </c>
      <c r="AP22" s="101">
        <f ca="1">IF(ISBLANK(Table2[[#This Row],[Firm Pricing request]]), NETWORKDAYS(Table2[[#This Row],[Proposal Accepted]], TODAY()), NETWORKDAYS(Table2[[#This Row],[Proposal Accepted]], Table2[[#This Row],[Firm Pricing request]]))</f>
        <v>32751</v>
      </c>
      <c r="AQ22" s="2"/>
      <c r="AR22" s="3">
        <f>WORKDAY(Table2[[#This Row],[Proposal Acceptance Forecast]], 7)</f>
        <v>45810</v>
      </c>
      <c r="AS22" s="101">
        <f ca="1">NETWORKDAYS(Table2[[#This Row],[Firm Pricing request]], TODAY())</f>
        <v>32751</v>
      </c>
      <c r="AT22" s="2"/>
      <c r="AU22" s="3">
        <f>WORKDAY(Table2[[#This Row],[Firm Pricing Request Forecast]], 7)</f>
        <v>45819</v>
      </c>
      <c r="AV22" s="101">
        <f ca="1">NETWORKDAYS(Table2[[#This Row],[Site Walk]], TODAY())</f>
        <v>32751</v>
      </c>
      <c r="AW22" s="2"/>
      <c r="AX22" s="3">
        <f>WORKDAY(Table2[[#This Row],[Site Walk Forecast]], 7)</f>
        <v>45828</v>
      </c>
      <c r="AY22" s="101">
        <f ca="1">NETWORKDAYS(Table2[[#This Row],[Firm Quote Receival]], TODAY())</f>
        <v>32751</v>
      </c>
      <c r="AZ22" s="2"/>
      <c r="BA22" s="3">
        <f>WORKDAY(Table2[[#This Row],[Firm Quote Receival Forecast ]], 7)</f>
        <v>45839</v>
      </c>
      <c r="BB22" s="101">
        <f ca="1">NETWORKDAYS(Table2[[#This Row],[Final Design &amp; BOM(20 calendar days from site walk)]], TODAY())</f>
        <v>32751</v>
      </c>
      <c r="BC22" s="2"/>
      <c r="BD22" s="3">
        <f>WORKDAY(Table2[[#This Row],[Final Design &amp; BOM Forecast ]], 7)</f>
        <v>45848</v>
      </c>
      <c r="BE22" s="101">
        <f ca="1">NETWORKDAYS(Table2[[#This Row],[FM Request 2]], TODAY())</f>
        <v>32751</v>
      </c>
      <c r="BF22" s="2"/>
      <c r="BG22" s="3">
        <f>WORKDAY(Table2[[#This Row],[FM Request 2 Forecast]], 7)</f>
        <v>45859</v>
      </c>
      <c r="BH22" s="101"/>
      <c r="BI22" s="2"/>
      <c r="BJ22" s="3">
        <f>WORKDAY(Table2[[#This Row],[FM Review 2 Forecast]], 7)</f>
        <v>45868</v>
      </c>
      <c r="BK22" s="101">
        <f ca="1">NETWORKDAYS(Table2[[#This Row],[Tax Review]], TODAY())</f>
        <v>32751</v>
      </c>
      <c r="BL22" s="2"/>
      <c r="BM22" s="3">
        <f>WORKDAY(Table2[[#This Row],[Tax Review]], 7)</f>
        <v>10</v>
      </c>
      <c r="BN22" s="101">
        <f ca="1">NETWORKDAYS(Table2[[#This Row],[Tax Approval]], TODAY())</f>
        <v>32751</v>
      </c>
      <c r="BO22" s="2"/>
      <c r="BP22" s="3">
        <f>WORKDAY(Table2[[#This Row],[Tax Approval Forecast]], 7)</f>
        <v>19</v>
      </c>
      <c r="BQ22" s="101">
        <f ca="1">NETWORKDAYS(Table2[[#This Row],[Final proposal submission]], TODAY())</f>
        <v>32751</v>
      </c>
      <c r="BR22" s="2"/>
      <c r="BS22" s="2"/>
      <c r="BT22" s="3">
        <f>WORKDAY(Table2[[#This Row],[Final Proposal Submission Forecast]], 7)</f>
        <v>30</v>
      </c>
      <c r="BU22" s="101">
        <f ca="1">NETWORKDAYS(Table2[[#This Row],[BD submits proposal]], TODAY())</f>
        <v>32751</v>
      </c>
      <c r="BV22" s="2"/>
      <c r="BW22" s="3">
        <f>WORKDAY(Table2[[#This Row],[BD Submits Proposal Forecast]], 7)</f>
        <v>39</v>
      </c>
      <c r="BX22" s="101">
        <f ca="1">NETWORKDAYS(Table2[[#This Row],[Final Proposal Accepted]], TODAY())</f>
        <v>32751</v>
      </c>
      <c r="BY22" s="2"/>
      <c r="BZ22" s="3">
        <f>WORKDAY(Table2[[#This Row],[Final Proposal Accepted]], 90)</f>
        <v>125</v>
      </c>
      <c r="CA22" s="101">
        <f ca="1">NETWORKDAYS(Table2[[#This Row],[Legal Agreement]], TODAY())</f>
        <v>32751</v>
      </c>
      <c r="CB22" s="2"/>
      <c r="CC22" s="3">
        <f>WORKDAY(Table2[[#This Row],[Legal Agreement Forecast]], 10)</f>
        <v>139</v>
      </c>
      <c r="CD22" s="101">
        <f ca="1">NETWORKDAYS(Table2[[#This Row],[Executed Agreement]], TODAY())</f>
        <v>32751</v>
      </c>
      <c r="CE22" t="s">
        <v>91</v>
      </c>
      <c r="CF22" t="s">
        <v>109</v>
      </c>
      <c r="CG22" s="103"/>
      <c r="CH22" s="3">
        <v>45574</v>
      </c>
      <c r="CI22" s="3">
        <f>WORKDAY(Table2[[#This Row],[Executed Agreement]], 7)</f>
        <v>10</v>
      </c>
      <c r="CJ22" s="101">
        <f ca="1">NETWORKDAYS(Table2[[#This Row],[A&amp;E Request]], TODAY())</f>
        <v>199</v>
      </c>
      <c r="CK22" s="3">
        <v>45670</v>
      </c>
      <c r="CL22" s="3">
        <f>WORKDAY(Table2[[#This Row],[A&amp;E Request Forecast]], 10)</f>
        <v>24</v>
      </c>
      <c r="CM22" s="101">
        <f ca="1">NETWORKDAYS(Table2[[#This Row],[A&amp;E receive]], TODAY())</f>
        <v>131</v>
      </c>
      <c r="CO22" s="3">
        <f>WORKDAY(Table2[[#This Row],[FM Approval meeting ]], 10)</f>
        <v>13</v>
      </c>
      <c r="CP22" s="101">
        <f ca="1">NETWORKDAYS(Table2[[#This Row],[Budget Request]], TODAY())</f>
        <v>32751</v>
      </c>
      <c r="CR22" s="3">
        <f>WORKDAY(Table2[[#This Row],[Budget Request Forecast]], 7)</f>
        <v>24</v>
      </c>
      <c r="CS22" s="101">
        <f ca="1">NETWORKDAYS(Table2[[#This Row],[Budget Approval]], TODAY())</f>
        <v>32751</v>
      </c>
      <c r="CV22" s="3">
        <f>WORKDAY(Table2[[#This Row],[Budget Approval Forecast ]], 7)</f>
        <v>33</v>
      </c>
      <c r="CW22" s="101">
        <f ca="1">NETWORKDAYS(Table2[[#This Row],[PO Request for OEM ]], TODAY())</f>
        <v>32751</v>
      </c>
      <c r="CY22" s="3">
        <f>WORKDAY(Table2[[#This Row],[PO Request for OEM Forecast]], 10)</f>
        <v>47</v>
      </c>
      <c r="CZ22" s="101">
        <f ca="1">NETWORKDAYS(Table2[[#This Row],[PO Approval]], TODAY())</f>
        <v>32751</v>
      </c>
      <c r="DB22" s="3">
        <f>WORKDAY(Table2[[#This Row],[PO Approval Forecast]], 10)</f>
        <v>61</v>
      </c>
      <c r="DC22" s="101">
        <f ca="1">NETWORKDAYS(Table2[[#This Row],[backhaul ordered]], TODAY())</f>
        <v>32751</v>
      </c>
      <c r="DD22">
        <v>45736</v>
      </c>
      <c r="DE22" s="3">
        <f>WORKDAY(Table2[[#This Row],[Backhaul Order Forecast]], 10)</f>
        <v>75</v>
      </c>
      <c r="DF22" s="101">
        <f ca="1">NETWORKDAYS(Table2[[#This Row],[RTP Request]], TODAY())</f>
        <v>83</v>
      </c>
      <c r="DG22" s="3">
        <f>DD22+125</f>
        <v>45861</v>
      </c>
      <c r="DH22" s="3">
        <f>WORKDAY(Table2[[#This Row],[RTP Request Forecast]], 10)</f>
        <v>89</v>
      </c>
      <c r="DI22" s="101">
        <f ca="1">NETWORKDAYS(Table2[[#This Row],[RTP Approved]], TODAY())</f>
        <v>-8</v>
      </c>
      <c r="DK22" s="3">
        <f>WORKDAY(Table2[[#This Row],[RTP Approval Forecast ]], 7)</f>
        <v>100</v>
      </c>
      <c r="DL22" s="101">
        <f ca="1">NETWORKDAYS(Table2[[#This Row],[RFP Request]], TODAY())</f>
        <v>32751</v>
      </c>
      <c r="DM22" s="3">
        <v>45744</v>
      </c>
      <c r="DN22" s="3">
        <f>WORKDAY(Table2[[#This Row],[RFP Request Forecast ]], 10)</f>
        <v>114</v>
      </c>
      <c r="DO22" s="101">
        <f ca="1">NETWORKDAYS(Table2[[#This Row],[RFP Received]], TODAY())</f>
        <v>77</v>
      </c>
      <c r="DQ22" s="3">
        <f>WORKDAY(Table2[[#This Row],[RFP Received Forecast ]], 7)</f>
        <v>123</v>
      </c>
      <c r="DR22" s="101">
        <f ca="1">NETWORKDAYS(Table2[[#This Row],[PO for GC Request]], TODAY())</f>
        <v>32751</v>
      </c>
      <c r="DS22" s="3">
        <v>45807</v>
      </c>
      <c r="DT22" s="3">
        <f>WORKDAY(Table2[[#This Row],[PO for GC Request Forecast ]], 7)</f>
        <v>132</v>
      </c>
      <c r="DU22" s="101">
        <f ca="1">NETWORKDAYS(Table2[[#This Row],[PO for GC Approved]], TODAY())</f>
        <v>32</v>
      </c>
      <c r="DW22" s="3">
        <f>WORKDAY(Table2[[#This Row],[PO for GC Approval Forecast ]], 10)</f>
        <v>146</v>
      </c>
      <c r="DX22" s="101">
        <f ca="1">NETWORKDAYS(Table2[[#This Row],[Construction Start]], TODAY())</f>
        <v>32751</v>
      </c>
      <c r="DZ22" s="3">
        <f>WORKDAY(Table2[[#This Row],[Construction Start Forecast ]], 20)</f>
        <v>174</v>
      </c>
      <c r="EA22" s="101">
        <f ca="1">NETWORKDAYS(Table2[[#This Row],[Construction Complete]], TODAY())</f>
        <v>32751</v>
      </c>
      <c r="ED22" s="3">
        <f>WORKDAY(Table2[[#This Row],[Construction Complete Forecast ]], 10)</f>
        <v>188</v>
      </c>
      <c r="EE22" s="101">
        <f ca="1">NETWORKDAYS(Table2[[#This Row],[Integration Start]], TODAY())</f>
        <v>32751</v>
      </c>
      <c r="EF22" s="3"/>
      <c r="EG22" s="3">
        <f>WORKDAY(Table2[[#This Row],[Integration Start Forecast ]], 10)</f>
        <v>202</v>
      </c>
      <c r="EH22" s="101">
        <f ca="1">NETWORKDAYS(Table2[[#This Row],[Integration Complete]], TODAY())</f>
        <v>32751</v>
      </c>
      <c r="EJ22" s="3">
        <f>WORKDAY(Table2[[#This Row],[Integration Complete Forecast ]], 10)</f>
        <v>216</v>
      </c>
      <c r="EK22" s="101">
        <f ca="1">NETWORKDAYS(Table2[[#This Row],[Close Out Package(2weeks from integration complete]], TODAY())</f>
        <v>32751</v>
      </c>
      <c r="EM22" s="3">
        <f>WORKDAY(Table2[[#This Row],[Close Out Package Forecast ]], 10)</f>
        <v>230</v>
      </c>
      <c r="EN22" s="101">
        <f ca="1">NETWORKDAYS(Table2[[#This Row],[Acceptance testing 2 weeks from close out package)]], TODAY())</f>
        <v>32751</v>
      </c>
      <c r="EP22" s="3">
        <f>WORKDAY(Table2[[#This Row],[Acceptance Testing Forecast ]], 20)</f>
        <v>258</v>
      </c>
      <c r="EQ22" s="101">
        <f ca="1">NETWORKDAYS(Table2[[#This Row],[Customer acceptance(1 month after acceptance testing)]], TODAY())</f>
        <v>32751</v>
      </c>
      <c r="ES22" s="3">
        <f>WORKDAY(Table2[[#This Row],[Customer Acceptance Forecast ]], 5)</f>
        <v>265</v>
      </c>
      <c r="ET22" s="101">
        <f ca="1">NETWORKDAYS(Table2[[#This Row],[Operations handoff(1 week after customer acceptance)]], TODAY())</f>
        <v>32751</v>
      </c>
      <c r="EU22" s="2"/>
      <c r="EV22" s="3">
        <f>WORKDAY(Table2[[#This Row],[Operations Handoff Forecast ]], 7)</f>
        <v>276</v>
      </c>
      <c r="EW22" s="101">
        <f ca="1">NETWORKDAYS(Table2[[#This Row],[FNE Date]], TODAY())</f>
        <v>32751</v>
      </c>
      <c r="EX22" s="2"/>
      <c r="EY22" s="3">
        <f>WORKDAY(Table2[[#This Row],[FNE Date Forecast ]], 7)</f>
        <v>285</v>
      </c>
      <c r="EZ22" s="101">
        <f ca="1">NETWORKDAYS(Table2[[#This Row],[FNE Notice]], TODAY())</f>
        <v>32751</v>
      </c>
      <c r="FA22" s="2"/>
      <c r="FB22" s="2"/>
    </row>
    <row r="23" spans="1:158" x14ac:dyDescent="0.25">
      <c r="A23" t="s">
        <v>110</v>
      </c>
      <c r="B23" t="s">
        <v>72</v>
      </c>
      <c r="C23" s="73" t="s">
        <v>111</v>
      </c>
      <c r="D23" s="103"/>
      <c r="E23" s="73" t="s">
        <v>112</v>
      </c>
      <c r="F23" s="1"/>
      <c r="H23" t="s">
        <v>75</v>
      </c>
      <c r="I23">
        <v>351</v>
      </c>
      <c r="J23" s="3">
        <v>45770</v>
      </c>
      <c r="K23" s="3">
        <f>J23+5</f>
        <v>45775</v>
      </c>
      <c r="L23" s="3">
        <v>45782</v>
      </c>
      <c r="M23" s="2">
        <f>WORKDAY(Table2[[#This Row],[Kickoff date]], 7)</f>
        <v>45784</v>
      </c>
      <c r="N23" s="102">
        <f ca="1">NETWORKDAYS(Table2[[#This Row],[ROM Request]], TODAY())</f>
        <v>51</v>
      </c>
      <c r="O23" s="2">
        <f>L23+3</f>
        <v>45785</v>
      </c>
      <c r="P23" s="2">
        <f>WORKDAY(Table2[[#This Row],[ROM Request]], 10)</f>
        <v>45796</v>
      </c>
      <c r="Q23" s="102">
        <f ca="1">NETWORKDAYS(Table2[[#This Row],[ROM Receive]], TODAY())</f>
        <v>48</v>
      </c>
      <c r="R23" s="2">
        <v>45793</v>
      </c>
      <c r="S23" s="2">
        <f>WORKDAY(Table2[[#This Row],[ROM Receive Forecast]], 15)</f>
        <v>45817</v>
      </c>
      <c r="T23" s="102">
        <f ca="1">NETWORKDAYS(Table2[[#This Row],[Backhaul Cost Request]], TODAY())</f>
        <v>42</v>
      </c>
      <c r="U23" s="2">
        <v>45810</v>
      </c>
      <c r="V23" s="2">
        <f>WORKDAY(Table2[[#This Row],[Backhaul Cost Request Forecast]], 15)</f>
        <v>45838</v>
      </c>
      <c r="W23" s="102">
        <f ca="1">NETWORKDAYS(Table2[[#This Row],[Backhaul Cost Receive]], TODAY())</f>
        <v>31</v>
      </c>
      <c r="X23" s="2">
        <f>Table2[[#This Row],[Kickoff date]]</f>
        <v>45775</v>
      </c>
      <c r="Y23" s="2">
        <f>WORKDAY(Table2[[#This Row],[Backhaul Cost Request Forecast]], 7)</f>
        <v>45826</v>
      </c>
      <c r="Z23" s="102">
        <f ca="1">NETWORKDAYS(Table2[[#This Row],[OSP Request]], TODAY())</f>
        <v>56</v>
      </c>
      <c r="AA23" s="2"/>
      <c r="AB23" s="2">
        <f>WORKDAY(Table2[[#This Row],[OSP Request Forecast]], 10)</f>
        <v>45840</v>
      </c>
      <c r="AC23" s="102">
        <f ca="1">NETWORKDAYS(Table2[[#This Row],[OSP Receive]], TODAY())</f>
        <v>32751</v>
      </c>
      <c r="AD23" s="2">
        <f>Table2[[#This Row],[Kickoff date]]</f>
        <v>45775</v>
      </c>
      <c r="AE23" s="3">
        <f>WORKDAY(Table2[[#This Row],[Kickoff date]], 7)</f>
        <v>45784</v>
      </c>
      <c r="AF23" s="102">
        <f ca="1">NETWORKDAYS(Table2[[#This Row],[FM Request]], TODAY())</f>
        <v>56</v>
      </c>
      <c r="AG23" s="2"/>
      <c r="AH23" s="3">
        <f>WORKDAY(Table2[[#This Row],[FM Request Forecast ]], 2)</f>
        <v>45786</v>
      </c>
      <c r="AI23" s="102">
        <f ca="1">NETWORKDAYS(Table2[[#This Row],[FM receive]], TODAY())</f>
        <v>32751</v>
      </c>
      <c r="AJ23" s="2"/>
      <c r="AK23" s="3">
        <f>WORKDAY(Table2[[#This Row],[FM Receive Forecast ]], 2)</f>
        <v>45790</v>
      </c>
      <c r="AM23" s="3">
        <f>K23+11</f>
        <v>45786</v>
      </c>
      <c r="AN23" s="2"/>
      <c r="AO23" s="3">
        <f>WORKDAY(Table2[[#This Row],[1-pager Submission to BD]], 7)</f>
        <v>45797</v>
      </c>
      <c r="AP23" s="101">
        <f ca="1">IF(ISBLANK(Table2[[#This Row],[Firm Pricing request]]), NETWORKDAYS(Table2[[#This Row],[Proposal Accepted]], TODAY()), NETWORKDAYS(Table2[[#This Row],[Proposal Accepted]], Table2[[#This Row],[Firm Pricing request]]))</f>
        <v>32751</v>
      </c>
      <c r="AQ23" s="2"/>
      <c r="AR23" s="3">
        <f>WORKDAY(Table2[[#This Row],[Proposal Acceptance Forecast]], 7)</f>
        <v>45806</v>
      </c>
      <c r="AS23" s="101">
        <f ca="1">NETWORKDAYS(Table2[[#This Row],[Firm Pricing request]], TODAY())</f>
        <v>32751</v>
      </c>
      <c r="AT23" s="2"/>
      <c r="AU23" s="3">
        <f>WORKDAY(Table2[[#This Row],[Firm Pricing Request Forecast]], 7)</f>
        <v>45817</v>
      </c>
      <c r="AV23" s="101">
        <f ca="1">NETWORKDAYS(Table2[[#This Row],[Site Walk]], TODAY())</f>
        <v>32751</v>
      </c>
      <c r="AW23" s="2"/>
      <c r="AX23" s="3">
        <f>WORKDAY(Table2[[#This Row],[Site Walk Forecast]], 7)</f>
        <v>45826</v>
      </c>
      <c r="AY23" s="101">
        <f ca="1">NETWORKDAYS(Table2[[#This Row],[Firm Quote Receival]], TODAY())</f>
        <v>32751</v>
      </c>
      <c r="AZ23" s="2"/>
      <c r="BA23" s="3">
        <f>WORKDAY(Table2[[#This Row],[Firm Quote Receival Forecast ]], 7)</f>
        <v>45835</v>
      </c>
      <c r="BB23" s="101">
        <f ca="1">NETWORKDAYS(Table2[[#This Row],[Final Design &amp; BOM(20 calendar days from site walk)]], TODAY())</f>
        <v>32751</v>
      </c>
      <c r="BC23" s="2"/>
      <c r="BD23" s="3">
        <f>WORKDAY(Table2[[#This Row],[Final Design &amp; BOM Forecast ]], 7)</f>
        <v>45846</v>
      </c>
      <c r="BE23" s="101">
        <f ca="1">NETWORKDAYS(Table2[[#This Row],[FM Request 2]], TODAY())</f>
        <v>32751</v>
      </c>
      <c r="BF23" s="2"/>
      <c r="BG23" s="3">
        <f>WORKDAY(Table2[[#This Row],[FM Request 2 Forecast]], 7)</f>
        <v>45855</v>
      </c>
      <c r="BH23" s="101"/>
      <c r="BI23" s="2"/>
      <c r="BJ23" s="3">
        <f>WORKDAY(Table2[[#This Row],[FM Review 2 Forecast]], 7)</f>
        <v>45866</v>
      </c>
      <c r="BK23" s="101">
        <f ca="1">NETWORKDAYS(Table2[[#This Row],[Tax Review]], TODAY())</f>
        <v>32751</v>
      </c>
      <c r="BL23" s="2"/>
      <c r="BM23" s="3">
        <f>WORKDAY(Table2[[#This Row],[Tax Review]], 7)</f>
        <v>10</v>
      </c>
      <c r="BN23" s="101">
        <f ca="1">NETWORKDAYS(Table2[[#This Row],[Tax Approval]], TODAY())</f>
        <v>32751</v>
      </c>
      <c r="BO23" s="2"/>
      <c r="BP23" s="3">
        <f>WORKDAY(Table2[[#This Row],[Tax Approval Forecast]], 7)</f>
        <v>19</v>
      </c>
      <c r="BQ23" s="101">
        <f ca="1">NETWORKDAYS(Table2[[#This Row],[Final proposal submission]], TODAY())</f>
        <v>32751</v>
      </c>
      <c r="BR23" s="2"/>
      <c r="BS23" s="2"/>
      <c r="BT23" s="3">
        <f>WORKDAY(Table2[[#This Row],[Final Proposal Submission Forecast]], 7)</f>
        <v>30</v>
      </c>
      <c r="BU23" s="101">
        <f ca="1">NETWORKDAYS(Table2[[#This Row],[BD submits proposal]], TODAY())</f>
        <v>32751</v>
      </c>
      <c r="BV23" s="2"/>
      <c r="BW23" s="3">
        <f>WORKDAY(Table2[[#This Row],[BD Submits Proposal Forecast]], 7)</f>
        <v>39</v>
      </c>
      <c r="BX23" s="101">
        <f ca="1">NETWORKDAYS(Table2[[#This Row],[Final Proposal Accepted]], TODAY())</f>
        <v>32751</v>
      </c>
      <c r="BY23" s="2"/>
      <c r="BZ23" s="3">
        <f>WORKDAY(Table2[[#This Row],[Final Proposal Accepted]], 90)</f>
        <v>125</v>
      </c>
      <c r="CA23" s="101">
        <f ca="1">NETWORKDAYS(Table2[[#This Row],[Legal Agreement]], TODAY())</f>
        <v>32751</v>
      </c>
      <c r="CB23" s="2"/>
      <c r="CC23" s="3">
        <f>WORKDAY(Table2[[#This Row],[Legal Agreement Forecast]], 10)</f>
        <v>139</v>
      </c>
      <c r="CD23" s="101">
        <f ca="1">NETWORKDAYS(Table2[[#This Row],[Executed Agreement]], TODAY())</f>
        <v>32751</v>
      </c>
      <c r="CE23" t="s">
        <v>91</v>
      </c>
      <c r="CF23" t="s">
        <v>113</v>
      </c>
      <c r="CG23" s="103"/>
      <c r="CH23" s="3">
        <v>45609</v>
      </c>
      <c r="CI23" s="3">
        <f>WORKDAY(Table2[[#This Row],[Executed Agreement]], 7)</f>
        <v>10</v>
      </c>
      <c r="CJ23" s="101">
        <f ca="1">NETWORKDAYS(Table2[[#This Row],[A&amp;E Request]], TODAY())</f>
        <v>174</v>
      </c>
      <c r="CK23" s="3">
        <v>45749</v>
      </c>
      <c r="CL23" s="3">
        <f>WORKDAY(Table2[[#This Row],[A&amp;E Request Forecast]], 10)</f>
        <v>24</v>
      </c>
      <c r="CM23" s="101">
        <f ca="1">NETWORKDAYS(Table2[[#This Row],[A&amp;E receive]], TODAY())</f>
        <v>74</v>
      </c>
      <c r="CO23" s="3">
        <f>WORKDAY(Table2[[#This Row],[FM Approval meeting ]], 10)</f>
        <v>13</v>
      </c>
      <c r="CP23" s="101">
        <f ca="1">NETWORKDAYS(Table2[[#This Row],[Budget Request]], TODAY())</f>
        <v>32751</v>
      </c>
      <c r="CR23" s="3">
        <f>WORKDAY(Table2[[#This Row],[Budget Request Forecast]], 7)</f>
        <v>24</v>
      </c>
      <c r="CS23" s="101">
        <f ca="1">NETWORKDAYS(Table2[[#This Row],[Budget Approval]], TODAY())</f>
        <v>32751</v>
      </c>
      <c r="CV23" s="3">
        <f>WORKDAY(Table2[[#This Row],[Budget Approval Forecast ]], 7)</f>
        <v>33</v>
      </c>
      <c r="CW23" s="101">
        <f ca="1">NETWORKDAYS(Table2[[#This Row],[PO Request for OEM ]], TODAY())</f>
        <v>32751</v>
      </c>
      <c r="CY23" s="3">
        <f>WORKDAY(Table2[[#This Row],[PO Request for OEM Forecast]], 10)</f>
        <v>47</v>
      </c>
      <c r="CZ23" s="101">
        <f ca="1">NETWORKDAYS(Table2[[#This Row],[PO Approval]], TODAY())</f>
        <v>32751</v>
      </c>
      <c r="DB23" s="3">
        <f>WORKDAY(Table2[[#This Row],[PO Approval Forecast]], 10)</f>
        <v>61</v>
      </c>
      <c r="DC23" s="101">
        <f ca="1">NETWORKDAYS(Table2[[#This Row],[backhaul ordered]], TODAY())</f>
        <v>32751</v>
      </c>
      <c r="DD23">
        <v>45736</v>
      </c>
      <c r="DE23" s="3">
        <f>WORKDAY(Table2[[#This Row],[Backhaul Order Forecast]], 10)</f>
        <v>75</v>
      </c>
      <c r="DF23" s="101">
        <f ca="1">NETWORKDAYS(Table2[[#This Row],[RTP Request]], TODAY())</f>
        <v>83</v>
      </c>
      <c r="DG23" s="3">
        <f>DD23+125</f>
        <v>45861</v>
      </c>
      <c r="DH23" s="3">
        <f>WORKDAY(Table2[[#This Row],[RTP Request Forecast]], 10)</f>
        <v>89</v>
      </c>
      <c r="DI23" s="101">
        <f ca="1">NETWORKDAYS(Table2[[#This Row],[RTP Approved]], TODAY())</f>
        <v>-8</v>
      </c>
      <c r="DK23" s="3">
        <f>WORKDAY(Table2[[#This Row],[RTP Approval Forecast ]], 7)</f>
        <v>100</v>
      </c>
      <c r="DL23" s="101">
        <f ca="1">NETWORKDAYS(Table2[[#This Row],[RFP Request]], TODAY())</f>
        <v>32751</v>
      </c>
      <c r="DM23" s="3">
        <v>45744</v>
      </c>
      <c r="DN23" s="3">
        <f>WORKDAY(Table2[[#This Row],[RFP Request Forecast ]], 10)</f>
        <v>114</v>
      </c>
      <c r="DO23" s="101">
        <f ca="1">NETWORKDAYS(Table2[[#This Row],[RFP Received]], TODAY())</f>
        <v>77</v>
      </c>
      <c r="DQ23" s="3">
        <f>WORKDAY(Table2[[#This Row],[RFP Received Forecast ]], 7)</f>
        <v>123</v>
      </c>
      <c r="DR23" s="101">
        <f ca="1">NETWORKDAYS(Table2[[#This Row],[PO for GC Request]], TODAY())</f>
        <v>32751</v>
      </c>
      <c r="DS23" s="3">
        <v>45807</v>
      </c>
      <c r="DT23" s="3">
        <f>WORKDAY(Table2[[#This Row],[PO for GC Request Forecast ]], 7)</f>
        <v>132</v>
      </c>
      <c r="DU23" s="101">
        <f ca="1">NETWORKDAYS(Table2[[#This Row],[PO for GC Approved]], TODAY())</f>
        <v>32</v>
      </c>
      <c r="DW23" s="3">
        <f>WORKDAY(Table2[[#This Row],[PO for GC Approval Forecast ]], 10)</f>
        <v>146</v>
      </c>
      <c r="DX23" s="101">
        <f ca="1">NETWORKDAYS(Table2[[#This Row],[Construction Start]], TODAY())</f>
        <v>32751</v>
      </c>
      <c r="DZ23" s="3">
        <f>WORKDAY(Table2[[#This Row],[Construction Start Forecast ]], 20)</f>
        <v>174</v>
      </c>
      <c r="EA23" s="101">
        <f ca="1">NETWORKDAYS(Table2[[#This Row],[Construction Complete]], TODAY())</f>
        <v>32751</v>
      </c>
      <c r="ED23" s="3">
        <f>WORKDAY(Table2[[#This Row],[Construction Complete Forecast ]], 10)</f>
        <v>188</v>
      </c>
      <c r="EE23" s="101">
        <f ca="1">NETWORKDAYS(Table2[[#This Row],[Integration Start]], TODAY())</f>
        <v>32751</v>
      </c>
      <c r="EF23" s="3"/>
      <c r="EG23" s="3">
        <f>WORKDAY(Table2[[#This Row],[Integration Start Forecast ]], 10)</f>
        <v>202</v>
      </c>
      <c r="EH23" s="101">
        <f ca="1">NETWORKDAYS(Table2[[#This Row],[Integration Complete]], TODAY())</f>
        <v>32751</v>
      </c>
      <c r="EJ23" s="3">
        <f>WORKDAY(Table2[[#This Row],[Integration Complete Forecast ]], 10)</f>
        <v>216</v>
      </c>
      <c r="EK23" s="101">
        <f ca="1">NETWORKDAYS(Table2[[#This Row],[Close Out Package(2weeks from integration complete]], TODAY())</f>
        <v>32751</v>
      </c>
      <c r="EM23" s="3">
        <f>WORKDAY(Table2[[#This Row],[Close Out Package Forecast ]], 10)</f>
        <v>230</v>
      </c>
      <c r="EN23" s="101">
        <f ca="1">NETWORKDAYS(Table2[[#This Row],[Acceptance testing 2 weeks from close out package)]], TODAY())</f>
        <v>32751</v>
      </c>
      <c r="EP23" s="3">
        <f>WORKDAY(Table2[[#This Row],[Acceptance Testing Forecast ]], 20)</f>
        <v>258</v>
      </c>
      <c r="EQ23" s="101">
        <f ca="1">NETWORKDAYS(Table2[[#This Row],[Customer acceptance(1 month after acceptance testing)]], TODAY())</f>
        <v>32751</v>
      </c>
      <c r="ES23" s="3">
        <f>WORKDAY(Table2[[#This Row],[Customer Acceptance Forecast ]], 5)</f>
        <v>265</v>
      </c>
      <c r="ET23" s="101">
        <f ca="1">NETWORKDAYS(Table2[[#This Row],[Operations handoff(1 week after customer acceptance)]], TODAY())</f>
        <v>32751</v>
      </c>
      <c r="EU23" s="2"/>
      <c r="EV23" s="3">
        <f>WORKDAY(Table2[[#This Row],[Operations Handoff Forecast ]], 7)</f>
        <v>276</v>
      </c>
      <c r="EW23" s="101">
        <f ca="1">NETWORKDAYS(Table2[[#This Row],[FNE Date]], TODAY())</f>
        <v>32751</v>
      </c>
      <c r="EX23" s="2"/>
      <c r="EY23" s="3">
        <f>WORKDAY(Table2[[#This Row],[FNE Date Forecast ]], 7)</f>
        <v>285</v>
      </c>
      <c r="EZ23" s="101">
        <f ca="1">NETWORKDAYS(Table2[[#This Row],[FNE Notice]], TODAY())</f>
        <v>32751</v>
      </c>
      <c r="FA23" s="2"/>
      <c r="FB23" s="2"/>
    </row>
    <row r="24" spans="1:158" x14ac:dyDescent="0.25">
      <c r="A24" t="s">
        <v>101</v>
      </c>
      <c r="B24" t="s">
        <v>72</v>
      </c>
      <c r="C24" s="74" t="s">
        <v>118</v>
      </c>
      <c r="D24" s="110"/>
      <c r="E24" s="73" t="s">
        <v>79</v>
      </c>
      <c r="H24" t="s">
        <v>103</v>
      </c>
      <c r="I24">
        <v>1</v>
      </c>
      <c r="J24" s="3">
        <v>45772</v>
      </c>
      <c r="K24" s="3">
        <f>J24+1</f>
        <v>45773</v>
      </c>
      <c r="L24" s="3">
        <v>45791</v>
      </c>
      <c r="M24" s="3">
        <f>WORKDAY(Table2[[#This Row],[Kickoff date]], 7)</f>
        <v>45783</v>
      </c>
      <c r="N24" s="104">
        <f ca="1">NETWORKDAYS(Table2[[#This Row],[ROM Request]], TODAY())</f>
        <v>44</v>
      </c>
      <c r="O24" s="3">
        <f>L24+13</f>
        <v>45804</v>
      </c>
      <c r="P24" s="3">
        <f>WORKDAY(Table2[[#This Row],[ROM Request]], 10)</f>
        <v>45805</v>
      </c>
      <c r="Q24" s="104">
        <f ca="1">NETWORKDAYS(Table2[[#This Row],[ROM Receive]], TODAY())</f>
        <v>35</v>
      </c>
      <c r="R24" s="3">
        <v>45794</v>
      </c>
      <c r="S24" s="3">
        <f>WORKDAY(Table2[[#This Row],[ROM Receive Forecast]], 15)</f>
        <v>45826</v>
      </c>
      <c r="T24" s="104">
        <f ca="1">NETWORKDAYS(Table2[[#This Row],[Backhaul Cost Request]], TODAY())</f>
        <v>41</v>
      </c>
      <c r="U24" s="3">
        <f>R24+16</f>
        <v>45810</v>
      </c>
      <c r="V24" s="3">
        <f>WORKDAY(Table2[[#This Row],[Backhaul Cost Request Forecast]], 15)</f>
        <v>45847</v>
      </c>
      <c r="W24" s="104">
        <f ca="1">NETWORKDAYS(Table2[[#This Row],[Backhaul Cost Receive]], TODAY())</f>
        <v>31</v>
      </c>
      <c r="X24" s="3">
        <f>Table2[[#This Row],[Kickoff date]]</f>
        <v>45773</v>
      </c>
      <c r="Y24" s="3">
        <f>WORKDAY(Table2[[#This Row],[Backhaul Cost Request Forecast]], 7)</f>
        <v>45835</v>
      </c>
      <c r="Z24" s="104">
        <f ca="1">NETWORKDAYS(Table2[[#This Row],[OSP Request]], TODAY())</f>
        <v>56</v>
      </c>
      <c r="AA24" s="3"/>
      <c r="AB24" s="3">
        <f>WORKDAY(Table2[[#This Row],[OSP Request Forecast]], 10)</f>
        <v>45849</v>
      </c>
      <c r="AC24" s="104">
        <f ca="1">NETWORKDAYS(Table2[[#This Row],[OSP Receive]], TODAY())</f>
        <v>32751</v>
      </c>
      <c r="AD24" s="3">
        <f>Table2[[#This Row],[Kickoff date]]</f>
        <v>45773</v>
      </c>
      <c r="AE24" s="3">
        <f>WORKDAY(Table2[[#This Row],[Kickoff date]], 7)</f>
        <v>45783</v>
      </c>
      <c r="AF24" s="104">
        <f ca="1">NETWORKDAYS(Table2[[#This Row],[FM Request]], TODAY())</f>
        <v>56</v>
      </c>
      <c r="AG24" s="3"/>
      <c r="AH24" s="3">
        <f>WORKDAY(Table2[[#This Row],[FM Request Forecast ]], 2)</f>
        <v>45785</v>
      </c>
      <c r="AI24" s="104">
        <f ca="1">NETWORKDAYS(Table2[[#This Row],[FM receive]], TODAY())</f>
        <v>32751</v>
      </c>
      <c r="AJ24" s="3"/>
      <c r="AK24" s="3">
        <f>WORKDAY(Table2[[#This Row],[FM Receive Forecast ]], 2)</f>
        <v>45789</v>
      </c>
      <c r="AM24" s="3">
        <f>K24+9</f>
        <v>45782</v>
      </c>
      <c r="AN24" s="3"/>
      <c r="AO24" s="3">
        <f>WORKDAY(Table2[[#This Row],[1-pager Submission to BD]], 7)</f>
        <v>45791</v>
      </c>
      <c r="AP24" s="103">
        <f ca="1">IF(ISBLANK(Table2[[#This Row],[Firm Pricing request]]), NETWORKDAYS(Table2[[#This Row],[Proposal Accepted]], TODAY()), NETWORKDAYS(Table2[[#This Row],[Proposal Accepted]], Table2[[#This Row],[Firm Pricing request]]))</f>
        <v>32751</v>
      </c>
      <c r="AQ24" s="3"/>
      <c r="AR24" s="3">
        <f>WORKDAY(Table2[[#This Row],[Proposal Acceptance Forecast]], 7)</f>
        <v>45800</v>
      </c>
      <c r="AS24" s="103">
        <f ca="1">NETWORKDAYS(Table2[[#This Row],[Firm Pricing request]], TODAY())</f>
        <v>32751</v>
      </c>
      <c r="AT24" s="3"/>
      <c r="AU24" s="3">
        <f>WORKDAY(Table2[[#This Row],[Firm Pricing Request Forecast]], 7)</f>
        <v>45811</v>
      </c>
      <c r="AV24" s="103">
        <f ca="1">NETWORKDAYS(Table2[[#This Row],[Site Walk]], TODAY())</f>
        <v>32751</v>
      </c>
      <c r="AW24" s="3"/>
      <c r="AX24" s="3">
        <f>WORKDAY(Table2[[#This Row],[Site Walk Forecast]], 7)</f>
        <v>45820</v>
      </c>
      <c r="AY24" s="103">
        <f ca="1">NETWORKDAYS(Table2[[#This Row],[Firm Quote Receival]], TODAY())</f>
        <v>32751</v>
      </c>
      <c r="AZ24" s="3"/>
      <c r="BA24" s="3">
        <f>WORKDAY(Table2[[#This Row],[Firm Quote Receival Forecast ]], 7)</f>
        <v>45831</v>
      </c>
      <c r="BB24" s="103">
        <f ca="1">NETWORKDAYS(Table2[[#This Row],[Final Design &amp; BOM(20 calendar days from site walk)]], TODAY())</f>
        <v>32751</v>
      </c>
      <c r="BC24" s="3"/>
      <c r="BD24" s="3">
        <f>WORKDAY(Table2[[#This Row],[Final Design &amp; BOM Forecast ]], 7)</f>
        <v>45840</v>
      </c>
      <c r="BE24" s="103">
        <f ca="1">NETWORKDAYS(Table2[[#This Row],[FM Request 2]], TODAY())</f>
        <v>32751</v>
      </c>
      <c r="BF24" s="3"/>
      <c r="BG24" s="3">
        <f>WORKDAY(Table2[[#This Row],[FM Request 2 Forecast]], 7)</f>
        <v>45849</v>
      </c>
      <c r="BH24" s="103"/>
      <c r="BI24" s="3"/>
      <c r="BJ24" s="3">
        <f>WORKDAY(Table2[[#This Row],[FM Review 2 Forecast]], 7)</f>
        <v>45860</v>
      </c>
      <c r="BK24" s="103">
        <f ca="1">NETWORKDAYS(Table2[[#This Row],[Tax Review]], TODAY())</f>
        <v>32751</v>
      </c>
      <c r="BL24" s="3"/>
      <c r="BM24" s="3">
        <f>WORKDAY(Table2[[#This Row],[Tax Review]], 7)</f>
        <v>10</v>
      </c>
      <c r="BN24" s="103">
        <f ca="1">NETWORKDAYS(Table2[[#This Row],[Tax Approval]], TODAY())</f>
        <v>32751</v>
      </c>
      <c r="BO24" s="3"/>
      <c r="BP24" s="3">
        <f>WORKDAY(Table2[[#This Row],[Tax Approval Forecast]], 7)</f>
        <v>19</v>
      </c>
      <c r="BQ24" s="103">
        <f ca="1">NETWORKDAYS(Table2[[#This Row],[Final proposal submission]], TODAY())</f>
        <v>32751</v>
      </c>
      <c r="BR24" s="3"/>
      <c r="BS24" s="3"/>
      <c r="BT24" s="3">
        <f>WORKDAY(Table2[[#This Row],[Final Proposal Submission Forecast]], 7)</f>
        <v>30</v>
      </c>
      <c r="BU24" s="103">
        <f ca="1">NETWORKDAYS(Table2[[#This Row],[BD submits proposal]], TODAY())</f>
        <v>32751</v>
      </c>
      <c r="BV24" s="3"/>
      <c r="BW24" s="3">
        <f>WORKDAY(Table2[[#This Row],[BD Submits Proposal Forecast]], 7)</f>
        <v>39</v>
      </c>
      <c r="BX24" s="103">
        <f ca="1">NETWORKDAYS(Table2[[#This Row],[Final Proposal Accepted]], TODAY())</f>
        <v>32751</v>
      </c>
      <c r="BY24" s="3"/>
      <c r="BZ24" s="3">
        <f>WORKDAY(Table2[[#This Row],[Final Proposal Accepted]], 90)</f>
        <v>125</v>
      </c>
      <c r="CA24" s="103">
        <f ca="1">NETWORKDAYS(Table2[[#This Row],[Legal Agreement]], TODAY())</f>
        <v>32751</v>
      </c>
      <c r="CB24" s="3"/>
      <c r="CC24" s="3">
        <f>WORKDAY(Table2[[#This Row],[Legal Agreement Forecast]], 10)</f>
        <v>139</v>
      </c>
      <c r="CD24" s="103">
        <f ca="1">NETWORKDAYS(Table2[[#This Row],[Executed Agreement]], TODAY())</f>
        <v>32751</v>
      </c>
      <c r="CE24" t="s">
        <v>91</v>
      </c>
      <c r="CF24" t="s">
        <v>119</v>
      </c>
      <c r="CG24" s="103"/>
      <c r="CH24" s="3">
        <v>45610</v>
      </c>
      <c r="CI24" s="3">
        <f>WORKDAY(Table2[[#This Row],[Executed Agreement]], 7)</f>
        <v>10</v>
      </c>
      <c r="CJ24" s="103">
        <f ca="1">NETWORKDAYS(Table2[[#This Row],[A&amp;E Request]], TODAY())</f>
        <v>173</v>
      </c>
      <c r="CK24" s="3">
        <v>45748</v>
      </c>
      <c r="CL24" s="3">
        <f>WORKDAY(Table2[[#This Row],[A&amp;E Request Forecast]], 10)</f>
        <v>24</v>
      </c>
      <c r="CM24" s="103">
        <f ca="1">NETWORKDAYS(Table2[[#This Row],[A&amp;E receive]], TODAY())</f>
        <v>75</v>
      </c>
      <c r="CO24" s="3">
        <f>WORKDAY(Table2[[#This Row],[FM Approval meeting ]], 10)</f>
        <v>13</v>
      </c>
      <c r="CP24" s="103">
        <f ca="1">NETWORKDAYS(Table2[[#This Row],[Budget Request]], TODAY())</f>
        <v>32751</v>
      </c>
      <c r="CR24" s="3">
        <f>WORKDAY(Table2[[#This Row],[Budget Request Forecast]], 7)</f>
        <v>24</v>
      </c>
      <c r="CS24" s="103">
        <f ca="1">NETWORKDAYS(Table2[[#This Row],[Budget Approval]], TODAY())</f>
        <v>32751</v>
      </c>
      <c r="CV24" s="3">
        <f>WORKDAY(Table2[[#This Row],[Budget Approval Forecast ]], 7)</f>
        <v>33</v>
      </c>
      <c r="CW24" s="103">
        <f ca="1">NETWORKDAYS(Table2[[#This Row],[PO Request for OEM ]], TODAY())</f>
        <v>32751</v>
      </c>
      <c r="CY24" s="3">
        <f>WORKDAY(Table2[[#This Row],[PO Request for OEM Forecast]], 10)</f>
        <v>47</v>
      </c>
      <c r="CZ24" s="103">
        <f ca="1">NETWORKDAYS(Table2[[#This Row],[PO Approval]], TODAY())</f>
        <v>32751</v>
      </c>
      <c r="DB24" s="3">
        <f>WORKDAY(Table2[[#This Row],[PO Approval Forecast]], 10)</f>
        <v>61</v>
      </c>
      <c r="DC24" s="103">
        <f ca="1">NETWORKDAYS(Table2[[#This Row],[backhaul ordered]], TODAY())</f>
        <v>32751</v>
      </c>
      <c r="DD24">
        <v>45736</v>
      </c>
      <c r="DE24" s="3">
        <f>WORKDAY(Table2[[#This Row],[Backhaul Order Forecast]], 10)</f>
        <v>75</v>
      </c>
      <c r="DF24" s="103">
        <f ca="1">NETWORKDAYS(Table2[[#This Row],[RTP Request]], TODAY())</f>
        <v>83</v>
      </c>
      <c r="DG24" s="3"/>
      <c r="DH24" s="3">
        <f>WORKDAY(Table2[[#This Row],[RTP Request Forecast]], 10)</f>
        <v>89</v>
      </c>
      <c r="DI24" s="103">
        <f ca="1">NETWORKDAYS(Table2[[#This Row],[RTP Approved]], TODAY())</f>
        <v>32751</v>
      </c>
      <c r="DK24" s="3">
        <f>WORKDAY(Table2[[#This Row],[RTP Approval Forecast ]], 7)</f>
        <v>100</v>
      </c>
      <c r="DL24" s="103">
        <f ca="1">NETWORKDAYS(Table2[[#This Row],[RFP Request]], TODAY())</f>
        <v>32751</v>
      </c>
      <c r="DM24" s="3">
        <v>45744</v>
      </c>
      <c r="DN24" s="3">
        <f>WORKDAY(Table2[[#This Row],[RFP Request Forecast ]], 10)</f>
        <v>114</v>
      </c>
      <c r="DO24" s="103">
        <f ca="1">NETWORKDAYS(Table2[[#This Row],[RFP Received]], TODAY())</f>
        <v>77</v>
      </c>
      <c r="DQ24" s="3">
        <f>WORKDAY(Table2[[#This Row],[RFP Received Forecast ]], 7)</f>
        <v>123</v>
      </c>
      <c r="DR24" s="103">
        <f ca="1">NETWORKDAYS(Table2[[#This Row],[PO for GC Request]], TODAY())</f>
        <v>32751</v>
      </c>
      <c r="DT24" s="3">
        <f>WORKDAY(Table2[[#This Row],[PO for GC Request Forecast ]], 7)</f>
        <v>132</v>
      </c>
      <c r="DU24" s="103">
        <f ca="1">NETWORKDAYS(Table2[[#This Row],[PO for GC Approved]], TODAY())</f>
        <v>32751</v>
      </c>
      <c r="DW24" s="3">
        <f>WORKDAY(Table2[[#This Row],[PO for GC Approval Forecast ]], 10)</f>
        <v>146</v>
      </c>
      <c r="DX24" s="103">
        <f ca="1">NETWORKDAYS(Table2[[#This Row],[Construction Start]], TODAY())</f>
        <v>32751</v>
      </c>
      <c r="DZ24" s="3">
        <f>WORKDAY(Table2[[#This Row],[Construction Start Forecast ]], 20)</f>
        <v>174</v>
      </c>
      <c r="EA24" s="103">
        <f ca="1">NETWORKDAYS(Table2[[#This Row],[Construction Complete]], TODAY())</f>
        <v>32751</v>
      </c>
      <c r="ED24" s="3">
        <f>WORKDAY(Table2[[#This Row],[Construction Complete Forecast ]], 10)</f>
        <v>188</v>
      </c>
      <c r="EE24" s="103">
        <f ca="1">NETWORKDAYS(Table2[[#This Row],[Integration Start]], TODAY())</f>
        <v>32751</v>
      </c>
      <c r="EF24" s="3"/>
      <c r="EG24" s="3">
        <f>WORKDAY(Table2[[#This Row],[Integration Start Forecast ]], 10)</f>
        <v>202</v>
      </c>
      <c r="EH24" s="103">
        <f ca="1">NETWORKDAYS(Table2[[#This Row],[Integration Complete]], TODAY())</f>
        <v>32751</v>
      </c>
      <c r="EJ24" s="3">
        <f>WORKDAY(Table2[[#This Row],[Integration Complete Forecast ]], 10)</f>
        <v>216</v>
      </c>
      <c r="EK24" s="103">
        <f ca="1">NETWORKDAYS(Table2[[#This Row],[Close Out Package(2weeks from integration complete]], TODAY())</f>
        <v>32751</v>
      </c>
      <c r="EM24" s="3">
        <f>WORKDAY(Table2[[#This Row],[Close Out Package Forecast ]], 10)</f>
        <v>230</v>
      </c>
      <c r="EN24" s="103">
        <f ca="1">NETWORKDAYS(Table2[[#This Row],[Acceptance testing 2 weeks from close out package)]], TODAY())</f>
        <v>32751</v>
      </c>
      <c r="EP24" s="3">
        <f>WORKDAY(Table2[[#This Row],[Acceptance Testing Forecast ]], 20)</f>
        <v>258</v>
      </c>
      <c r="EQ24" s="103">
        <f ca="1">NETWORKDAYS(Table2[[#This Row],[Customer acceptance(1 month after acceptance testing)]], TODAY())</f>
        <v>32751</v>
      </c>
      <c r="ES24" s="3">
        <f>WORKDAY(Table2[[#This Row],[Customer Acceptance Forecast ]], 5)</f>
        <v>265</v>
      </c>
      <c r="ET24" s="103">
        <f ca="1">NETWORKDAYS(Table2[[#This Row],[Operations handoff(1 week after customer acceptance)]], TODAY())</f>
        <v>32751</v>
      </c>
      <c r="EU24" s="3"/>
      <c r="EV24" s="3">
        <f>WORKDAY(Table2[[#This Row],[Operations Handoff Forecast ]], 7)</f>
        <v>276</v>
      </c>
      <c r="EW24" s="103">
        <f ca="1">NETWORKDAYS(Table2[[#This Row],[FNE Date]], TODAY())</f>
        <v>32751</v>
      </c>
      <c r="EX24" s="3"/>
      <c r="EY24" s="3">
        <f>WORKDAY(Table2[[#This Row],[FNE Date Forecast ]], 7)</f>
        <v>285</v>
      </c>
      <c r="EZ24" s="103">
        <f ca="1">NETWORKDAYS(Table2[[#This Row],[FNE Notice]], TODAY())</f>
        <v>32751</v>
      </c>
      <c r="FA24" s="3"/>
      <c r="FB24" s="3"/>
    </row>
    <row r="25" spans="1:158" s="105" customFormat="1" x14ac:dyDescent="0.25">
      <c r="B25" s="105" t="s">
        <v>72</v>
      </c>
      <c r="C25" s="106" t="s">
        <v>122</v>
      </c>
      <c r="D25" s="109"/>
      <c r="E25" s="105" t="s">
        <v>74</v>
      </c>
      <c r="H25" s="105" t="s">
        <v>103</v>
      </c>
      <c r="I25" s="105">
        <v>1</v>
      </c>
      <c r="J25" s="107">
        <v>45774</v>
      </c>
      <c r="K25" s="107">
        <f>J25+6</f>
        <v>45780</v>
      </c>
      <c r="L25" s="107">
        <v>45787</v>
      </c>
      <c r="M25" s="107">
        <f>WORKDAY(Table2[[#This Row],[Kickoff date]], 7)</f>
        <v>45790</v>
      </c>
      <c r="N25" s="108">
        <f ca="1">NETWORKDAYS(Table2[[#This Row],[ROM Request]], TODAY())</f>
        <v>46</v>
      </c>
      <c r="O25" s="107">
        <f>L25+1</f>
        <v>45788</v>
      </c>
      <c r="P25" s="107">
        <f>WORKDAY(Table2[[#This Row],[ROM Request]], 10)</f>
        <v>45800</v>
      </c>
      <c r="Q25" s="108">
        <f ca="1">NETWORKDAYS(Table2[[#This Row],[ROM Receive]], TODAY())</f>
        <v>46</v>
      </c>
      <c r="R25" s="107">
        <v>45794</v>
      </c>
      <c r="S25" s="107">
        <f>WORKDAY(Table2[[#This Row],[ROM Receive Forecast]], 15)</f>
        <v>45821</v>
      </c>
      <c r="T25" s="108">
        <f ca="1">NETWORKDAYS(Table2[[#This Row],[Backhaul Cost Request]], TODAY())</f>
        <v>41</v>
      </c>
      <c r="U25" s="107">
        <f>R25+18</f>
        <v>45812</v>
      </c>
      <c r="V25" s="107">
        <f>WORKDAY(Table2[[#This Row],[Backhaul Cost Request Forecast]], 15)</f>
        <v>45842</v>
      </c>
      <c r="W25" s="108">
        <f ca="1">NETWORKDAYS(Table2[[#This Row],[Backhaul Cost Receive]], TODAY())</f>
        <v>29</v>
      </c>
      <c r="X25" s="107">
        <f>Table2[[#This Row],[Kickoff date]]</f>
        <v>45780</v>
      </c>
      <c r="Y25" s="107">
        <f>WORKDAY(Table2[[#This Row],[Backhaul Cost Request Forecast]], 7)</f>
        <v>45832</v>
      </c>
      <c r="Z25" s="108">
        <f ca="1">NETWORKDAYS(Table2[[#This Row],[OSP Request]], TODAY())</f>
        <v>51</v>
      </c>
      <c r="AA25" s="107"/>
      <c r="AB25" s="107">
        <f>WORKDAY(Table2[[#This Row],[OSP Request Forecast]], 10)</f>
        <v>45846</v>
      </c>
      <c r="AC25" s="108">
        <f ca="1">NETWORKDAYS(Table2[[#This Row],[OSP Receive]], TODAY())</f>
        <v>32751</v>
      </c>
      <c r="AD25" s="107">
        <f>Table2[[#This Row],[Kickoff date]]</f>
        <v>45780</v>
      </c>
      <c r="AE25" s="107">
        <f>WORKDAY(Table2[[#This Row],[Kickoff date]], 7)</f>
        <v>45790</v>
      </c>
      <c r="AF25" s="108">
        <f ca="1">NETWORKDAYS(Table2[[#This Row],[FM Request]], TODAY())</f>
        <v>51</v>
      </c>
      <c r="AG25" s="107"/>
      <c r="AH25" s="107">
        <f>WORKDAY(Table2[[#This Row],[FM Request Forecast ]], 2)</f>
        <v>45792</v>
      </c>
      <c r="AI25" s="108">
        <f ca="1">NETWORKDAYS(Table2[[#This Row],[FM receive]], TODAY())</f>
        <v>32751</v>
      </c>
      <c r="AJ25" s="107"/>
      <c r="AK25" s="107">
        <f>WORKDAY(Table2[[#This Row],[FM Receive Forecast ]], 2)</f>
        <v>45796</v>
      </c>
      <c r="AM25" s="107">
        <f>K25+13</f>
        <v>45793</v>
      </c>
      <c r="AN25" s="107"/>
      <c r="AO25" s="107">
        <f>WORKDAY(Table2[[#This Row],[1-pager Submission to BD]], 7)</f>
        <v>45804</v>
      </c>
      <c r="AP25" s="109">
        <f ca="1">IF(ISBLANK(Table2[[#This Row],[Firm Pricing request]]), NETWORKDAYS(Table2[[#This Row],[Proposal Accepted]], TODAY()), NETWORKDAYS(Table2[[#This Row],[Proposal Accepted]], Table2[[#This Row],[Firm Pricing request]]))</f>
        <v>32751</v>
      </c>
      <c r="AQ25" s="107"/>
      <c r="AR25" s="107">
        <f>WORKDAY(Table2[[#This Row],[Proposal Acceptance Forecast]], 7)</f>
        <v>45813</v>
      </c>
      <c r="AS25" s="109">
        <f ca="1">NETWORKDAYS(Table2[[#This Row],[Firm Pricing request]], TODAY())</f>
        <v>32751</v>
      </c>
      <c r="AT25" s="107"/>
      <c r="AU25" s="107">
        <f>WORKDAY(Table2[[#This Row],[Firm Pricing Request Forecast]], 7)</f>
        <v>45824</v>
      </c>
      <c r="AV25" s="109">
        <f ca="1">NETWORKDAYS(Table2[[#This Row],[Site Walk]], TODAY())</f>
        <v>32751</v>
      </c>
      <c r="AW25" s="107"/>
      <c r="AX25" s="107">
        <f>WORKDAY(Table2[[#This Row],[Site Walk Forecast]], 7)</f>
        <v>45833</v>
      </c>
      <c r="AY25" s="109">
        <f ca="1">NETWORKDAYS(Table2[[#This Row],[Firm Quote Receival]], TODAY())</f>
        <v>32751</v>
      </c>
      <c r="AZ25" s="107"/>
      <c r="BA25" s="107">
        <f>WORKDAY(Table2[[#This Row],[Firm Quote Receival Forecast ]], 7)</f>
        <v>45842</v>
      </c>
      <c r="BB25" s="109">
        <f ca="1">NETWORKDAYS(Table2[[#This Row],[Final Design &amp; BOM(20 calendar days from site walk)]], TODAY())</f>
        <v>32751</v>
      </c>
      <c r="BC25" s="107"/>
      <c r="BD25" s="107">
        <f>WORKDAY(Table2[[#This Row],[Final Design &amp; BOM Forecast ]], 7)</f>
        <v>45853</v>
      </c>
      <c r="BE25" s="109">
        <f ca="1">NETWORKDAYS(Table2[[#This Row],[FM Request 2]], TODAY())</f>
        <v>32751</v>
      </c>
      <c r="BF25" s="107"/>
      <c r="BG25" s="107">
        <f>WORKDAY(Table2[[#This Row],[FM Request 2 Forecast]], 7)</f>
        <v>45862</v>
      </c>
      <c r="BH25" s="109"/>
      <c r="BI25" s="107"/>
      <c r="BJ25" s="107">
        <f>WORKDAY(Table2[[#This Row],[FM Review 2 Forecast]], 7)</f>
        <v>45873</v>
      </c>
      <c r="BK25" s="109">
        <f ca="1">NETWORKDAYS(Table2[[#This Row],[Tax Review]], TODAY())</f>
        <v>32751</v>
      </c>
      <c r="BL25" s="107"/>
      <c r="BM25" s="107">
        <f>WORKDAY(Table2[[#This Row],[Tax Review]], 7)</f>
        <v>10</v>
      </c>
      <c r="BN25" s="109">
        <f ca="1">NETWORKDAYS(Table2[[#This Row],[Tax Approval]], TODAY())</f>
        <v>32751</v>
      </c>
      <c r="BO25" s="107"/>
      <c r="BP25" s="107">
        <f>WORKDAY(Table2[[#This Row],[Tax Approval Forecast]], 7)</f>
        <v>19</v>
      </c>
      <c r="BQ25" s="109">
        <f ca="1">NETWORKDAYS(Table2[[#This Row],[Final proposal submission]], TODAY())</f>
        <v>32751</v>
      </c>
      <c r="BR25" s="107"/>
      <c r="BS25" s="107"/>
      <c r="BT25" s="107">
        <f>WORKDAY(Table2[[#This Row],[Final Proposal Submission Forecast]], 7)</f>
        <v>30</v>
      </c>
      <c r="BU25" s="109">
        <f ca="1">NETWORKDAYS(Table2[[#This Row],[BD submits proposal]], TODAY())</f>
        <v>32751</v>
      </c>
      <c r="BV25" s="107"/>
      <c r="BW25" s="107">
        <f>WORKDAY(Table2[[#This Row],[BD Submits Proposal Forecast]], 7)</f>
        <v>39</v>
      </c>
      <c r="BX25" s="109">
        <f ca="1">NETWORKDAYS(Table2[[#This Row],[Final Proposal Accepted]], TODAY())</f>
        <v>32751</v>
      </c>
      <c r="BY25" s="107"/>
      <c r="BZ25" s="107">
        <f>WORKDAY(Table2[[#This Row],[Final Proposal Accepted]], 90)</f>
        <v>125</v>
      </c>
      <c r="CA25" s="109">
        <f ca="1">NETWORKDAYS(Table2[[#This Row],[Legal Agreement]], TODAY())</f>
        <v>32751</v>
      </c>
      <c r="CB25" s="107"/>
      <c r="CC25" s="107">
        <f>WORKDAY(Table2[[#This Row],[Legal Agreement Forecast]], 10)</f>
        <v>139</v>
      </c>
      <c r="CD25" s="109">
        <f ca="1">NETWORKDAYS(Table2[[#This Row],[Executed Agreement]], TODAY())</f>
        <v>32751</v>
      </c>
      <c r="CE25" s="105" t="s">
        <v>91</v>
      </c>
      <c r="CF25" s="105" t="s">
        <v>123</v>
      </c>
      <c r="CG25" s="109"/>
      <c r="CH25" s="107">
        <v>45610</v>
      </c>
      <c r="CI25" s="107">
        <f>WORKDAY(Table2[[#This Row],[Executed Agreement]], 7)</f>
        <v>10</v>
      </c>
      <c r="CJ25" s="109">
        <f ca="1">NETWORKDAYS(Table2[[#This Row],[A&amp;E Request]], TODAY())</f>
        <v>173</v>
      </c>
      <c r="CK25" s="107">
        <v>45771</v>
      </c>
      <c r="CL25" s="107">
        <f>WORKDAY(Table2[[#This Row],[A&amp;E Request Forecast]], 10)</f>
        <v>24</v>
      </c>
      <c r="CM25" s="109">
        <f ca="1">NETWORKDAYS(Table2[[#This Row],[A&amp;E receive]], TODAY())</f>
        <v>58</v>
      </c>
      <c r="CO25" s="107">
        <f>WORKDAY(Table2[[#This Row],[FM Approval meeting ]], 10)</f>
        <v>13</v>
      </c>
      <c r="CP25" s="109">
        <f ca="1">NETWORKDAYS(Table2[[#This Row],[Budget Request]], TODAY())</f>
        <v>32751</v>
      </c>
      <c r="CR25" s="107">
        <f>WORKDAY(Table2[[#This Row],[Budget Request Forecast]], 7)</f>
        <v>24</v>
      </c>
      <c r="CS25" s="109">
        <f ca="1">NETWORKDAYS(Table2[[#This Row],[Budget Approval]], TODAY())</f>
        <v>32751</v>
      </c>
      <c r="CV25" s="107">
        <f>WORKDAY(Table2[[#This Row],[Budget Approval Forecast ]], 7)</f>
        <v>33</v>
      </c>
      <c r="CW25" s="109">
        <f ca="1">NETWORKDAYS(Table2[[#This Row],[PO Request for OEM ]], TODAY())</f>
        <v>32751</v>
      </c>
      <c r="CY25" s="107">
        <f>WORKDAY(Table2[[#This Row],[PO Request for OEM Forecast]], 10)</f>
        <v>47</v>
      </c>
      <c r="CZ25" s="109">
        <f ca="1">NETWORKDAYS(Table2[[#This Row],[PO Approval]], TODAY())</f>
        <v>32751</v>
      </c>
      <c r="DB25" s="107">
        <f>WORKDAY(Table2[[#This Row],[PO Approval Forecast]], 10)</f>
        <v>61</v>
      </c>
      <c r="DC25" s="109">
        <f ca="1">NETWORKDAYS(Table2[[#This Row],[backhaul ordered]], TODAY())</f>
        <v>32751</v>
      </c>
      <c r="DD25" s="105">
        <v>45736</v>
      </c>
      <c r="DE25" s="107">
        <f>WORKDAY(Table2[[#This Row],[Backhaul Order Forecast]], 10)</f>
        <v>75</v>
      </c>
      <c r="DF25" s="109">
        <f ca="1">NETWORKDAYS(Table2[[#This Row],[RTP Request]], TODAY())</f>
        <v>83</v>
      </c>
      <c r="DG25" s="107"/>
      <c r="DH25" s="107">
        <f>WORKDAY(Table2[[#This Row],[RTP Request Forecast]], 10)</f>
        <v>89</v>
      </c>
      <c r="DI25" s="109">
        <f ca="1">NETWORKDAYS(Table2[[#This Row],[RTP Approved]], TODAY())</f>
        <v>32751</v>
      </c>
      <c r="DK25" s="107">
        <f>WORKDAY(Table2[[#This Row],[RTP Approval Forecast ]], 7)</f>
        <v>100</v>
      </c>
      <c r="DL25" s="109">
        <f ca="1">NETWORKDAYS(Table2[[#This Row],[RFP Request]], TODAY())</f>
        <v>32751</v>
      </c>
      <c r="DM25" s="107">
        <v>45744</v>
      </c>
      <c r="DN25" s="107">
        <f>WORKDAY(Table2[[#This Row],[RFP Request Forecast ]], 10)</f>
        <v>114</v>
      </c>
      <c r="DO25" s="109">
        <f ca="1">NETWORKDAYS(Table2[[#This Row],[RFP Received]], TODAY())</f>
        <v>77</v>
      </c>
      <c r="DQ25" s="107">
        <f>WORKDAY(Table2[[#This Row],[RFP Received Forecast ]], 7)</f>
        <v>123</v>
      </c>
      <c r="DR25" s="109">
        <f ca="1">NETWORKDAYS(Table2[[#This Row],[PO for GC Request]], TODAY())</f>
        <v>32751</v>
      </c>
      <c r="DT25" s="107">
        <f>WORKDAY(Table2[[#This Row],[PO for GC Request Forecast ]], 7)</f>
        <v>132</v>
      </c>
      <c r="DU25" s="109">
        <f ca="1">NETWORKDAYS(Table2[[#This Row],[PO for GC Approved]], TODAY())</f>
        <v>32751</v>
      </c>
      <c r="DW25" s="107">
        <f>WORKDAY(Table2[[#This Row],[PO for GC Approval Forecast ]], 10)</f>
        <v>146</v>
      </c>
      <c r="DX25" s="109">
        <f ca="1">NETWORKDAYS(Table2[[#This Row],[Construction Start]], TODAY())</f>
        <v>32751</v>
      </c>
      <c r="DZ25" s="107">
        <f>WORKDAY(Table2[[#This Row],[Construction Start Forecast ]], 20)</f>
        <v>174</v>
      </c>
      <c r="EA25" s="109">
        <f ca="1">NETWORKDAYS(Table2[[#This Row],[Construction Complete]], TODAY())</f>
        <v>32751</v>
      </c>
      <c r="ED25" s="107">
        <f>WORKDAY(Table2[[#This Row],[Construction Complete Forecast ]], 10)</f>
        <v>188</v>
      </c>
      <c r="EE25" s="109">
        <f ca="1">NETWORKDAYS(Table2[[#This Row],[Integration Start]], TODAY())</f>
        <v>32751</v>
      </c>
      <c r="EF25" s="107"/>
      <c r="EG25" s="107">
        <f>WORKDAY(Table2[[#This Row],[Integration Start Forecast ]], 10)</f>
        <v>202</v>
      </c>
      <c r="EH25" s="109">
        <f ca="1">NETWORKDAYS(Table2[[#This Row],[Integration Complete]], TODAY())</f>
        <v>32751</v>
      </c>
      <c r="EJ25" s="107">
        <f>WORKDAY(Table2[[#This Row],[Integration Complete Forecast ]], 10)</f>
        <v>216</v>
      </c>
      <c r="EK25" s="109">
        <f ca="1">NETWORKDAYS(Table2[[#This Row],[Close Out Package(2weeks from integration complete]], TODAY())</f>
        <v>32751</v>
      </c>
      <c r="EM25" s="107">
        <f>WORKDAY(Table2[[#This Row],[Close Out Package Forecast ]], 10)</f>
        <v>230</v>
      </c>
      <c r="EN25" s="109">
        <f ca="1">NETWORKDAYS(Table2[[#This Row],[Acceptance testing 2 weeks from close out package)]], TODAY())</f>
        <v>32751</v>
      </c>
      <c r="EP25" s="107">
        <f>WORKDAY(Table2[[#This Row],[Acceptance Testing Forecast ]], 20)</f>
        <v>258</v>
      </c>
      <c r="EQ25" s="109">
        <f ca="1">NETWORKDAYS(Table2[[#This Row],[Customer acceptance(1 month after acceptance testing)]], TODAY())</f>
        <v>32751</v>
      </c>
      <c r="ES25" s="107">
        <f>WORKDAY(Table2[[#This Row],[Customer Acceptance Forecast ]], 5)</f>
        <v>265</v>
      </c>
      <c r="ET25" s="109">
        <f ca="1">NETWORKDAYS(Table2[[#This Row],[Operations handoff(1 week after customer acceptance)]], TODAY())</f>
        <v>32751</v>
      </c>
      <c r="EU25" s="107"/>
      <c r="EV25" s="107">
        <f>WORKDAY(Table2[[#This Row],[Operations Handoff Forecast ]], 7)</f>
        <v>276</v>
      </c>
      <c r="EW25" s="109">
        <f ca="1">NETWORKDAYS(Table2[[#This Row],[FNE Date]], TODAY())</f>
        <v>32751</v>
      </c>
      <c r="EX25" s="107"/>
      <c r="EY25" s="107">
        <f>WORKDAY(Table2[[#This Row],[FNE Date Forecast ]], 7)</f>
        <v>285</v>
      </c>
      <c r="EZ25" s="109">
        <f ca="1">NETWORKDAYS(Table2[[#This Row],[FNE Notice]], TODAY())</f>
        <v>32751</v>
      </c>
      <c r="FA25" s="107"/>
      <c r="FB25" s="107"/>
    </row>
    <row r="26" spans="1:158" x14ac:dyDescent="0.25">
      <c r="A26" t="s">
        <v>124</v>
      </c>
      <c r="B26" t="s">
        <v>72</v>
      </c>
      <c r="C26" s="73" t="s">
        <v>125</v>
      </c>
      <c r="D26" s="103"/>
      <c r="E26" t="s">
        <v>115</v>
      </c>
      <c r="H26" t="s">
        <v>105</v>
      </c>
      <c r="I26">
        <v>15000</v>
      </c>
      <c r="J26" s="3">
        <v>45775</v>
      </c>
      <c r="K26" s="3">
        <f>J26+8</f>
        <v>45783</v>
      </c>
      <c r="L26" s="3">
        <v>45797</v>
      </c>
      <c r="M26" s="3">
        <f>WORKDAY(Table2[[#This Row],[Kickoff date]], 7)</f>
        <v>45792</v>
      </c>
      <c r="N26" s="104">
        <f ca="1">NETWORKDAYS(Table2[[#This Row],[ROM Request]], TODAY())</f>
        <v>40</v>
      </c>
      <c r="O26" s="3">
        <f>L26+10</f>
        <v>45807</v>
      </c>
      <c r="P26" s="3">
        <f>WORKDAY(Table2[[#This Row],[ROM Request]], 10)</f>
        <v>45811</v>
      </c>
      <c r="Q26" s="104">
        <f ca="1">NETWORKDAYS(Table2[[#This Row],[ROM Receive]], TODAY())</f>
        <v>32</v>
      </c>
      <c r="R26" s="3">
        <v>45793</v>
      </c>
      <c r="S26" s="3">
        <f>WORKDAY(Table2[[#This Row],[ROM Receive Forecast]], 15)</f>
        <v>45832</v>
      </c>
      <c r="T26" s="104">
        <f ca="1">NETWORKDAYS(Table2[[#This Row],[Backhaul Cost Request]], TODAY())</f>
        <v>42</v>
      </c>
      <c r="U26" s="3">
        <f>R26+18</f>
        <v>45811</v>
      </c>
      <c r="V26" s="3">
        <f>WORKDAY(Table2[[#This Row],[Backhaul Cost Request Forecast]], 15)</f>
        <v>45853</v>
      </c>
      <c r="W26" s="104">
        <f ca="1">NETWORKDAYS(Table2[[#This Row],[Backhaul Cost Receive]], TODAY())</f>
        <v>30</v>
      </c>
      <c r="X26" s="3">
        <f>Table2[[#This Row],[Kickoff date]]</f>
        <v>45783</v>
      </c>
      <c r="Y26" s="3">
        <f>WORKDAY(Table2[[#This Row],[Backhaul Cost Request Forecast]], 7)</f>
        <v>45841</v>
      </c>
      <c r="Z26" s="104">
        <f ca="1">NETWORKDAYS(Table2[[#This Row],[OSP Request]], TODAY())</f>
        <v>50</v>
      </c>
      <c r="AA26" s="3"/>
      <c r="AB26" s="3">
        <f>WORKDAY(Table2[[#This Row],[OSP Request Forecast]], 10)</f>
        <v>45855</v>
      </c>
      <c r="AC26" s="104">
        <f ca="1">NETWORKDAYS(Table2[[#This Row],[OSP Receive]], TODAY())</f>
        <v>32751</v>
      </c>
      <c r="AD26" s="3">
        <f>Table2[[#This Row],[Kickoff date]]</f>
        <v>45783</v>
      </c>
      <c r="AE26" s="3">
        <f>WORKDAY(Table2[[#This Row],[Kickoff date]], 7)</f>
        <v>45792</v>
      </c>
      <c r="AF26" s="104">
        <f ca="1">NETWORKDAYS(Table2[[#This Row],[FM Request]], TODAY())</f>
        <v>50</v>
      </c>
      <c r="AG26" s="3"/>
      <c r="AH26" s="3">
        <f>WORKDAY(Table2[[#This Row],[FM Request Forecast ]], 2)</f>
        <v>45796</v>
      </c>
      <c r="AI26" s="104">
        <f ca="1">NETWORKDAYS(Table2[[#This Row],[FM receive]], TODAY())</f>
        <v>32751</v>
      </c>
      <c r="AJ26" s="3"/>
      <c r="AK26" s="3">
        <f>WORKDAY(Table2[[#This Row],[FM Receive Forecast ]], 2)</f>
        <v>45798</v>
      </c>
      <c r="AM26" s="3">
        <f>K26+17</f>
        <v>45800</v>
      </c>
      <c r="AN26" s="3"/>
      <c r="AO26" s="3">
        <f>WORKDAY(Table2[[#This Row],[1-pager Submission to BD]], 7)</f>
        <v>45811</v>
      </c>
      <c r="AP26" s="103">
        <f ca="1">IF(ISBLANK(Table2[[#This Row],[Firm Pricing request]]), NETWORKDAYS(Table2[[#This Row],[Proposal Accepted]], TODAY()), NETWORKDAYS(Table2[[#This Row],[Proposal Accepted]], Table2[[#This Row],[Firm Pricing request]]))</f>
        <v>32751</v>
      </c>
      <c r="AQ26" s="3"/>
      <c r="AR26" s="3">
        <f>WORKDAY(Table2[[#This Row],[Proposal Acceptance Forecast]], 7)</f>
        <v>45820</v>
      </c>
      <c r="AS26" s="103">
        <f ca="1">NETWORKDAYS(Table2[[#This Row],[Firm Pricing request]], TODAY())</f>
        <v>32751</v>
      </c>
      <c r="AT26" s="3"/>
      <c r="AU26" s="3">
        <f>WORKDAY(Table2[[#This Row],[Firm Pricing Request Forecast]], 7)</f>
        <v>45831</v>
      </c>
      <c r="AV26" s="103">
        <f ca="1">NETWORKDAYS(Table2[[#This Row],[Site Walk]], TODAY())</f>
        <v>32751</v>
      </c>
      <c r="AW26" s="3"/>
      <c r="AX26" s="3">
        <f>WORKDAY(Table2[[#This Row],[Site Walk Forecast]], 7)</f>
        <v>45840</v>
      </c>
      <c r="AY26" s="103">
        <f ca="1">NETWORKDAYS(Table2[[#This Row],[Firm Quote Receival]], TODAY())</f>
        <v>32751</v>
      </c>
      <c r="AZ26" s="3"/>
      <c r="BA26" s="3">
        <f>WORKDAY(Table2[[#This Row],[Firm Quote Receival Forecast ]], 7)</f>
        <v>45849</v>
      </c>
      <c r="BB26" s="103">
        <f ca="1">NETWORKDAYS(Table2[[#This Row],[Final Design &amp; BOM(20 calendar days from site walk)]], TODAY())</f>
        <v>32751</v>
      </c>
      <c r="BC26" s="3"/>
      <c r="BD26" s="3">
        <f>WORKDAY(Table2[[#This Row],[Final Design &amp; BOM Forecast ]], 7)</f>
        <v>45860</v>
      </c>
      <c r="BE26" s="103">
        <f ca="1">NETWORKDAYS(Table2[[#This Row],[FM Request 2]], TODAY())</f>
        <v>32751</v>
      </c>
      <c r="BF26" s="3"/>
      <c r="BG26" s="3">
        <f>WORKDAY(Table2[[#This Row],[FM Request 2 Forecast]], 7)</f>
        <v>45869</v>
      </c>
      <c r="BH26" s="103"/>
      <c r="BI26" s="3"/>
      <c r="BJ26" s="3">
        <f>WORKDAY(Table2[[#This Row],[FM Review 2 Forecast]], 7)</f>
        <v>45880</v>
      </c>
      <c r="BK26" s="103">
        <f ca="1">NETWORKDAYS(Table2[[#This Row],[Tax Review]], TODAY())</f>
        <v>32751</v>
      </c>
      <c r="BL26" s="3"/>
      <c r="BM26" s="3">
        <f>WORKDAY(Table2[[#This Row],[Tax Review]], 7)</f>
        <v>10</v>
      </c>
      <c r="BN26" s="103">
        <f ca="1">NETWORKDAYS(Table2[[#This Row],[Tax Approval]], TODAY())</f>
        <v>32751</v>
      </c>
      <c r="BO26" s="3"/>
      <c r="BP26" s="3">
        <f>WORKDAY(Table2[[#This Row],[Tax Approval Forecast]], 7)</f>
        <v>19</v>
      </c>
      <c r="BQ26" s="103">
        <f ca="1">NETWORKDAYS(Table2[[#This Row],[Final proposal submission]], TODAY())</f>
        <v>32751</v>
      </c>
      <c r="BR26" s="3"/>
      <c r="BS26" s="3"/>
      <c r="BT26" s="3">
        <f>WORKDAY(Table2[[#This Row],[Final Proposal Submission Forecast]], 7)</f>
        <v>30</v>
      </c>
      <c r="BU26" s="103">
        <f ca="1">NETWORKDAYS(Table2[[#This Row],[BD submits proposal]], TODAY())</f>
        <v>32751</v>
      </c>
      <c r="BV26" s="3"/>
      <c r="BW26" s="3">
        <f>WORKDAY(Table2[[#This Row],[BD Submits Proposal Forecast]], 7)</f>
        <v>39</v>
      </c>
      <c r="BX26" s="103">
        <f ca="1">NETWORKDAYS(Table2[[#This Row],[Final Proposal Accepted]], TODAY())</f>
        <v>32751</v>
      </c>
      <c r="BY26" s="3"/>
      <c r="BZ26" s="3">
        <f>WORKDAY(Table2[[#This Row],[Final Proposal Accepted]], 90)</f>
        <v>125</v>
      </c>
      <c r="CA26" s="103">
        <f ca="1">NETWORKDAYS(Table2[[#This Row],[Legal Agreement]], TODAY())</f>
        <v>32751</v>
      </c>
      <c r="CB26" s="3"/>
      <c r="CC26" s="3">
        <f>WORKDAY(Table2[[#This Row],[Legal Agreement Forecast]], 10)</f>
        <v>139</v>
      </c>
      <c r="CD26" s="103">
        <f ca="1">NETWORKDAYS(Table2[[#This Row],[Executed Agreement]], TODAY())</f>
        <v>32751</v>
      </c>
      <c r="CE26" t="s">
        <v>91</v>
      </c>
      <c r="CF26" t="s">
        <v>126</v>
      </c>
      <c r="CG26" s="103"/>
      <c r="CH26" s="3"/>
      <c r="CI26" s="3">
        <f>WORKDAY(Table2[[#This Row],[Executed Agreement]], 7)</f>
        <v>10</v>
      </c>
      <c r="CJ26" s="103">
        <f ca="1">NETWORKDAYS(Table2[[#This Row],[A&amp;E Request]], TODAY())</f>
        <v>32751</v>
      </c>
      <c r="CL26" s="3">
        <f>WORKDAY(Table2[[#This Row],[A&amp;E Request Forecast]], 10)</f>
        <v>24</v>
      </c>
      <c r="CM26" s="103">
        <f ca="1">NETWORKDAYS(Table2[[#This Row],[A&amp;E receive]], TODAY())</f>
        <v>32751</v>
      </c>
      <c r="CO26" s="3">
        <f>WORKDAY(Table2[[#This Row],[FM Approval meeting ]], 10)</f>
        <v>13</v>
      </c>
      <c r="CP26" s="103">
        <f ca="1">NETWORKDAYS(Table2[[#This Row],[Budget Request]], TODAY())</f>
        <v>32751</v>
      </c>
      <c r="CR26" s="3">
        <f>WORKDAY(Table2[[#This Row],[Budget Request Forecast]], 7)</f>
        <v>24</v>
      </c>
      <c r="CS26" s="103">
        <f ca="1">NETWORKDAYS(Table2[[#This Row],[Budget Approval]], TODAY())</f>
        <v>32751</v>
      </c>
      <c r="CV26" s="3">
        <f>WORKDAY(Table2[[#This Row],[Budget Approval Forecast ]], 7)</f>
        <v>33</v>
      </c>
      <c r="CW26" s="103">
        <f ca="1">NETWORKDAYS(Table2[[#This Row],[PO Request for OEM ]], TODAY())</f>
        <v>32751</v>
      </c>
      <c r="CY26" s="3">
        <f>WORKDAY(Table2[[#This Row],[PO Request for OEM Forecast]], 10)</f>
        <v>47</v>
      </c>
      <c r="CZ26" s="103">
        <f ca="1">NETWORKDAYS(Table2[[#This Row],[PO Approval]], TODAY())</f>
        <v>32751</v>
      </c>
      <c r="DB26" s="3">
        <f>WORKDAY(Table2[[#This Row],[PO Approval Forecast]], 10)</f>
        <v>61</v>
      </c>
      <c r="DC26" s="103">
        <f ca="1">NETWORKDAYS(Table2[[#This Row],[backhaul ordered]], TODAY())</f>
        <v>32751</v>
      </c>
      <c r="DE26" s="3">
        <f>WORKDAY(Table2[[#This Row],[Backhaul Order Forecast]], 10)</f>
        <v>75</v>
      </c>
      <c r="DF26" s="103">
        <f ca="1">NETWORKDAYS(Table2[[#This Row],[RTP Request]], TODAY())</f>
        <v>32751</v>
      </c>
      <c r="DG26" s="3"/>
      <c r="DH26" s="3">
        <f>WORKDAY(Table2[[#This Row],[RTP Request Forecast]], 10)</f>
        <v>89</v>
      </c>
      <c r="DI26" s="103">
        <f ca="1">NETWORKDAYS(Table2[[#This Row],[RTP Approved]], TODAY())</f>
        <v>32751</v>
      </c>
      <c r="DK26" s="3">
        <f>WORKDAY(Table2[[#This Row],[RTP Approval Forecast ]], 7)</f>
        <v>100</v>
      </c>
      <c r="DL26" s="103">
        <f ca="1">NETWORKDAYS(Table2[[#This Row],[RFP Request]], TODAY())</f>
        <v>32751</v>
      </c>
      <c r="DM26" s="3"/>
      <c r="DN26" s="3">
        <f>WORKDAY(Table2[[#This Row],[RFP Request Forecast ]], 10)</f>
        <v>114</v>
      </c>
      <c r="DO26" s="103">
        <f ca="1">NETWORKDAYS(Table2[[#This Row],[RFP Received]], TODAY())</f>
        <v>32751</v>
      </c>
      <c r="DQ26" s="3">
        <f>WORKDAY(Table2[[#This Row],[RFP Received Forecast ]], 7)</f>
        <v>123</v>
      </c>
      <c r="DR26" s="103">
        <f ca="1">NETWORKDAYS(Table2[[#This Row],[PO for GC Request]], TODAY())</f>
        <v>32751</v>
      </c>
      <c r="DT26" s="3">
        <f>WORKDAY(Table2[[#This Row],[PO for GC Request Forecast ]], 7)</f>
        <v>132</v>
      </c>
      <c r="DU26" s="103">
        <f ca="1">NETWORKDAYS(Table2[[#This Row],[PO for GC Approved]], TODAY())</f>
        <v>32751</v>
      </c>
      <c r="DW26" s="3">
        <f>WORKDAY(Table2[[#This Row],[PO for GC Approval Forecast ]], 10)</f>
        <v>146</v>
      </c>
      <c r="DX26" s="103">
        <f ca="1">NETWORKDAYS(Table2[[#This Row],[Construction Start]], TODAY())</f>
        <v>32751</v>
      </c>
      <c r="DZ26" s="3">
        <f>WORKDAY(Table2[[#This Row],[Construction Start Forecast ]], 20)</f>
        <v>174</v>
      </c>
      <c r="EA26" s="103">
        <f ca="1">NETWORKDAYS(Table2[[#This Row],[Construction Complete]], TODAY())</f>
        <v>32751</v>
      </c>
      <c r="ED26" s="3">
        <f>WORKDAY(Table2[[#This Row],[Construction Complete Forecast ]], 10)</f>
        <v>188</v>
      </c>
      <c r="EE26" s="103">
        <f ca="1">NETWORKDAYS(Table2[[#This Row],[Integration Start]], TODAY())</f>
        <v>32751</v>
      </c>
      <c r="EF26" s="3"/>
      <c r="EG26" s="3">
        <f>WORKDAY(Table2[[#This Row],[Integration Start Forecast ]], 10)</f>
        <v>202</v>
      </c>
      <c r="EH26" s="103">
        <f ca="1">NETWORKDAYS(Table2[[#This Row],[Integration Complete]], TODAY())</f>
        <v>32751</v>
      </c>
      <c r="EJ26" s="3">
        <f>WORKDAY(Table2[[#This Row],[Integration Complete Forecast ]], 10)</f>
        <v>216</v>
      </c>
      <c r="EK26" s="103">
        <f ca="1">NETWORKDAYS(Table2[[#This Row],[Close Out Package(2weeks from integration complete]], TODAY())</f>
        <v>32751</v>
      </c>
      <c r="EM26" s="3">
        <f>WORKDAY(Table2[[#This Row],[Close Out Package Forecast ]], 10)</f>
        <v>230</v>
      </c>
      <c r="EN26" s="103">
        <f ca="1">NETWORKDAYS(Table2[[#This Row],[Acceptance testing 2 weeks from close out package)]], TODAY())</f>
        <v>32751</v>
      </c>
      <c r="EP26" s="3">
        <f>WORKDAY(Table2[[#This Row],[Acceptance Testing Forecast ]], 20)</f>
        <v>258</v>
      </c>
      <c r="EQ26" s="103">
        <f ca="1">NETWORKDAYS(Table2[[#This Row],[Customer acceptance(1 month after acceptance testing)]], TODAY())</f>
        <v>32751</v>
      </c>
      <c r="ES26" s="3">
        <f>WORKDAY(Table2[[#This Row],[Customer Acceptance Forecast ]], 5)</f>
        <v>265</v>
      </c>
      <c r="ET26" s="103">
        <f ca="1">NETWORKDAYS(Table2[[#This Row],[Operations handoff(1 week after customer acceptance)]], TODAY())</f>
        <v>32751</v>
      </c>
      <c r="EU26" s="3"/>
      <c r="EV26" s="3">
        <f>WORKDAY(Table2[[#This Row],[Operations Handoff Forecast ]], 7)</f>
        <v>276</v>
      </c>
      <c r="EW26" s="103">
        <f ca="1">NETWORKDAYS(Table2[[#This Row],[FNE Date]], TODAY())</f>
        <v>32751</v>
      </c>
      <c r="EX26" s="3"/>
      <c r="EY26" s="3">
        <f>WORKDAY(Table2[[#This Row],[FNE Date Forecast ]], 7)</f>
        <v>285</v>
      </c>
      <c r="EZ26" s="103">
        <f ca="1">NETWORKDAYS(Table2[[#This Row],[FNE Notice]], TODAY())</f>
        <v>32751</v>
      </c>
      <c r="FA26" s="3"/>
      <c r="FB26" s="3"/>
    </row>
    <row r="27" spans="1:158" x14ac:dyDescent="0.25">
      <c r="A27" t="s">
        <v>124</v>
      </c>
      <c r="B27" t="s">
        <v>72</v>
      </c>
      <c r="C27" s="73" t="s">
        <v>127</v>
      </c>
      <c r="D27" s="103"/>
      <c r="E27" t="s">
        <v>115</v>
      </c>
      <c r="H27" t="s">
        <v>105</v>
      </c>
      <c r="I27">
        <v>3041</v>
      </c>
      <c r="J27" s="3">
        <v>45776</v>
      </c>
      <c r="K27" s="3">
        <f>J27+8</f>
        <v>45784</v>
      </c>
      <c r="L27" s="3">
        <v>45794</v>
      </c>
      <c r="M27" s="3">
        <f>WORKDAY(Table2[[#This Row],[Kickoff date]], 7)</f>
        <v>45793</v>
      </c>
      <c r="N27" s="104">
        <f ca="1">NETWORKDAYS(Table2[[#This Row],[ROM Request]], TODAY())</f>
        <v>41</v>
      </c>
      <c r="O27" s="3">
        <f>L27+13</f>
        <v>45807</v>
      </c>
      <c r="P27" s="3">
        <f>WORKDAY(Table2[[#This Row],[ROM Request]], 10)</f>
        <v>45807</v>
      </c>
      <c r="Q27" s="104">
        <f ca="1">NETWORKDAYS(Table2[[#This Row],[ROM Receive]], TODAY())</f>
        <v>32</v>
      </c>
      <c r="R27" s="3">
        <v>45717</v>
      </c>
      <c r="S27" s="3">
        <f>WORKDAY(Table2[[#This Row],[ROM Receive Forecast]], 15)</f>
        <v>45828</v>
      </c>
      <c r="T27" s="104">
        <f ca="1">NETWORKDAYS(Table2[[#This Row],[Backhaul Cost Request]], TODAY())</f>
        <v>96</v>
      </c>
      <c r="U27" s="3">
        <v>45755</v>
      </c>
      <c r="V27" s="3">
        <f>WORKDAY(Table2[[#This Row],[Backhaul Cost Request Forecast]], 15)</f>
        <v>45849</v>
      </c>
      <c r="W27" s="104">
        <f ca="1">NETWORKDAYS(Table2[[#This Row],[Backhaul Cost Receive]], TODAY())</f>
        <v>70</v>
      </c>
      <c r="X27" s="3">
        <f>Table2[[#This Row],[Kickoff date]]</f>
        <v>45784</v>
      </c>
      <c r="Y27" s="3">
        <f>WORKDAY(Table2[[#This Row],[Backhaul Cost Request Forecast]], 7)</f>
        <v>45839</v>
      </c>
      <c r="Z27" s="104">
        <f ca="1">NETWORKDAYS(Table2[[#This Row],[OSP Request]], TODAY())</f>
        <v>49</v>
      </c>
      <c r="AA27" s="3">
        <v>45740</v>
      </c>
      <c r="AB27" s="3">
        <f>WORKDAY(Table2[[#This Row],[OSP Request Forecast]], 10)</f>
        <v>45853</v>
      </c>
      <c r="AC27" s="104">
        <f ca="1">NETWORKDAYS(Table2[[#This Row],[OSP Receive]], TODAY())</f>
        <v>81</v>
      </c>
      <c r="AD27" s="3">
        <f>Table2[[#This Row],[Kickoff date]]</f>
        <v>45784</v>
      </c>
      <c r="AE27" s="3">
        <f>WORKDAY(Table2[[#This Row],[Kickoff date]], 7)</f>
        <v>45793</v>
      </c>
      <c r="AF27" s="104">
        <f ca="1">NETWORKDAYS(Table2[[#This Row],[FM Request]], TODAY())</f>
        <v>49</v>
      </c>
      <c r="AG27" s="3"/>
      <c r="AH27" s="3">
        <f>WORKDAY(Table2[[#This Row],[FM Request Forecast ]], 2)</f>
        <v>45797</v>
      </c>
      <c r="AI27" s="104">
        <f ca="1">NETWORKDAYS(Table2[[#This Row],[FM receive]], TODAY())</f>
        <v>32751</v>
      </c>
      <c r="AJ27" s="3"/>
      <c r="AK27" s="3">
        <f>WORKDAY(Table2[[#This Row],[FM Receive Forecast ]], 2)</f>
        <v>45799</v>
      </c>
      <c r="AM27" s="3">
        <f>K27+19</f>
        <v>45803</v>
      </c>
      <c r="AN27" s="3"/>
      <c r="AO27" s="3">
        <f>WORKDAY(Table2[[#This Row],[1-pager Submission to BD]], 7)</f>
        <v>45812</v>
      </c>
      <c r="AP27" s="103">
        <f ca="1">IF(ISBLANK(Table2[[#This Row],[Firm Pricing request]]), NETWORKDAYS(Table2[[#This Row],[Proposal Accepted]], TODAY()), NETWORKDAYS(Table2[[#This Row],[Proposal Accepted]], Table2[[#This Row],[Firm Pricing request]]))</f>
        <v>32751</v>
      </c>
      <c r="AQ27" s="3"/>
      <c r="AR27" s="3">
        <f>WORKDAY(Table2[[#This Row],[Proposal Acceptance Forecast]], 7)</f>
        <v>45821</v>
      </c>
      <c r="AS27" s="103">
        <f ca="1">NETWORKDAYS(Table2[[#This Row],[Firm Pricing request]], TODAY())</f>
        <v>32751</v>
      </c>
      <c r="AT27" s="3"/>
      <c r="AU27" s="3">
        <f>WORKDAY(Table2[[#This Row],[Firm Pricing Request Forecast]], 7)</f>
        <v>45832</v>
      </c>
      <c r="AV27" s="103">
        <f ca="1">NETWORKDAYS(Table2[[#This Row],[Site Walk]], TODAY())</f>
        <v>32751</v>
      </c>
      <c r="AW27" s="3"/>
      <c r="AX27" s="3">
        <f>WORKDAY(Table2[[#This Row],[Site Walk Forecast]], 7)</f>
        <v>45841</v>
      </c>
      <c r="AY27" s="103">
        <f ca="1">NETWORKDAYS(Table2[[#This Row],[Firm Quote Receival]], TODAY())</f>
        <v>32751</v>
      </c>
      <c r="AZ27" s="3"/>
      <c r="BA27" s="3">
        <f>WORKDAY(Table2[[#This Row],[Firm Quote Receival Forecast ]], 7)</f>
        <v>45852</v>
      </c>
      <c r="BB27" s="103">
        <f ca="1">NETWORKDAYS(Table2[[#This Row],[Final Design &amp; BOM(20 calendar days from site walk)]], TODAY())</f>
        <v>32751</v>
      </c>
      <c r="BC27" s="3"/>
      <c r="BD27" s="3">
        <f>WORKDAY(Table2[[#This Row],[Final Design &amp; BOM Forecast ]], 7)</f>
        <v>45861</v>
      </c>
      <c r="BE27" s="103">
        <f ca="1">NETWORKDAYS(Table2[[#This Row],[FM Request 2]], TODAY())</f>
        <v>32751</v>
      </c>
      <c r="BF27" s="3"/>
      <c r="BG27" s="3">
        <f>WORKDAY(Table2[[#This Row],[FM Request 2 Forecast]], 7)</f>
        <v>45870</v>
      </c>
      <c r="BH27" s="103"/>
      <c r="BI27" s="3"/>
      <c r="BJ27" s="3">
        <f>WORKDAY(Table2[[#This Row],[FM Review 2 Forecast]], 7)</f>
        <v>45881</v>
      </c>
      <c r="BK27" s="103">
        <f ca="1">NETWORKDAYS(Table2[[#This Row],[Tax Review]], TODAY())</f>
        <v>32751</v>
      </c>
      <c r="BL27" s="3"/>
      <c r="BM27" s="3">
        <f>WORKDAY(Table2[[#This Row],[Tax Review]], 7)</f>
        <v>10</v>
      </c>
      <c r="BN27" s="103">
        <f ca="1">NETWORKDAYS(Table2[[#This Row],[Tax Approval]], TODAY())</f>
        <v>32751</v>
      </c>
      <c r="BO27" s="3"/>
      <c r="BP27" s="3">
        <f>WORKDAY(Table2[[#This Row],[Tax Approval Forecast]], 7)</f>
        <v>19</v>
      </c>
      <c r="BQ27" s="103">
        <f ca="1">NETWORKDAYS(Table2[[#This Row],[Final proposal submission]], TODAY())</f>
        <v>32751</v>
      </c>
      <c r="BR27" s="3"/>
      <c r="BS27" s="3"/>
      <c r="BT27" s="3">
        <f>WORKDAY(Table2[[#This Row],[Final Proposal Submission Forecast]], 7)</f>
        <v>30</v>
      </c>
      <c r="BU27" s="103">
        <f ca="1">NETWORKDAYS(Table2[[#This Row],[BD submits proposal]], TODAY())</f>
        <v>32751</v>
      </c>
      <c r="BV27" s="3"/>
      <c r="BW27" s="3">
        <f>WORKDAY(Table2[[#This Row],[BD Submits Proposal Forecast]], 7)</f>
        <v>39</v>
      </c>
      <c r="BX27" s="103">
        <f ca="1">NETWORKDAYS(Table2[[#This Row],[Final Proposal Accepted]], TODAY())</f>
        <v>32751</v>
      </c>
      <c r="BY27" s="3"/>
      <c r="BZ27" s="3">
        <f>WORKDAY(Table2[[#This Row],[Final Proposal Accepted]], 90)</f>
        <v>125</v>
      </c>
      <c r="CA27" s="103">
        <f ca="1">NETWORKDAYS(Table2[[#This Row],[Legal Agreement]], TODAY())</f>
        <v>32751</v>
      </c>
      <c r="CB27" s="3"/>
      <c r="CC27" s="3">
        <f>WORKDAY(Table2[[#This Row],[Legal Agreement Forecast]], 10)</f>
        <v>139</v>
      </c>
      <c r="CD27" s="103">
        <f ca="1">NETWORKDAYS(Table2[[#This Row],[Executed Agreement]], TODAY())</f>
        <v>32751</v>
      </c>
      <c r="CE27" t="s">
        <v>91</v>
      </c>
      <c r="CF27" t="s">
        <v>128</v>
      </c>
      <c r="CG27" s="103"/>
      <c r="CH27" s="3"/>
      <c r="CI27" s="3">
        <f>WORKDAY(Table2[[#This Row],[Executed Agreement]], 7)</f>
        <v>10</v>
      </c>
      <c r="CJ27" s="103">
        <f ca="1">NETWORKDAYS(Table2[[#This Row],[A&amp;E Request]], TODAY())</f>
        <v>32751</v>
      </c>
      <c r="CL27" s="3">
        <f>WORKDAY(Table2[[#This Row],[A&amp;E Request Forecast]], 10)</f>
        <v>24</v>
      </c>
      <c r="CM27" s="103">
        <f ca="1">NETWORKDAYS(Table2[[#This Row],[A&amp;E receive]], TODAY())</f>
        <v>32751</v>
      </c>
      <c r="CO27" s="3">
        <f>WORKDAY(Table2[[#This Row],[FM Approval meeting ]], 10)</f>
        <v>13</v>
      </c>
      <c r="CP27" s="103">
        <f ca="1">NETWORKDAYS(Table2[[#This Row],[Budget Request]], TODAY())</f>
        <v>32751</v>
      </c>
      <c r="CR27" s="3">
        <f>WORKDAY(Table2[[#This Row],[Budget Request Forecast]], 7)</f>
        <v>24</v>
      </c>
      <c r="CS27" s="103">
        <f ca="1">NETWORKDAYS(Table2[[#This Row],[Budget Approval]], TODAY())</f>
        <v>32751</v>
      </c>
      <c r="CV27" s="3">
        <f>WORKDAY(Table2[[#This Row],[Budget Approval Forecast ]], 7)</f>
        <v>33</v>
      </c>
      <c r="CW27" s="103">
        <f ca="1">NETWORKDAYS(Table2[[#This Row],[PO Request for OEM ]], TODAY())</f>
        <v>32751</v>
      </c>
      <c r="CY27" s="3">
        <f>WORKDAY(Table2[[#This Row],[PO Request for OEM Forecast]], 10)</f>
        <v>47</v>
      </c>
      <c r="CZ27" s="103">
        <f ca="1">NETWORKDAYS(Table2[[#This Row],[PO Approval]], TODAY())</f>
        <v>32751</v>
      </c>
      <c r="DB27" s="3">
        <f>WORKDAY(Table2[[#This Row],[PO Approval Forecast]], 10)</f>
        <v>61</v>
      </c>
      <c r="DC27" s="103">
        <f ca="1">NETWORKDAYS(Table2[[#This Row],[backhaul ordered]], TODAY())</f>
        <v>32751</v>
      </c>
      <c r="DE27" s="3">
        <f>WORKDAY(Table2[[#This Row],[Backhaul Order Forecast]], 10)</f>
        <v>75</v>
      </c>
      <c r="DF27" s="103">
        <f ca="1">NETWORKDAYS(Table2[[#This Row],[RTP Request]], TODAY())</f>
        <v>32751</v>
      </c>
      <c r="DG27" s="3"/>
      <c r="DH27" s="3">
        <f>WORKDAY(Table2[[#This Row],[RTP Request Forecast]], 10)</f>
        <v>89</v>
      </c>
      <c r="DI27" s="103">
        <f ca="1">NETWORKDAYS(Table2[[#This Row],[RTP Approved]], TODAY())</f>
        <v>32751</v>
      </c>
      <c r="DK27" s="3">
        <f>WORKDAY(Table2[[#This Row],[RTP Approval Forecast ]], 7)</f>
        <v>100</v>
      </c>
      <c r="DL27" s="103">
        <f ca="1">NETWORKDAYS(Table2[[#This Row],[RFP Request]], TODAY())</f>
        <v>32751</v>
      </c>
      <c r="DM27" s="3"/>
      <c r="DN27" s="3">
        <f>WORKDAY(Table2[[#This Row],[RFP Request Forecast ]], 10)</f>
        <v>114</v>
      </c>
      <c r="DO27" s="103">
        <f ca="1">NETWORKDAYS(Table2[[#This Row],[RFP Received]], TODAY())</f>
        <v>32751</v>
      </c>
      <c r="DQ27" s="3">
        <f>WORKDAY(Table2[[#This Row],[RFP Received Forecast ]], 7)</f>
        <v>123</v>
      </c>
      <c r="DR27" s="103">
        <f ca="1">NETWORKDAYS(Table2[[#This Row],[PO for GC Request]], TODAY())</f>
        <v>32751</v>
      </c>
      <c r="DT27" s="3">
        <f>WORKDAY(Table2[[#This Row],[PO for GC Request Forecast ]], 7)</f>
        <v>132</v>
      </c>
      <c r="DU27" s="103">
        <f ca="1">NETWORKDAYS(Table2[[#This Row],[PO for GC Approved]], TODAY())</f>
        <v>32751</v>
      </c>
      <c r="DW27" s="3">
        <f>WORKDAY(Table2[[#This Row],[PO for GC Approval Forecast ]], 10)</f>
        <v>146</v>
      </c>
      <c r="DX27" s="103">
        <f ca="1">NETWORKDAYS(Table2[[#This Row],[Construction Start]], TODAY())</f>
        <v>32751</v>
      </c>
      <c r="DZ27" s="3">
        <f>WORKDAY(Table2[[#This Row],[Construction Start Forecast ]], 20)</f>
        <v>174</v>
      </c>
      <c r="EA27" s="103">
        <f ca="1">NETWORKDAYS(Table2[[#This Row],[Construction Complete]], TODAY())</f>
        <v>32751</v>
      </c>
      <c r="ED27" s="3">
        <f>WORKDAY(Table2[[#This Row],[Construction Complete Forecast ]], 10)</f>
        <v>188</v>
      </c>
      <c r="EE27" s="103">
        <f ca="1">NETWORKDAYS(Table2[[#This Row],[Integration Start]], TODAY())</f>
        <v>32751</v>
      </c>
      <c r="EF27" s="3"/>
      <c r="EG27" s="3">
        <f>WORKDAY(Table2[[#This Row],[Integration Start Forecast ]], 10)</f>
        <v>202</v>
      </c>
      <c r="EH27" s="103">
        <f ca="1">NETWORKDAYS(Table2[[#This Row],[Integration Complete]], TODAY())</f>
        <v>32751</v>
      </c>
      <c r="EJ27" s="3">
        <f>WORKDAY(Table2[[#This Row],[Integration Complete Forecast ]], 10)</f>
        <v>216</v>
      </c>
      <c r="EK27" s="103">
        <f ca="1">NETWORKDAYS(Table2[[#This Row],[Close Out Package(2weeks from integration complete]], TODAY())</f>
        <v>32751</v>
      </c>
      <c r="EM27" s="3">
        <f>WORKDAY(Table2[[#This Row],[Close Out Package Forecast ]], 10)</f>
        <v>230</v>
      </c>
      <c r="EN27" s="103">
        <f ca="1">NETWORKDAYS(Table2[[#This Row],[Acceptance testing 2 weeks from close out package)]], TODAY())</f>
        <v>32751</v>
      </c>
      <c r="EP27" s="3">
        <f>WORKDAY(Table2[[#This Row],[Acceptance Testing Forecast ]], 20)</f>
        <v>258</v>
      </c>
      <c r="EQ27" s="103">
        <f ca="1">NETWORKDAYS(Table2[[#This Row],[Customer acceptance(1 month after acceptance testing)]], TODAY())</f>
        <v>32751</v>
      </c>
      <c r="ES27" s="3">
        <f>WORKDAY(Table2[[#This Row],[Customer Acceptance Forecast ]], 5)</f>
        <v>265</v>
      </c>
      <c r="ET27" s="103">
        <f ca="1">NETWORKDAYS(Table2[[#This Row],[Operations handoff(1 week after customer acceptance)]], TODAY())</f>
        <v>32751</v>
      </c>
      <c r="EU27" s="3"/>
      <c r="EV27" s="3">
        <f>WORKDAY(Table2[[#This Row],[Operations Handoff Forecast ]], 7)</f>
        <v>276</v>
      </c>
      <c r="EW27" s="103">
        <f ca="1">NETWORKDAYS(Table2[[#This Row],[FNE Date]], TODAY())</f>
        <v>32751</v>
      </c>
      <c r="EX27" s="3"/>
      <c r="EY27" s="3">
        <f>WORKDAY(Table2[[#This Row],[FNE Date Forecast ]], 7)</f>
        <v>285</v>
      </c>
      <c r="EZ27" s="103">
        <f ca="1">NETWORKDAYS(Table2[[#This Row],[FNE Notice]], TODAY())</f>
        <v>32751</v>
      </c>
      <c r="FA27" s="3"/>
      <c r="FB27" s="3"/>
    </row>
    <row r="28" spans="1:158" x14ac:dyDescent="0.25">
      <c r="A28" t="s">
        <v>110</v>
      </c>
      <c r="B28" t="s">
        <v>72</v>
      </c>
      <c r="C28" s="73" t="s">
        <v>131</v>
      </c>
      <c r="D28" s="103"/>
      <c r="E28" t="s">
        <v>74</v>
      </c>
      <c r="H28" t="s">
        <v>75</v>
      </c>
      <c r="I28">
        <v>350</v>
      </c>
      <c r="J28" s="3">
        <v>45778</v>
      </c>
      <c r="K28" s="3">
        <f>J28+8</f>
        <v>45786</v>
      </c>
      <c r="L28" s="3">
        <v>45803</v>
      </c>
      <c r="M28" s="3">
        <f>WORKDAY(Table2[[#This Row],[Kickoff date]], 7)</f>
        <v>45797</v>
      </c>
      <c r="N28" s="104">
        <f ca="1">NETWORKDAYS(Table2[[#This Row],[ROM Request]], TODAY())</f>
        <v>36</v>
      </c>
      <c r="O28" s="3">
        <f>L28+10</f>
        <v>45813</v>
      </c>
      <c r="P28" s="3">
        <f>WORKDAY(Table2[[#This Row],[ROM Request]], 10)</f>
        <v>45817</v>
      </c>
      <c r="Q28" s="104">
        <f ca="1">NETWORKDAYS(Table2[[#This Row],[ROM Receive]], TODAY())</f>
        <v>28</v>
      </c>
      <c r="R28" s="3">
        <v>45804</v>
      </c>
      <c r="S28" s="3">
        <f>WORKDAY(Table2[[#This Row],[ROM Receive Forecast]], 15)</f>
        <v>45838</v>
      </c>
      <c r="T28" s="104">
        <f ca="1">NETWORKDAYS(Table2[[#This Row],[Backhaul Cost Request]], TODAY())</f>
        <v>35</v>
      </c>
      <c r="U28" s="3">
        <f>R28+20</f>
        <v>45824</v>
      </c>
      <c r="V28" s="3">
        <f>WORKDAY(Table2[[#This Row],[Backhaul Cost Request Forecast]], 15)</f>
        <v>45859</v>
      </c>
      <c r="W28" s="104">
        <f ca="1">NETWORKDAYS(Table2[[#This Row],[Backhaul Cost Receive]], TODAY())</f>
        <v>21</v>
      </c>
      <c r="X28" s="3">
        <f>Table2[[#This Row],[Kickoff date]]</f>
        <v>45786</v>
      </c>
      <c r="Y28" s="3">
        <f>WORKDAY(Table2[[#This Row],[Backhaul Cost Request Forecast]], 7)</f>
        <v>45847</v>
      </c>
      <c r="Z28" s="104">
        <f ca="1">NETWORKDAYS(Table2[[#This Row],[OSP Request]], TODAY())</f>
        <v>47</v>
      </c>
      <c r="AA28" s="3"/>
      <c r="AB28" s="3">
        <f>WORKDAY(Table2[[#This Row],[OSP Request Forecast]], 10)</f>
        <v>45861</v>
      </c>
      <c r="AC28" s="104">
        <f ca="1">NETWORKDAYS(Table2[[#This Row],[OSP Receive]], TODAY())</f>
        <v>32751</v>
      </c>
      <c r="AD28" s="3">
        <f>Table2[[#This Row],[Kickoff date]]</f>
        <v>45786</v>
      </c>
      <c r="AE28" s="3">
        <f>WORKDAY(Table2[[#This Row],[Kickoff date]], 7)</f>
        <v>45797</v>
      </c>
      <c r="AF28" s="104">
        <f ca="1">NETWORKDAYS(Table2[[#This Row],[FM Request]], TODAY())</f>
        <v>47</v>
      </c>
      <c r="AG28" s="3"/>
      <c r="AH28" s="3">
        <f>WORKDAY(Table2[[#This Row],[FM Request Forecast ]], 2)</f>
        <v>45799</v>
      </c>
      <c r="AI28" s="104">
        <f ca="1">NETWORKDAYS(Table2[[#This Row],[FM receive]], TODAY())</f>
        <v>32751</v>
      </c>
      <c r="AJ28" s="3"/>
      <c r="AK28" s="3">
        <f>WORKDAY(Table2[[#This Row],[FM Receive Forecast ]], 2)</f>
        <v>45803</v>
      </c>
      <c r="AM28" s="3">
        <f>K28+20</f>
        <v>45806</v>
      </c>
      <c r="AN28" s="3"/>
      <c r="AO28" s="3">
        <f>WORKDAY(Table2[[#This Row],[1-pager Submission to BD]], 7)</f>
        <v>45817</v>
      </c>
      <c r="AP28" s="103">
        <f ca="1">IF(ISBLANK(Table2[[#This Row],[Firm Pricing request]]), NETWORKDAYS(Table2[[#This Row],[Proposal Accepted]], TODAY()), NETWORKDAYS(Table2[[#This Row],[Proposal Accepted]], Table2[[#This Row],[Firm Pricing request]]))</f>
        <v>32751</v>
      </c>
      <c r="AQ28" s="3"/>
      <c r="AR28" s="3">
        <f>WORKDAY(Table2[[#This Row],[Proposal Acceptance Forecast]], 7)</f>
        <v>45826</v>
      </c>
      <c r="AS28" s="103">
        <f ca="1">NETWORKDAYS(Table2[[#This Row],[Firm Pricing request]], TODAY())</f>
        <v>32751</v>
      </c>
      <c r="AT28" s="3"/>
      <c r="AU28" s="3">
        <f>WORKDAY(Table2[[#This Row],[Firm Pricing Request Forecast]], 7)</f>
        <v>45835</v>
      </c>
      <c r="AV28" s="103">
        <f ca="1">NETWORKDAYS(Table2[[#This Row],[Site Walk]], TODAY())</f>
        <v>32751</v>
      </c>
      <c r="AW28" s="3"/>
      <c r="AX28" s="3">
        <f>WORKDAY(Table2[[#This Row],[Site Walk Forecast]], 7)</f>
        <v>45846</v>
      </c>
      <c r="AY28" s="103">
        <f ca="1">NETWORKDAYS(Table2[[#This Row],[Firm Quote Receival]], TODAY())</f>
        <v>32751</v>
      </c>
      <c r="AZ28" s="3"/>
      <c r="BA28" s="3">
        <f>WORKDAY(Table2[[#This Row],[Firm Quote Receival Forecast ]], 7)</f>
        <v>45855</v>
      </c>
      <c r="BB28" s="103">
        <f ca="1">NETWORKDAYS(Table2[[#This Row],[Final Design &amp; BOM(20 calendar days from site walk)]], TODAY())</f>
        <v>32751</v>
      </c>
      <c r="BC28" s="3"/>
      <c r="BD28" s="3">
        <f>WORKDAY(Table2[[#This Row],[Final Design &amp; BOM Forecast ]], 7)</f>
        <v>45866</v>
      </c>
      <c r="BE28" s="103">
        <f ca="1">NETWORKDAYS(Table2[[#This Row],[FM Request 2]], TODAY())</f>
        <v>32751</v>
      </c>
      <c r="BF28" s="3"/>
      <c r="BG28" s="3">
        <f>WORKDAY(Table2[[#This Row],[FM Request 2 Forecast]], 7)</f>
        <v>45875</v>
      </c>
      <c r="BH28" s="103"/>
      <c r="BI28" s="3"/>
      <c r="BJ28" s="3">
        <f>WORKDAY(Table2[[#This Row],[FM Review 2 Forecast]], 7)</f>
        <v>45884</v>
      </c>
      <c r="BK28" s="103">
        <f ca="1">NETWORKDAYS(Table2[[#This Row],[Tax Review]], TODAY())</f>
        <v>32751</v>
      </c>
      <c r="BL28" s="3"/>
      <c r="BM28" s="3">
        <f>WORKDAY(Table2[[#This Row],[Tax Review]], 7)</f>
        <v>10</v>
      </c>
      <c r="BN28" s="103">
        <f ca="1">NETWORKDAYS(Table2[[#This Row],[Tax Approval]], TODAY())</f>
        <v>32751</v>
      </c>
      <c r="BO28" s="3"/>
      <c r="BP28" s="3">
        <f>WORKDAY(Table2[[#This Row],[Tax Approval Forecast]], 7)</f>
        <v>19</v>
      </c>
      <c r="BQ28" s="103">
        <f ca="1">NETWORKDAYS(Table2[[#This Row],[Final proposal submission]], TODAY())</f>
        <v>32751</v>
      </c>
      <c r="BR28" s="3"/>
      <c r="BS28" s="3"/>
      <c r="BT28" s="3">
        <f>WORKDAY(Table2[[#This Row],[Final Proposal Submission Forecast]], 7)</f>
        <v>30</v>
      </c>
      <c r="BU28" s="103">
        <f ca="1">NETWORKDAYS(Table2[[#This Row],[BD submits proposal]], TODAY())</f>
        <v>32751</v>
      </c>
      <c r="BV28" s="3"/>
      <c r="BW28" s="3">
        <f>WORKDAY(Table2[[#This Row],[BD Submits Proposal Forecast]], 7)</f>
        <v>39</v>
      </c>
      <c r="BX28" s="103">
        <f ca="1">NETWORKDAYS(Table2[[#This Row],[Final Proposal Accepted]], TODAY())</f>
        <v>32751</v>
      </c>
      <c r="BY28" s="3"/>
      <c r="BZ28" s="3">
        <f>WORKDAY(Table2[[#This Row],[Final Proposal Accepted]], 90)</f>
        <v>125</v>
      </c>
      <c r="CA28" s="103">
        <f ca="1">NETWORKDAYS(Table2[[#This Row],[Legal Agreement]], TODAY())</f>
        <v>32751</v>
      </c>
      <c r="CB28" s="3"/>
      <c r="CC28" s="3">
        <f>WORKDAY(Table2[[#This Row],[Legal Agreement Forecast]], 10)</f>
        <v>139</v>
      </c>
      <c r="CD28" s="103">
        <f ca="1">NETWORKDAYS(Table2[[#This Row],[Executed Agreement]], TODAY())</f>
        <v>32751</v>
      </c>
      <c r="CE28" t="s">
        <v>91</v>
      </c>
      <c r="CF28" t="s">
        <v>132</v>
      </c>
      <c r="CG28" s="103"/>
      <c r="CH28" s="3">
        <v>45602</v>
      </c>
      <c r="CI28" s="3">
        <f>WORKDAY(Table2[[#This Row],[Executed Agreement]], 7)</f>
        <v>10</v>
      </c>
      <c r="CJ28" s="103">
        <f ca="1">NETWORKDAYS(Table2[[#This Row],[A&amp;E Request]], TODAY())</f>
        <v>179</v>
      </c>
      <c r="CK28" s="3">
        <v>45748</v>
      </c>
      <c r="CL28" s="3">
        <f>WORKDAY(Table2[[#This Row],[A&amp;E Request Forecast]], 10)</f>
        <v>24</v>
      </c>
      <c r="CM28" s="103">
        <f ca="1">NETWORKDAYS(Table2[[#This Row],[A&amp;E receive]], TODAY())</f>
        <v>75</v>
      </c>
      <c r="CO28" s="3">
        <f>WORKDAY(Table2[[#This Row],[FM Approval meeting ]], 10)</f>
        <v>13</v>
      </c>
      <c r="CP28" s="103">
        <f ca="1">NETWORKDAYS(Table2[[#This Row],[Budget Request]], TODAY())</f>
        <v>32751</v>
      </c>
      <c r="CR28" s="3">
        <f>WORKDAY(Table2[[#This Row],[Budget Request Forecast]], 7)</f>
        <v>24</v>
      </c>
      <c r="CS28" s="103">
        <f ca="1">NETWORKDAYS(Table2[[#This Row],[Budget Approval]], TODAY())</f>
        <v>32751</v>
      </c>
      <c r="CV28" s="3">
        <f>WORKDAY(Table2[[#This Row],[Budget Approval Forecast ]], 7)</f>
        <v>33</v>
      </c>
      <c r="CW28" s="103">
        <f ca="1">NETWORKDAYS(Table2[[#This Row],[PO Request for OEM ]], TODAY())</f>
        <v>32751</v>
      </c>
      <c r="CY28" s="3">
        <f>WORKDAY(Table2[[#This Row],[PO Request for OEM Forecast]], 10)</f>
        <v>47</v>
      </c>
      <c r="CZ28" s="103">
        <f ca="1">NETWORKDAYS(Table2[[#This Row],[PO Approval]], TODAY())</f>
        <v>32751</v>
      </c>
      <c r="DB28" s="3">
        <f>WORKDAY(Table2[[#This Row],[PO Approval Forecast]], 10)</f>
        <v>61</v>
      </c>
      <c r="DC28" s="103">
        <f ca="1">NETWORKDAYS(Table2[[#This Row],[backhaul ordered]], TODAY())</f>
        <v>32751</v>
      </c>
      <c r="DD28">
        <v>45736</v>
      </c>
      <c r="DE28" s="3">
        <f>WORKDAY(Table2[[#This Row],[Backhaul Order Forecast]], 10)</f>
        <v>75</v>
      </c>
      <c r="DF28" s="103">
        <f ca="1">NETWORKDAYS(Table2[[#This Row],[RTP Request]], TODAY())</f>
        <v>83</v>
      </c>
      <c r="DG28" s="3"/>
      <c r="DH28" s="3">
        <f>WORKDAY(Table2[[#This Row],[RTP Request Forecast]], 10)</f>
        <v>89</v>
      </c>
      <c r="DI28" s="103">
        <f ca="1">NETWORKDAYS(Table2[[#This Row],[RTP Approved]], TODAY())</f>
        <v>32751</v>
      </c>
      <c r="DK28" s="3">
        <f>WORKDAY(Table2[[#This Row],[RTP Approval Forecast ]], 7)</f>
        <v>100</v>
      </c>
      <c r="DL28" s="103">
        <f ca="1">NETWORKDAYS(Table2[[#This Row],[RFP Request]], TODAY())</f>
        <v>32751</v>
      </c>
      <c r="DM28" s="3">
        <v>45744</v>
      </c>
      <c r="DN28" s="3">
        <f>WORKDAY(Table2[[#This Row],[RFP Request Forecast ]], 10)</f>
        <v>114</v>
      </c>
      <c r="DO28" s="103">
        <f ca="1">NETWORKDAYS(Table2[[#This Row],[RFP Received]], TODAY())</f>
        <v>77</v>
      </c>
      <c r="DQ28" s="3">
        <f>WORKDAY(Table2[[#This Row],[RFP Received Forecast ]], 7)</f>
        <v>123</v>
      </c>
      <c r="DR28" s="103">
        <f ca="1">NETWORKDAYS(Table2[[#This Row],[PO for GC Request]], TODAY())</f>
        <v>32751</v>
      </c>
      <c r="DS28" s="3">
        <v>45807</v>
      </c>
      <c r="DT28" s="3">
        <f>WORKDAY(Table2[[#This Row],[PO for GC Request Forecast ]], 7)</f>
        <v>132</v>
      </c>
      <c r="DU28" s="103">
        <f ca="1">NETWORKDAYS(Table2[[#This Row],[PO for GC Approved]], TODAY())</f>
        <v>32</v>
      </c>
      <c r="DW28" s="3">
        <f>WORKDAY(Table2[[#This Row],[PO for GC Approval Forecast ]], 10)</f>
        <v>146</v>
      </c>
      <c r="DX28" s="103">
        <f ca="1">NETWORKDAYS(Table2[[#This Row],[Construction Start]], TODAY())</f>
        <v>32751</v>
      </c>
      <c r="DZ28" s="3">
        <f>WORKDAY(Table2[[#This Row],[Construction Start Forecast ]], 20)</f>
        <v>174</v>
      </c>
      <c r="EA28" s="103">
        <f ca="1">NETWORKDAYS(Table2[[#This Row],[Construction Complete]], TODAY())</f>
        <v>32751</v>
      </c>
      <c r="ED28" s="3">
        <f>WORKDAY(Table2[[#This Row],[Construction Complete Forecast ]], 10)</f>
        <v>188</v>
      </c>
      <c r="EE28" s="103">
        <f ca="1">NETWORKDAYS(Table2[[#This Row],[Integration Start]], TODAY())</f>
        <v>32751</v>
      </c>
      <c r="EF28" s="3"/>
      <c r="EG28" s="3">
        <f>WORKDAY(Table2[[#This Row],[Integration Start Forecast ]], 10)</f>
        <v>202</v>
      </c>
      <c r="EH28" s="103">
        <f ca="1">NETWORKDAYS(Table2[[#This Row],[Integration Complete]], TODAY())</f>
        <v>32751</v>
      </c>
      <c r="EJ28" s="3">
        <f>WORKDAY(Table2[[#This Row],[Integration Complete Forecast ]], 10)</f>
        <v>216</v>
      </c>
      <c r="EK28" s="103">
        <f ca="1">NETWORKDAYS(Table2[[#This Row],[Close Out Package(2weeks from integration complete]], TODAY())</f>
        <v>32751</v>
      </c>
      <c r="EM28" s="3">
        <f>WORKDAY(Table2[[#This Row],[Close Out Package Forecast ]], 10)</f>
        <v>230</v>
      </c>
      <c r="EN28" s="103">
        <f ca="1">NETWORKDAYS(Table2[[#This Row],[Acceptance testing 2 weeks from close out package)]], TODAY())</f>
        <v>32751</v>
      </c>
      <c r="EP28" s="3">
        <f>WORKDAY(Table2[[#This Row],[Acceptance Testing Forecast ]], 20)</f>
        <v>258</v>
      </c>
      <c r="EQ28" s="103">
        <f ca="1">NETWORKDAYS(Table2[[#This Row],[Customer acceptance(1 month after acceptance testing)]], TODAY())</f>
        <v>32751</v>
      </c>
      <c r="ES28" s="3">
        <f>WORKDAY(Table2[[#This Row],[Customer Acceptance Forecast ]], 5)</f>
        <v>265</v>
      </c>
      <c r="ET28" s="103">
        <f ca="1">NETWORKDAYS(Table2[[#This Row],[Operations handoff(1 week after customer acceptance)]], TODAY())</f>
        <v>32751</v>
      </c>
      <c r="EU28" s="3"/>
      <c r="EV28" s="3">
        <f>WORKDAY(Table2[[#This Row],[Operations Handoff Forecast ]], 7)</f>
        <v>276</v>
      </c>
      <c r="EW28" s="103">
        <f ca="1">NETWORKDAYS(Table2[[#This Row],[FNE Date]], TODAY())</f>
        <v>32751</v>
      </c>
      <c r="EX28" s="3"/>
      <c r="EY28" s="3">
        <f>WORKDAY(Table2[[#This Row],[FNE Date Forecast ]], 7)</f>
        <v>285</v>
      </c>
      <c r="EZ28" s="103">
        <f ca="1">NETWORKDAYS(Table2[[#This Row],[FNE Notice]], TODAY())</f>
        <v>32751</v>
      </c>
      <c r="FA28" s="3"/>
      <c r="FB28" s="3"/>
    </row>
    <row r="29" spans="1:158" x14ac:dyDescent="0.25">
      <c r="B29" t="s">
        <v>72</v>
      </c>
      <c r="C29" s="73" t="s">
        <v>133</v>
      </c>
      <c r="D29" s="103"/>
      <c r="E29" t="s">
        <v>74</v>
      </c>
      <c r="H29" t="s">
        <v>75</v>
      </c>
      <c r="I29">
        <v>371</v>
      </c>
      <c r="J29" s="3">
        <v>45779</v>
      </c>
      <c r="K29" s="3">
        <f>J29+4</f>
        <v>45783</v>
      </c>
      <c r="L29" s="3">
        <v>45734</v>
      </c>
      <c r="M29" s="3">
        <f>WORKDAY(Table2[[#This Row],[Kickoff date]], 7)</f>
        <v>45792</v>
      </c>
      <c r="N29" s="104">
        <f ca="1">NETWORKDAYS(Table2[[#This Row],[ROM Request]], TODAY())</f>
        <v>85</v>
      </c>
      <c r="O29" s="3">
        <v>45740</v>
      </c>
      <c r="P29" s="3">
        <f>WORKDAY(Table2[[#This Row],[ROM Request]], 10)</f>
        <v>45748</v>
      </c>
      <c r="Q29" s="104">
        <f ca="1">NETWORKDAYS(Table2[[#This Row],[ROM Receive]], TODAY())</f>
        <v>81</v>
      </c>
      <c r="R29" s="3">
        <v>45746</v>
      </c>
      <c r="S29" s="3">
        <f>WORKDAY(Table2[[#This Row],[ROM Receive Forecast]], 15)</f>
        <v>45769</v>
      </c>
      <c r="T29" s="104">
        <f ca="1">NETWORKDAYS(Table2[[#This Row],[Backhaul Cost Request]], TODAY())</f>
        <v>76</v>
      </c>
      <c r="U29" s="3">
        <f>R29+21</f>
        <v>45767</v>
      </c>
      <c r="V29" s="3">
        <f>WORKDAY(Table2[[#This Row],[Backhaul Cost Request Forecast]], 15)</f>
        <v>45790</v>
      </c>
      <c r="W29" s="104">
        <f ca="1">NETWORKDAYS(Table2[[#This Row],[Backhaul Cost Receive]], TODAY())</f>
        <v>61</v>
      </c>
      <c r="X29" s="3">
        <f>Table2[[#This Row],[Kickoff date]]</f>
        <v>45783</v>
      </c>
      <c r="Y29" s="3">
        <f>WORKDAY(Table2[[#This Row],[Backhaul Cost Request Forecast]], 7)</f>
        <v>45778</v>
      </c>
      <c r="Z29" s="104">
        <f ca="1">NETWORKDAYS(Table2[[#This Row],[OSP Request]], TODAY())</f>
        <v>50</v>
      </c>
      <c r="AA29" s="3"/>
      <c r="AB29" s="3">
        <f>WORKDAY(Table2[[#This Row],[OSP Request Forecast]], 10)</f>
        <v>45792</v>
      </c>
      <c r="AC29" s="104">
        <f ca="1">NETWORKDAYS(Table2[[#This Row],[OSP Receive]], TODAY())</f>
        <v>32751</v>
      </c>
      <c r="AD29" s="3">
        <f>Table2[[#This Row],[Kickoff date]]</f>
        <v>45783</v>
      </c>
      <c r="AE29" s="3">
        <f>WORKDAY(Table2[[#This Row],[Kickoff date]], 7)</f>
        <v>45792</v>
      </c>
      <c r="AF29" s="104">
        <f ca="1">NETWORKDAYS(Table2[[#This Row],[FM Request]], TODAY())</f>
        <v>50</v>
      </c>
      <c r="AG29" s="3"/>
      <c r="AH29" s="3">
        <f>WORKDAY(Table2[[#This Row],[FM Request Forecast ]], 2)</f>
        <v>45796</v>
      </c>
      <c r="AI29" s="104">
        <f ca="1">NETWORKDAYS(Table2[[#This Row],[FM receive]], TODAY())</f>
        <v>32751</v>
      </c>
      <c r="AJ29" s="3"/>
      <c r="AK29" s="3">
        <f>WORKDAY(Table2[[#This Row],[FM Receive Forecast ]], 2)</f>
        <v>45798</v>
      </c>
      <c r="AM29" s="3">
        <f>K29+10</f>
        <v>45793</v>
      </c>
      <c r="AN29" s="3"/>
      <c r="AO29" s="3">
        <f>WORKDAY(Table2[[#This Row],[1-pager Submission to BD]], 7)</f>
        <v>45804</v>
      </c>
      <c r="AP29" s="103">
        <f ca="1">IF(ISBLANK(Table2[[#This Row],[Firm Pricing request]]), NETWORKDAYS(Table2[[#This Row],[Proposal Accepted]], TODAY()), NETWORKDAYS(Table2[[#This Row],[Proposal Accepted]], Table2[[#This Row],[Firm Pricing request]]))</f>
        <v>32751</v>
      </c>
      <c r="AQ29" s="3"/>
      <c r="AR29" s="3">
        <f>WORKDAY(Table2[[#This Row],[Proposal Acceptance Forecast]], 7)</f>
        <v>45813</v>
      </c>
      <c r="AS29" s="103">
        <f ca="1">NETWORKDAYS(Table2[[#This Row],[Firm Pricing request]], TODAY())</f>
        <v>32751</v>
      </c>
      <c r="AT29" s="3"/>
      <c r="AU29" s="3">
        <f>WORKDAY(Table2[[#This Row],[Firm Pricing Request Forecast]], 7)</f>
        <v>45824</v>
      </c>
      <c r="AV29" s="103">
        <f ca="1">NETWORKDAYS(Table2[[#This Row],[Site Walk]], TODAY())</f>
        <v>32751</v>
      </c>
      <c r="AW29" s="3"/>
      <c r="AX29" s="3">
        <f>WORKDAY(Table2[[#This Row],[Site Walk Forecast]], 7)</f>
        <v>45833</v>
      </c>
      <c r="AY29" s="103">
        <f ca="1">NETWORKDAYS(Table2[[#This Row],[Firm Quote Receival]], TODAY())</f>
        <v>32751</v>
      </c>
      <c r="AZ29" s="3"/>
      <c r="BA29" s="3">
        <f>WORKDAY(Table2[[#This Row],[Firm Quote Receival Forecast ]], 7)</f>
        <v>45842</v>
      </c>
      <c r="BB29" s="103">
        <f ca="1">NETWORKDAYS(Table2[[#This Row],[Final Design &amp; BOM(20 calendar days from site walk)]], TODAY())</f>
        <v>32751</v>
      </c>
      <c r="BC29" s="3"/>
      <c r="BD29" s="3">
        <f>WORKDAY(Table2[[#This Row],[Final Design &amp; BOM Forecast ]], 7)</f>
        <v>45853</v>
      </c>
      <c r="BE29" s="103">
        <f ca="1">NETWORKDAYS(Table2[[#This Row],[FM Request 2]], TODAY())</f>
        <v>32751</v>
      </c>
      <c r="BF29" s="3"/>
      <c r="BG29" s="3">
        <f>WORKDAY(Table2[[#This Row],[FM Request 2 Forecast]], 7)</f>
        <v>45862</v>
      </c>
      <c r="BH29" s="103"/>
      <c r="BI29" s="3"/>
      <c r="BJ29" s="3">
        <f>WORKDAY(Table2[[#This Row],[FM Review 2 Forecast]], 7)</f>
        <v>45873</v>
      </c>
      <c r="BK29" s="103">
        <f ca="1">NETWORKDAYS(Table2[[#This Row],[Tax Review]], TODAY())</f>
        <v>32751</v>
      </c>
      <c r="BL29" s="3"/>
      <c r="BM29" s="3">
        <f>WORKDAY(Table2[[#This Row],[Tax Review]], 7)</f>
        <v>10</v>
      </c>
      <c r="BN29" s="103">
        <f ca="1">NETWORKDAYS(Table2[[#This Row],[Tax Approval]], TODAY())</f>
        <v>32751</v>
      </c>
      <c r="BO29" s="3"/>
      <c r="BP29" s="3">
        <f>WORKDAY(Table2[[#This Row],[Tax Approval Forecast]], 7)</f>
        <v>19</v>
      </c>
      <c r="BQ29" s="103">
        <f ca="1">NETWORKDAYS(Table2[[#This Row],[Final proposal submission]], TODAY())</f>
        <v>32751</v>
      </c>
      <c r="BR29" s="3"/>
      <c r="BS29" s="3"/>
      <c r="BT29" s="3">
        <f>WORKDAY(Table2[[#This Row],[Final Proposal Submission Forecast]], 7)</f>
        <v>30</v>
      </c>
      <c r="BU29" s="103">
        <f ca="1">NETWORKDAYS(Table2[[#This Row],[BD submits proposal]], TODAY())</f>
        <v>32751</v>
      </c>
      <c r="BV29" s="3"/>
      <c r="BW29" s="3">
        <f>WORKDAY(Table2[[#This Row],[BD Submits Proposal Forecast]], 7)</f>
        <v>39</v>
      </c>
      <c r="BX29" s="103">
        <f ca="1">NETWORKDAYS(Table2[[#This Row],[Final Proposal Accepted]], TODAY())</f>
        <v>32751</v>
      </c>
      <c r="BY29" s="3"/>
      <c r="BZ29" s="3">
        <f>WORKDAY(Table2[[#This Row],[Final Proposal Accepted]], 90)</f>
        <v>125</v>
      </c>
      <c r="CA29" s="103">
        <f ca="1">NETWORKDAYS(Table2[[#This Row],[Legal Agreement]], TODAY())</f>
        <v>32751</v>
      </c>
      <c r="CB29" s="3"/>
      <c r="CC29" s="3">
        <f>WORKDAY(Table2[[#This Row],[Legal Agreement Forecast]], 10)</f>
        <v>139</v>
      </c>
      <c r="CD29" s="103">
        <f ca="1">NETWORKDAYS(Table2[[#This Row],[Executed Agreement]], TODAY())</f>
        <v>32751</v>
      </c>
      <c r="CE29" t="s">
        <v>91</v>
      </c>
      <c r="CF29" t="s">
        <v>134</v>
      </c>
      <c r="CG29" s="103"/>
      <c r="CH29" s="3"/>
      <c r="CI29" s="3">
        <f>WORKDAY(Table2[[#This Row],[Executed Agreement]], 7)</f>
        <v>10</v>
      </c>
      <c r="CJ29" s="103">
        <f ca="1">NETWORKDAYS(Table2[[#This Row],[A&amp;E Request]], TODAY())</f>
        <v>32751</v>
      </c>
      <c r="CL29" s="3">
        <f>WORKDAY(Table2[[#This Row],[A&amp;E Request Forecast]], 10)</f>
        <v>24</v>
      </c>
      <c r="CM29" s="103">
        <f ca="1">NETWORKDAYS(Table2[[#This Row],[A&amp;E receive]], TODAY())</f>
        <v>32751</v>
      </c>
      <c r="CO29" s="3">
        <f>WORKDAY(Table2[[#This Row],[FM Approval meeting ]], 10)</f>
        <v>13</v>
      </c>
      <c r="CP29" s="103">
        <f ca="1">NETWORKDAYS(Table2[[#This Row],[Budget Request]], TODAY())</f>
        <v>32751</v>
      </c>
      <c r="CR29" s="3">
        <f>WORKDAY(Table2[[#This Row],[Budget Request Forecast]], 7)</f>
        <v>24</v>
      </c>
      <c r="CS29" s="103">
        <f ca="1">NETWORKDAYS(Table2[[#This Row],[Budget Approval]], TODAY())</f>
        <v>32751</v>
      </c>
      <c r="CV29" s="3">
        <f>WORKDAY(Table2[[#This Row],[Budget Approval Forecast ]], 7)</f>
        <v>33</v>
      </c>
      <c r="CW29" s="103">
        <f ca="1">NETWORKDAYS(Table2[[#This Row],[PO Request for OEM ]], TODAY())</f>
        <v>32751</v>
      </c>
      <c r="CY29" s="3">
        <f>WORKDAY(Table2[[#This Row],[PO Request for OEM Forecast]], 10)</f>
        <v>47</v>
      </c>
      <c r="CZ29" s="103">
        <f ca="1">NETWORKDAYS(Table2[[#This Row],[PO Approval]], TODAY())</f>
        <v>32751</v>
      </c>
      <c r="DB29" s="3">
        <f>WORKDAY(Table2[[#This Row],[PO Approval Forecast]], 10)</f>
        <v>61</v>
      </c>
      <c r="DC29" s="103">
        <f ca="1">NETWORKDAYS(Table2[[#This Row],[backhaul ordered]], TODAY())</f>
        <v>32751</v>
      </c>
      <c r="DE29" s="3">
        <f>WORKDAY(Table2[[#This Row],[Backhaul Order Forecast]], 10)</f>
        <v>75</v>
      </c>
      <c r="DF29" s="103">
        <f ca="1">NETWORKDAYS(Table2[[#This Row],[RTP Request]], TODAY())</f>
        <v>32751</v>
      </c>
      <c r="DG29" s="3"/>
      <c r="DH29" s="3">
        <f>WORKDAY(Table2[[#This Row],[RTP Request Forecast]], 10)</f>
        <v>89</v>
      </c>
      <c r="DI29" s="103">
        <f ca="1">NETWORKDAYS(Table2[[#This Row],[RTP Approved]], TODAY())</f>
        <v>32751</v>
      </c>
      <c r="DK29" s="3">
        <f>WORKDAY(Table2[[#This Row],[RTP Approval Forecast ]], 7)</f>
        <v>100</v>
      </c>
      <c r="DL29" s="103">
        <f ca="1">NETWORKDAYS(Table2[[#This Row],[RFP Request]], TODAY())</f>
        <v>32751</v>
      </c>
      <c r="DN29" s="3">
        <f>WORKDAY(Table2[[#This Row],[RFP Request Forecast ]], 10)</f>
        <v>114</v>
      </c>
      <c r="DO29" s="103">
        <f ca="1">NETWORKDAYS(Table2[[#This Row],[RFP Received]], TODAY())</f>
        <v>32751</v>
      </c>
      <c r="DQ29" s="3">
        <f>WORKDAY(Table2[[#This Row],[RFP Received Forecast ]], 7)</f>
        <v>123</v>
      </c>
      <c r="DR29" s="103">
        <f ca="1">NETWORKDAYS(Table2[[#This Row],[PO for GC Request]], TODAY())</f>
        <v>32751</v>
      </c>
      <c r="DT29" s="3">
        <f>WORKDAY(Table2[[#This Row],[PO for GC Request Forecast ]], 7)</f>
        <v>132</v>
      </c>
      <c r="DU29" s="103">
        <f ca="1">NETWORKDAYS(Table2[[#This Row],[PO for GC Approved]], TODAY())</f>
        <v>32751</v>
      </c>
      <c r="DW29" s="3">
        <f>WORKDAY(Table2[[#This Row],[PO for GC Approval Forecast ]], 10)</f>
        <v>146</v>
      </c>
      <c r="DX29" s="103">
        <f ca="1">NETWORKDAYS(Table2[[#This Row],[Construction Start]], TODAY())</f>
        <v>32751</v>
      </c>
      <c r="DZ29" s="3">
        <f>WORKDAY(Table2[[#This Row],[Construction Start Forecast ]], 20)</f>
        <v>174</v>
      </c>
      <c r="EA29" s="103">
        <f ca="1">NETWORKDAYS(Table2[[#This Row],[Construction Complete]], TODAY())</f>
        <v>32751</v>
      </c>
      <c r="ED29" s="3">
        <f>WORKDAY(Table2[[#This Row],[Construction Complete Forecast ]], 10)</f>
        <v>188</v>
      </c>
      <c r="EE29" s="103">
        <f ca="1">NETWORKDAYS(Table2[[#This Row],[Integration Start]], TODAY())</f>
        <v>32751</v>
      </c>
      <c r="EF29" s="3"/>
      <c r="EG29" s="3">
        <f>WORKDAY(Table2[[#This Row],[Integration Start Forecast ]], 10)</f>
        <v>202</v>
      </c>
      <c r="EH29" s="103">
        <f ca="1">NETWORKDAYS(Table2[[#This Row],[Integration Complete]], TODAY())</f>
        <v>32751</v>
      </c>
      <c r="EJ29" s="3">
        <f>WORKDAY(Table2[[#This Row],[Integration Complete Forecast ]], 10)</f>
        <v>216</v>
      </c>
      <c r="EK29" s="103">
        <f ca="1">NETWORKDAYS(Table2[[#This Row],[Close Out Package(2weeks from integration complete]], TODAY())</f>
        <v>32751</v>
      </c>
      <c r="EM29" s="3">
        <f>WORKDAY(Table2[[#This Row],[Close Out Package Forecast ]], 10)</f>
        <v>230</v>
      </c>
      <c r="EN29" s="103">
        <f ca="1">NETWORKDAYS(Table2[[#This Row],[Acceptance testing 2 weeks from close out package)]], TODAY())</f>
        <v>32751</v>
      </c>
      <c r="EP29" s="3">
        <f>WORKDAY(Table2[[#This Row],[Acceptance Testing Forecast ]], 20)</f>
        <v>258</v>
      </c>
      <c r="EQ29" s="103">
        <f ca="1">NETWORKDAYS(Table2[[#This Row],[Customer acceptance(1 month after acceptance testing)]], TODAY())</f>
        <v>32751</v>
      </c>
      <c r="ES29" s="3">
        <f>WORKDAY(Table2[[#This Row],[Customer Acceptance Forecast ]], 5)</f>
        <v>265</v>
      </c>
      <c r="ET29" s="103">
        <f ca="1">NETWORKDAYS(Table2[[#This Row],[Operations handoff(1 week after customer acceptance)]], TODAY())</f>
        <v>32751</v>
      </c>
      <c r="EU29" s="3"/>
      <c r="EV29" s="3">
        <f>WORKDAY(Table2[[#This Row],[Operations Handoff Forecast ]], 7)</f>
        <v>276</v>
      </c>
      <c r="EW29" s="103">
        <f ca="1">NETWORKDAYS(Table2[[#This Row],[FNE Date]], TODAY())</f>
        <v>32751</v>
      </c>
      <c r="EX29" s="3"/>
      <c r="EY29" s="3">
        <f>WORKDAY(Table2[[#This Row],[FNE Date Forecast ]], 7)</f>
        <v>285</v>
      </c>
      <c r="EZ29" s="103">
        <f ca="1">NETWORKDAYS(Table2[[#This Row],[FNE Notice]], TODAY())</f>
        <v>32751</v>
      </c>
      <c r="FA29" s="3"/>
      <c r="FB29" s="3"/>
    </row>
    <row r="30" spans="1:158" x14ac:dyDescent="0.25">
      <c r="A30" t="s">
        <v>101</v>
      </c>
      <c r="B30" t="s">
        <v>139</v>
      </c>
      <c r="C30" s="73" t="s">
        <v>142</v>
      </c>
      <c r="D30" s="103"/>
      <c r="E30" t="s">
        <v>74</v>
      </c>
      <c r="H30" t="s">
        <v>84</v>
      </c>
      <c r="I30">
        <v>1</v>
      </c>
      <c r="J30" s="3">
        <v>45782</v>
      </c>
      <c r="K30" s="3"/>
      <c r="L30" s="3">
        <v>45748</v>
      </c>
      <c r="M30" s="3">
        <f>WORKDAY(Table2[[#This Row],[Kickoff date]], 7)</f>
        <v>10</v>
      </c>
      <c r="N30" s="104">
        <f ca="1">NETWORKDAYS(Table2[[#This Row],[ROM Request]], TODAY())</f>
        <v>75</v>
      </c>
      <c r="O30" s="3">
        <f>L30+5</f>
        <v>45753</v>
      </c>
      <c r="P30" s="3">
        <f>WORKDAY(Table2[[#This Row],[ROM Request]], 10)</f>
        <v>45762</v>
      </c>
      <c r="Q30" s="104">
        <f ca="1">NETWORKDAYS(Table2[[#This Row],[ROM Receive]], TODAY())</f>
        <v>71</v>
      </c>
      <c r="R30" s="3">
        <v>45766</v>
      </c>
      <c r="S30" s="3">
        <f>WORKDAY(Table2[[#This Row],[ROM Receive Forecast]], 15)</f>
        <v>45783</v>
      </c>
      <c r="T30" s="104">
        <f ca="1">NETWORKDAYS(Table2[[#This Row],[Backhaul Cost Request]], TODAY())</f>
        <v>61</v>
      </c>
      <c r="U30" s="3">
        <f>R30+21</f>
        <v>45787</v>
      </c>
      <c r="V30" s="3">
        <f>WORKDAY(Table2[[#This Row],[Backhaul Cost Request Forecast]], 15)</f>
        <v>45804</v>
      </c>
      <c r="W30" s="104">
        <f ca="1">NETWORKDAYS(Table2[[#This Row],[Backhaul Cost Receive]], TODAY())</f>
        <v>46</v>
      </c>
      <c r="X30" s="3">
        <f>Table2[[#This Row],[Kickoff date]]</f>
        <v>0</v>
      </c>
      <c r="Y30" s="3">
        <f>WORKDAY(Table2[[#This Row],[Backhaul Cost Request Forecast]], 7)</f>
        <v>45792</v>
      </c>
      <c r="Z30" s="104">
        <f ca="1">NETWORKDAYS(Table2[[#This Row],[OSP Request]], TODAY())</f>
        <v>32751</v>
      </c>
      <c r="AA30" s="3"/>
      <c r="AB30" s="3">
        <f>WORKDAY(Table2[[#This Row],[OSP Request Forecast]], 10)</f>
        <v>45806</v>
      </c>
      <c r="AC30" s="104">
        <f ca="1">NETWORKDAYS(Table2[[#This Row],[OSP Receive]], TODAY())</f>
        <v>32751</v>
      </c>
      <c r="AD30" s="3">
        <f>Table2[[#This Row],[Kickoff date]]</f>
        <v>0</v>
      </c>
      <c r="AE30" s="3">
        <f>WORKDAY(Table2[[#This Row],[Kickoff date]], 7)</f>
        <v>10</v>
      </c>
      <c r="AF30" s="104">
        <f ca="1">NETWORKDAYS(Table2[[#This Row],[FM Request]], TODAY())</f>
        <v>32751</v>
      </c>
      <c r="AG30" s="3"/>
      <c r="AH30" s="3">
        <f>WORKDAY(Table2[[#This Row],[FM Request Forecast ]], 2)</f>
        <v>12</v>
      </c>
      <c r="AI30" s="104">
        <f ca="1">NETWORKDAYS(Table2[[#This Row],[FM receive]], TODAY())</f>
        <v>32751</v>
      </c>
      <c r="AJ30" s="3"/>
      <c r="AK30" s="3">
        <f>WORKDAY(Table2[[#This Row],[FM Receive Forecast ]], 2)</f>
        <v>16</v>
      </c>
      <c r="AN30" s="3"/>
      <c r="AO30" s="3">
        <f>WORKDAY(Table2[[#This Row],[1-pager Submission to BD]], 7)</f>
        <v>10</v>
      </c>
      <c r="AP30" s="103">
        <f ca="1">IF(ISBLANK(Table2[[#This Row],[Firm Pricing request]]), NETWORKDAYS(Table2[[#This Row],[Proposal Accepted]], TODAY()), NETWORKDAYS(Table2[[#This Row],[Proposal Accepted]], Table2[[#This Row],[Firm Pricing request]]))</f>
        <v>32751</v>
      </c>
      <c r="AQ30" s="3"/>
      <c r="AR30" s="3">
        <f>WORKDAY(Table2[[#This Row],[Proposal Acceptance Forecast]], 7)</f>
        <v>19</v>
      </c>
      <c r="AS30" s="103">
        <f ca="1">NETWORKDAYS(Table2[[#This Row],[Firm Pricing request]], TODAY())</f>
        <v>32751</v>
      </c>
      <c r="AT30" s="3"/>
      <c r="AU30" s="3">
        <f>WORKDAY(Table2[[#This Row],[Firm Pricing Request Forecast]], 7)</f>
        <v>30</v>
      </c>
      <c r="AV30" s="103">
        <f ca="1">NETWORKDAYS(Table2[[#This Row],[Site Walk]], TODAY())</f>
        <v>32751</v>
      </c>
      <c r="AW30" s="3"/>
      <c r="AX30" s="3">
        <f>WORKDAY(Table2[[#This Row],[Site Walk Forecast]], 7)</f>
        <v>39</v>
      </c>
      <c r="AY30" s="103">
        <f ca="1">NETWORKDAYS(Table2[[#This Row],[Firm Quote Receival]], TODAY())</f>
        <v>32751</v>
      </c>
      <c r="AZ30" s="3"/>
      <c r="BA30" s="3">
        <f>WORKDAY(Table2[[#This Row],[Firm Quote Receival Forecast ]], 7)</f>
        <v>48</v>
      </c>
      <c r="BB30" s="103">
        <f ca="1">NETWORKDAYS(Table2[[#This Row],[Final Design &amp; BOM(20 calendar days from site walk)]], TODAY())</f>
        <v>32751</v>
      </c>
      <c r="BC30" s="3"/>
      <c r="BD30" s="3">
        <f>WORKDAY(Table2[[#This Row],[Final Design &amp; BOM Forecast ]], 7)</f>
        <v>59</v>
      </c>
      <c r="BE30" s="103">
        <f ca="1">NETWORKDAYS(Table2[[#This Row],[FM Request 2]], TODAY())</f>
        <v>32751</v>
      </c>
      <c r="BF30" s="3"/>
      <c r="BG30" s="3">
        <f>WORKDAY(Table2[[#This Row],[FM Request 2 Forecast]], 7)</f>
        <v>68</v>
      </c>
      <c r="BH30" s="103"/>
      <c r="BI30" s="3"/>
      <c r="BJ30" s="3">
        <f>WORKDAY(Table2[[#This Row],[FM Review 2 Forecast]], 7)</f>
        <v>79</v>
      </c>
      <c r="BK30" s="103">
        <f ca="1">NETWORKDAYS(Table2[[#This Row],[Tax Review]], TODAY())</f>
        <v>32751</v>
      </c>
      <c r="BL30" s="3"/>
      <c r="BM30" s="3">
        <f>WORKDAY(Table2[[#This Row],[Tax Review]], 7)</f>
        <v>10</v>
      </c>
      <c r="BN30" s="103">
        <f ca="1">NETWORKDAYS(Table2[[#This Row],[Tax Approval]], TODAY())</f>
        <v>32751</v>
      </c>
      <c r="BO30" s="3"/>
      <c r="BP30" s="3">
        <f>WORKDAY(Table2[[#This Row],[Tax Approval Forecast]], 7)</f>
        <v>19</v>
      </c>
      <c r="BQ30" s="103">
        <f ca="1">NETWORKDAYS(Table2[[#This Row],[Final proposal submission]], TODAY())</f>
        <v>32751</v>
      </c>
      <c r="BR30" s="3"/>
      <c r="BS30" s="3"/>
      <c r="BT30" s="3">
        <f>WORKDAY(Table2[[#This Row],[Final Proposal Submission Forecast]], 7)</f>
        <v>30</v>
      </c>
      <c r="BU30" s="103">
        <f ca="1">NETWORKDAYS(Table2[[#This Row],[BD submits proposal]], TODAY())</f>
        <v>32751</v>
      </c>
      <c r="BV30" s="3"/>
      <c r="BW30" s="3">
        <f>WORKDAY(Table2[[#This Row],[BD Submits Proposal Forecast]], 7)</f>
        <v>39</v>
      </c>
      <c r="BX30" s="103">
        <f ca="1">NETWORKDAYS(Table2[[#This Row],[Final Proposal Accepted]], TODAY())</f>
        <v>32751</v>
      </c>
      <c r="BY30" s="3"/>
      <c r="BZ30" s="3">
        <f>WORKDAY(Table2[[#This Row],[Final Proposal Accepted]], 90)</f>
        <v>125</v>
      </c>
      <c r="CA30" s="103">
        <f ca="1">NETWORKDAYS(Table2[[#This Row],[Legal Agreement]], TODAY())</f>
        <v>32751</v>
      </c>
      <c r="CB30" s="3"/>
      <c r="CC30" s="3">
        <f>WORKDAY(Table2[[#This Row],[Legal Agreement Forecast]], 10)</f>
        <v>139</v>
      </c>
      <c r="CD30" s="103">
        <f ca="1">NETWORKDAYS(Table2[[#This Row],[Executed Agreement]], TODAY())</f>
        <v>32751</v>
      </c>
      <c r="CE30" t="s">
        <v>91</v>
      </c>
      <c r="CF30" t="s">
        <v>141</v>
      </c>
      <c r="CG30" s="103"/>
      <c r="CH30" s="3"/>
      <c r="CI30" s="3">
        <f>WORKDAY(Table2[[#This Row],[Executed Agreement]], 7)</f>
        <v>10</v>
      </c>
      <c r="CJ30" s="103">
        <f ca="1">NETWORKDAYS(Table2[[#This Row],[A&amp;E Request]], TODAY())</f>
        <v>32751</v>
      </c>
      <c r="CL30" s="3">
        <f>WORKDAY(Table2[[#This Row],[A&amp;E Request Forecast]], 10)</f>
        <v>24</v>
      </c>
      <c r="CM30" s="103">
        <f ca="1">NETWORKDAYS(Table2[[#This Row],[A&amp;E receive]], TODAY())</f>
        <v>32751</v>
      </c>
      <c r="CO30" s="3">
        <f>WORKDAY(Table2[[#This Row],[FM Approval meeting ]], 10)</f>
        <v>13</v>
      </c>
      <c r="CP30" s="103">
        <f ca="1">NETWORKDAYS(Table2[[#This Row],[Budget Request]], TODAY())</f>
        <v>32751</v>
      </c>
      <c r="CR30" s="3">
        <f>WORKDAY(Table2[[#This Row],[Budget Request Forecast]], 7)</f>
        <v>24</v>
      </c>
      <c r="CS30" s="103">
        <f ca="1">NETWORKDAYS(Table2[[#This Row],[Budget Approval]], TODAY())</f>
        <v>32751</v>
      </c>
      <c r="CV30" s="3">
        <f>WORKDAY(Table2[[#This Row],[Budget Approval Forecast ]], 7)</f>
        <v>33</v>
      </c>
      <c r="CW30" s="103">
        <f ca="1">NETWORKDAYS(Table2[[#This Row],[PO Request for OEM ]], TODAY())</f>
        <v>32751</v>
      </c>
      <c r="CY30" s="3">
        <f>WORKDAY(Table2[[#This Row],[PO Request for OEM Forecast]], 10)</f>
        <v>47</v>
      </c>
      <c r="CZ30" s="103">
        <f ca="1">NETWORKDAYS(Table2[[#This Row],[PO Approval]], TODAY())</f>
        <v>32751</v>
      </c>
      <c r="DB30" s="3">
        <f>WORKDAY(Table2[[#This Row],[PO Approval Forecast]], 10)</f>
        <v>61</v>
      </c>
      <c r="DC30" s="103">
        <f ca="1">NETWORKDAYS(Table2[[#This Row],[backhaul ordered]], TODAY())</f>
        <v>32751</v>
      </c>
      <c r="DE30" s="3">
        <f>WORKDAY(Table2[[#This Row],[Backhaul Order Forecast]], 10)</f>
        <v>75</v>
      </c>
      <c r="DF30" s="103">
        <f ca="1">NETWORKDAYS(Table2[[#This Row],[RTP Request]], TODAY())</f>
        <v>32751</v>
      </c>
      <c r="DG30" s="3"/>
      <c r="DH30" s="3">
        <f>WORKDAY(Table2[[#This Row],[RTP Request Forecast]], 10)</f>
        <v>89</v>
      </c>
      <c r="DI30" s="103">
        <f ca="1">NETWORKDAYS(Table2[[#This Row],[RTP Approved]], TODAY())</f>
        <v>32751</v>
      </c>
      <c r="DK30" s="3">
        <f>WORKDAY(Table2[[#This Row],[RTP Approval Forecast ]], 7)</f>
        <v>100</v>
      </c>
      <c r="DL30" s="103">
        <f ca="1">NETWORKDAYS(Table2[[#This Row],[RFP Request]], TODAY())</f>
        <v>32751</v>
      </c>
      <c r="DN30" s="3">
        <f>WORKDAY(Table2[[#This Row],[RFP Request Forecast ]], 10)</f>
        <v>114</v>
      </c>
      <c r="DO30" s="103">
        <f ca="1">NETWORKDAYS(Table2[[#This Row],[RFP Received]], TODAY())</f>
        <v>32751</v>
      </c>
      <c r="DQ30" s="3">
        <f>WORKDAY(Table2[[#This Row],[RFP Received Forecast ]], 7)</f>
        <v>123</v>
      </c>
      <c r="DR30" s="103">
        <f ca="1">NETWORKDAYS(Table2[[#This Row],[PO for GC Request]], TODAY())</f>
        <v>32751</v>
      </c>
      <c r="DT30" s="3">
        <f>WORKDAY(Table2[[#This Row],[PO for GC Request Forecast ]], 7)</f>
        <v>132</v>
      </c>
      <c r="DU30" s="103">
        <f ca="1">NETWORKDAYS(Table2[[#This Row],[PO for GC Approved]], TODAY())</f>
        <v>32751</v>
      </c>
      <c r="DW30" s="3">
        <f>WORKDAY(Table2[[#This Row],[PO for GC Approval Forecast ]], 10)</f>
        <v>146</v>
      </c>
      <c r="DX30" s="103">
        <f ca="1">NETWORKDAYS(Table2[[#This Row],[Construction Start]], TODAY())</f>
        <v>32751</v>
      </c>
      <c r="DZ30" s="3">
        <f>WORKDAY(Table2[[#This Row],[Construction Start Forecast ]], 20)</f>
        <v>174</v>
      </c>
      <c r="EA30" s="103">
        <f ca="1">NETWORKDAYS(Table2[[#This Row],[Construction Complete]], TODAY())</f>
        <v>32751</v>
      </c>
      <c r="ED30" s="3">
        <f>WORKDAY(Table2[[#This Row],[Construction Complete Forecast ]], 10)</f>
        <v>188</v>
      </c>
      <c r="EE30" s="103">
        <f ca="1">NETWORKDAYS(Table2[[#This Row],[Integration Start]], TODAY())</f>
        <v>32751</v>
      </c>
      <c r="EF30" s="3"/>
      <c r="EG30" s="3">
        <f>WORKDAY(Table2[[#This Row],[Integration Start Forecast ]], 10)</f>
        <v>202</v>
      </c>
      <c r="EH30" s="103">
        <f ca="1">NETWORKDAYS(Table2[[#This Row],[Integration Complete]], TODAY())</f>
        <v>32751</v>
      </c>
      <c r="EJ30" s="3">
        <f>WORKDAY(Table2[[#This Row],[Integration Complete Forecast ]], 10)</f>
        <v>216</v>
      </c>
      <c r="EK30" s="103">
        <f ca="1">NETWORKDAYS(Table2[[#This Row],[Close Out Package(2weeks from integration complete]], TODAY())</f>
        <v>32751</v>
      </c>
      <c r="EM30" s="3">
        <f>WORKDAY(Table2[[#This Row],[Close Out Package Forecast ]], 10)</f>
        <v>230</v>
      </c>
      <c r="EN30" s="103">
        <f ca="1">NETWORKDAYS(Table2[[#This Row],[Acceptance testing 2 weeks from close out package)]], TODAY())</f>
        <v>32751</v>
      </c>
      <c r="EP30" s="3">
        <f>WORKDAY(Table2[[#This Row],[Acceptance Testing Forecast ]], 20)</f>
        <v>258</v>
      </c>
      <c r="EQ30" s="103">
        <f ca="1">NETWORKDAYS(Table2[[#This Row],[Customer acceptance(1 month after acceptance testing)]], TODAY())</f>
        <v>32751</v>
      </c>
      <c r="ES30" s="3">
        <f>WORKDAY(Table2[[#This Row],[Customer Acceptance Forecast ]], 5)</f>
        <v>265</v>
      </c>
      <c r="ET30" s="103">
        <f ca="1">NETWORKDAYS(Table2[[#This Row],[Operations handoff(1 week after customer acceptance)]], TODAY())</f>
        <v>32751</v>
      </c>
      <c r="EU30" s="3"/>
      <c r="EV30" s="3">
        <f>WORKDAY(Table2[[#This Row],[Operations Handoff Forecast ]], 7)</f>
        <v>276</v>
      </c>
      <c r="EW30" s="103">
        <f ca="1">NETWORKDAYS(Table2[[#This Row],[FNE Date]], TODAY())</f>
        <v>32751</v>
      </c>
      <c r="EX30" s="3"/>
      <c r="EY30" s="3">
        <f>WORKDAY(Table2[[#This Row],[FNE Date Forecast ]], 7)</f>
        <v>285</v>
      </c>
      <c r="EZ30" s="103">
        <f ca="1">NETWORKDAYS(Table2[[#This Row],[FNE Notice]], TODAY())</f>
        <v>32751</v>
      </c>
      <c r="FA30" s="3"/>
      <c r="FB30" s="3"/>
    </row>
    <row r="31" spans="1:158" x14ac:dyDescent="0.25">
      <c r="A31" t="s">
        <v>124</v>
      </c>
      <c r="B31" t="s">
        <v>139</v>
      </c>
      <c r="C31" t="s">
        <v>143</v>
      </c>
      <c r="D31" s="103"/>
      <c r="E31" t="s">
        <v>115</v>
      </c>
      <c r="H31" t="s">
        <v>75</v>
      </c>
      <c r="I31">
        <v>310</v>
      </c>
      <c r="J31" s="3">
        <v>45783</v>
      </c>
      <c r="K31" s="3">
        <f>J31+7</f>
        <v>45790</v>
      </c>
      <c r="L31" s="3">
        <v>45755</v>
      </c>
      <c r="M31" s="3">
        <f>WORKDAY(Table2[[#This Row],[Kickoff date]], 7)</f>
        <v>45799</v>
      </c>
      <c r="N31" s="104">
        <f ca="1">NETWORKDAYS(Table2[[#This Row],[ROM Request]], TODAY())</f>
        <v>70</v>
      </c>
      <c r="O31" s="3">
        <v>45762</v>
      </c>
      <c r="P31" s="3">
        <f>WORKDAY(Table2[[#This Row],[ROM Request]], 10)</f>
        <v>45769</v>
      </c>
      <c r="Q31" s="104">
        <f ca="1">NETWORKDAYS(Table2[[#This Row],[ROM Receive]], TODAY())</f>
        <v>65</v>
      </c>
      <c r="R31" s="3">
        <v>45755</v>
      </c>
      <c r="S31" s="3">
        <f>WORKDAY(Table2[[#This Row],[ROM Receive Forecast]], 15)</f>
        <v>45790</v>
      </c>
      <c r="T31" s="104">
        <f ca="1">NETWORKDAYS(Table2[[#This Row],[Backhaul Cost Request]], TODAY())</f>
        <v>70</v>
      </c>
      <c r="U31" s="3">
        <v>45762</v>
      </c>
      <c r="V31" s="3">
        <f>WORKDAY(Table2[[#This Row],[Backhaul Cost Request Forecast]], 15)</f>
        <v>45811</v>
      </c>
      <c r="W31" s="104">
        <f ca="1">NETWORKDAYS(Table2[[#This Row],[Backhaul Cost Receive]], TODAY())</f>
        <v>65</v>
      </c>
      <c r="X31" s="3">
        <f>Table2[[#This Row],[Kickoff date]]</f>
        <v>45790</v>
      </c>
      <c r="Y31" s="3">
        <f>WORKDAY(Table2[[#This Row],[Backhaul Cost Request Forecast]], 7)</f>
        <v>45799</v>
      </c>
      <c r="Z31" s="104">
        <f ca="1">NETWORKDAYS(Table2[[#This Row],[OSP Request]], TODAY())</f>
        <v>45</v>
      </c>
      <c r="AA31" s="3">
        <v>45769</v>
      </c>
      <c r="AB31" s="3">
        <f>WORKDAY(Table2[[#This Row],[OSP Request Forecast]], 10)</f>
        <v>45813</v>
      </c>
      <c r="AC31" s="104">
        <f ca="1">NETWORKDAYS(Table2[[#This Row],[OSP Receive]], TODAY())</f>
        <v>60</v>
      </c>
      <c r="AD31" s="3">
        <f>Table2[[#This Row],[Kickoff date]]</f>
        <v>45790</v>
      </c>
      <c r="AE31" s="3">
        <f>WORKDAY(Table2[[#This Row],[Kickoff date]], 7)</f>
        <v>45799</v>
      </c>
      <c r="AF31" s="104">
        <f ca="1">NETWORKDAYS(Table2[[#This Row],[FM Request]], TODAY())</f>
        <v>45</v>
      </c>
      <c r="AG31" s="3">
        <v>45769</v>
      </c>
      <c r="AH31" s="3">
        <f>WORKDAY(Table2[[#This Row],[FM Request Forecast ]], 2)</f>
        <v>45803</v>
      </c>
      <c r="AI31" s="104">
        <f ca="1">NETWORKDAYS(Table2[[#This Row],[FM receive]], TODAY())</f>
        <v>60</v>
      </c>
      <c r="AJ31" s="3"/>
      <c r="AK31" s="3">
        <f>WORKDAY(Table2[[#This Row],[FM Receive Forecast ]], 2)</f>
        <v>45805</v>
      </c>
      <c r="AL31" s="3"/>
      <c r="AM31" s="3">
        <f>K31+18</f>
        <v>45808</v>
      </c>
      <c r="AN31" s="3"/>
      <c r="AO31" s="3">
        <f>WORKDAY(Table2[[#This Row],[1-pager Submission to BD]], 7)</f>
        <v>45818</v>
      </c>
      <c r="AP31" s="103">
        <f ca="1">IF(ISBLANK(Table2[[#This Row],[Firm Pricing request]]), NETWORKDAYS(Table2[[#This Row],[Proposal Accepted]], TODAY()), NETWORKDAYS(Table2[[#This Row],[Proposal Accepted]], Table2[[#This Row],[Firm Pricing request]]))</f>
        <v>32751</v>
      </c>
      <c r="AQ31" s="3"/>
      <c r="AR31" s="3">
        <f>WORKDAY(Table2[[#This Row],[Proposal Acceptance Forecast]], 7)</f>
        <v>45827</v>
      </c>
      <c r="AS31" s="103">
        <f ca="1">NETWORKDAYS(Table2[[#This Row],[Firm Pricing request]], TODAY())</f>
        <v>32751</v>
      </c>
      <c r="AT31" s="3"/>
      <c r="AU31" s="3">
        <f>WORKDAY(Table2[[#This Row],[Firm Pricing Request Forecast]], 7)</f>
        <v>45838</v>
      </c>
      <c r="AV31" s="103">
        <f ca="1">NETWORKDAYS(Table2[[#This Row],[Site Walk]], TODAY())</f>
        <v>32751</v>
      </c>
      <c r="AW31" s="3"/>
      <c r="AX31" s="3">
        <f>WORKDAY(Table2[[#This Row],[Site Walk Forecast]], 7)</f>
        <v>45847</v>
      </c>
      <c r="AY31" s="103">
        <f ca="1">NETWORKDAYS(Table2[[#This Row],[Firm Quote Receival]], TODAY())</f>
        <v>32751</v>
      </c>
      <c r="AZ31" s="3"/>
      <c r="BA31" s="3">
        <f>WORKDAY(Table2[[#This Row],[Firm Quote Receival Forecast ]], 7)</f>
        <v>45856</v>
      </c>
      <c r="BB31" s="103">
        <f ca="1">NETWORKDAYS(Table2[[#This Row],[Final Design &amp; BOM(20 calendar days from site walk)]], TODAY())</f>
        <v>32751</v>
      </c>
      <c r="BC31" s="3"/>
      <c r="BD31" s="3">
        <f>WORKDAY(Table2[[#This Row],[Final Design &amp; BOM Forecast ]], 7)</f>
        <v>45867</v>
      </c>
      <c r="BE31" s="103">
        <f ca="1">NETWORKDAYS(Table2[[#This Row],[FM Request 2]], TODAY())</f>
        <v>32751</v>
      </c>
      <c r="BF31" s="3"/>
      <c r="BG31" s="3">
        <f>WORKDAY(Table2[[#This Row],[FM Request 2 Forecast]], 7)</f>
        <v>45876</v>
      </c>
      <c r="BH31" s="103"/>
      <c r="BI31" s="3"/>
      <c r="BJ31" s="3">
        <f>WORKDAY(Table2[[#This Row],[FM Review 2 Forecast]], 7)</f>
        <v>45887</v>
      </c>
      <c r="BK31" s="103">
        <f ca="1">NETWORKDAYS(Table2[[#This Row],[Tax Review]], TODAY())</f>
        <v>32751</v>
      </c>
      <c r="BL31" s="3"/>
      <c r="BM31" s="3">
        <f>WORKDAY(Table2[[#This Row],[Tax Review]], 7)</f>
        <v>10</v>
      </c>
      <c r="BN31" s="103">
        <f ca="1">NETWORKDAYS(Table2[[#This Row],[Tax Approval]], TODAY())</f>
        <v>32751</v>
      </c>
      <c r="BO31" s="3"/>
      <c r="BP31" s="3">
        <f>WORKDAY(Table2[[#This Row],[Tax Approval Forecast]], 7)</f>
        <v>19</v>
      </c>
      <c r="BQ31" s="103">
        <f ca="1">NETWORKDAYS(Table2[[#This Row],[Final proposal submission]], TODAY())</f>
        <v>32751</v>
      </c>
      <c r="BR31" s="3"/>
      <c r="BS31" s="3"/>
      <c r="BT31" s="3">
        <f>WORKDAY(Table2[[#This Row],[Final Proposal Submission Forecast]], 7)</f>
        <v>30</v>
      </c>
      <c r="BU31" s="103">
        <f ca="1">NETWORKDAYS(Table2[[#This Row],[BD submits proposal]], TODAY())</f>
        <v>32751</v>
      </c>
      <c r="BV31" s="3"/>
      <c r="BW31" s="3">
        <f>WORKDAY(Table2[[#This Row],[BD Submits Proposal Forecast]], 7)</f>
        <v>39</v>
      </c>
      <c r="BX31" s="103">
        <f ca="1">NETWORKDAYS(Table2[[#This Row],[Final Proposal Accepted]], TODAY())</f>
        <v>32751</v>
      </c>
      <c r="BY31" s="3"/>
      <c r="BZ31" s="3">
        <f>WORKDAY(Table2[[#This Row],[Final Proposal Accepted]], 90)</f>
        <v>125</v>
      </c>
      <c r="CA31" s="103">
        <f ca="1">NETWORKDAYS(Table2[[#This Row],[Legal Agreement]], TODAY())</f>
        <v>32751</v>
      </c>
      <c r="CB31" s="3"/>
      <c r="CC31" s="3">
        <f>WORKDAY(Table2[[#This Row],[Legal Agreement Forecast]], 10)</f>
        <v>139</v>
      </c>
      <c r="CD31" s="103">
        <f ca="1">NETWORKDAYS(Table2[[#This Row],[Executed Agreement]], TODAY())</f>
        <v>32751</v>
      </c>
      <c r="CE31" t="s">
        <v>91</v>
      </c>
      <c r="CF31" t="s">
        <v>141</v>
      </c>
      <c r="CG31" s="103"/>
      <c r="CH31" s="3"/>
      <c r="CI31" s="3">
        <f>WORKDAY(Table2[[#This Row],[Executed Agreement]], 7)</f>
        <v>10</v>
      </c>
      <c r="CJ31" s="103">
        <f ca="1">NETWORKDAYS(Table2[[#This Row],[A&amp;E Request]], TODAY())</f>
        <v>32751</v>
      </c>
      <c r="CL31" s="3">
        <f>WORKDAY(Table2[[#This Row],[A&amp;E Request Forecast]], 10)</f>
        <v>24</v>
      </c>
      <c r="CM31" s="103">
        <f ca="1">NETWORKDAYS(Table2[[#This Row],[A&amp;E receive]], TODAY())</f>
        <v>32751</v>
      </c>
      <c r="CN31" s="3"/>
      <c r="CO31" s="3">
        <f>WORKDAY(Table2[[#This Row],[FM Approval meeting ]], 10)</f>
        <v>13</v>
      </c>
      <c r="CP31" s="103">
        <f ca="1">NETWORKDAYS(Table2[[#This Row],[Budget Request]], TODAY())</f>
        <v>32751</v>
      </c>
      <c r="CR31" s="3">
        <f>WORKDAY(Table2[[#This Row],[Budget Request Forecast]], 7)</f>
        <v>24</v>
      </c>
      <c r="CS31" s="103">
        <f ca="1">NETWORKDAYS(Table2[[#This Row],[Budget Approval]], TODAY())</f>
        <v>32751</v>
      </c>
      <c r="CT31" s="3"/>
      <c r="CU31" s="3"/>
      <c r="CV31" s="3">
        <f>WORKDAY(Table2[[#This Row],[Budget Approval Forecast ]], 7)</f>
        <v>33</v>
      </c>
      <c r="CW31" s="103">
        <f ca="1">NETWORKDAYS(Table2[[#This Row],[PO Request for OEM ]], TODAY())</f>
        <v>32751</v>
      </c>
      <c r="CY31" s="3">
        <f>WORKDAY(Table2[[#This Row],[PO Request for OEM Forecast]], 10)</f>
        <v>47</v>
      </c>
      <c r="CZ31" s="103">
        <f ca="1">NETWORKDAYS(Table2[[#This Row],[PO Approval]], TODAY())</f>
        <v>32751</v>
      </c>
      <c r="DA31" s="3"/>
      <c r="DB31" s="3">
        <f>WORKDAY(Table2[[#This Row],[PO Approval Forecast]], 10)</f>
        <v>61</v>
      </c>
      <c r="DC31" s="103">
        <f ca="1">NETWORKDAYS(Table2[[#This Row],[backhaul ordered]], TODAY())</f>
        <v>32751</v>
      </c>
      <c r="DD31" s="3"/>
      <c r="DE31" s="3">
        <f>WORKDAY(Table2[[#This Row],[Backhaul Order Forecast]], 10)</f>
        <v>75</v>
      </c>
      <c r="DF31" s="103">
        <f ca="1">NETWORKDAYS(Table2[[#This Row],[RTP Request]], TODAY())</f>
        <v>32751</v>
      </c>
      <c r="DG31" s="3"/>
      <c r="DH31" s="3">
        <f>WORKDAY(Table2[[#This Row],[RTP Request Forecast]], 10)</f>
        <v>89</v>
      </c>
      <c r="DI31" s="103">
        <f ca="1">NETWORKDAYS(Table2[[#This Row],[RTP Approved]], TODAY())</f>
        <v>32751</v>
      </c>
      <c r="DJ31" s="3"/>
      <c r="DK31" s="3">
        <f>WORKDAY(Table2[[#This Row],[RTP Approval Forecast ]], 7)</f>
        <v>100</v>
      </c>
      <c r="DL31" s="103">
        <f ca="1">NETWORKDAYS(Table2[[#This Row],[RFP Request]], TODAY())</f>
        <v>32751</v>
      </c>
      <c r="DN31" s="3">
        <f>WORKDAY(Table2[[#This Row],[RFP Request Forecast ]], 10)</f>
        <v>114</v>
      </c>
      <c r="DO31" s="103">
        <f ca="1">NETWORKDAYS(Table2[[#This Row],[RFP Received]], TODAY())</f>
        <v>32751</v>
      </c>
      <c r="DP31" s="3"/>
      <c r="DQ31" s="3">
        <f>WORKDAY(Table2[[#This Row],[RFP Received Forecast ]], 7)</f>
        <v>123</v>
      </c>
      <c r="DR31" s="103">
        <f ca="1">NETWORKDAYS(Table2[[#This Row],[PO for GC Request]], TODAY())</f>
        <v>32751</v>
      </c>
      <c r="DT31" s="3">
        <f>WORKDAY(Table2[[#This Row],[PO for GC Request Forecast ]], 7)</f>
        <v>132</v>
      </c>
      <c r="DU31" s="103">
        <f ca="1">NETWORKDAYS(Table2[[#This Row],[PO for GC Approved]], TODAY())</f>
        <v>32751</v>
      </c>
      <c r="DV31" s="3"/>
      <c r="DW31" s="3">
        <f>WORKDAY(Table2[[#This Row],[PO for GC Approval Forecast ]], 10)</f>
        <v>146</v>
      </c>
      <c r="DX31" s="103">
        <f ca="1">NETWORKDAYS(Table2[[#This Row],[Construction Start]], TODAY())</f>
        <v>32751</v>
      </c>
      <c r="DY31" s="3"/>
      <c r="DZ31" s="3">
        <f>WORKDAY(Table2[[#This Row],[Construction Start Forecast ]], 20)</f>
        <v>174</v>
      </c>
      <c r="EA31" s="103">
        <f ca="1">NETWORKDAYS(Table2[[#This Row],[Construction Complete]], TODAY())</f>
        <v>32751</v>
      </c>
      <c r="EB31" s="3"/>
      <c r="EC31" s="3"/>
      <c r="ED31" s="3">
        <f>WORKDAY(Table2[[#This Row],[Construction Complete Forecast ]], 10)</f>
        <v>188</v>
      </c>
      <c r="EE31" s="103">
        <f ca="1">NETWORKDAYS(Table2[[#This Row],[Integration Start]], TODAY())</f>
        <v>32751</v>
      </c>
      <c r="EF31" s="3"/>
      <c r="EG31" s="3">
        <f>WORKDAY(Table2[[#This Row],[Integration Start Forecast ]], 10)</f>
        <v>202</v>
      </c>
      <c r="EH31" s="103">
        <f ca="1">NETWORKDAYS(Table2[[#This Row],[Integration Complete]], TODAY())</f>
        <v>32751</v>
      </c>
      <c r="EJ31" s="3">
        <f>WORKDAY(Table2[[#This Row],[Integration Complete Forecast ]], 10)</f>
        <v>216</v>
      </c>
      <c r="EK31" s="103">
        <f ca="1">NETWORKDAYS(Table2[[#This Row],[Close Out Package(2weeks from integration complete]], TODAY())</f>
        <v>32751</v>
      </c>
      <c r="EM31" s="3">
        <f>WORKDAY(Table2[[#This Row],[Close Out Package Forecast ]], 10)</f>
        <v>230</v>
      </c>
      <c r="EN31" s="103">
        <f ca="1">NETWORKDAYS(Table2[[#This Row],[Acceptance testing 2 weeks from close out package)]], TODAY())</f>
        <v>32751</v>
      </c>
      <c r="EP31" s="3">
        <f>WORKDAY(Table2[[#This Row],[Acceptance Testing Forecast ]], 20)</f>
        <v>258</v>
      </c>
      <c r="EQ31" s="103">
        <f ca="1">NETWORKDAYS(Table2[[#This Row],[Customer acceptance(1 month after acceptance testing)]], TODAY())</f>
        <v>32751</v>
      </c>
      <c r="ES31" s="3">
        <f>WORKDAY(Table2[[#This Row],[Customer Acceptance Forecast ]], 5)</f>
        <v>265</v>
      </c>
      <c r="ET31" s="103">
        <f ca="1">NETWORKDAYS(Table2[[#This Row],[Operations handoff(1 week after customer acceptance)]], TODAY())</f>
        <v>32751</v>
      </c>
      <c r="EU31" s="3"/>
      <c r="EV31" s="3">
        <f>WORKDAY(Table2[[#This Row],[Operations Handoff Forecast ]], 7)</f>
        <v>276</v>
      </c>
      <c r="EW31" s="103">
        <f ca="1">NETWORKDAYS(Table2[[#This Row],[FNE Date]], TODAY())</f>
        <v>32751</v>
      </c>
      <c r="EX31" s="3"/>
      <c r="EY31" s="3">
        <f>WORKDAY(Table2[[#This Row],[FNE Date Forecast ]], 7)</f>
        <v>285</v>
      </c>
      <c r="EZ31" s="103">
        <f ca="1">NETWORKDAYS(Table2[[#This Row],[FNE Notice]], TODAY())</f>
        <v>32751</v>
      </c>
      <c r="FA31" s="3"/>
      <c r="FB31" s="3"/>
    </row>
    <row r="32" spans="1:158" x14ac:dyDescent="0.25">
      <c r="A32" t="s">
        <v>110</v>
      </c>
      <c r="B32" t="s">
        <v>72</v>
      </c>
      <c r="C32" t="s">
        <v>144</v>
      </c>
      <c r="D32" s="103"/>
      <c r="E32" t="s">
        <v>115</v>
      </c>
      <c r="H32" t="s">
        <v>75</v>
      </c>
      <c r="I32">
        <v>500</v>
      </c>
      <c r="J32" s="3">
        <v>45784</v>
      </c>
      <c r="K32" s="3">
        <f>J32+8</f>
        <v>45792</v>
      </c>
      <c r="L32" s="3">
        <v>45754</v>
      </c>
      <c r="M32" s="3">
        <f>WORKDAY(Table2[[#This Row],[Kickoff date]], 7)</f>
        <v>45803</v>
      </c>
      <c r="N32" s="104">
        <f ca="1">NETWORKDAYS(Table2[[#This Row],[ROM Request]], TODAY())</f>
        <v>71</v>
      </c>
      <c r="O32" s="3">
        <v>45762</v>
      </c>
      <c r="P32" s="3">
        <f>WORKDAY(Table2[[#This Row],[ROM Request]], 10)</f>
        <v>45768</v>
      </c>
      <c r="Q32" s="104">
        <f ca="1">NETWORKDAYS(Table2[[#This Row],[ROM Receive]], TODAY())</f>
        <v>65</v>
      </c>
      <c r="R32" s="3">
        <v>45762</v>
      </c>
      <c r="S32" s="3">
        <f>WORKDAY(Table2[[#This Row],[ROM Receive Forecast]], 15)</f>
        <v>45789</v>
      </c>
      <c r="T32" s="104">
        <f ca="1">NETWORKDAYS(Table2[[#This Row],[Backhaul Cost Request]], TODAY())</f>
        <v>65</v>
      </c>
      <c r="U32" s="3">
        <v>45763</v>
      </c>
      <c r="V32" s="3">
        <f>WORKDAY(Table2[[#This Row],[Backhaul Cost Request Forecast]], 15)</f>
        <v>45810</v>
      </c>
      <c r="W32" s="104">
        <f ca="1">NETWORKDAYS(Table2[[#This Row],[Backhaul Cost Receive]], TODAY())</f>
        <v>64</v>
      </c>
      <c r="X32" s="3">
        <f>Table2[[#This Row],[Kickoff date]]</f>
        <v>45792</v>
      </c>
      <c r="Y32" s="3">
        <f>WORKDAY(Table2[[#This Row],[Backhaul Cost Request Forecast]], 7)</f>
        <v>45798</v>
      </c>
      <c r="Z32" s="104">
        <f ca="1">NETWORKDAYS(Table2[[#This Row],[OSP Request]], TODAY())</f>
        <v>43</v>
      </c>
      <c r="AA32" s="3">
        <v>45793</v>
      </c>
      <c r="AB32" s="3">
        <f>WORKDAY(Table2[[#This Row],[OSP Request Forecast]], 10)</f>
        <v>45812</v>
      </c>
      <c r="AC32" s="104">
        <f ca="1">NETWORKDAYS(Table2[[#This Row],[OSP Receive]], TODAY())</f>
        <v>42</v>
      </c>
      <c r="AD32" s="3">
        <f>Table2[[#This Row],[Kickoff date]]</f>
        <v>45792</v>
      </c>
      <c r="AE32" s="3">
        <f>WORKDAY(Table2[[#This Row],[Kickoff date]], 7)</f>
        <v>45803</v>
      </c>
      <c r="AF32" s="104">
        <f ca="1">NETWORKDAYS(Table2[[#This Row],[FM Request]], TODAY())</f>
        <v>43</v>
      </c>
      <c r="AG32" s="3">
        <v>45769</v>
      </c>
      <c r="AH32" s="3">
        <f>WORKDAY(Table2[[#This Row],[FM Request Forecast ]], 2)</f>
        <v>45805</v>
      </c>
      <c r="AI32" s="104">
        <f ca="1">NETWORKDAYS(Table2[[#This Row],[FM receive]], TODAY())</f>
        <v>60</v>
      </c>
      <c r="AJ32" s="3"/>
      <c r="AK32" s="3">
        <f>WORKDAY(Table2[[#This Row],[FM Receive Forecast ]], 2)</f>
        <v>45807</v>
      </c>
      <c r="AL32" s="3"/>
      <c r="AM32" s="3">
        <f>K32+7</f>
        <v>45799</v>
      </c>
      <c r="AN32" s="3"/>
      <c r="AO32" s="3">
        <f>WORKDAY(Table2[[#This Row],[1-pager Submission to BD]], 7)</f>
        <v>45810</v>
      </c>
      <c r="AP32" s="103">
        <f ca="1">IF(ISBLANK(Table2[[#This Row],[Firm Pricing request]]), NETWORKDAYS(Table2[[#This Row],[Proposal Accepted]], TODAY()), NETWORKDAYS(Table2[[#This Row],[Proposal Accepted]], Table2[[#This Row],[Firm Pricing request]]))</f>
        <v>32751</v>
      </c>
      <c r="AQ32" s="3"/>
      <c r="AR32" s="3">
        <f>WORKDAY(Table2[[#This Row],[Proposal Acceptance Forecast]], 7)</f>
        <v>45819</v>
      </c>
      <c r="AS32" s="103">
        <f ca="1">NETWORKDAYS(Table2[[#This Row],[Firm Pricing request]], TODAY())</f>
        <v>32751</v>
      </c>
      <c r="AT32" s="3"/>
      <c r="AU32" s="3">
        <f>WORKDAY(Table2[[#This Row],[Firm Pricing Request Forecast]], 7)</f>
        <v>45828</v>
      </c>
      <c r="AV32" s="103">
        <f ca="1">NETWORKDAYS(Table2[[#This Row],[Site Walk]], TODAY())</f>
        <v>32751</v>
      </c>
      <c r="AW32" s="3"/>
      <c r="AX32" s="3">
        <f>WORKDAY(Table2[[#This Row],[Site Walk Forecast]], 7)</f>
        <v>45839</v>
      </c>
      <c r="AY32" s="103">
        <f ca="1">NETWORKDAYS(Table2[[#This Row],[Firm Quote Receival]], TODAY())</f>
        <v>32751</v>
      </c>
      <c r="AZ32" s="3"/>
      <c r="BA32" s="3">
        <f>WORKDAY(Table2[[#This Row],[Firm Quote Receival Forecast ]], 7)</f>
        <v>45848</v>
      </c>
      <c r="BB32" s="103">
        <f ca="1">NETWORKDAYS(Table2[[#This Row],[Final Design &amp; BOM(20 calendar days from site walk)]], TODAY())</f>
        <v>32751</v>
      </c>
      <c r="BC32" s="3"/>
      <c r="BD32" s="3">
        <f>WORKDAY(Table2[[#This Row],[Final Design &amp; BOM Forecast ]], 7)</f>
        <v>45859</v>
      </c>
      <c r="BE32" s="103">
        <f ca="1">NETWORKDAYS(Table2[[#This Row],[FM Request 2]], TODAY())</f>
        <v>32751</v>
      </c>
      <c r="BF32" s="3"/>
      <c r="BG32" s="3">
        <f>WORKDAY(Table2[[#This Row],[FM Request 2 Forecast]], 7)</f>
        <v>45868</v>
      </c>
      <c r="BH32" s="103"/>
      <c r="BI32" s="3"/>
      <c r="BJ32" s="3">
        <f>WORKDAY(Table2[[#This Row],[FM Review 2 Forecast]], 7)</f>
        <v>45877</v>
      </c>
      <c r="BK32" s="103">
        <f ca="1">NETWORKDAYS(Table2[[#This Row],[Tax Review]], TODAY())</f>
        <v>32751</v>
      </c>
      <c r="BL32" s="3"/>
      <c r="BM32" s="3">
        <f>WORKDAY(Table2[[#This Row],[Tax Review]], 7)</f>
        <v>10</v>
      </c>
      <c r="BN32" s="103">
        <f ca="1">NETWORKDAYS(Table2[[#This Row],[Tax Approval]], TODAY())</f>
        <v>32751</v>
      </c>
      <c r="BO32" s="3"/>
      <c r="BP32" s="3">
        <f>WORKDAY(Table2[[#This Row],[Tax Approval Forecast]], 7)</f>
        <v>19</v>
      </c>
      <c r="BQ32" s="103">
        <f ca="1">NETWORKDAYS(Table2[[#This Row],[Final proposal submission]], TODAY())</f>
        <v>32751</v>
      </c>
      <c r="BR32" s="3"/>
      <c r="BS32" s="3"/>
      <c r="BT32" s="3">
        <f>WORKDAY(Table2[[#This Row],[Final Proposal Submission Forecast]], 7)</f>
        <v>30</v>
      </c>
      <c r="BU32" s="103">
        <f ca="1">NETWORKDAYS(Table2[[#This Row],[BD submits proposal]], TODAY())</f>
        <v>32751</v>
      </c>
      <c r="BV32" s="3"/>
      <c r="BW32" s="3">
        <f>WORKDAY(Table2[[#This Row],[BD Submits Proposal Forecast]], 7)</f>
        <v>39</v>
      </c>
      <c r="BX32" s="103">
        <f ca="1">NETWORKDAYS(Table2[[#This Row],[Final Proposal Accepted]], TODAY())</f>
        <v>32751</v>
      </c>
      <c r="BY32" s="3"/>
      <c r="BZ32" s="3">
        <f>WORKDAY(Table2[[#This Row],[Final Proposal Accepted]], 90)</f>
        <v>125</v>
      </c>
      <c r="CA32" s="103">
        <f ca="1">NETWORKDAYS(Table2[[#This Row],[Legal Agreement]], TODAY())</f>
        <v>32751</v>
      </c>
      <c r="CB32" s="3"/>
      <c r="CC32" s="3">
        <f>WORKDAY(Table2[[#This Row],[Legal Agreement Forecast]], 10)</f>
        <v>139</v>
      </c>
      <c r="CD32" s="103">
        <f ca="1">NETWORKDAYS(Table2[[#This Row],[Executed Agreement]], TODAY())</f>
        <v>32751</v>
      </c>
      <c r="CE32" t="s">
        <v>91</v>
      </c>
      <c r="CF32" t="s">
        <v>145</v>
      </c>
      <c r="CG32" s="103"/>
      <c r="CH32" s="3"/>
      <c r="CI32" s="3">
        <f>WORKDAY(Table2[[#This Row],[Executed Agreement]], 7)</f>
        <v>10</v>
      </c>
      <c r="CJ32" s="103">
        <f ca="1">NETWORKDAYS(Table2[[#This Row],[A&amp;E Request]], TODAY())</f>
        <v>32751</v>
      </c>
      <c r="CL32" s="3">
        <f>WORKDAY(Table2[[#This Row],[A&amp;E Request Forecast]], 10)</f>
        <v>24</v>
      </c>
      <c r="CM32" s="103">
        <f ca="1">NETWORKDAYS(Table2[[#This Row],[A&amp;E receive]], TODAY())</f>
        <v>32751</v>
      </c>
      <c r="CN32" s="3"/>
      <c r="CO32" s="3">
        <f>WORKDAY(Table2[[#This Row],[FM Approval meeting ]], 10)</f>
        <v>13</v>
      </c>
      <c r="CP32" s="103">
        <f ca="1">NETWORKDAYS(Table2[[#This Row],[Budget Request]], TODAY())</f>
        <v>32751</v>
      </c>
      <c r="CR32" s="3">
        <f>WORKDAY(Table2[[#This Row],[Budget Request Forecast]], 7)</f>
        <v>24</v>
      </c>
      <c r="CS32" s="103">
        <f ca="1">NETWORKDAYS(Table2[[#This Row],[Budget Approval]], TODAY())</f>
        <v>32751</v>
      </c>
      <c r="CT32" s="3"/>
      <c r="CU32" s="3"/>
      <c r="CV32" s="3">
        <f>WORKDAY(Table2[[#This Row],[Budget Approval Forecast ]], 7)</f>
        <v>33</v>
      </c>
      <c r="CW32" s="103">
        <f ca="1">NETWORKDAYS(Table2[[#This Row],[PO Request for OEM ]], TODAY())</f>
        <v>32751</v>
      </c>
      <c r="CY32" s="3">
        <f>WORKDAY(Table2[[#This Row],[PO Request for OEM Forecast]], 10)</f>
        <v>47</v>
      </c>
      <c r="CZ32" s="103">
        <f ca="1">NETWORKDAYS(Table2[[#This Row],[PO Approval]], TODAY())</f>
        <v>32751</v>
      </c>
      <c r="DA32" s="3"/>
      <c r="DB32" s="3">
        <f>WORKDAY(Table2[[#This Row],[PO Approval Forecast]], 10)</f>
        <v>61</v>
      </c>
      <c r="DC32" s="103">
        <f ca="1">NETWORKDAYS(Table2[[#This Row],[backhaul ordered]], TODAY())</f>
        <v>32751</v>
      </c>
      <c r="DD32" s="3"/>
      <c r="DE32" s="3">
        <f>WORKDAY(Table2[[#This Row],[Backhaul Order Forecast]], 10)</f>
        <v>75</v>
      </c>
      <c r="DF32" s="103">
        <f ca="1">NETWORKDAYS(Table2[[#This Row],[RTP Request]], TODAY())</f>
        <v>32751</v>
      </c>
      <c r="DG32" s="3"/>
      <c r="DH32" s="3">
        <f>WORKDAY(Table2[[#This Row],[RTP Request Forecast]], 10)</f>
        <v>89</v>
      </c>
      <c r="DI32" s="103">
        <f ca="1">NETWORKDAYS(Table2[[#This Row],[RTP Approved]], TODAY())</f>
        <v>32751</v>
      </c>
      <c r="DJ32" s="3"/>
      <c r="DK32" s="3">
        <f>WORKDAY(Table2[[#This Row],[RTP Approval Forecast ]], 7)</f>
        <v>100</v>
      </c>
      <c r="DL32" s="103">
        <f ca="1">NETWORKDAYS(Table2[[#This Row],[RFP Request]], TODAY())</f>
        <v>32751</v>
      </c>
      <c r="DN32" s="3">
        <f>WORKDAY(Table2[[#This Row],[RFP Request Forecast ]], 10)</f>
        <v>114</v>
      </c>
      <c r="DO32" s="103">
        <f ca="1">NETWORKDAYS(Table2[[#This Row],[RFP Received]], TODAY())</f>
        <v>32751</v>
      </c>
      <c r="DP32" s="3"/>
      <c r="DQ32" s="3">
        <f>WORKDAY(Table2[[#This Row],[RFP Received Forecast ]], 7)</f>
        <v>123</v>
      </c>
      <c r="DR32" s="103">
        <f ca="1">NETWORKDAYS(Table2[[#This Row],[PO for GC Request]], TODAY())</f>
        <v>32751</v>
      </c>
      <c r="DT32" s="3">
        <f>WORKDAY(Table2[[#This Row],[PO for GC Request Forecast ]], 7)</f>
        <v>132</v>
      </c>
      <c r="DU32" s="103">
        <f ca="1">NETWORKDAYS(Table2[[#This Row],[PO for GC Approved]], TODAY())</f>
        <v>32751</v>
      </c>
      <c r="DV32" s="3"/>
      <c r="DW32" s="3">
        <f>WORKDAY(Table2[[#This Row],[PO for GC Approval Forecast ]], 10)</f>
        <v>146</v>
      </c>
      <c r="DX32" s="103">
        <f ca="1">NETWORKDAYS(Table2[[#This Row],[Construction Start]], TODAY())</f>
        <v>32751</v>
      </c>
      <c r="DY32" s="3"/>
      <c r="DZ32" s="3">
        <f>WORKDAY(Table2[[#This Row],[Construction Start Forecast ]], 20)</f>
        <v>174</v>
      </c>
      <c r="EA32" s="103">
        <f ca="1">NETWORKDAYS(Table2[[#This Row],[Construction Complete]], TODAY())</f>
        <v>32751</v>
      </c>
      <c r="EB32" s="3"/>
      <c r="EC32" s="3"/>
      <c r="ED32" s="3">
        <f>WORKDAY(Table2[[#This Row],[Construction Complete Forecast ]], 10)</f>
        <v>188</v>
      </c>
      <c r="EE32" s="103">
        <f ca="1">NETWORKDAYS(Table2[[#This Row],[Integration Start]], TODAY())</f>
        <v>32751</v>
      </c>
      <c r="EF32" s="3"/>
      <c r="EG32" s="3">
        <f>WORKDAY(Table2[[#This Row],[Integration Start Forecast ]], 10)</f>
        <v>202</v>
      </c>
      <c r="EH32" s="103">
        <f ca="1">NETWORKDAYS(Table2[[#This Row],[Integration Complete]], TODAY())</f>
        <v>32751</v>
      </c>
      <c r="EJ32" s="3">
        <f>WORKDAY(Table2[[#This Row],[Integration Complete Forecast ]], 10)</f>
        <v>216</v>
      </c>
      <c r="EK32" s="103">
        <f ca="1">NETWORKDAYS(Table2[[#This Row],[Close Out Package(2weeks from integration complete]], TODAY())</f>
        <v>32751</v>
      </c>
      <c r="EM32" s="3">
        <f>WORKDAY(Table2[[#This Row],[Close Out Package Forecast ]], 10)</f>
        <v>230</v>
      </c>
      <c r="EN32" s="103">
        <f ca="1">NETWORKDAYS(Table2[[#This Row],[Acceptance testing 2 weeks from close out package)]], TODAY())</f>
        <v>32751</v>
      </c>
      <c r="EP32" s="3">
        <f>WORKDAY(Table2[[#This Row],[Acceptance Testing Forecast ]], 20)</f>
        <v>258</v>
      </c>
      <c r="EQ32" s="103">
        <f ca="1">NETWORKDAYS(Table2[[#This Row],[Customer acceptance(1 month after acceptance testing)]], TODAY())</f>
        <v>32751</v>
      </c>
      <c r="ES32" s="3">
        <f>WORKDAY(Table2[[#This Row],[Customer Acceptance Forecast ]], 5)</f>
        <v>265</v>
      </c>
      <c r="ET32" s="103">
        <f ca="1">NETWORKDAYS(Table2[[#This Row],[Operations handoff(1 week after customer acceptance)]], TODAY())</f>
        <v>32751</v>
      </c>
      <c r="EU32" s="3"/>
      <c r="EV32" s="3">
        <f>WORKDAY(Table2[[#This Row],[Operations Handoff Forecast ]], 7)</f>
        <v>276</v>
      </c>
      <c r="EW32" s="103">
        <f ca="1">NETWORKDAYS(Table2[[#This Row],[FNE Date]], TODAY())</f>
        <v>32751</v>
      </c>
      <c r="EX32" s="3"/>
      <c r="EY32" s="3">
        <f>WORKDAY(Table2[[#This Row],[FNE Date Forecast ]], 7)</f>
        <v>285</v>
      </c>
      <c r="EZ32" s="103">
        <f ca="1">NETWORKDAYS(Table2[[#This Row],[FNE Notice]], TODAY())</f>
        <v>32751</v>
      </c>
      <c r="FA32" s="3"/>
      <c r="FB32" s="3"/>
    </row>
    <row r="33" spans="1:158" x14ac:dyDescent="0.25">
      <c r="A33" t="s">
        <v>101</v>
      </c>
      <c r="B33" t="s">
        <v>139</v>
      </c>
      <c r="C33" s="78" t="s">
        <v>154</v>
      </c>
      <c r="D33" s="103"/>
      <c r="E33" t="s">
        <v>79</v>
      </c>
      <c r="H33" t="s">
        <v>103</v>
      </c>
      <c r="I33">
        <v>1</v>
      </c>
      <c r="J33" s="3">
        <v>45788</v>
      </c>
      <c r="K33" s="3">
        <f>J33+16</f>
        <v>45804</v>
      </c>
      <c r="L33" s="3">
        <v>45758</v>
      </c>
      <c r="M33" s="3">
        <f>WORKDAY(Table2[[#This Row],[Kickoff date]], 7)</f>
        <v>45813</v>
      </c>
      <c r="N33" s="104">
        <f ca="1">NETWORKDAYS(Table2[[#This Row],[ROM Request]], TODAY())</f>
        <v>67</v>
      </c>
      <c r="O33" s="3">
        <f>L33+11</f>
        <v>45769</v>
      </c>
      <c r="P33" s="3">
        <f>WORKDAY(Table2[[#This Row],[ROM Request]], 10)</f>
        <v>45772</v>
      </c>
      <c r="Q33" s="104">
        <f ca="1">NETWORKDAYS(Table2[[#This Row],[ROM Receive]], TODAY())</f>
        <v>60</v>
      </c>
      <c r="R33" s="3">
        <v>45758</v>
      </c>
      <c r="S33" s="3">
        <f>WORKDAY(Table2[[#This Row],[ROM Receive Forecast]], 15)</f>
        <v>45793</v>
      </c>
      <c r="T33" s="104">
        <f ca="1">NETWORKDAYS(Table2[[#This Row],[Backhaul Cost Request]], TODAY())</f>
        <v>67</v>
      </c>
      <c r="U33" s="3">
        <f>R33+23</f>
        <v>45781</v>
      </c>
      <c r="V33" s="3">
        <f>WORKDAY(Table2[[#This Row],[Backhaul Cost Request Forecast]], 15)</f>
        <v>45814</v>
      </c>
      <c r="W33" s="104">
        <f ca="1">NETWORKDAYS(Table2[[#This Row],[Backhaul Cost Receive]], TODAY())</f>
        <v>51</v>
      </c>
      <c r="X33" s="3">
        <f>Table2[[#This Row],[Kickoff date]]</f>
        <v>45804</v>
      </c>
      <c r="Y33" s="3">
        <f>WORKDAY(Table2[[#This Row],[Backhaul Cost Request Forecast]], 7)</f>
        <v>45804</v>
      </c>
      <c r="Z33" s="104">
        <f ca="1">NETWORKDAYS(Table2[[#This Row],[OSP Request]], TODAY())</f>
        <v>35</v>
      </c>
      <c r="AA33" s="3"/>
      <c r="AB33" s="3">
        <f>WORKDAY(Table2[[#This Row],[OSP Request Forecast]], 10)</f>
        <v>45818</v>
      </c>
      <c r="AC33" s="104">
        <f ca="1">NETWORKDAYS(Table2[[#This Row],[OSP Receive]], TODAY())</f>
        <v>32751</v>
      </c>
      <c r="AD33" s="3">
        <f>Table2[[#This Row],[Kickoff date]]</f>
        <v>45804</v>
      </c>
      <c r="AE33" s="3">
        <f>WORKDAY(Table2[[#This Row],[Kickoff date]], 7)</f>
        <v>45813</v>
      </c>
      <c r="AF33" s="104">
        <f ca="1">NETWORKDAYS(Table2[[#This Row],[FM Request]], TODAY())</f>
        <v>35</v>
      </c>
      <c r="AG33" s="3"/>
      <c r="AH33" s="3">
        <f>WORKDAY(Table2[[#This Row],[FM Request Forecast ]], 2)</f>
        <v>45817</v>
      </c>
      <c r="AI33" s="104">
        <f ca="1">NETWORKDAYS(Table2[[#This Row],[FM receive]], TODAY())</f>
        <v>32751</v>
      </c>
      <c r="AJ33" s="3"/>
      <c r="AK33" s="3">
        <f>WORKDAY(Table2[[#This Row],[FM Receive Forecast ]], 2)</f>
        <v>45819</v>
      </c>
      <c r="AM33" s="3">
        <f>K33+6</f>
        <v>45810</v>
      </c>
      <c r="AN33" s="3"/>
      <c r="AO33" s="3">
        <f>WORKDAY(Table2[[#This Row],[1-pager Submission to BD]], 7)</f>
        <v>45819</v>
      </c>
      <c r="AP33" s="103">
        <f ca="1">IF(ISBLANK(Table2[[#This Row],[Firm Pricing request]]), NETWORKDAYS(Table2[[#This Row],[Proposal Accepted]], TODAY()), NETWORKDAYS(Table2[[#This Row],[Proposal Accepted]], Table2[[#This Row],[Firm Pricing request]]))</f>
        <v>32751</v>
      </c>
      <c r="AQ33" s="3"/>
      <c r="AR33" s="3">
        <f>WORKDAY(Table2[[#This Row],[Proposal Acceptance Forecast]], 7)</f>
        <v>45828</v>
      </c>
      <c r="AS33" s="103">
        <f ca="1">NETWORKDAYS(Table2[[#This Row],[Firm Pricing request]], TODAY())</f>
        <v>32751</v>
      </c>
      <c r="AT33" s="3"/>
      <c r="AU33" s="3">
        <f>WORKDAY(Table2[[#This Row],[Firm Pricing Request Forecast]], 7)</f>
        <v>45839</v>
      </c>
      <c r="AV33" s="103">
        <f ca="1">NETWORKDAYS(Table2[[#This Row],[Site Walk]], TODAY())</f>
        <v>32751</v>
      </c>
      <c r="AW33" s="3"/>
      <c r="AX33" s="3">
        <f>WORKDAY(Table2[[#This Row],[Site Walk Forecast]], 7)</f>
        <v>45848</v>
      </c>
      <c r="AY33" s="103">
        <f ca="1">NETWORKDAYS(Table2[[#This Row],[Firm Quote Receival]], TODAY())</f>
        <v>32751</v>
      </c>
      <c r="AZ33" s="3"/>
      <c r="BA33" s="3">
        <f>WORKDAY(Table2[[#This Row],[Firm Quote Receival Forecast ]], 7)</f>
        <v>45859</v>
      </c>
      <c r="BB33" s="103">
        <f ca="1">NETWORKDAYS(Table2[[#This Row],[Final Design &amp; BOM(20 calendar days from site walk)]], TODAY())</f>
        <v>32751</v>
      </c>
      <c r="BC33" s="3"/>
      <c r="BD33" s="3">
        <f>WORKDAY(Table2[[#This Row],[Final Design &amp; BOM Forecast ]], 7)</f>
        <v>45868</v>
      </c>
      <c r="BE33" s="103">
        <f ca="1">NETWORKDAYS(Table2[[#This Row],[FM Request 2]], TODAY())</f>
        <v>32751</v>
      </c>
      <c r="BF33" s="3"/>
      <c r="BG33" s="3">
        <f>WORKDAY(Table2[[#This Row],[FM Request 2 Forecast]], 7)</f>
        <v>45877</v>
      </c>
      <c r="BH33" s="103"/>
      <c r="BI33" s="3"/>
      <c r="BJ33" s="3">
        <f>WORKDAY(Table2[[#This Row],[FM Review 2 Forecast]], 7)</f>
        <v>45888</v>
      </c>
      <c r="BK33" s="103">
        <f ca="1">NETWORKDAYS(Table2[[#This Row],[Tax Review]], TODAY())</f>
        <v>32751</v>
      </c>
      <c r="BL33" s="3"/>
      <c r="BM33" s="3">
        <f>WORKDAY(Table2[[#This Row],[Tax Review]], 7)</f>
        <v>10</v>
      </c>
      <c r="BN33" s="103">
        <f ca="1">NETWORKDAYS(Table2[[#This Row],[Tax Approval]], TODAY())</f>
        <v>32751</v>
      </c>
      <c r="BO33" s="3"/>
      <c r="BP33" s="3">
        <f>WORKDAY(Table2[[#This Row],[Tax Approval Forecast]], 7)</f>
        <v>19</v>
      </c>
      <c r="BQ33" s="103">
        <f ca="1">NETWORKDAYS(Table2[[#This Row],[Final proposal submission]], TODAY())</f>
        <v>32751</v>
      </c>
      <c r="BR33" s="3"/>
      <c r="BS33" s="3"/>
      <c r="BT33" s="3">
        <f>WORKDAY(Table2[[#This Row],[Final Proposal Submission Forecast]], 7)</f>
        <v>30</v>
      </c>
      <c r="BU33" s="103">
        <f ca="1">NETWORKDAYS(Table2[[#This Row],[BD submits proposal]], TODAY())</f>
        <v>32751</v>
      </c>
      <c r="BV33" s="3"/>
      <c r="BW33" s="3">
        <f>WORKDAY(Table2[[#This Row],[BD Submits Proposal Forecast]], 7)</f>
        <v>39</v>
      </c>
      <c r="BX33" s="103">
        <f ca="1">NETWORKDAYS(Table2[[#This Row],[Final Proposal Accepted]], TODAY())</f>
        <v>32751</v>
      </c>
      <c r="BY33" s="3"/>
      <c r="BZ33" s="3">
        <f>WORKDAY(Table2[[#This Row],[Final Proposal Accepted]], 90)</f>
        <v>125</v>
      </c>
      <c r="CA33" s="103">
        <f ca="1">NETWORKDAYS(Table2[[#This Row],[Legal Agreement]], TODAY())</f>
        <v>32751</v>
      </c>
      <c r="CB33" s="3"/>
      <c r="CC33" s="3">
        <f>WORKDAY(Table2[[#This Row],[Legal Agreement Forecast]], 10)</f>
        <v>139</v>
      </c>
      <c r="CD33" s="103">
        <f ca="1">NETWORKDAYS(Table2[[#This Row],[Executed Agreement]], TODAY())</f>
        <v>32751</v>
      </c>
      <c r="CE33" t="s">
        <v>91</v>
      </c>
      <c r="CF33" t="s">
        <v>155</v>
      </c>
      <c r="CG33" s="103"/>
      <c r="CH33" s="3"/>
      <c r="CI33" s="3">
        <f>WORKDAY(Table2[[#This Row],[Executed Agreement]], 7)</f>
        <v>10</v>
      </c>
      <c r="CJ33" s="103">
        <f ca="1">NETWORKDAYS(Table2[[#This Row],[A&amp;E Request]], TODAY())</f>
        <v>32751</v>
      </c>
      <c r="CL33" s="3">
        <f>WORKDAY(Table2[[#This Row],[A&amp;E Request Forecast]], 10)</f>
        <v>24</v>
      </c>
      <c r="CM33" s="103">
        <f ca="1">NETWORKDAYS(Table2[[#This Row],[A&amp;E receive]], TODAY())</f>
        <v>32751</v>
      </c>
      <c r="CO33" s="3">
        <f>WORKDAY(Table2[[#This Row],[FM Approval meeting ]], 10)</f>
        <v>13</v>
      </c>
      <c r="CP33" s="103">
        <f ca="1">NETWORKDAYS(Table2[[#This Row],[Budget Request]], TODAY())</f>
        <v>32751</v>
      </c>
      <c r="CR33" s="3">
        <f>WORKDAY(Table2[[#This Row],[Budget Request Forecast]], 7)</f>
        <v>24</v>
      </c>
      <c r="CS33" s="103">
        <f ca="1">NETWORKDAYS(Table2[[#This Row],[Budget Approval]], TODAY())</f>
        <v>32751</v>
      </c>
      <c r="CV33" s="3">
        <f>WORKDAY(Table2[[#This Row],[Budget Approval Forecast ]], 7)</f>
        <v>33</v>
      </c>
      <c r="CW33" s="103">
        <f ca="1">NETWORKDAYS(Table2[[#This Row],[PO Request for OEM ]], TODAY())</f>
        <v>32751</v>
      </c>
      <c r="CY33" s="3">
        <f>WORKDAY(Table2[[#This Row],[PO Request for OEM Forecast]], 10)</f>
        <v>47</v>
      </c>
      <c r="CZ33" s="103">
        <f ca="1">NETWORKDAYS(Table2[[#This Row],[PO Approval]], TODAY())</f>
        <v>32751</v>
      </c>
      <c r="DB33" s="3">
        <f>WORKDAY(Table2[[#This Row],[PO Approval Forecast]], 10)</f>
        <v>61</v>
      </c>
      <c r="DC33" s="103">
        <f ca="1">NETWORKDAYS(Table2[[#This Row],[backhaul ordered]], TODAY())</f>
        <v>32751</v>
      </c>
      <c r="DE33" s="3">
        <f>WORKDAY(Table2[[#This Row],[Backhaul Order Forecast]], 10)</f>
        <v>75</v>
      </c>
      <c r="DF33" s="103">
        <f ca="1">NETWORKDAYS(Table2[[#This Row],[RTP Request]], TODAY())</f>
        <v>32751</v>
      </c>
      <c r="DG33" s="3"/>
      <c r="DH33" s="3">
        <f>WORKDAY(Table2[[#This Row],[RTP Request Forecast]], 10)</f>
        <v>89</v>
      </c>
      <c r="DI33" s="103">
        <f ca="1">NETWORKDAYS(Table2[[#This Row],[RTP Approved]], TODAY())</f>
        <v>32751</v>
      </c>
      <c r="DK33" s="3">
        <f>WORKDAY(Table2[[#This Row],[RTP Approval Forecast ]], 7)</f>
        <v>100</v>
      </c>
      <c r="DL33" s="103">
        <f ca="1">NETWORKDAYS(Table2[[#This Row],[RFP Request]], TODAY())</f>
        <v>32751</v>
      </c>
      <c r="DN33" s="3">
        <f>WORKDAY(Table2[[#This Row],[RFP Request Forecast ]], 10)</f>
        <v>114</v>
      </c>
      <c r="DO33" s="103">
        <f ca="1">NETWORKDAYS(Table2[[#This Row],[RFP Received]], TODAY())</f>
        <v>32751</v>
      </c>
      <c r="DQ33" s="3">
        <f>WORKDAY(Table2[[#This Row],[RFP Received Forecast ]], 7)</f>
        <v>123</v>
      </c>
      <c r="DR33" s="103">
        <f ca="1">NETWORKDAYS(Table2[[#This Row],[PO for GC Request]], TODAY())</f>
        <v>32751</v>
      </c>
      <c r="DT33" s="3">
        <f>WORKDAY(Table2[[#This Row],[PO for GC Request Forecast ]], 7)</f>
        <v>132</v>
      </c>
      <c r="DU33" s="103">
        <f ca="1">NETWORKDAYS(Table2[[#This Row],[PO for GC Approved]], TODAY())</f>
        <v>32751</v>
      </c>
      <c r="DW33" s="3">
        <f>WORKDAY(Table2[[#This Row],[PO for GC Approval Forecast ]], 10)</f>
        <v>146</v>
      </c>
      <c r="DX33" s="103">
        <f ca="1">NETWORKDAYS(Table2[[#This Row],[Construction Start]], TODAY())</f>
        <v>32751</v>
      </c>
      <c r="DZ33" s="3">
        <f>WORKDAY(Table2[[#This Row],[Construction Start Forecast ]], 20)</f>
        <v>174</v>
      </c>
      <c r="EA33" s="103">
        <f ca="1">NETWORKDAYS(Table2[[#This Row],[Construction Complete]], TODAY())</f>
        <v>32751</v>
      </c>
      <c r="ED33" s="3">
        <f>WORKDAY(Table2[[#This Row],[Construction Complete Forecast ]], 10)</f>
        <v>188</v>
      </c>
      <c r="EE33" s="103">
        <f ca="1">NETWORKDAYS(Table2[[#This Row],[Integration Start]], TODAY())</f>
        <v>32751</v>
      </c>
      <c r="EF33" s="3"/>
      <c r="EG33" s="3">
        <f>WORKDAY(Table2[[#This Row],[Integration Start Forecast ]], 10)</f>
        <v>202</v>
      </c>
      <c r="EH33" s="103">
        <f ca="1">NETWORKDAYS(Table2[[#This Row],[Integration Complete]], TODAY())</f>
        <v>32751</v>
      </c>
      <c r="EJ33" s="3">
        <f>WORKDAY(Table2[[#This Row],[Integration Complete Forecast ]], 10)</f>
        <v>216</v>
      </c>
      <c r="EK33" s="103">
        <f ca="1">NETWORKDAYS(Table2[[#This Row],[Close Out Package(2weeks from integration complete]], TODAY())</f>
        <v>32751</v>
      </c>
      <c r="EM33" s="3">
        <f>WORKDAY(Table2[[#This Row],[Close Out Package Forecast ]], 10)</f>
        <v>230</v>
      </c>
      <c r="EN33" s="103">
        <f ca="1">NETWORKDAYS(Table2[[#This Row],[Acceptance testing 2 weeks from close out package)]], TODAY())</f>
        <v>32751</v>
      </c>
      <c r="EP33" s="3">
        <f>WORKDAY(Table2[[#This Row],[Acceptance Testing Forecast ]], 20)</f>
        <v>258</v>
      </c>
      <c r="EQ33" s="103">
        <f ca="1">NETWORKDAYS(Table2[[#This Row],[Customer acceptance(1 month after acceptance testing)]], TODAY())</f>
        <v>32751</v>
      </c>
      <c r="ES33" s="3">
        <f>WORKDAY(Table2[[#This Row],[Customer Acceptance Forecast ]], 5)</f>
        <v>265</v>
      </c>
      <c r="ET33" s="103">
        <f ca="1">NETWORKDAYS(Table2[[#This Row],[Operations handoff(1 week after customer acceptance)]], TODAY())</f>
        <v>32751</v>
      </c>
      <c r="EU33" s="3"/>
      <c r="EV33" s="3">
        <f>WORKDAY(Table2[[#This Row],[Operations Handoff Forecast ]], 7)</f>
        <v>276</v>
      </c>
      <c r="EW33" s="103">
        <f ca="1">NETWORKDAYS(Table2[[#This Row],[FNE Date]], TODAY())</f>
        <v>32751</v>
      </c>
      <c r="EX33" s="3"/>
      <c r="EY33" s="3">
        <f>WORKDAY(Table2[[#This Row],[FNE Date Forecast ]], 7)</f>
        <v>285</v>
      </c>
      <c r="EZ33" s="103">
        <f ca="1">NETWORKDAYS(Table2[[#This Row],[FNE Notice]], TODAY())</f>
        <v>32751</v>
      </c>
      <c r="FA33" s="3"/>
      <c r="FB33" s="3"/>
    </row>
    <row r="34" spans="1:158" x14ac:dyDescent="0.25">
      <c r="A34" t="s">
        <v>148</v>
      </c>
      <c r="B34" t="s">
        <v>25</v>
      </c>
      <c r="C34" t="s">
        <v>159</v>
      </c>
      <c r="D34" s="103"/>
      <c r="E34" t="s">
        <v>74</v>
      </c>
      <c r="H34" t="s">
        <v>75</v>
      </c>
      <c r="I34">
        <v>313</v>
      </c>
      <c r="J34" s="3">
        <v>45790</v>
      </c>
      <c r="K34" s="3">
        <f>J34+16</f>
        <v>45806</v>
      </c>
      <c r="L34" s="3">
        <v>45775</v>
      </c>
      <c r="M34" s="3">
        <f>WORKDAY(Table2[[#This Row],[Kickoff date]], 7)</f>
        <v>45817</v>
      </c>
      <c r="N34" s="104">
        <f ca="1">NETWORKDAYS(Table2[[#This Row],[ROM Request]], TODAY())</f>
        <v>56</v>
      </c>
      <c r="O34" s="3">
        <v>45783</v>
      </c>
      <c r="P34" s="3">
        <f>WORKDAY(Table2[[#This Row],[ROM Request]], 10)</f>
        <v>45789</v>
      </c>
      <c r="Q34" s="104">
        <f ca="1">NETWORKDAYS(Table2[[#This Row],[ROM Receive]], TODAY())</f>
        <v>50</v>
      </c>
      <c r="R34" s="3">
        <v>45775</v>
      </c>
      <c r="S34" s="3">
        <f>WORKDAY(Table2[[#This Row],[ROM Receive Forecast]], 15)</f>
        <v>45810</v>
      </c>
      <c r="T34" s="104">
        <f ca="1">NETWORKDAYS(Table2[[#This Row],[Backhaul Cost Request]], TODAY())</f>
        <v>56</v>
      </c>
      <c r="U34" s="3">
        <v>45786</v>
      </c>
      <c r="V34" s="3">
        <f>WORKDAY(Table2[[#This Row],[Backhaul Cost Request Forecast]], 15)</f>
        <v>45831</v>
      </c>
      <c r="W34" s="104">
        <f ca="1">NETWORKDAYS(Table2[[#This Row],[Backhaul Cost Receive]], TODAY())</f>
        <v>47</v>
      </c>
      <c r="X34" s="3">
        <f>Table2[[#This Row],[Kickoff date]]</f>
        <v>45806</v>
      </c>
      <c r="Y34" s="3">
        <f>WORKDAY(Table2[[#This Row],[Backhaul Cost Request Forecast]], 7)</f>
        <v>45819</v>
      </c>
      <c r="Z34" s="104">
        <f ca="1">NETWORKDAYS(Table2[[#This Row],[OSP Request]], TODAY())</f>
        <v>33</v>
      </c>
      <c r="AA34" s="3">
        <v>45783</v>
      </c>
      <c r="AB34" s="3">
        <f>WORKDAY(Table2[[#This Row],[OSP Request Forecast]], 10)</f>
        <v>45833</v>
      </c>
      <c r="AC34" s="104">
        <f ca="1">NETWORKDAYS(Table2[[#This Row],[OSP Receive]], TODAY())</f>
        <v>50</v>
      </c>
      <c r="AD34" s="3">
        <f>Table2[[#This Row],[Kickoff date]]</f>
        <v>45806</v>
      </c>
      <c r="AE34" s="3">
        <f>WORKDAY(Table2[[#This Row],[Kickoff date]], 7)</f>
        <v>45817</v>
      </c>
      <c r="AF34" s="104">
        <f ca="1">NETWORKDAYS(Table2[[#This Row],[FM Request]], TODAY())</f>
        <v>33</v>
      </c>
      <c r="AG34" s="3"/>
      <c r="AH34" s="3">
        <f>WORKDAY(Table2[[#This Row],[FM Request Forecast ]], 2)</f>
        <v>45819</v>
      </c>
      <c r="AI34" s="104">
        <f ca="1">NETWORKDAYS(Table2[[#This Row],[FM receive]], TODAY())</f>
        <v>32751</v>
      </c>
      <c r="AJ34" s="3"/>
      <c r="AK34" s="3">
        <f>WORKDAY(Table2[[#This Row],[FM Receive Forecast ]], 2)</f>
        <v>45821</v>
      </c>
      <c r="AM34" s="3">
        <f>K34+13</f>
        <v>45819</v>
      </c>
      <c r="AN34" s="3"/>
      <c r="AO34" s="3">
        <f>WORKDAY(Table2[[#This Row],[1-pager Submission to BD]], 7)</f>
        <v>45828</v>
      </c>
      <c r="AP34" s="103">
        <f ca="1">IF(ISBLANK(Table2[[#This Row],[Firm Pricing request]]), NETWORKDAYS(Table2[[#This Row],[Proposal Accepted]], TODAY()), NETWORKDAYS(Table2[[#This Row],[Proposal Accepted]], Table2[[#This Row],[Firm Pricing request]]))</f>
        <v>32751</v>
      </c>
      <c r="AQ34" s="3"/>
      <c r="AR34" s="3">
        <f>WORKDAY(Table2[[#This Row],[Proposal Acceptance Forecast]], 7)</f>
        <v>45839</v>
      </c>
      <c r="AS34" s="103">
        <f ca="1">NETWORKDAYS(Table2[[#This Row],[Firm Pricing request]], TODAY())</f>
        <v>32751</v>
      </c>
      <c r="AT34" s="3"/>
      <c r="AU34" s="3">
        <f>WORKDAY(Table2[[#This Row],[Firm Pricing Request Forecast]], 7)</f>
        <v>45848</v>
      </c>
      <c r="AV34" s="103">
        <f ca="1">NETWORKDAYS(Table2[[#This Row],[Site Walk]], TODAY())</f>
        <v>32751</v>
      </c>
      <c r="AW34" s="3"/>
      <c r="AX34" s="3">
        <f>WORKDAY(Table2[[#This Row],[Site Walk Forecast]], 7)</f>
        <v>45859</v>
      </c>
      <c r="AY34" s="103">
        <f ca="1">NETWORKDAYS(Table2[[#This Row],[Firm Quote Receival]], TODAY())</f>
        <v>32751</v>
      </c>
      <c r="AZ34" s="3"/>
      <c r="BA34" s="3">
        <f>WORKDAY(Table2[[#This Row],[Firm Quote Receival Forecast ]], 7)</f>
        <v>45868</v>
      </c>
      <c r="BB34" s="103">
        <f ca="1">NETWORKDAYS(Table2[[#This Row],[Final Design &amp; BOM(20 calendar days from site walk)]], TODAY())</f>
        <v>32751</v>
      </c>
      <c r="BC34" s="3"/>
      <c r="BD34" s="3">
        <f>WORKDAY(Table2[[#This Row],[Final Design &amp; BOM Forecast ]], 7)</f>
        <v>45877</v>
      </c>
      <c r="BE34" s="103">
        <f ca="1">NETWORKDAYS(Table2[[#This Row],[FM Request 2]], TODAY())</f>
        <v>32751</v>
      </c>
      <c r="BF34" s="3"/>
      <c r="BG34" s="3">
        <f>WORKDAY(Table2[[#This Row],[FM Request 2 Forecast]], 7)</f>
        <v>45888</v>
      </c>
      <c r="BH34" s="103"/>
      <c r="BI34" s="3"/>
      <c r="BJ34" s="3">
        <f>WORKDAY(Table2[[#This Row],[FM Review 2 Forecast]], 7)</f>
        <v>45897</v>
      </c>
      <c r="BK34" s="103">
        <f ca="1">NETWORKDAYS(Table2[[#This Row],[Tax Review]], TODAY())</f>
        <v>32751</v>
      </c>
      <c r="BL34" s="3"/>
      <c r="BM34" s="3">
        <f>WORKDAY(Table2[[#This Row],[Tax Review]], 7)</f>
        <v>10</v>
      </c>
      <c r="BN34" s="103">
        <f ca="1">NETWORKDAYS(Table2[[#This Row],[Tax Approval]], TODAY())</f>
        <v>32751</v>
      </c>
      <c r="BO34" s="3"/>
      <c r="BP34" s="3">
        <f>WORKDAY(Table2[[#This Row],[Tax Approval Forecast]], 7)</f>
        <v>19</v>
      </c>
      <c r="BQ34" s="103">
        <f ca="1">NETWORKDAYS(Table2[[#This Row],[Final proposal submission]], TODAY())</f>
        <v>32751</v>
      </c>
      <c r="BR34" s="3"/>
      <c r="BS34" s="3"/>
      <c r="BT34" s="3">
        <f>WORKDAY(Table2[[#This Row],[Final Proposal Submission Forecast]], 7)</f>
        <v>30</v>
      </c>
      <c r="BU34" s="103">
        <f ca="1">NETWORKDAYS(Table2[[#This Row],[BD submits proposal]], TODAY())</f>
        <v>32751</v>
      </c>
      <c r="BV34" s="3"/>
      <c r="BW34" s="3">
        <f>WORKDAY(Table2[[#This Row],[BD Submits Proposal Forecast]], 7)</f>
        <v>39</v>
      </c>
      <c r="BX34" s="103">
        <f ca="1">NETWORKDAYS(Table2[[#This Row],[Final Proposal Accepted]], TODAY())</f>
        <v>32751</v>
      </c>
      <c r="BY34" s="3"/>
      <c r="BZ34" s="3">
        <f>WORKDAY(Table2[[#This Row],[Final Proposal Accepted]], 90)</f>
        <v>125</v>
      </c>
      <c r="CA34" s="103">
        <f ca="1">NETWORKDAYS(Table2[[#This Row],[Legal Agreement]], TODAY())</f>
        <v>32751</v>
      </c>
      <c r="CB34" s="3"/>
      <c r="CC34" s="3">
        <f>WORKDAY(Table2[[#This Row],[Legal Agreement Forecast]], 10)</f>
        <v>139</v>
      </c>
      <c r="CD34" s="103">
        <f ca="1">NETWORKDAYS(Table2[[#This Row],[Executed Agreement]], TODAY())</f>
        <v>32751</v>
      </c>
      <c r="CE34" t="s">
        <v>91</v>
      </c>
      <c r="CF34" t="s">
        <v>160</v>
      </c>
      <c r="CG34" s="103"/>
      <c r="CH34" s="3"/>
      <c r="CI34" s="3">
        <f>WORKDAY(Table2[[#This Row],[Executed Agreement]], 7)</f>
        <v>10</v>
      </c>
      <c r="CJ34" s="103">
        <f ca="1">NETWORKDAYS(Table2[[#This Row],[A&amp;E Request]], TODAY())</f>
        <v>32751</v>
      </c>
      <c r="CL34" s="3">
        <f>WORKDAY(Table2[[#This Row],[A&amp;E Request Forecast]], 10)</f>
        <v>24</v>
      </c>
      <c r="CM34" s="103">
        <f ca="1">NETWORKDAYS(Table2[[#This Row],[A&amp;E receive]], TODAY())</f>
        <v>32751</v>
      </c>
      <c r="CO34" s="3">
        <f>WORKDAY(Table2[[#This Row],[FM Approval meeting ]], 10)</f>
        <v>13</v>
      </c>
      <c r="CP34" s="103">
        <f ca="1">NETWORKDAYS(Table2[[#This Row],[Budget Request]], TODAY())</f>
        <v>32751</v>
      </c>
      <c r="CR34" s="3">
        <f>WORKDAY(Table2[[#This Row],[Budget Request Forecast]], 7)</f>
        <v>24</v>
      </c>
      <c r="CS34" s="103">
        <f ca="1">NETWORKDAYS(Table2[[#This Row],[Budget Approval]], TODAY())</f>
        <v>32751</v>
      </c>
      <c r="CV34" s="3">
        <f>WORKDAY(Table2[[#This Row],[Budget Approval Forecast ]], 7)</f>
        <v>33</v>
      </c>
      <c r="CW34" s="103">
        <f ca="1">NETWORKDAYS(Table2[[#This Row],[PO Request for OEM ]], TODAY())</f>
        <v>32751</v>
      </c>
      <c r="CY34" s="3">
        <f>WORKDAY(Table2[[#This Row],[PO Request for OEM Forecast]], 10)</f>
        <v>47</v>
      </c>
      <c r="CZ34" s="103">
        <f ca="1">NETWORKDAYS(Table2[[#This Row],[PO Approval]], TODAY())</f>
        <v>32751</v>
      </c>
      <c r="DB34" s="3">
        <f>WORKDAY(Table2[[#This Row],[PO Approval Forecast]], 10)</f>
        <v>61</v>
      </c>
      <c r="DC34" s="103">
        <f ca="1">NETWORKDAYS(Table2[[#This Row],[backhaul ordered]], TODAY())</f>
        <v>32751</v>
      </c>
      <c r="DE34" s="3">
        <f>WORKDAY(Table2[[#This Row],[Backhaul Order Forecast]], 10)</f>
        <v>75</v>
      </c>
      <c r="DF34" s="103">
        <f ca="1">NETWORKDAYS(Table2[[#This Row],[RTP Request]], TODAY())</f>
        <v>32751</v>
      </c>
      <c r="DG34" s="3"/>
      <c r="DH34" s="3">
        <f>WORKDAY(Table2[[#This Row],[RTP Request Forecast]], 10)</f>
        <v>89</v>
      </c>
      <c r="DI34" s="103">
        <f ca="1">NETWORKDAYS(Table2[[#This Row],[RTP Approved]], TODAY())</f>
        <v>32751</v>
      </c>
      <c r="DK34" s="3">
        <f>WORKDAY(Table2[[#This Row],[RTP Approval Forecast ]], 7)</f>
        <v>100</v>
      </c>
      <c r="DL34" s="103">
        <f ca="1">NETWORKDAYS(Table2[[#This Row],[RFP Request]], TODAY())</f>
        <v>32751</v>
      </c>
      <c r="DN34" s="3">
        <f>WORKDAY(Table2[[#This Row],[RFP Request Forecast ]], 10)</f>
        <v>114</v>
      </c>
      <c r="DO34" s="103">
        <f ca="1">NETWORKDAYS(Table2[[#This Row],[RFP Received]], TODAY())</f>
        <v>32751</v>
      </c>
      <c r="DQ34" s="3">
        <f>WORKDAY(Table2[[#This Row],[RFP Received Forecast ]], 7)</f>
        <v>123</v>
      </c>
      <c r="DR34" s="103">
        <f ca="1">NETWORKDAYS(Table2[[#This Row],[PO for GC Request]], TODAY())</f>
        <v>32751</v>
      </c>
      <c r="DT34" s="3">
        <f>WORKDAY(Table2[[#This Row],[PO for GC Request Forecast ]], 7)</f>
        <v>132</v>
      </c>
      <c r="DU34" s="103">
        <f ca="1">NETWORKDAYS(Table2[[#This Row],[PO for GC Approved]], TODAY())</f>
        <v>32751</v>
      </c>
      <c r="DW34" s="3">
        <f>WORKDAY(Table2[[#This Row],[PO for GC Approval Forecast ]], 10)</f>
        <v>146</v>
      </c>
      <c r="DX34" s="103">
        <f ca="1">NETWORKDAYS(Table2[[#This Row],[Construction Start]], TODAY())</f>
        <v>32751</v>
      </c>
      <c r="DZ34" s="3">
        <f>WORKDAY(Table2[[#This Row],[Construction Start Forecast ]], 20)</f>
        <v>174</v>
      </c>
      <c r="EA34" s="103">
        <f ca="1">NETWORKDAYS(Table2[[#This Row],[Construction Complete]], TODAY())</f>
        <v>32751</v>
      </c>
      <c r="ED34" s="3">
        <f>WORKDAY(Table2[[#This Row],[Construction Complete Forecast ]], 10)</f>
        <v>188</v>
      </c>
      <c r="EE34" s="103">
        <f ca="1">NETWORKDAYS(Table2[[#This Row],[Integration Start]], TODAY())</f>
        <v>32751</v>
      </c>
      <c r="EF34" s="3"/>
      <c r="EG34" s="3">
        <f>WORKDAY(Table2[[#This Row],[Integration Start Forecast ]], 10)</f>
        <v>202</v>
      </c>
      <c r="EH34" s="103">
        <f ca="1">NETWORKDAYS(Table2[[#This Row],[Integration Complete]], TODAY())</f>
        <v>32751</v>
      </c>
      <c r="EJ34" s="3">
        <f>WORKDAY(Table2[[#This Row],[Integration Complete Forecast ]], 10)</f>
        <v>216</v>
      </c>
      <c r="EK34" s="103">
        <f ca="1">NETWORKDAYS(Table2[[#This Row],[Close Out Package(2weeks from integration complete]], TODAY())</f>
        <v>32751</v>
      </c>
      <c r="EM34" s="3">
        <f>WORKDAY(Table2[[#This Row],[Close Out Package Forecast ]], 10)</f>
        <v>230</v>
      </c>
      <c r="EN34" s="103">
        <f ca="1">NETWORKDAYS(Table2[[#This Row],[Acceptance testing 2 weeks from close out package)]], TODAY())</f>
        <v>32751</v>
      </c>
      <c r="EP34" s="3">
        <f>WORKDAY(Table2[[#This Row],[Acceptance Testing Forecast ]], 20)</f>
        <v>258</v>
      </c>
      <c r="EQ34" s="103">
        <f ca="1">NETWORKDAYS(Table2[[#This Row],[Customer acceptance(1 month after acceptance testing)]], TODAY())</f>
        <v>32751</v>
      </c>
      <c r="ES34" s="3">
        <f>WORKDAY(Table2[[#This Row],[Customer Acceptance Forecast ]], 5)</f>
        <v>265</v>
      </c>
      <c r="ET34" s="103">
        <f ca="1">NETWORKDAYS(Table2[[#This Row],[Operations handoff(1 week after customer acceptance)]], TODAY())</f>
        <v>32751</v>
      </c>
      <c r="EU34" s="3" t="s">
        <v>93</v>
      </c>
      <c r="EV34" s="3">
        <f>WORKDAY(Table2[[#This Row],[Operations Handoff Forecast ]], 7)</f>
        <v>276</v>
      </c>
      <c r="EW34" s="103" t="e">
        <f ca="1">NETWORKDAYS(Table2[[#This Row],[FNE Date]], TODAY())</f>
        <v>#VALUE!</v>
      </c>
      <c r="EX34" s="3"/>
      <c r="EY34" s="3">
        <f>WORKDAY(Table2[[#This Row],[FNE Date Forecast ]], 7)</f>
        <v>285</v>
      </c>
      <c r="EZ34" s="103">
        <f ca="1">NETWORKDAYS(Table2[[#This Row],[FNE Notice]], TODAY())</f>
        <v>32751</v>
      </c>
      <c r="FA34" s="3"/>
      <c r="FB34" s="3"/>
    </row>
    <row r="35" spans="1:158" x14ac:dyDescent="0.25">
      <c r="A35" t="s">
        <v>101</v>
      </c>
      <c r="B35" t="s">
        <v>173</v>
      </c>
      <c r="C35" t="s">
        <v>174</v>
      </c>
      <c r="D35" s="103"/>
      <c r="E35" t="s">
        <v>74</v>
      </c>
      <c r="H35" t="s">
        <v>105</v>
      </c>
      <c r="I35">
        <v>54</v>
      </c>
      <c r="J35" s="3">
        <v>45794</v>
      </c>
      <c r="K35" s="3">
        <f>J35+20</f>
        <v>45814</v>
      </c>
      <c r="L35" s="3">
        <v>45769</v>
      </c>
      <c r="M35" s="3">
        <f>WORKDAY(Table2[[#This Row],[Kickoff date]], 7)</f>
        <v>45825</v>
      </c>
      <c r="N35" s="104">
        <f ca="1">NETWORKDAYS(Table2[[#This Row],[ROM Request]], TODAY())</f>
        <v>60</v>
      </c>
      <c r="O35" s="3">
        <f>L35+7</f>
        <v>45776</v>
      </c>
      <c r="P35" s="3">
        <f>WORKDAY(Table2[[#This Row],[ROM Request]], 10)</f>
        <v>45783</v>
      </c>
      <c r="Q35" s="104">
        <f ca="1">NETWORKDAYS(Table2[[#This Row],[ROM Receive]], TODAY())</f>
        <v>55</v>
      </c>
      <c r="R35" s="3">
        <v>45778</v>
      </c>
      <c r="S35" s="3">
        <f>WORKDAY(Table2[[#This Row],[ROM Receive Forecast]], 15)</f>
        <v>45804</v>
      </c>
      <c r="T35" s="104">
        <f ca="1">NETWORKDAYS(Table2[[#This Row],[Backhaul Cost Request]], TODAY())</f>
        <v>53</v>
      </c>
      <c r="U35" s="3">
        <f>R35+21</f>
        <v>45799</v>
      </c>
      <c r="V35" s="3">
        <f>WORKDAY(Table2[[#This Row],[Backhaul Cost Request Forecast]], 15)</f>
        <v>45825</v>
      </c>
      <c r="W35" s="104">
        <f ca="1">NETWORKDAYS(Table2[[#This Row],[Backhaul Cost Receive]], TODAY())</f>
        <v>38</v>
      </c>
      <c r="X35" s="3">
        <f>Table2[[#This Row],[Kickoff date]]</f>
        <v>45814</v>
      </c>
      <c r="Y35" s="3">
        <f>WORKDAY(Table2[[#This Row],[Backhaul Cost Request Forecast]], 7)</f>
        <v>45813</v>
      </c>
      <c r="Z35" s="104">
        <f ca="1">NETWORKDAYS(Table2[[#This Row],[OSP Request]], TODAY())</f>
        <v>27</v>
      </c>
      <c r="AA35" s="3">
        <v>45770</v>
      </c>
      <c r="AB35" s="3">
        <f>WORKDAY(Table2[[#This Row],[OSP Request Forecast]], 10)</f>
        <v>45827</v>
      </c>
      <c r="AC35" s="104">
        <f ca="1">NETWORKDAYS(Table2[[#This Row],[OSP Receive]], TODAY())</f>
        <v>59</v>
      </c>
      <c r="AD35" s="3">
        <f>Table2[[#This Row],[Kickoff date]]</f>
        <v>45814</v>
      </c>
      <c r="AE35" s="3">
        <f>WORKDAY(Table2[[#This Row],[Kickoff date]], 7)</f>
        <v>45825</v>
      </c>
      <c r="AF35" s="104">
        <f ca="1">NETWORKDAYS(Table2[[#This Row],[FM Request]], TODAY())</f>
        <v>27</v>
      </c>
      <c r="AG35" s="3"/>
      <c r="AH35" s="3">
        <f>WORKDAY(Table2[[#This Row],[FM Request Forecast ]], 2)</f>
        <v>45827</v>
      </c>
      <c r="AI35" s="104">
        <f ca="1">NETWORKDAYS(Table2[[#This Row],[FM receive]], TODAY())</f>
        <v>32751</v>
      </c>
      <c r="AJ35" s="3"/>
      <c r="AK35" s="3">
        <f>WORKDAY(Table2[[#This Row],[FM Receive Forecast ]], 2)</f>
        <v>45831</v>
      </c>
      <c r="AM35" s="3">
        <f>K35+19</f>
        <v>45833</v>
      </c>
      <c r="AN35" s="3"/>
      <c r="AO35" s="3">
        <f>WORKDAY(Table2[[#This Row],[1-pager Submission to BD]], 7)</f>
        <v>45842</v>
      </c>
      <c r="AP35" s="103">
        <f ca="1">IF(ISBLANK(Table2[[#This Row],[Firm Pricing request]]), NETWORKDAYS(Table2[[#This Row],[Proposal Accepted]], TODAY()), NETWORKDAYS(Table2[[#This Row],[Proposal Accepted]], Table2[[#This Row],[Firm Pricing request]]))</f>
        <v>32751</v>
      </c>
      <c r="AQ35" s="3"/>
      <c r="AR35" s="3">
        <f>WORKDAY(Table2[[#This Row],[Proposal Acceptance Forecast]], 7)</f>
        <v>45853</v>
      </c>
      <c r="AS35" s="103">
        <f ca="1">NETWORKDAYS(Table2[[#This Row],[Firm Pricing request]], TODAY())</f>
        <v>32751</v>
      </c>
      <c r="AT35" s="3"/>
      <c r="AU35" s="3">
        <f>WORKDAY(Table2[[#This Row],[Firm Pricing Request Forecast]], 7)</f>
        <v>45862</v>
      </c>
      <c r="AV35" s="103">
        <f ca="1">NETWORKDAYS(Table2[[#This Row],[Site Walk]], TODAY())</f>
        <v>32751</v>
      </c>
      <c r="AW35" s="3"/>
      <c r="AX35" s="3">
        <f>WORKDAY(Table2[[#This Row],[Site Walk Forecast]], 7)</f>
        <v>45873</v>
      </c>
      <c r="AY35" s="103">
        <f ca="1">NETWORKDAYS(Table2[[#This Row],[Firm Quote Receival]], TODAY())</f>
        <v>32751</v>
      </c>
      <c r="AZ35" s="3"/>
      <c r="BA35" s="3">
        <f>WORKDAY(Table2[[#This Row],[Firm Quote Receival Forecast ]], 7)</f>
        <v>45882</v>
      </c>
      <c r="BB35" s="103">
        <f ca="1">NETWORKDAYS(Table2[[#This Row],[Final Design &amp; BOM(20 calendar days from site walk)]], TODAY())</f>
        <v>32751</v>
      </c>
      <c r="BC35" s="3"/>
      <c r="BD35" s="3">
        <f>WORKDAY(Table2[[#This Row],[Final Design &amp; BOM Forecast ]], 7)</f>
        <v>45891</v>
      </c>
      <c r="BE35" s="103">
        <f ca="1">NETWORKDAYS(Table2[[#This Row],[FM Request 2]], TODAY())</f>
        <v>32751</v>
      </c>
      <c r="BF35" s="3"/>
      <c r="BG35" s="3">
        <f>WORKDAY(Table2[[#This Row],[FM Request 2 Forecast]], 7)</f>
        <v>45902</v>
      </c>
      <c r="BH35" s="103"/>
      <c r="BI35" s="3"/>
      <c r="BJ35" s="3">
        <f>WORKDAY(Table2[[#This Row],[FM Review 2 Forecast]], 7)</f>
        <v>45911</v>
      </c>
      <c r="BK35" s="103">
        <f ca="1">NETWORKDAYS(Table2[[#This Row],[Tax Review]], TODAY())</f>
        <v>32751</v>
      </c>
      <c r="BL35" s="3"/>
      <c r="BM35" s="3">
        <f>WORKDAY(Table2[[#This Row],[Tax Review]], 7)</f>
        <v>10</v>
      </c>
      <c r="BN35" s="103">
        <f ca="1">NETWORKDAYS(Table2[[#This Row],[Tax Approval]], TODAY())</f>
        <v>32751</v>
      </c>
      <c r="BO35" s="3"/>
      <c r="BP35" s="3">
        <f>WORKDAY(Table2[[#This Row],[Tax Approval Forecast]], 7)</f>
        <v>19</v>
      </c>
      <c r="BQ35" s="103">
        <f ca="1">NETWORKDAYS(Table2[[#This Row],[Final proposal submission]], TODAY())</f>
        <v>32751</v>
      </c>
      <c r="BR35" s="3"/>
      <c r="BS35" s="3"/>
      <c r="BT35" s="3">
        <f>WORKDAY(Table2[[#This Row],[Final Proposal Submission Forecast]], 7)</f>
        <v>30</v>
      </c>
      <c r="BU35" s="103">
        <f ca="1">NETWORKDAYS(Table2[[#This Row],[BD submits proposal]], TODAY())</f>
        <v>32751</v>
      </c>
      <c r="BV35" s="3"/>
      <c r="BW35" s="3">
        <f>WORKDAY(Table2[[#This Row],[BD Submits Proposal Forecast]], 7)</f>
        <v>39</v>
      </c>
      <c r="BX35" s="103">
        <f ca="1">NETWORKDAYS(Table2[[#This Row],[Final Proposal Accepted]], TODAY())</f>
        <v>32751</v>
      </c>
      <c r="BY35" s="3"/>
      <c r="BZ35" s="3">
        <f>WORKDAY(Table2[[#This Row],[Final Proposal Accepted]], 90)</f>
        <v>125</v>
      </c>
      <c r="CA35" s="103">
        <f ca="1">NETWORKDAYS(Table2[[#This Row],[Legal Agreement]], TODAY())</f>
        <v>32751</v>
      </c>
      <c r="CB35" s="3"/>
      <c r="CC35" s="3">
        <f>WORKDAY(Table2[[#This Row],[Legal Agreement Forecast]], 10)</f>
        <v>139</v>
      </c>
      <c r="CD35" s="103">
        <f ca="1">NETWORKDAYS(Table2[[#This Row],[Executed Agreement]], TODAY())</f>
        <v>32751</v>
      </c>
      <c r="CE35" t="s">
        <v>91</v>
      </c>
      <c r="CF35" t="s">
        <v>175</v>
      </c>
      <c r="CG35" s="103"/>
      <c r="CH35" s="3"/>
      <c r="CI35" s="3">
        <f>WORKDAY(Table2[[#This Row],[Executed Agreement]], 7)</f>
        <v>10</v>
      </c>
      <c r="CJ35" s="103">
        <f ca="1">NETWORKDAYS(Table2[[#This Row],[A&amp;E Request]], TODAY())</f>
        <v>32751</v>
      </c>
      <c r="CL35" s="3">
        <f>WORKDAY(Table2[[#This Row],[A&amp;E Request Forecast]], 10)</f>
        <v>24</v>
      </c>
      <c r="CM35" s="103">
        <f ca="1">NETWORKDAYS(Table2[[#This Row],[A&amp;E receive]], TODAY())</f>
        <v>32751</v>
      </c>
      <c r="CO35" s="3">
        <f>WORKDAY(Table2[[#This Row],[FM Approval meeting ]], 10)</f>
        <v>13</v>
      </c>
      <c r="CP35" s="103">
        <f ca="1">NETWORKDAYS(Table2[[#This Row],[Budget Request]], TODAY())</f>
        <v>32751</v>
      </c>
      <c r="CR35" s="3">
        <f>WORKDAY(Table2[[#This Row],[Budget Request Forecast]], 7)</f>
        <v>24</v>
      </c>
      <c r="CS35" s="103">
        <f ca="1">NETWORKDAYS(Table2[[#This Row],[Budget Approval]], TODAY())</f>
        <v>32751</v>
      </c>
      <c r="CV35" s="3">
        <f>WORKDAY(Table2[[#This Row],[Budget Approval Forecast ]], 7)</f>
        <v>33</v>
      </c>
      <c r="CW35" s="103">
        <f ca="1">NETWORKDAYS(Table2[[#This Row],[PO Request for OEM ]], TODAY())</f>
        <v>32751</v>
      </c>
      <c r="CY35" s="3">
        <f>WORKDAY(Table2[[#This Row],[PO Request for OEM Forecast]], 10)</f>
        <v>47</v>
      </c>
      <c r="CZ35" s="103">
        <f ca="1">NETWORKDAYS(Table2[[#This Row],[PO Approval]], TODAY())</f>
        <v>32751</v>
      </c>
      <c r="DB35" s="3">
        <f>WORKDAY(Table2[[#This Row],[PO Approval Forecast]], 10)</f>
        <v>61</v>
      </c>
      <c r="DC35" s="103">
        <f ca="1">NETWORKDAYS(Table2[[#This Row],[backhaul ordered]], TODAY())</f>
        <v>32751</v>
      </c>
      <c r="DE35" s="3">
        <f>WORKDAY(Table2[[#This Row],[Backhaul Order Forecast]], 10)</f>
        <v>75</v>
      </c>
      <c r="DF35" s="103">
        <f ca="1">NETWORKDAYS(Table2[[#This Row],[RTP Request]], TODAY())</f>
        <v>32751</v>
      </c>
      <c r="DG35" s="3"/>
      <c r="DH35" s="3">
        <f>WORKDAY(Table2[[#This Row],[RTP Request Forecast]], 10)</f>
        <v>89</v>
      </c>
      <c r="DI35" s="103">
        <f ca="1">NETWORKDAYS(Table2[[#This Row],[RTP Approved]], TODAY())</f>
        <v>32751</v>
      </c>
      <c r="DK35" s="3">
        <f>WORKDAY(Table2[[#This Row],[RTP Approval Forecast ]], 7)</f>
        <v>100</v>
      </c>
      <c r="DL35" s="103">
        <f ca="1">NETWORKDAYS(Table2[[#This Row],[RFP Request]], TODAY())</f>
        <v>32751</v>
      </c>
      <c r="DN35" s="3">
        <f>WORKDAY(Table2[[#This Row],[RFP Request Forecast ]], 10)</f>
        <v>114</v>
      </c>
      <c r="DO35" s="103">
        <f ca="1">NETWORKDAYS(Table2[[#This Row],[RFP Received]], TODAY())</f>
        <v>32751</v>
      </c>
      <c r="DQ35" s="3">
        <f>WORKDAY(Table2[[#This Row],[RFP Received Forecast ]], 7)</f>
        <v>123</v>
      </c>
      <c r="DR35" s="103">
        <f ca="1">NETWORKDAYS(Table2[[#This Row],[PO for GC Request]], TODAY())</f>
        <v>32751</v>
      </c>
      <c r="DT35" s="3">
        <f>WORKDAY(Table2[[#This Row],[PO for GC Request Forecast ]], 7)</f>
        <v>132</v>
      </c>
      <c r="DU35" s="103">
        <f ca="1">NETWORKDAYS(Table2[[#This Row],[PO for GC Approved]], TODAY())</f>
        <v>32751</v>
      </c>
      <c r="DW35" s="3">
        <f>WORKDAY(Table2[[#This Row],[PO for GC Approval Forecast ]], 10)</f>
        <v>146</v>
      </c>
      <c r="DX35" s="103">
        <f ca="1">NETWORKDAYS(Table2[[#This Row],[Construction Start]], TODAY())</f>
        <v>32751</v>
      </c>
      <c r="DZ35" s="3">
        <f>WORKDAY(Table2[[#This Row],[Construction Start Forecast ]], 20)</f>
        <v>174</v>
      </c>
      <c r="EA35" s="103">
        <f ca="1">NETWORKDAYS(Table2[[#This Row],[Construction Complete]], TODAY())</f>
        <v>32751</v>
      </c>
      <c r="ED35" s="3">
        <f>WORKDAY(Table2[[#This Row],[Construction Complete Forecast ]], 10)</f>
        <v>188</v>
      </c>
      <c r="EE35" s="103">
        <f ca="1">NETWORKDAYS(Table2[[#This Row],[Integration Start]], TODAY())</f>
        <v>32751</v>
      </c>
      <c r="EF35" s="3"/>
      <c r="EG35" s="3">
        <f>WORKDAY(Table2[[#This Row],[Integration Start Forecast ]], 10)</f>
        <v>202</v>
      </c>
      <c r="EH35" s="103">
        <f ca="1">NETWORKDAYS(Table2[[#This Row],[Integration Complete]], TODAY())</f>
        <v>32751</v>
      </c>
      <c r="EJ35" s="3">
        <f>WORKDAY(Table2[[#This Row],[Integration Complete Forecast ]], 10)</f>
        <v>216</v>
      </c>
      <c r="EK35" s="103">
        <f ca="1">NETWORKDAYS(Table2[[#This Row],[Close Out Package(2weeks from integration complete]], TODAY())</f>
        <v>32751</v>
      </c>
      <c r="EM35" s="3">
        <f>WORKDAY(Table2[[#This Row],[Close Out Package Forecast ]], 10)</f>
        <v>230</v>
      </c>
      <c r="EN35" s="103">
        <f ca="1">NETWORKDAYS(Table2[[#This Row],[Acceptance testing 2 weeks from close out package)]], TODAY())</f>
        <v>32751</v>
      </c>
      <c r="EP35" s="3">
        <f>WORKDAY(Table2[[#This Row],[Acceptance Testing Forecast ]], 20)</f>
        <v>258</v>
      </c>
      <c r="EQ35" s="103">
        <f ca="1">NETWORKDAYS(Table2[[#This Row],[Customer acceptance(1 month after acceptance testing)]], TODAY())</f>
        <v>32751</v>
      </c>
      <c r="ES35" s="3">
        <f>WORKDAY(Table2[[#This Row],[Customer Acceptance Forecast ]], 5)</f>
        <v>265</v>
      </c>
      <c r="ET35" s="103">
        <f ca="1">NETWORKDAYS(Table2[[#This Row],[Operations handoff(1 week after customer acceptance)]], TODAY())</f>
        <v>32751</v>
      </c>
      <c r="EU35" s="3" t="s">
        <v>176</v>
      </c>
      <c r="EV35" s="3">
        <f>WORKDAY(Table2[[#This Row],[Operations Handoff Forecast ]], 7)</f>
        <v>276</v>
      </c>
      <c r="EW35" s="103" t="e">
        <f ca="1">NETWORKDAYS(Table2[[#This Row],[FNE Date]], TODAY())</f>
        <v>#VALUE!</v>
      </c>
      <c r="EX35" s="3"/>
      <c r="EY35" s="3">
        <f>WORKDAY(Table2[[#This Row],[FNE Date Forecast ]], 7)</f>
        <v>285</v>
      </c>
      <c r="EZ35" s="103">
        <f ca="1">NETWORKDAYS(Table2[[#This Row],[FNE Notice]], TODAY())</f>
        <v>32751</v>
      </c>
      <c r="FA35" s="3"/>
      <c r="FB35" s="3"/>
    </row>
    <row r="36" spans="1:158" x14ac:dyDescent="0.25">
      <c r="A36" t="s">
        <v>161</v>
      </c>
      <c r="B36" t="s">
        <v>139</v>
      </c>
      <c r="C36" t="s">
        <v>177</v>
      </c>
      <c r="D36" s="103"/>
      <c r="E36" t="s">
        <v>74</v>
      </c>
      <c r="H36" t="s">
        <v>84</v>
      </c>
      <c r="I36">
        <v>457</v>
      </c>
      <c r="J36" s="3">
        <v>45795</v>
      </c>
      <c r="K36" s="3">
        <f>J36+21</f>
        <v>45816</v>
      </c>
      <c r="L36" s="3">
        <v>45748</v>
      </c>
      <c r="M36" s="3">
        <f>WORKDAY(Table2[[#This Row],[Kickoff date]], 7)</f>
        <v>45825</v>
      </c>
      <c r="N36" s="104">
        <f ca="1">NETWORKDAYS(Table2[[#This Row],[ROM Request]], TODAY())</f>
        <v>75</v>
      </c>
      <c r="O36" s="3">
        <f>L36+9</f>
        <v>45757</v>
      </c>
      <c r="P36" s="3">
        <f>WORKDAY(Table2[[#This Row],[ROM Request]], 10)</f>
        <v>45762</v>
      </c>
      <c r="Q36" s="104">
        <f ca="1">NETWORKDAYS(Table2[[#This Row],[ROM Receive]], TODAY())</f>
        <v>68</v>
      </c>
      <c r="R36" s="3">
        <v>45781</v>
      </c>
      <c r="S36" s="3">
        <f>WORKDAY(Table2[[#This Row],[ROM Receive Forecast]], 15)</f>
        <v>45783</v>
      </c>
      <c r="T36" s="104">
        <f ca="1">NETWORKDAYS(Table2[[#This Row],[Backhaul Cost Request]], TODAY())</f>
        <v>51</v>
      </c>
      <c r="U36" s="3">
        <f>R36+20</f>
        <v>45801</v>
      </c>
      <c r="V36" s="3">
        <f>WORKDAY(Table2[[#This Row],[Backhaul Cost Request Forecast]], 15)</f>
        <v>45804</v>
      </c>
      <c r="W36" s="104">
        <f ca="1">NETWORKDAYS(Table2[[#This Row],[Backhaul Cost Receive]], TODAY())</f>
        <v>36</v>
      </c>
      <c r="X36" s="3">
        <f>Table2[[#This Row],[Kickoff date]]</f>
        <v>45816</v>
      </c>
      <c r="Y36" s="3">
        <f>WORKDAY(Table2[[#This Row],[Backhaul Cost Request Forecast]], 7)</f>
        <v>45792</v>
      </c>
      <c r="Z36" s="104">
        <f ca="1">NETWORKDAYS(Table2[[#This Row],[OSP Request]], TODAY())</f>
        <v>26</v>
      </c>
      <c r="AA36" s="3"/>
      <c r="AB36" s="3">
        <f>WORKDAY(Table2[[#This Row],[OSP Request Forecast]], 10)</f>
        <v>45806</v>
      </c>
      <c r="AC36" s="104">
        <f ca="1">NETWORKDAYS(Table2[[#This Row],[OSP Receive]], TODAY())</f>
        <v>32751</v>
      </c>
      <c r="AD36" s="3">
        <f>Table2[[#This Row],[Kickoff date]]</f>
        <v>45816</v>
      </c>
      <c r="AE36" s="3">
        <f>WORKDAY(Table2[[#This Row],[Kickoff date]], 7)</f>
        <v>45825</v>
      </c>
      <c r="AF36" s="104">
        <f ca="1">NETWORKDAYS(Table2[[#This Row],[FM Request]], TODAY())</f>
        <v>26</v>
      </c>
      <c r="AG36" s="3"/>
      <c r="AH36" s="3">
        <f>WORKDAY(Table2[[#This Row],[FM Request Forecast ]], 2)</f>
        <v>45827</v>
      </c>
      <c r="AI36" s="104">
        <f ca="1">NETWORKDAYS(Table2[[#This Row],[FM receive]], TODAY())</f>
        <v>32751</v>
      </c>
      <c r="AJ36" s="3"/>
      <c r="AK36" s="3">
        <f>WORKDAY(Table2[[#This Row],[FM Receive Forecast ]], 2)</f>
        <v>45831</v>
      </c>
      <c r="AM36" s="3">
        <f>K36+17</f>
        <v>45833</v>
      </c>
      <c r="AN36" s="3"/>
      <c r="AO36" s="3">
        <f>WORKDAY(Table2[[#This Row],[1-pager Submission to BD]], 7)</f>
        <v>45842</v>
      </c>
      <c r="AP36" s="103">
        <f ca="1">IF(ISBLANK(Table2[[#This Row],[Firm Pricing request]]), NETWORKDAYS(Table2[[#This Row],[Proposal Accepted]], TODAY()), NETWORKDAYS(Table2[[#This Row],[Proposal Accepted]], Table2[[#This Row],[Firm Pricing request]]))</f>
        <v>32751</v>
      </c>
      <c r="AQ36" s="3"/>
      <c r="AR36" s="3">
        <f>WORKDAY(Table2[[#This Row],[Proposal Acceptance Forecast]], 7)</f>
        <v>45853</v>
      </c>
      <c r="AS36" s="103">
        <f ca="1">NETWORKDAYS(Table2[[#This Row],[Firm Pricing request]], TODAY())</f>
        <v>32751</v>
      </c>
      <c r="AT36" s="3"/>
      <c r="AU36" s="3">
        <f>WORKDAY(Table2[[#This Row],[Firm Pricing Request Forecast]], 7)</f>
        <v>45862</v>
      </c>
      <c r="AV36" s="103">
        <f ca="1">NETWORKDAYS(Table2[[#This Row],[Site Walk]], TODAY())</f>
        <v>32751</v>
      </c>
      <c r="AW36" s="3"/>
      <c r="AX36" s="3">
        <f>WORKDAY(Table2[[#This Row],[Site Walk Forecast]], 7)</f>
        <v>45873</v>
      </c>
      <c r="AY36" s="103">
        <f ca="1">NETWORKDAYS(Table2[[#This Row],[Firm Quote Receival]], TODAY())</f>
        <v>32751</v>
      </c>
      <c r="AZ36" s="3"/>
      <c r="BA36" s="3">
        <f>WORKDAY(Table2[[#This Row],[Firm Quote Receival Forecast ]], 7)</f>
        <v>45882</v>
      </c>
      <c r="BB36" s="103">
        <f ca="1">NETWORKDAYS(Table2[[#This Row],[Final Design &amp; BOM(20 calendar days from site walk)]], TODAY())</f>
        <v>32751</v>
      </c>
      <c r="BC36" s="3"/>
      <c r="BD36" s="3">
        <f>WORKDAY(Table2[[#This Row],[Final Design &amp; BOM Forecast ]], 7)</f>
        <v>45891</v>
      </c>
      <c r="BE36" s="103">
        <f ca="1">NETWORKDAYS(Table2[[#This Row],[FM Request 2]], TODAY())</f>
        <v>32751</v>
      </c>
      <c r="BF36" s="3"/>
      <c r="BG36" s="3">
        <f>WORKDAY(Table2[[#This Row],[FM Request 2 Forecast]], 7)</f>
        <v>45902</v>
      </c>
      <c r="BH36" s="103"/>
      <c r="BI36" s="3"/>
      <c r="BJ36" s="3">
        <f>WORKDAY(Table2[[#This Row],[FM Review 2 Forecast]], 7)</f>
        <v>45911</v>
      </c>
      <c r="BK36" s="103">
        <f ca="1">NETWORKDAYS(Table2[[#This Row],[Tax Review]], TODAY())</f>
        <v>32751</v>
      </c>
      <c r="BL36" s="3"/>
      <c r="BM36" s="3">
        <f>WORKDAY(Table2[[#This Row],[Tax Review]], 7)</f>
        <v>10</v>
      </c>
      <c r="BN36" s="103">
        <f ca="1">NETWORKDAYS(Table2[[#This Row],[Tax Approval]], TODAY())</f>
        <v>32751</v>
      </c>
      <c r="BO36" s="3"/>
      <c r="BP36" s="3">
        <f>WORKDAY(Table2[[#This Row],[Tax Approval Forecast]], 7)</f>
        <v>19</v>
      </c>
      <c r="BQ36" s="103">
        <f ca="1">NETWORKDAYS(Table2[[#This Row],[Final proposal submission]], TODAY())</f>
        <v>32751</v>
      </c>
      <c r="BR36" s="3"/>
      <c r="BS36" s="3"/>
      <c r="BT36" s="3">
        <f>WORKDAY(Table2[[#This Row],[Final Proposal Submission Forecast]], 7)</f>
        <v>30</v>
      </c>
      <c r="BU36" s="103">
        <f ca="1">NETWORKDAYS(Table2[[#This Row],[BD submits proposal]], TODAY())</f>
        <v>32751</v>
      </c>
      <c r="BV36" s="3"/>
      <c r="BW36" s="3">
        <f>WORKDAY(Table2[[#This Row],[BD Submits Proposal Forecast]], 7)</f>
        <v>39</v>
      </c>
      <c r="BX36" s="103">
        <f ca="1">NETWORKDAYS(Table2[[#This Row],[Final Proposal Accepted]], TODAY())</f>
        <v>32751</v>
      </c>
      <c r="BY36" s="3"/>
      <c r="BZ36" s="3">
        <f>WORKDAY(Table2[[#This Row],[Final Proposal Accepted]], 90)</f>
        <v>125</v>
      </c>
      <c r="CA36" s="103">
        <f ca="1">NETWORKDAYS(Table2[[#This Row],[Legal Agreement]], TODAY())</f>
        <v>32751</v>
      </c>
      <c r="CB36" s="3"/>
      <c r="CC36" s="3">
        <f>WORKDAY(Table2[[#This Row],[Legal Agreement Forecast]], 10)</f>
        <v>139</v>
      </c>
      <c r="CD36" s="103">
        <f ca="1">NETWORKDAYS(Table2[[#This Row],[Executed Agreement]], TODAY())</f>
        <v>32751</v>
      </c>
      <c r="CE36" t="s">
        <v>91</v>
      </c>
      <c r="CF36" t="s">
        <v>178</v>
      </c>
      <c r="CG36" s="103"/>
      <c r="CH36" s="3"/>
      <c r="CI36" s="3">
        <f>WORKDAY(Table2[[#This Row],[Executed Agreement]], 7)</f>
        <v>10</v>
      </c>
      <c r="CJ36" s="103">
        <f ca="1">NETWORKDAYS(Table2[[#This Row],[A&amp;E Request]], TODAY())</f>
        <v>32751</v>
      </c>
      <c r="CL36" s="3">
        <f>WORKDAY(Table2[[#This Row],[A&amp;E Request Forecast]], 10)</f>
        <v>24</v>
      </c>
      <c r="CM36" s="103">
        <f ca="1">NETWORKDAYS(Table2[[#This Row],[A&amp;E receive]], TODAY())</f>
        <v>32751</v>
      </c>
      <c r="CO36" s="3">
        <f>WORKDAY(Table2[[#This Row],[FM Approval meeting ]], 10)</f>
        <v>13</v>
      </c>
      <c r="CP36" s="103">
        <f ca="1">NETWORKDAYS(Table2[[#This Row],[Budget Request]], TODAY())</f>
        <v>32751</v>
      </c>
      <c r="CR36" s="3">
        <f>WORKDAY(Table2[[#This Row],[Budget Request Forecast]], 7)</f>
        <v>24</v>
      </c>
      <c r="CS36" s="103">
        <f ca="1">NETWORKDAYS(Table2[[#This Row],[Budget Approval]], TODAY())</f>
        <v>32751</v>
      </c>
      <c r="CV36" s="3">
        <f>WORKDAY(Table2[[#This Row],[Budget Approval Forecast ]], 7)</f>
        <v>33</v>
      </c>
      <c r="CW36" s="103">
        <f ca="1">NETWORKDAYS(Table2[[#This Row],[PO Request for OEM ]], TODAY())</f>
        <v>32751</v>
      </c>
      <c r="CY36" s="3">
        <f>WORKDAY(Table2[[#This Row],[PO Request for OEM Forecast]], 10)</f>
        <v>47</v>
      </c>
      <c r="CZ36" s="103">
        <f ca="1">NETWORKDAYS(Table2[[#This Row],[PO Approval]], TODAY())</f>
        <v>32751</v>
      </c>
      <c r="DB36" s="3">
        <f>WORKDAY(Table2[[#This Row],[PO Approval Forecast]], 10)</f>
        <v>61</v>
      </c>
      <c r="DC36" s="103">
        <f ca="1">NETWORKDAYS(Table2[[#This Row],[backhaul ordered]], TODAY())</f>
        <v>32751</v>
      </c>
      <c r="DE36" s="3">
        <f>WORKDAY(Table2[[#This Row],[Backhaul Order Forecast]], 10)</f>
        <v>75</v>
      </c>
      <c r="DF36" s="103">
        <f ca="1">NETWORKDAYS(Table2[[#This Row],[RTP Request]], TODAY())</f>
        <v>32751</v>
      </c>
      <c r="DG36" s="3"/>
      <c r="DH36" s="3">
        <f>WORKDAY(Table2[[#This Row],[RTP Request Forecast]], 10)</f>
        <v>89</v>
      </c>
      <c r="DI36" s="103">
        <f ca="1">NETWORKDAYS(Table2[[#This Row],[RTP Approved]], TODAY())</f>
        <v>32751</v>
      </c>
      <c r="DK36" s="3">
        <f>WORKDAY(Table2[[#This Row],[RTP Approval Forecast ]], 7)</f>
        <v>100</v>
      </c>
      <c r="DL36" s="103">
        <f ca="1">NETWORKDAYS(Table2[[#This Row],[RFP Request]], TODAY())</f>
        <v>32751</v>
      </c>
      <c r="DN36" s="3">
        <f>WORKDAY(Table2[[#This Row],[RFP Request Forecast ]], 10)</f>
        <v>114</v>
      </c>
      <c r="DO36" s="103">
        <f ca="1">NETWORKDAYS(Table2[[#This Row],[RFP Received]], TODAY())</f>
        <v>32751</v>
      </c>
      <c r="DQ36" s="3">
        <f>WORKDAY(Table2[[#This Row],[RFP Received Forecast ]], 7)</f>
        <v>123</v>
      </c>
      <c r="DR36" s="103">
        <f ca="1">NETWORKDAYS(Table2[[#This Row],[PO for GC Request]], TODAY())</f>
        <v>32751</v>
      </c>
      <c r="DT36" s="3">
        <f>WORKDAY(Table2[[#This Row],[PO for GC Request Forecast ]], 7)</f>
        <v>132</v>
      </c>
      <c r="DU36" s="103">
        <f ca="1">NETWORKDAYS(Table2[[#This Row],[PO for GC Approved]], TODAY())</f>
        <v>32751</v>
      </c>
      <c r="DW36" s="3">
        <f>WORKDAY(Table2[[#This Row],[PO for GC Approval Forecast ]], 10)</f>
        <v>146</v>
      </c>
      <c r="DX36" s="103">
        <f ca="1">NETWORKDAYS(Table2[[#This Row],[Construction Start]], TODAY())</f>
        <v>32751</v>
      </c>
      <c r="DZ36" s="3">
        <f>WORKDAY(Table2[[#This Row],[Construction Start Forecast ]], 20)</f>
        <v>174</v>
      </c>
      <c r="EA36" s="103">
        <f ca="1">NETWORKDAYS(Table2[[#This Row],[Construction Complete]], TODAY())</f>
        <v>32751</v>
      </c>
      <c r="ED36" s="3">
        <f>WORKDAY(Table2[[#This Row],[Construction Complete Forecast ]], 10)</f>
        <v>188</v>
      </c>
      <c r="EE36" s="103">
        <f ca="1">NETWORKDAYS(Table2[[#This Row],[Integration Start]], TODAY())</f>
        <v>32751</v>
      </c>
      <c r="EF36" s="3"/>
      <c r="EG36" s="3">
        <f>WORKDAY(Table2[[#This Row],[Integration Start Forecast ]], 10)</f>
        <v>202</v>
      </c>
      <c r="EH36" s="103">
        <f ca="1">NETWORKDAYS(Table2[[#This Row],[Integration Complete]], TODAY())</f>
        <v>32751</v>
      </c>
      <c r="EJ36" s="3">
        <f>WORKDAY(Table2[[#This Row],[Integration Complete Forecast ]], 10)</f>
        <v>216</v>
      </c>
      <c r="EK36" s="103">
        <f ca="1">NETWORKDAYS(Table2[[#This Row],[Close Out Package(2weeks from integration complete]], TODAY())</f>
        <v>32751</v>
      </c>
      <c r="EM36" s="3">
        <f>WORKDAY(Table2[[#This Row],[Close Out Package Forecast ]], 10)</f>
        <v>230</v>
      </c>
      <c r="EN36" s="103">
        <f ca="1">NETWORKDAYS(Table2[[#This Row],[Acceptance testing 2 weeks from close out package)]], TODAY())</f>
        <v>32751</v>
      </c>
      <c r="EP36" s="3">
        <f>WORKDAY(Table2[[#This Row],[Acceptance Testing Forecast ]], 20)</f>
        <v>258</v>
      </c>
      <c r="EQ36" s="103">
        <f ca="1">NETWORKDAYS(Table2[[#This Row],[Customer acceptance(1 month after acceptance testing)]], TODAY())</f>
        <v>32751</v>
      </c>
      <c r="ES36" s="3">
        <f>WORKDAY(Table2[[#This Row],[Customer Acceptance Forecast ]], 5)</f>
        <v>265</v>
      </c>
      <c r="ET36" s="103">
        <f ca="1">NETWORKDAYS(Table2[[#This Row],[Operations handoff(1 week after customer acceptance)]], TODAY())</f>
        <v>32751</v>
      </c>
      <c r="EU36" s="3"/>
      <c r="EV36" s="3">
        <f>WORKDAY(Table2[[#This Row],[Operations Handoff Forecast ]], 7)</f>
        <v>276</v>
      </c>
      <c r="EW36" s="103">
        <f ca="1">NETWORKDAYS(Table2[[#This Row],[FNE Date]], TODAY())</f>
        <v>32751</v>
      </c>
      <c r="EX36" s="3"/>
      <c r="EY36" s="3">
        <f>WORKDAY(Table2[[#This Row],[FNE Date Forecast ]], 7)</f>
        <v>285</v>
      </c>
      <c r="EZ36" s="103">
        <f ca="1">NETWORKDAYS(Table2[[#This Row],[FNE Notice]], TODAY())</f>
        <v>32751</v>
      </c>
      <c r="FA36" s="3"/>
      <c r="FB36" s="3"/>
    </row>
    <row r="37" spans="1:158" x14ac:dyDescent="0.25">
      <c r="A37" t="s">
        <v>179</v>
      </c>
      <c r="B37" t="s">
        <v>162</v>
      </c>
      <c r="C37" t="s">
        <v>180</v>
      </c>
      <c r="D37" s="103"/>
      <c r="E37" t="s">
        <v>74</v>
      </c>
      <c r="H37" t="s">
        <v>105</v>
      </c>
      <c r="I37">
        <v>888</v>
      </c>
      <c r="J37" s="3">
        <v>45796</v>
      </c>
      <c r="K37" s="3">
        <f>J37+15</f>
        <v>45811</v>
      </c>
      <c r="L37" s="3" t="s">
        <v>106</v>
      </c>
      <c r="M37" s="3">
        <f>WORKDAY(Table2[[#This Row],[Kickoff date]], 7)</f>
        <v>45820</v>
      </c>
      <c r="N37" s="104" t="e">
        <f ca="1">NETWORKDAYS(Table2[[#This Row],[ROM Request]], TODAY())</f>
        <v>#VALUE!</v>
      </c>
      <c r="O37" t="s">
        <v>106</v>
      </c>
      <c r="P37" s="3" t="e">
        <f>WORKDAY(Table2[[#This Row],[ROM Request]], 10)</f>
        <v>#VALUE!</v>
      </c>
      <c r="Q37" s="104" t="e">
        <f ca="1">NETWORKDAYS(Table2[[#This Row],[ROM Receive]], TODAY())</f>
        <v>#VALUE!</v>
      </c>
      <c r="R37" t="s">
        <v>106</v>
      </c>
      <c r="S37" s="3" t="e">
        <f>WORKDAY(Table2[[#This Row],[ROM Receive Forecast]], 15)</f>
        <v>#VALUE!</v>
      </c>
      <c r="T37" s="104" t="e">
        <f ca="1">NETWORKDAYS(Table2[[#This Row],[Backhaul Cost Request]], TODAY())</f>
        <v>#VALUE!</v>
      </c>
      <c r="U37" t="s">
        <v>106</v>
      </c>
      <c r="V37" s="3" t="e">
        <f>WORKDAY(Table2[[#This Row],[Backhaul Cost Request Forecast]], 15)</f>
        <v>#VALUE!</v>
      </c>
      <c r="W37" s="104" t="e">
        <f ca="1">NETWORKDAYS(Table2[[#This Row],[Backhaul Cost Receive]], TODAY())</f>
        <v>#VALUE!</v>
      </c>
      <c r="X37">
        <f>Table2[[#This Row],[Kickoff date]]</f>
        <v>45811</v>
      </c>
      <c r="Y37" s="3" t="e">
        <f>WORKDAY(Table2[[#This Row],[Backhaul Cost Request Forecast]], 7)</f>
        <v>#VALUE!</v>
      </c>
      <c r="Z37" s="104">
        <f ca="1">NETWORKDAYS(Table2[[#This Row],[OSP Request]], TODAY())</f>
        <v>30</v>
      </c>
      <c r="AB37" s="3" t="e">
        <f>WORKDAY(Table2[[#This Row],[OSP Request Forecast]], 10)</f>
        <v>#VALUE!</v>
      </c>
      <c r="AC37" s="104">
        <f ca="1">NETWORKDAYS(Table2[[#This Row],[OSP Receive]], TODAY())</f>
        <v>32751</v>
      </c>
      <c r="AD37">
        <f>Table2[[#This Row],[Kickoff date]]</f>
        <v>45811</v>
      </c>
      <c r="AE37" s="3">
        <f>WORKDAY(Table2[[#This Row],[Kickoff date]], 7)</f>
        <v>45820</v>
      </c>
      <c r="AF37" s="104">
        <f ca="1">NETWORKDAYS(Table2[[#This Row],[FM Request]], TODAY())</f>
        <v>30</v>
      </c>
      <c r="AH37" s="3">
        <f>WORKDAY(Table2[[#This Row],[FM Request Forecast ]], 2)</f>
        <v>45824</v>
      </c>
      <c r="AI37" s="104">
        <f ca="1">NETWORKDAYS(Table2[[#This Row],[FM receive]], TODAY())</f>
        <v>32751</v>
      </c>
      <c r="AK37" s="3">
        <f>WORKDAY(Table2[[#This Row],[FM Receive Forecast ]], 2)</f>
        <v>45826</v>
      </c>
      <c r="AM37" s="3">
        <f>K37+17</f>
        <v>45828</v>
      </c>
      <c r="AO37" s="3">
        <f>WORKDAY(Table2[[#This Row],[1-pager Submission to BD]], 7)</f>
        <v>45839</v>
      </c>
      <c r="AP37" s="103">
        <f ca="1">IF(ISBLANK(Table2[[#This Row],[Firm Pricing request]]), NETWORKDAYS(Table2[[#This Row],[Proposal Accepted]], TODAY()), NETWORKDAYS(Table2[[#This Row],[Proposal Accepted]], Table2[[#This Row],[Firm Pricing request]]))</f>
        <v>32751</v>
      </c>
      <c r="AR37" s="3">
        <f>WORKDAY(Table2[[#This Row],[Proposal Acceptance Forecast]], 7)</f>
        <v>45848</v>
      </c>
      <c r="AS37" s="103">
        <f ca="1">NETWORKDAYS(Table2[[#This Row],[Firm Pricing request]], TODAY())</f>
        <v>32751</v>
      </c>
      <c r="AU37" s="3">
        <f>WORKDAY(Table2[[#This Row],[Firm Pricing Request Forecast]], 7)</f>
        <v>45859</v>
      </c>
      <c r="AV37" s="103">
        <f ca="1">NETWORKDAYS(Table2[[#This Row],[Site Walk]], TODAY())</f>
        <v>32751</v>
      </c>
      <c r="AX37" s="3">
        <f>WORKDAY(Table2[[#This Row],[Site Walk Forecast]], 7)</f>
        <v>45868</v>
      </c>
      <c r="AY37" s="103">
        <f ca="1">NETWORKDAYS(Table2[[#This Row],[Firm Quote Receival]], TODAY())</f>
        <v>32751</v>
      </c>
      <c r="BA37" s="3">
        <f>WORKDAY(Table2[[#This Row],[Firm Quote Receival Forecast ]], 7)</f>
        <v>45877</v>
      </c>
      <c r="BB37" s="103">
        <f ca="1">NETWORKDAYS(Table2[[#This Row],[Final Design &amp; BOM(20 calendar days from site walk)]], TODAY())</f>
        <v>32751</v>
      </c>
      <c r="BD37" s="3">
        <f>WORKDAY(Table2[[#This Row],[Final Design &amp; BOM Forecast ]], 7)</f>
        <v>45888</v>
      </c>
      <c r="BE37" s="103">
        <f ca="1">NETWORKDAYS(Table2[[#This Row],[FM Request 2]], TODAY())</f>
        <v>32751</v>
      </c>
      <c r="BG37" s="3">
        <f>WORKDAY(Table2[[#This Row],[FM Request 2 Forecast]], 7)</f>
        <v>45897</v>
      </c>
      <c r="BH37" s="103"/>
      <c r="BJ37" s="3">
        <f>WORKDAY(Table2[[#This Row],[FM Review 2 Forecast]], 7)</f>
        <v>45908</v>
      </c>
      <c r="BK37" s="103">
        <f ca="1">NETWORKDAYS(Table2[[#This Row],[Tax Review]], TODAY())</f>
        <v>32751</v>
      </c>
      <c r="BM37" s="3">
        <f>WORKDAY(Table2[[#This Row],[Tax Review]], 7)</f>
        <v>10</v>
      </c>
      <c r="BN37" s="103">
        <f ca="1">NETWORKDAYS(Table2[[#This Row],[Tax Approval]], TODAY())</f>
        <v>32751</v>
      </c>
      <c r="BP37" s="3">
        <f>WORKDAY(Table2[[#This Row],[Tax Approval Forecast]], 7)</f>
        <v>19</v>
      </c>
      <c r="BQ37" s="103">
        <f ca="1">NETWORKDAYS(Table2[[#This Row],[Final proposal submission]], TODAY())</f>
        <v>32751</v>
      </c>
      <c r="BT37" s="3">
        <f>WORKDAY(Table2[[#This Row],[Final Proposal Submission Forecast]], 7)</f>
        <v>30</v>
      </c>
      <c r="BU37" s="103">
        <f ca="1">NETWORKDAYS(Table2[[#This Row],[BD submits proposal]], TODAY())</f>
        <v>32751</v>
      </c>
      <c r="BW37" s="3">
        <f>WORKDAY(Table2[[#This Row],[BD Submits Proposal Forecast]], 7)</f>
        <v>39</v>
      </c>
      <c r="BX37" s="103">
        <f ca="1">NETWORKDAYS(Table2[[#This Row],[Final Proposal Accepted]], TODAY())</f>
        <v>32751</v>
      </c>
      <c r="BZ37" s="3">
        <f>WORKDAY(Table2[[#This Row],[Final Proposal Accepted]], 90)</f>
        <v>125</v>
      </c>
      <c r="CA37" s="103">
        <f ca="1">NETWORKDAYS(Table2[[#This Row],[Legal Agreement]], TODAY())</f>
        <v>32751</v>
      </c>
      <c r="CC37" s="3">
        <f>WORKDAY(Table2[[#This Row],[Legal Agreement Forecast]], 10)</f>
        <v>139</v>
      </c>
      <c r="CD37" s="103">
        <f ca="1">NETWORKDAYS(Table2[[#This Row],[Executed Agreement]], TODAY())</f>
        <v>32751</v>
      </c>
      <c r="CE37" t="s">
        <v>87</v>
      </c>
      <c r="CF37" t="s">
        <v>181</v>
      </c>
      <c r="CG37" s="103"/>
      <c r="CH37" s="3">
        <v>45365</v>
      </c>
      <c r="CI37" s="3">
        <f>WORKDAY(Table2[[#This Row],[Executed Agreement]], 7)</f>
        <v>10</v>
      </c>
      <c r="CJ37" s="103">
        <f ca="1">NETWORKDAYS(Table2[[#This Row],[A&amp;E Request]], TODAY())</f>
        <v>348</v>
      </c>
      <c r="CK37" s="3">
        <v>45457</v>
      </c>
      <c r="CL37" s="3">
        <f>WORKDAY(Table2[[#This Row],[A&amp;E Request Forecast]], 10)</f>
        <v>24</v>
      </c>
      <c r="CM37" s="103">
        <f ca="1">NETWORKDAYS(Table2[[#This Row],[A&amp;E receive]], TODAY())</f>
        <v>282</v>
      </c>
      <c r="CO37" s="3">
        <f>WORKDAY(Table2[[#This Row],[FM Approval meeting ]], 10)</f>
        <v>13</v>
      </c>
      <c r="CP37" s="103">
        <f ca="1">NETWORKDAYS(Table2[[#This Row],[Budget Request]], TODAY())</f>
        <v>32751</v>
      </c>
      <c r="CR37" s="3">
        <f>WORKDAY(Table2[[#This Row],[Budget Request Forecast]], 7)</f>
        <v>24</v>
      </c>
      <c r="CS37" s="103">
        <f ca="1">NETWORKDAYS(Table2[[#This Row],[Budget Approval]], TODAY())</f>
        <v>32751</v>
      </c>
      <c r="CU37">
        <v>45583</v>
      </c>
      <c r="CV37" s="3">
        <f>WORKDAY(Table2[[#This Row],[Budget Approval Forecast ]], 7)</f>
        <v>33</v>
      </c>
      <c r="CW37" s="103">
        <f ca="1">NETWORKDAYS(Table2[[#This Row],[PO Request for OEM ]], TODAY())</f>
        <v>192</v>
      </c>
      <c r="CX37" s="3">
        <v>45663</v>
      </c>
      <c r="CY37" s="3">
        <f>WORKDAY(Table2[[#This Row],[PO Request for OEM Forecast]], 10)</f>
        <v>47</v>
      </c>
      <c r="CZ37" s="103">
        <f ca="1">NETWORKDAYS(Table2[[#This Row],[PO Approval]], TODAY())</f>
        <v>136</v>
      </c>
      <c r="DB37" s="3">
        <f>WORKDAY(Table2[[#This Row],[PO Approval Forecast]], 10)</f>
        <v>61</v>
      </c>
      <c r="DC37" s="103">
        <f ca="1">NETWORKDAYS(Table2[[#This Row],[backhaul ordered]], TODAY())</f>
        <v>32751</v>
      </c>
      <c r="DD37">
        <v>45413</v>
      </c>
      <c r="DE37" s="3">
        <f>WORKDAY(Table2[[#This Row],[Backhaul Order Forecast]], 10)</f>
        <v>75</v>
      </c>
      <c r="DF37" s="103">
        <f ca="1">NETWORKDAYS(Table2[[#This Row],[RTP Request]], TODAY())</f>
        <v>314</v>
      </c>
      <c r="DG37" s="3">
        <v>45597</v>
      </c>
      <c r="DH37" s="3">
        <f>WORKDAY(Table2[[#This Row],[RTP Request Forecast]], 10)</f>
        <v>89</v>
      </c>
      <c r="DI37" s="103">
        <f ca="1">NETWORKDAYS(Table2[[#This Row],[RTP Approved]], TODAY())</f>
        <v>182</v>
      </c>
      <c r="DK37" s="3">
        <f>WORKDAY(Table2[[#This Row],[RTP Approval Forecast ]], 7)</f>
        <v>100</v>
      </c>
      <c r="DL37" s="103">
        <f ca="1">NETWORKDAYS(Table2[[#This Row],[RFP Request]], TODAY())</f>
        <v>32751</v>
      </c>
      <c r="DN37" s="3">
        <f>WORKDAY(Table2[[#This Row],[RFP Request Forecast ]], 10)</f>
        <v>114</v>
      </c>
      <c r="DO37" s="103">
        <f ca="1">NETWORKDAYS(Table2[[#This Row],[RFP Received]], TODAY())</f>
        <v>32751</v>
      </c>
      <c r="DQ37" s="3">
        <f>WORKDAY(Table2[[#This Row],[RFP Received Forecast ]], 7)</f>
        <v>123</v>
      </c>
      <c r="DR37" s="103">
        <f ca="1">NETWORKDAYS(Table2[[#This Row],[PO for GC Request]], TODAY())</f>
        <v>32751</v>
      </c>
      <c r="DS37" s="3">
        <v>45453</v>
      </c>
      <c r="DT37" s="3">
        <f>WORKDAY(Table2[[#This Row],[PO for GC Request Forecast ]], 7)</f>
        <v>132</v>
      </c>
      <c r="DU37" s="103">
        <f ca="1">NETWORKDAYS(Table2[[#This Row],[PO for GC Approved]], TODAY())</f>
        <v>286</v>
      </c>
      <c r="DV37">
        <v>45607</v>
      </c>
      <c r="DW37" s="3">
        <f>WORKDAY(Table2[[#This Row],[PO for GC Approval Forecast ]], 10)</f>
        <v>146</v>
      </c>
      <c r="DX37" s="103">
        <f ca="1">NETWORKDAYS(Table2[[#This Row],[Construction Start]], TODAY())</f>
        <v>176</v>
      </c>
      <c r="DY37">
        <v>45742</v>
      </c>
      <c r="DZ37" s="3">
        <f>WORKDAY(Table2[[#This Row],[Construction Start Forecast ]], 20)</f>
        <v>174</v>
      </c>
      <c r="EA37" s="103">
        <f ca="1">NETWORKDAYS(Table2[[#This Row],[Construction Complete]], TODAY())</f>
        <v>79</v>
      </c>
      <c r="EC37">
        <v>45742</v>
      </c>
      <c r="ED37" s="3">
        <f>WORKDAY(Table2[[#This Row],[Construction Complete Forecast ]], 10)</f>
        <v>188</v>
      </c>
      <c r="EE37" s="103">
        <f ca="1">NETWORKDAYS(Table2[[#This Row],[Integration Start]], TODAY())</f>
        <v>79</v>
      </c>
      <c r="EF37" s="3">
        <v>45742</v>
      </c>
      <c r="EG37" s="3">
        <f>WORKDAY(Table2[[#This Row],[Integration Start Forecast ]], 10)</f>
        <v>202</v>
      </c>
      <c r="EH37" s="103">
        <f ca="1">NETWORKDAYS(Table2[[#This Row],[Integration Complete]], TODAY())</f>
        <v>79</v>
      </c>
      <c r="EJ37" s="3">
        <f>WORKDAY(Table2[[#This Row],[Integration Complete Forecast ]], 10)</f>
        <v>216</v>
      </c>
      <c r="EK37" s="103">
        <f ca="1">NETWORKDAYS(Table2[[#This Row],[Close Out Package(2weeks from integration complete]], TODAY())</f>
        <v>32751</v>
      </c>
      <c r="EM37" s="3">
        <f>WORKDAY(Table2[[#This Row],[Close Out Package Forecast ]], 10)</f>
        <v>230</v>
      </c>
      <c r="EN37" s="103">
        <f ca="1">NETWORKDAYS(Table2[[#This Row],[Acceptance testing 2 weeks from close out package)]], TODAY())</f>
        <v>32751</v>
      </c>
      <c r="EP37" s="3">
        <f>WORKDAY(Table2[[#This Row],[Acceptance Testing Forecast ]], 20)</f>
        <v>258</v>
      </c>
      <c r="EQ37" s="103">
        <f ca="1">NETWORKDAYS(Table2[[#This Row],[Customer acceptance(1 month after acceptance testing)]], TODAY())</f>
        <v>32751</v>
      </c>
      <c r="ES37" s="3">
        <f>WORKDAY(Table2[[#This Row],[Customer Acceptance Forecast ]], 5)</f>
        <v>265</v>
      </c>
      <c r="ET37" s="103">
        <f ca="1">NETWORKDAYS(Table2[[#This Row],[Operations handoff(1 week after customer acceptance)]], TODAY())</f>
        <v>32751</v>
      </c>
      <c r="EU37">
        <v>45742</v>
      </c>
      <c r="EV37" s="3">
        <f>WORKDAY(Table2[[#This Row],[Operations Handoff Forecast ]], 7)</f>
        <v>276</v>
      </c>
      <c r="EW37" s="103">
        <f ca="1">NETWORKDAYS(Table2[[#This Row],[FNE Date]], TODAY())</f>
        <v>79</v>
      </c>
      <c r="EY37" s="3">
        <f>WORKDAY(Table2[[#This Row],[FNE Date Forecast ]], 7)</f>
        <v>285</v>
      </c>
      <c r="EZ37" s="103">
        <f ca="1">NETWORKDAYS(Table2[[#This Row],[FNE Notice]], TODAY())</f>
        <v>32751</v>
      </c>
    </row>
    <row r="38" spans="1:158" x14ac:dyDescent="0.25">
      <c r="A38" t="s">
        <v>179</v>
      </c>
      <c r="B38" t="s">
        <v>162</v>
      </c>
      <c r="C38" t="s">
        <v>182</v>
      </c>
      <c r="D38" s="103"/>
      <c r="E38" t="s">
        <v>74</v>
      </c>
      <c r="H38" t="s">
        <v>75</v>
      </c>
      <c r="I38">
        <v>230</v>
      </c>
      <c r="J38" s="3">
        <v>45797</v>
      </c>
      <c r="K38" s="3">
        <f>J38+21</f>
        <v>45818</v>
      </c>
      <c r="L38" s="3">
        <v>45786</v>
      </c>
      <c r="M38" s="3">
        <f>WORKDAY(Table2[[#This Row],[Kickoff date]], 7)</f>
        <v>45827</v>
      </c>
      <c r="N38" s="104">
        <f ca="1">NETWORKDAYS(Table2[[#This Row],[ROM Request]], TODAY())</f>
        <v>47</v>
      </c>
      <c r="O38" s="3">
        <v>45799</v>
      </c>
      <c r="P38" s="3">
        <f>WORKDAY(Table2[[#This Row],[ROM Request]], 10)</f>
        <v>45800</v>
      </c>
      <c r="Q38" s="104">
        <f ca="1">NETWORKDAYS(Table2[[#This Row],[ROM Receive]], TODAY())</f>
        <v>38</v>
      </c>
      <c r="R38" s="3">
        <v>45786</v>
      </c>
      <c r="S38" s="3">
        <f>WORKDAY(Table2[[#This Row],[ROM Receive Forecast]], 15)</f>
        <v>45821</v>
      </c>
      <c r="T38" s="104">
        <f ca="1">NETWORKDAYS(Table2[[#This Row],[Backhaul Cost Request]], TODAY())</f>
        <v>47</v>
      </c>
      <c r="U38" s="3">
        <v>45790</v>
      </c>
      <c r="V38" s="3">
        <f>WORKDAY(Table2[[#This Row],[Backhaul Cost Request Forecast]], 15)</f>
        <v>45842</v>
      </c>
      <c r="W38" s="104">
        <f ca="1">NETWORKDAYS(Table2[[#This Row],[Backhaul Cost Receive]], TODAY())</f>
        <v>45</v>
      </c>
      <c r="X38" s="3">
        <f>Table2[[#This Row],[Kickoff date]]</f>
        <v>45818</v>
      </c>
      <c r="Y38" s="3">
        <f>WORKDAY(Table2[[#This Row],[Backhaul Cost Request Forecast]], 7)</f>
        <v>45832</v>
      </c>
      <c r="Z38" s="104">
        <f ca="1">NETWORKDAYS(Table2[[#This Row],[OSP Request]], TODAY())</f>
        <v>25</v>
      </c>
      <c r="AA38" s="3"/>
      <c r="AB38" s="3">
        <f>WORKDAY(Table2[[#This Row],[OSP Request Forecast]], 10)</f>
        <v>45846</v>
      </c>
      <c r="AC38" s="104">
        <f ca="1">NETWORKDAYS(Table2[[#This Row],[OSP Receive]], TODAY())</f>
        <v>32751</v>
      </c>
      <c r="AD38" s="3">
        <f>Table2[[#This Row],[Kickoff date]]</f>
        <v>45818</v>
      </c>
      <c r="AE38" s="3">
        <f>WORKDAY(Table2[[#This Row],[Kickoff date]], 7)</f>
        <v>45827</v>
      </c>
      <c r="AF38" s="104">
        <f ca="1">NETWORKDAYS(Table2[[#This Row],[FM Request]], TODAY())</f>
        <v>25</v>
      </c>
      <c r="AG38" s="3"/>
      <c r="AH38" s="3">
        <f>WORKDAY(Table2[[#This Row],[FM Request Forecast ]], 2)</f>
        <v>45831</v>
      </c>
      <c r="AI38" s="104">
        <f ca="1">NETWORKDAYS(Table2[[#This Row],[FM receive]], TODAY())</f>
        <v>32751</v>
      </c>
      <c r="AJ38" s="3"/>
      <c r="AK38" s="3">
        <f>WORKDAY(Table2[[#This Row],[FM Receive Forecast ]], 2)</f>
        <v>45833</v>
      </c>
      <c r="AM38" s="3">
        <f>K38+18</f>
        <v>45836</v>
      </c>
      <c r="AN38" s="3"/>
      <c r="AO38" s="3">
        <f>WORKDAY(Table2[[#This Row],[1-pager Submission to BD]], 7)</f>
        <v>45846</v>
      </c>
      <c r="AP38" s="103">
        <f ca="1">IF(ISBLANK(Table2[[#This Row],[Firm Pricing request]]), NETWORKDAYS(Table2[[#This Row],[Proposal Accepted]], TODAY()), NETWORKDAYS(Table2[[#This Row],[Proposal Accepted]], Table2[[#This Row],[Firm Pricing request]]))</f>
        <v>32751</v>
      </c>
      <c r="AQ38" s="3"/>
      <c r="AR38" s="3">
        <f>WORKDAY(Table2[[#This Row],[Proposal Acceptance Forecast]], 7)</f>
        <v>45855</v>
      </c>
      <c r="AS38" s="103">
        <f ca="1">NETWORKDAYS(Table2[[#This Row],[Firm Pricing request]], TODAY())</f>
        <v>32751</v>
      </c>
      <c r="AT38" s="3"/>
      <c r="AU38" s="3">
        <f>WORKDAY(Table2[[#This Row],[Firm Pricing Request Forecast]], 7)</f>
        <v>45866</v>
      </c>
      <c r="AV38" s="103">
        <f ca="1">NETWORKDAYS(Table2[[#This Row],[Site Walk]], TODAY())</f>
        <v>32751</v>
      </c>
      <c r="AW38" s="3"/>
      <c r="AX38" s="3">
        <f>WORKDAY(Table2[[#This Row],[Site Walk Forecast]], 7)</f>
        <v>45875</v>
      </c>
      <c r="AY38" s="103">
        <f ca="1">NETWORKDAYS(Table2[[#This Row],[Firm Quote Receival]], TODAY())</f>
        <v>32751</v>
      </c>
      <c r="AZ38" s="3"/>
      <c r="BA38" s="3">
        <f>WORKDAY(Table2[[#This Row],[Firm Quote Receival Forecast ]], 7)</f>
        <v>45884</v>
      </c>
      <c r="BB38" s="103">
        <f ca="1">NETWORKDAYS(Table2[[#This Row],[Final Design &amp; BOM(20 calendar days from site walk)]], TODAY())</f>
        <v>32751</v>
      </c>
      <c r="BC38" s="3"/>
      <c r="BD38" s="3">
        <f>WORKDAY(Table2[[#This Row],[Final Design &amp; BOM Forecast ]], 7)</f>
        <v>45895</v>
      </c>
      <c r="BE38" s="103">
        <f ca="1">NETWORKDAYS(Table2[[#This Row],[FM Request 2]], TODAY())</f>
        <v>32751</v>
      </c>
      <c r="BF38" s="3"/>
      <c r="BG38" s="3">
        <f>WORKDAY(Table2[[#This Row],[FM Request 2 Forecast]], 7)</f>
        <v>45904</v>
      </c>
      <c r="BH38" s="103"/>
      <c r="BI38" s="3"/>
      <c r="BJ38" s="3">
        <f>WORKDAY(Table2[[#This Row],[FM Review 2 Forecast]], 7)</f>
        <v>45915</v>
      </c>
      <c r="BK38" s="103">
        <f ca="1">NETWORKDAYS(Table2[[#This Row],[Tax Review]], TODAY())</f>
        <v>32751</v>
      </c>
      <c r="BL38" s="3"/>
      <c r="BM38" s="3">
        <f>WORKDAY(Table2[[#This Row],[Tax Review]], 7)</f>
        <v>10</v>
      </c>
      <c r="BN38" s="103">
        <f ca="1">NETWORKDAYS(Table2[[#This Row],[Tax Approval]], TODAY())</f>
        <v>32751</v>
      </c>
      <c r="BO38" s="3"/>
      <c r="BP38" s="3">
        <f>WORKDAY(Table2[[#This Row],[Tax Approval Forecast]], 7)</f>
        <v>19</v>
      </c>
      <c r="BQ38" s="103">
        <f ca="1">NETWORKDAYS(Table2[[#This Row],[Final proposal submission]], TODAY())</f>
        <v>32751</v>
      </c>
      <c r="BR38" s="3"/>
      <c r="BS38" s="3"/>
      <c r="BT38" s="3">
        <f>WORKDAY(Table2[[#This Row],[Final Proposal Submission Forecast]], 7)</f>
        <v>30</v>
      </c>
      <c r="BU38" s="103">
        <f ca="1">NETWORKDAYS(Table2[[#This Row],[BD submits proposal]], TODAY())</f>
        <v>32751</v>
      </c>
      <c r="BV38" s="3"/>
      <c r="BW38" s="3">
        <f>WORKDAY(Table2[[#This Row],[BD Submits Proposal Forecast]], 7)</f>
        <v>39</v>
      </c>
      <c r="BX38" s="103">
        <f ca="1">NETWORKDAYS(Table2[[#This Row],[Final Proposal Accepted]], TODAY())</f>
        <v>32751</v>
      </c>
      <c r="BY38" s="3"/>
      <c r="BZ38" s="3">
        <f>WORKDAY(Table2[[#This Row],[Final Proposal Accepted]], 90)</f>
        <v>125</v>
      </c>
      <c r="CA38" s="103">
        <f ca="1">NETWORKDAYS(Table2[[#This Row],[Legal Agreement]], TODAY())</f>
        <v>32751</v>
      </c>
      <c r="CB38" s="3"/>
      <c r="CC38" s="3">
        <f>WORKDAY(Table2[[#This Row],[Legal Agreement Forecast]], 10)</f>
        <v>139</v>
      </c>
      <c r="CD38" s="103">
        <f ca="1">NETWORKDAYS(Table2[[#This Row],[Executed Agreement]], TODAY())</f>
        <v>32751</v>
      </c>
      <c r="CE38" t="s">
        <v>91</v>
      </c>
      <c r="CF38" t="s">
        <v>183</v>
      </c>
      <c r="CG38" s="103"/>
      <c r="CH38" s="3"/>
      <c r="CI38" s="3">
        <f>WORKDAY(Table2[[#This Row],[Executed Agreement]], 7)</f>
        <v>10</v>
      </c>
      <c r="CJ38" s="103">
        <f ca="1">NETWORKDAYS(Table2[[#This Row],[A&amp;E Request]], TODAY())</f>
        <v>32751</v>
      </c>
      <c r="CL38" s="3">
        <f>WORKDAY(Table2[[#This Row],[A&amp;E Request Forecast]], 10)</f>
        <v>24</v>
      </c>
      <c r="CM38" s="103">
        <f ca="1">NETWORKDAYS(Table2[[#This Row],[A&amp;E receive]], TODAY())</f>
        <v>32751</v>
      </c>
      <c r="CO38" s="3">
        <f>WORKDAY(Table2[[#This Row],[FM Approval meeting ]], 10)</f>
        <v>13</v>
      </c>
      <c r="CP38" s="103">
        <f ca="1">NETWORKDAYS(Table2[[#This Row],[Budget Request]], TODAY())</f>
        <v>32751</v>
      </c>
      <c r="CR38" s="3">
        <f>WORKDAY(Table2[[#This Row],[Budget Request Forecast]], 7)</f>
        <v>24</v>
      </c>
      <c r="CS38" s="103">
        <f ca="1">NETWORKDAYS(Table2[[#This Row],[Budget Approval]], TODAY())</f>
        <v>32751</v>
      </c>
      <c r="CV38" s="3">
        <f>WORKDAY(Table2[[#This Row],[Budget Approval Forecast ]], 7)</f>
        <v>33</v>
      </c>
      <c r="CW38" s="103">
        <f ca="1">NETWORKDAYS(Table2[[#This Row],[PO Request for OEM ]], TODAY())</f>
        <v>32751</v>
      </c>
      <c r="CY38" s="3">
        <f>WORKDAY(Table2[[#This Row],[PO Request for OEM Forecast]], 10)</f>
        <v>47</v>
      </c>
      <c r="CZ38" s="103">
        <f ca="1">NETWORKDAYS(Table2[[#This Row],[PO Approval]], TODAY())</f>
        <v>32751</v>
      </c>
      <c r="DB38" s="3">
        <f>WORKDAY(Table2[[#This Row],[PO Approval Forecast]], 10)</f>
        <v>61</v>
      </c>
      <c r="DC38" s="103">
        <f ca="1">NETWORKDAYS(Table2[[#This Row],[backhaul ordered]], TODAY())</f>
        <v>32751</v>
      </c>
      <c r="DD38">
        <v>45804</v>
      </c>
      <c r="DE38" s="3">
        <f>WORKDAY(Table2[[#This Row],[Backhaul Order Forecast]], 10)</f>
        <v>75</v>
      </c>
      <c r="DF38" s="103">
        <f ca="1">NETWORKDAYS(Table2[[#This Row],[RTP Request]], TODAY())</f>
        <v>35</v>
      </c>
      <c r="DG38" s="3"/>
      <c r="DH38" s="3">
        <f>WORKDAY(Table2[[#This Row],[RTP Request Forecast]], 10)</f>
        <v>89</v>
      </c>
      <c r="DI38" s="103">
        <f ca="1">NETWORKDAYS(Table2[[#This Row],[RTP Approved]], TODAY())</f>
        <v>32751</v>
      </c>
      <c r="DJ38">
        <v>45804</v>
      </c>
      <c r="DK38" s="3">
        <f>WORKDAY(Table2[[#This Row],[RTP Approval Forecast ]], 7)</f>
        <v>100</v>
      </c>
      <c r="DL38" s="103">
        <f ca="1">NETWORKDAYS(Table2[[#This Row],[RFP Request]], TODAY())</f>
        <v>35</v>
      </c>
      <c r="DM38" s="3">
        <v>45819</v>
      </c>
      <c r="DN38" s="3">
        <f>WORKDAY(Table2[[#This Row],[RFP Request Forecast ]], 10)</f>
        <v>114</v>
      </c>
      <c r="DO38" s="103">
        <f ca="1">NETWORKDAYS(Table2[[#This Row],[RFP Received]], TODAY())</f>
        <v>24</v>
      </c>
      <c r="DQ38" s="3">
        <f>WORKDAY(Table2[[#This Row],[RFP Received Forecast ]], 7)</f>
        <v>123</v>
      </c>
      <c r="DR38" s="103">
        <f ca="1">NETWORKDAYS(Table2[[#This Row],[PO for GC Request]], TODAY())</f>
        <v>32751</v>
      </c>
      <c r="DT38" s="3">
        <f>WORKDAY(Table2[[#This Row],[PO for GC Request Forecast ]], 7)</f>
        <v>132</v>
      </c>
      <c r="DU38" s="103">
        <f ca="1">NETWORKDAYS(Table2[[#This Row],[PO for GC Approved]], TODAY())</f>
        <v>32751</v>
      </c>
      <c r="DW38" s="3">
        <f>WORKDAY(Table2[[#This Row],[PO for GC Approval Forecast ]], 10)</f>
        <v>146</v>
      </c>
      <c r="DX38" s="103">
        <f ca="1">NETWORKDAYS(Table2[[#This Row],[Construction Start]], TODAY())</f>
        <v>32751</v>
      </c>
      <c r="DZ38" s="3">
        <f>WORKDAY(Table2[[#This Row],[Construction Start Forecast ]], 20)</f>
        <v>174</v>
      </c>
      <c r="EA38" s="103">
        <f ca="1">NETWORKDAYS(Table2[[#This Row],[Construction Complete]], TODAY())</f>
        <v>32751</v>
      </c>
      <c r="ED38" s="3">
        <f>WORKDAY(Table2[[#This Row],[Construction Complete Forecast ]], 10)</f>
        <v>188</v>
      </c>
      <c r="EE38" s="103">
        <f ca="1">NETWORKDAYS(Table2[[#This Row],[Integration Start]], TODAY())</f>
        <v>32751</v>
      </c>
      <c r="EF38" s="3"/>
      <c r="EG38" s="3">
        <f>WORKDAY(Table2[[#This Row],[Integration Start Forecast ]], 10)</f>
        <v>202</v>
      </c>
      <c r="EH38" s="103">
        <f ca="1">NETWORKDAYS(Table2[[#This Row],[Integration Complete]], TODAY())</f>
        <v>32751</v>
      </c>
      <c r="EJ38" s="3">
        <f>WORKDAY(Table2[[#This Row],[Integration Complete Forecast ]], 10)</f>
        <v>216</v>
      </c>
      <c r="EK38" s="103">
        <f ca="1">NETWORKDAYS(Table2[[#This Row],[Close Out Package(2weeks from integration complete]], TODAY())</f>
        <v>32751</v>
      </c>
      <c r="EM38" s="3">
        <f>WORKDAY(Table2[[#This Row],[Close Out Package Forecast ]], 10)</f>
        <v>230</v>
      </c>
      <c r="EN38" s="103">
        <f ca="1">NETWORKDAYS(Table2[[#This Row],[Acceptance testing 2 weeks from close out package)]], TODAY())</f>
        <v>32751</v>
      </c>
      <c r="EP38" s="3">
        <f>WORKDAY(Table2[[#This Row],[Acceptance Testing Forecast ]], 20)</f>
        <v>258</v>
      </c>
      <c r="EQ38" s="103">
        <f ca="1">NETWORKDAYS(Table2[[#This Row],[Customer acceptance(1 month after acceptance testing)]], TODAY())</f>
        <v>32751</v>
      </c>
      <c r="ES38" s="3">
        <f>WORKDAY(Table2[[#This Row],[Customer Acceptance Forecast ]], 5)</f>
        <v>265</v>
      </c>
      <c r="ET38" s="103">
        <f ca="1">NETWORKDAYS(Table2[[#This Row],[Operations handoff(1 week after customer acceptance)]], TODAY())</f>
        <v>32751</v>
      </c>
      <c r="EU38" s="3" t="s">
        <v>93</v>
      </c>
      <c r="EV38" s="3">
        <f>WORKDAY(Table2[[#This Row],[Operations Handoff Forecast ]], 7)</f>
        <v>276</v>
      </c>
      <c r="EW38" s="103" t="e">
        <f ca="1">NETWORKDAYS(Table2[[#This Row],[FNE Date]], TODAY())</f>
        <v>#VALUE!</v>
      </c>
      <c r="EX38" s="3"/>
      <c r="EY38" s="3">
        <f>WORKDAY(Table2[[#This Row],[FNE Date Forecast ]], 7)</f>
        <v>285</v>
      </c>
      <c r="EZ38" s="103">
        <f ca="1">NETWORKDAYS(Table2[[#This Row],[FNE Notice]], TODAY())</f>
        <v>32751</v>
      </c>
      <c r="FA38" s="3"/>
      <c r="FB38" s="3"/>
    </row>
    <row r="39" spans="1:158" x14ac:dyDescent="0.25">
      <c r="A39" t="s">
        <v>179</v>
      </c>
      <c r="B39" t="s">
        <v>162</v>
      </c>
      <c r="C39" t="s">
        <v>184</v>
      </c>
      <c r="D39" s="103"/>
      <c r="E39" t="s">
        <v>74</v>
      </c>
      <c r="H39" t="s">
        <v>103</v>
      </c>
      <c r="I39">
        <v>92</v>
      </c>
      <c r="J39" s="3">
        <v>45798</v>
      </c>
      <c r="K39" s="3">
        <f>J39+11</f>
        <v>45809</v>
      </c>
      <c r="L39" s="3">
        <v>45800</v>
      </c>
      <c r="M39" s="3">
        <f>WORKDAY(Table2[[#This Row],[Kickoff date]], 7)</f>
        <v>45818</v>
      </c>
      <c r="N39" s="104">
        <f ca="1">NETWORKDAYS(Table2[[#This Row],[ROM Request]], TODAY())</f>
        <v>37</v>
      </c>
      <c r="O39" s="3">
        <f>L39+8</f>
        <v>45808</v>
      </c>
      <c r="P39" s="3">
        <f>WORKDAY(Table2[[#This Row],[ROM Request]], 10)</f>
        <v>45814</v>
      </c>
      <c r="Q39" s="104">
        <f ca="1">NETWORKDAYS(Table2[[#This Row],[ROM Receive]], TODAY())</f>
        <v>31</v>
      </c>
      <c r="R39" s="3" t="s">
        <v>106</v>
      </c>
      <c r="S39" s="3">
        <f>WORKDAY(Table2[[#This Row],[ROM Receive Forecast]], 15)</f>
        <v>45835</v>
      </c>
      <c r="T39" s="104" t="e">
        <f ca="1">NETWORKDAYS(Table2[[#This Row],[Backhaul Cost Request]], TODAY())</f>
        <v>#VALUE!</v>
      </c>
      <c r="U39" t="s">
        <v>106</v>
      </c>
      <c r="V39" s="3">
        <f>WORKDAY(Table2[[#This Row],[Backhaul Cost Request Forecast]], 15)</f>
        <v>45856</v>
      </c>
      <c r="W39" s="104" t="e">
        <f ca="1">NETWORKDAYS(Table2[[#This Row],[Backhaul Cost Receive]], TODAY())</f>
        <v>#VALUE!</v>
      </c>
      <c r="X39">
        <v>45819</v>
      </c>
      <c r="Y39" s="3">
        <f>WORKDAY(Table2[[#This Row],[Backhaul Cost Request Forecast]], 7)</f>
        <v>45846</v>
      </c>
      <c r="Z39" s="104">
        <f ca="1">NETWORKDAYS(Table2[[#This Row],[OSP Request]], TODAY())</f>
        <v>24</v>
      </c>
      <c r="AB39" s="3">
        <f>WORKDAY(Table2[[#This Row],[OSP Request Forecast]], 10)</f>
        <v>45860</v>
      </c>
      <c r="AC39" s="104">
        <f ca="1">NETWORKDAYS(Table2[[#This Row],[OSP Receive]], TODAY())</f>
        <v>32751</v>
      </c>
      <c r="AD39">
        <f>Table2[[#This Row],[Kickoff date]]</f>
        <v>45809</v>
      </c>
      <c r="AE39" s="3">
        <f>WORKDAY(Table2[[#This Row],[Kickoff date]], 7)</f>
        <v>45818</v>
      </c>
      <c r="AF39" s="104">
        <f ca="1">NETWORKDAYS(Table2[[#This Row],[FM Request]], TODAY())</f>
        <v>31</v>
      </c>
      <c r="AH39" s="3">
        <f>WORKDAY(Table2[[#This Row],[FM Request Forecast ]], 2)</f>
        <v>45820</v>
      </c>
      <c r="AI39" s="104">
        <f ca="1">NETWORKDAYS(Table2[[#This Row],[FM receive]], TODAY())</f>
        <v>32751</v>
      </c>
      <c r="AK39" s="3">
        <f>WORKDAY(Table2[[#This Row],[FM Receive Forecast ]], 2)</f>
        <v>45824</v>
      </c>
      <c r="AM39" s="3">
        <f>K39+17</f>
        <v>45826</v>
      </c>
      <c r="AO39" s="3">
        <f>WORKDAY(Table2[[#This Row],[1-pager Submission to BD]], 7)</f>
        <v>45835</v>
      </c>
      <c r="AP39" s="103">
        <f ca="1">IF(ISBLANK(Table2[[#This Row],[Firm Pricing request]]), NETWORKDAYS(Table2[[#This Row],[Proposal Accepted]], TODAY()), NETWORKDAYS(Table2[[#This Row],[Proposal Accepted]], Table2[[#This Row],[Firm Pricing request]]))</f>
        <v>32751</v>
      </c>
      <c r="AR39" s="3">
        <f>WORKDAY(Table2[[#This Row],[Proposal Acceptance Forecast]], 7)</f>
        <v>45846</v>
      </c>
      <c r="AS39" s="103">
        <f ca="1">NETWORKDAYS(Table2[[#This Row],[Firm Pricing request]], TODAY())</f>
        <v>32751</v>
      </c>
      <c r="AU39" s="3">
        <f>WORKDAY(Table2[[#This Row],[Firm Pricing Request Forecast]], 7)</f>
        <v>45855</v>
      </c>
      <c r="AV39" s="103">
        <f ca="1">NETWORKDAYS(Table2[[#This Row],[Site Walk]], TODAY())</f>
        <v>32751</v>
      </c>
      <c r="AX39" s="3">
        <f>WORKDAY(Table2[[#This Row],[Site Walk Forecast]], 7)</f>
        <v>45866</v>
      </c>
      <c r="AY39" s="103">
        <f ca="1">NETWORKDAYS(Table2[[#This Row],[Firm Quote Receival]], TODAY())</f>
        <v>32751</v>
      </c>
      <c r="BA39" s="3">
        <f>WORKDAY(Table2[[#This Row],[Firm Quote Receival Forecast ]], 7)</f>
        <v>45875</v>
      </c>
      <c r="BB39" s="103">
        <f ca="1">NETWORKDAYS(Table2[[#This Row],[Final Design &amp; BOM(20 calendar days from site walk)]], TODAY())</f>
        <v>32751</v>
      </c>
      <c r="BD39" s="3">
        <f>WORKDAY(Table2[[#This Row],[Final Design &amp; BOM Forecast ]], 7)</f>
        <v>45884</v>
      </c>
      <c r="BE39" s="103">
        <f ca="1">NETWORKDAYS(Table2[[#This Row],[FM Request 2]], TODAY())</f>
        <v>32751</v>
      </c>
      <c r="BG39" s="3">
        <f>WORKDAY(Table2[[#This Row],[FM Request 2 Forecast]], 7)</f>
        <v>45895</v>
      </c>
      <c r="BH39" s="103"/>
      <c r="BJ39" s="3">
        <f>WORKDAY(Table2[[#This Row],[FM Review 2 Forecast]], 7)</f>
        <v>45904</v>
      </c>
      <c r="BK39" s="103">
        <f ca="1">NETWORKDAYS(Table2[[#This Row],[Tax Review]], TODAY())</f>
        <v>32751</v>
      </c>
      <c r="BM39" s="3">
        <f>WORKDAY(Table2[[#This Row],[Tax Review]], 7)</f>
        <v>10</v>
      </c>
      <c r="BN39" s="103">
        <f ca="1">NETWORKDAYS(Table2[[#This Row],[Tax Approval]], TODAY())</f>
        <v>32751</v>
      </c>
      <c r="BP39" s="3">
        <f>WORKDAY(Table2[[#This Row],[Tax Approval Forecast]], 7)</f>
        <v>19</v>
      </c>
      <c r="BQ39" s="103">
        <f ca="1">NETWORKDAYS(Table2[[#This Row],[Final proposal submission]], TODAY())</f>
        <v>32751</v>
      </c>
      <c r="BT39" s="3">
        <f>WORKDAY(Table2[[#This Row],[Final Proposal Submission Forecast]], 7)</f>
        <v>30</v>
      </c>
      <c r="BU39" s="103">
        <f ca="1">NETWORKDAYS(Table2[[#This Row],[BD submits proposal]], TODAY())</f>
        <v>32751</v>
      </c>
      <c r="BW39" s="3">
        <f>WORKDAY(Table2[[#This Row],[BD Submits Proposal Forecast]], 7)</f>
        <v>39</v>
      </c>
      <c r="BX39" s="103">
        <f ca="1">NETWORKDAYS(Table2[[#This Row],[Final Proposal Accepted]], TODAY())</f>
        <v>32751</v>
      </c>
      <c r="BZ39" s="3">
        <f>WORKDAY(Table2[[#This Row],[Final Proposal Accepted]], 90)</f>
        <v>125</v>
      </c>
      <c r="CA39" s="103">
        <f ca="1">NETWORKDAYS(Table2[[#This Row],[Legal Agreement]], TODAY())</f>
        <v>32751</v>
      </c>
      <c r="CC39" s="3">
        <f>WORKDAY(Table2[[#This Row],[Legal Agreement Forecast]], 10)</f>
        <v>139</v>
      </c>
      <c r="CD39" s="103">
        <f ca="1">NETWORKDAYS(Table2[[#This Row],[Executed Agreement]], TODAY())</f>
        <v>32751</v>
      </c>
      <c r="CE39" t="s">
        <v>76</v>
      </c>
      <c r="CF39" t="s">
        <v>185</v>
      </c>
      <c r="CG39" s="103"/>
      <c r="CH39" s="3"/>
      <c r="CI39" s="3">
        <f>WORKDAY(Table2[[#This Row],[Executed Agreement]], 7)</f>
        <v>10</v>
      </c>
      <c r="CJ39" s="103">
        <f ca="1">NETWORKDAYS(Table2[[#This Row],[A&amp;E Request]], TODAY())</f>
        <v>32751</v>
      </c>
      <c r="CL39" s="3">
        <f>WORKDAY(Table2[[#This Row],[A&amp;E Request Forecast]], 10)</f>
        <v>24</v>
      </c>
      <c r="CM39" s="103">
        <f ca="1">NETWORKDAYS(Table2[[#This Row],[A&amp;E receive]], TODAY())</f>
        <v>32751</v>
      </c>
      <c r="CO39" s="3">
        <f>WORKDAY(Table2[[#This Row],[FM Approval meeting ]], 10)</f>
        <v>13</v>
      </c>
      <c r="CP39" s="103">
        <f ca="1">NETWORKDAYS(Table2[[#This Row],[Budget Request]], TODAY())</f>
        <v>32751</v>
      </c>
      <c r="CR39" s="3">
        <f>WORKDAY(Table2[[#This Row],[Budget Request Forecast]], 7)</f>
        <v>24</v>
      </c>
      <c r="CS39" s="103">
        <f ca="1">NETWORKDAYS(Table2[[#This Row],[Budget Approval]], TODAY())</f>
        <v>32751</v>
      </c>
      <c r="CV39" s="3">
        <f>WORKDAY(Table2[[#This Row],[Budget Approval Forecast ]], 7)</f>
        <v>33</v>
      </c>
      <c r="CW39" s="103">
        <f ca="1">NETWORKDAYS(Table2[[#This Row],[PO Request for OEM ]], TODAY())</f>
        <v>32751</v>
      </c>
      <c r="CY39" s="3">
        <f>WORKDAY(Table2[[#This Row],[PO Request for OEM Forecast]], 10)</f>
        <v>47</v>
      </c>
      <c r="CZ39" s="103">
        <f ca="1">NETWORKDAYS(Table2[[#This Row],[PO Approval]], TODAY())</f>
        <v>32751</v>
      </c>
      <c r="DB39" s="3">
        <f>WORKDAY(Table2[[#This Row],[PO Approval Forecast]], 10)</f>
        <v>61</v>
      </c>
      <c r="DC39" s="103">
        <f ca="1">NETWORKDAYS(Table2[[#This Row],[backhaul ordered]], TODAY())</f>
        <v>32751</v>
      </c>
      <c r="DD39">
        <v>44593</v>
      </c>
      <c r="DE39" s="3">
        <f>WORKDAY(Table2[[#This Row],[Backhaul Order Forecast]], 10)</f>
        <v>75</v>
      </c>
      <c r="DF39" s="103">
        <f ca="1">NETWORKDAYS(Table2[[#This Row],[RTP Request]], TODAY())</f>
        <v>900</v>
      </c>
      <c r="DG39" s="3">
        <v>44785</v>
      </c>
      <c r="DH39" s="3">
        <f>WORKDAY(Table2[[#This Row],[RTP Request Forecast]], 10)</f>
        <v>89</v>
      </c>
      <c r="DI39" s="103">
        <f ca="1">NETWORKDAYS(Table2[[#This Row],[RTP Approved]], TODAY())</f>
        <v>762</v>
      </c>
      <c r="DK39" s="3">
        <f>WORKDAY(Table2[[#This Row],[RTP Approval Forecast ]], 7)</f>
        <v>100</v>
      </c>
      <c r="DL39" s="103">
        <f ca="1">NETWORKDAYS(Table2[[#This Row],[RFP Request]], TODAY())</f>
        <v>32751</v>
      </c>
      <c r="DN39" s="3">
        <f>WORKDAY(Table2[[#This Row],[RFP Request Forecast ]], 10)</f>
        <v>114</v>
      </c>
      <c r="DO39" s="103">
        <f ca="1">NETWORKDAYS(Table2[[#This Row],[RFP Received]], TODAY())</f>
        <v>32751</v>
      </c>
      <c r="DQ39" s="3">
        <f>WORKDAY(Table2[[#This Row],[RFP Received Forecast ]], 7)</f>
        <v>123</v>
      </c>
      <c r="DR39" s="103">
        <f ca="1">NETWORKDAYS(Table2[[#This Row],[PO for GC Request]], TODAY())</f>
        <v>32751</v>
      </c>
      <c r="DT39" s="3">
        <f>WORKDAY(Table2[[#This Row],[PO for GC Request Forecast ]], 7)</f>
        <v>132</v>
      </c>
      <c r="DU39" s="103">
        <f ca="1">NETWORKDAYS(Table2[[#This Row],[PO for GC Approved]], TODAY())</f>
        <v>32751</v>
      </c>
      <c r="DW39" s="3">
        <f>WORKDAY(Table2[[#This Row],[PO for GC Approval Forecast ]], 10)</f>
        <v>146</v>
      </c>
      <c r="DX39" s="103">
        <f ca="1">NETWORKDAYS(Table2[[#This Row],[Construction Start]], TODAY())</f>
        <v>32751</v>
      </c>
      <c r="DZ39" s="3">
        <f>WORKDAY(Table2[[#This Row],[Construction Start Forecast ]], 20)</f>
        <v>174</v>
      </c>
      <c r="EA39" s="103">
        <f ca="1">NETWORKDAYS(Table2[[#This Row],[Construction Complete]], TODAY())</f>
        <v>32751</v>
      </c>
      <c r="ED39" s="3">
        <f>WORKDAY(Table2[[#This Row],[Construction Complete Forecast ]], 10)</f>
        <v>188</v>
      </c>
      <c r="EE39" s="103">
        <f ca="1">NETWORKDAYS(Table2[[#This Row],[Integration Start]], TODAY())</f>
        <v>32751</v>
      </c>
      <c r="EF39" s="3"/>
      <c r="EG39" s="3">
        <f>WORKDAY(Table2[[#This Row],[Integration Start Forecast ]], 10)</f>
        <v>202</v>
      </c>
      <c r="EH39" s="103">
        <f ca="1">NETWORKDAYS(Table2[[#This Row],[Integration Complete]], TODAY())</f>
        <v>32751</v>
      </c>
      <c r="EJ39" s="3">
        <f>WORKDAY(Table2[[#This Row],[Integration Complete Forecast ]], 10)</f>
        <v>216</v>
      </c>
      <c r="EK39" s="103">
        <f ca="1">NETWORKDAYS(Table2[[#This Row],[Close Out Package(2weeks from integration complete]], TODAY())</f>
        <v>32751</v>
      </c>
      <c r="EM39" s="3">
        <f>WORKDAY(Table2[[#This Row],[Close Out Package Forecast ]], 10)</f>
        <v>230</v>
      </c>
      <c r="EN39" s="103">
        <f ca="1">NETWORKDAYS(Table2[[#This Row],[Acceptance testing 2 weeks from close out package)]], TODAY())</f>
        <v>32751</v>
      </c>
      <c r="EP39" s="3">
        <f>WORKDAY(Table2[[#This Row],[Acceptance Testing Forecast ]], 20)</f>
        <v>258</v>
      </c>
      <c r="EQ39" s="103">
        <f ca="1">NETWORKDAYS(Table2[[#This Row],[Customer acceptance(1 month after acceptance testing)]], TODAY())</f>
        <v>32751</v>
      </c>
      <c r="ES39" s="3">
        <f>WORKDAY(Table2[[#This Row],[Customer Acceptance Forecast ]], 5)</f>
        <v>265</v>
      </c>
      <c r="ET39" s="103">
        <f ca="1">NETWORKDAYS(Table2[[#This Row],[Operations handoff(1 week after customer acceptance)]], TODAY())</f>
        <v>32751</v>
      </c>
      <c r="EU39" t="s">
        <v>186</v>
      </c>
      <c r="EV39" s="3">
        <f>WORKDAY(Table2[[#This Row],[Operations Handoff Forecast ]], 7)</f>
        <v>276</v>
      </c>
      <c r="EW39" s="103" t="e">
        <f ca="1">NETWORKDAYS(Table2[[#This Row],[FNE Date]], TODAY())</f>
        <v>#VALUE!</v>
      </c>
      <c r="EY39" s="3">
        <f>WORKDAY(Table2[[#This Row],[FNE Date Forecast ]], 7)</f>
        <v>285</v>
      </c>
      <c r="EZ39" s="103">
        <f ca="1">NETWORKDAYS(Table2[[#This Row],[FNE Notice]], TODAY())</f>
        <v>32751</v>
      </c>
    </row>
    <row r="40" spans="1:158" x14ac:dyDescent="0.25">
      <c r="A40" t="s">
        <v>187</v>
      </c>
      <c r="B40" t="s">
        <v>162</v>
      </c>
      <c r="C40" t="s">
        <v>188</v>
      </c>
      <c r="D40" s="103"/>
      <c r="E40" t="s">
        <v>74</v>
      </c>
      <c r="H40" t="s">
        <v>105</v>
      </c>
      <c r="J40" s="3">
        <v>45799</v>
      </c>
      <c r="K40" s="3">
        <f>J40+21</f>
        <v>45820</v>
      </c>
      <c r="L40" s="3">
        <v>45805</v>
      </c>
      <c r="M40" s="3">
        <f>WORKDAY(Table2[[#This Row],[Kickoff date]], 7)</f>
        <v>45831</v>
      </c>
      <c r="N40" s="104">
        <f ca="1">NETWORKDAYS(Table2[[#This Row],[ROM Request]], TODAY())</f>
        <v>34</v>
      </c>
      <c r="O40" s="3">
        <v>45807</v>
      </c>
      <c r="P40" s="3">
        <f>WORKDAY(Table2[[#This Row],[ROM Request]], 10)</f>
        <v>45819</v>
      </c>
      <c r="Q40" s="104">
        <f ca="1">NETWORKDAYS(Table2[[#This Row],[ROM Receive]], TODAY())</f>
        <v>32</v>
      </c>
      <c r="R40" s="3">
        <v>45805</v>
      </c>
      <c r="S40" s="3">
        <f>WORKDAY(Table2[[#This Row],[ROM Receive Forecast]], 15)</f>
        <v>45840</v>
      </c>
      <c r="T40" s="104">
        <f ca="1">NETWORKDAYS(Table2[[#This Row],[Backhaul Cost Request]], TODAY())</f>
        <v>34</v>
      </c>
      <c r="U40" s="3">
        <f>R40+20</f>
        <v>45825</v>
      </c>
      <c r="V40" s="3">
        <f>WORKDAY(Table2[[#This Row],[Backhaul Cost Request Forecast]], 15)</f>
        <v>45861</v>
      </c>
      <c r="W40" s="104">
        <f ca="1">NETWORKDAYS(Table2[[#This Row],[Backhaul Cost Receive]], TODAY())</f>
        <v>20</v>
      </c>
      <c r="X40" s="3">
        <f>Table2[[#This Row],[Kickoff date]]</f>
        <v>45820</v>
      </c>
      <c r="Y40" s="3">
        <f>WORKDAY(Table2[[#This Row],[Backhaul Cost Request Forecast]], 7)</f>
        <v>45849</v>
      </c>
      <c r="Z40" s="104">
        <f ca="1">NETWORKDAYS(Table2[[#This Row],[OSP Request]], TODAY())</f>
        <v>23</v>
      </c>
      <c r="AA40" s="3"/>
      <c r="AB40" s="3">
        <f>WORKDAY(Table2[[#This Row],[OSP Request Forecast]], 10)</f>
        <v>45863</v>
      </c>
      <c r="AC40" s="104">
        <f ca="1">NETWORKDAYS(Table2[[#This Row],[OSP Receive]], TODAY())</f>
        <v>32751</v>
      </c>
      <c r="AD40" s="3">
        <f>Table2[[#This Row],[Kickoff date]]</f>
        <v>45820</v>
      </c>
      <c r="AE40" s="3">
        <f>WORKDAY(Table2[[#This Row],[Kickoff date]], 7)</f>
        <v>45831</v>
      </c>
      <c r="AF40" s="104">
        <f ca="1">NETWORKDAYS(Table2[[#This Row],[FM Request]], TODAY())</f>
        <v>23</v>
      </c>
      <c r="AG40" s="3"/>
      <c r="AH40" s="3">
        <f>WORKDAY(Table2[[#This Row],[FM Request Forecast ]], 2)</f>
        <v>45833</v>
      </c>
      <c r="AI40" s="104">
        <f ca="1">NETWORKDAYS(Table2[[#This Row],[FM receive]], TODAY())</f>
        <v>32751</v>
      </c>
      <c r="AJ40" s="3"/>
      <c r="AK40" s="3">
        <f>WORKDAY(Table2[[#This Row],[FM Receive Forecast ]], 2)</f>
        <v>45835</v>
      </c>
      <c r="AM40" s="3">
        <f>K40+20</f>
        <v>45840</v>
      </c>
      <c r="AN40" s="3"/>
      <c r="AO40" s="3">
        <f>WORKDAY(Table2[[#This Row],[1-pager Submission to BD]], 7)</f>
        <v>45849</v>
      </c>
      <c r="AP40" s="103">
        <f ca="1">IF(ISBLANK(Table2[[#This Row],[Firm Pricing request]]), NETWORKDAYS(Table2[[#This Row],[Proposal Accepted]], TODAY()), NETWORKDAYS(Table2[[#This Row],[Proposal Accepted]], Table2[[#This Row],[Firm Pricing request]]))</f>
        <v>32751</v>
      </c>
      <c r="AQ40" s="3"/>
      <c r="AR40" s="3">
        <f>WORKDAY(Table2[[#This Row],[Proposal Acceptance Forecast]], 7)</f>
        <v>45860</v>
      </c>
      <c r="AS40" s="103">
        <f ca="1">NETWORKDAYS(Table2[[#This Row],[Firm Pricing request]], TODAY())</f>
        <v>32751</v>
      </c>
      <c r="AT40" s="3"/>
      <c r="AU40" s="3">
        <f>WORKDAY(Table2[[#This Row],[Firm Pricing Request Forecast]], 7)</f>
        <v>45869</v>
      </c>
      <c r="AV40" s="103">
        <f ca="1">NETWORKDAYS(Table2[[#This Row],[Site Walk]], TODAY())</f>
        <v>32751</v>
      </c>
      <c r="AW40" s="3"/>
      <c r="AX40" s="3">
        <f>WORKDAY(Table2[[#This Row],[Site Walk Forecast]], 7)</f>
        <v>45880</v>
      </c>
      <c r="AY40" s="103">
        <f ca="1">NETWORKDAYS(Table2[[#This Row],[Firm Quote Receival]], TODAY())</f>
        <v>32751</v>
      </c>
      <c r="AZ40" s="3"/>
      <c r="BA40" s="3">
        <f>WORKDAY(Table2[[#This Row],[Firm Quote Receival Forecast ]], 7)</f>
        <v>45889</v>
      </c>
      <c r="BB40" s="103">
        <f ca="1">NETWORKDAYS(Table2[[#This Row],[Final Design &amp; BOM(20 calendar days from site walk)]], TODAY())</f>
        <v>32751</v>
      </c>
      <c r="BC40" s="3"/>
      <c r="BD40" s="3">
        <f>WORKDAY(Table2[[#This Row],[Final Design &amp; BOM Forecast ]], 7)</f>
        <v>45898</v>
      </c>
      <c r="BE40" s="103">
        <f ca="1">NETWORKDAYS(Table2[[#This Row],[FM Request 2]], TODAY())</f>
        <v>32751</v>
      </c>
      <c r="BF40" s="3"/>
      <c r="BG40" s="3">
        <f>WORKDAY(Table2[[#This Row],[FM Request 2 Forecast]], 7)</f>
        <v>45909</v>
      </c>
      <c r="BH40" s="103"/>
      <c r="BI40" s="3"/>
      <c r="BJ40" s="3">
        <f>WORKDAY(Table2[[#This Row],[FM Review 2 Forecast]], 7)</f>
        <v>45918</v>
      </c>
      <c r="BK40" s="103">
        <f ca="1">NETWORKDAYS(Table2[[#This Row],[Tax Review]], TODAY())</f>
        <v>32751</v>
      </c>
      <c r="BL40" s="3"/>
      <c r="BM40" s="3">
        <f>WORKDAY(Table2[[#This Row],[Tax Review]], 7)</f>
        <v>10</v>
      </c>
      <c r="BN40" s="103">
        <f ca="1">NETWORKDAYS(Table2[[#This Row],[Tax Approval]], TODAY())</f>
        <v>32751</v>
      </c>
      <c r="BO40" s="3"/>
      <c r="BP40" s="3">
        <f>WORKDAY(Table2[[#This Row],[Tax Approval Forecast]], 7)</f>
        <v>19</v>
      </c>
      <c r="BQ40" s="103">
        <f ca="1">NETWORKDAYS(Table2[[#This Row],[Final proposal submission]], TODAY())</f>
        <v>32751</v>
      </c>
      <c r="BR40" s="3"/>
      <c r="BS40" s="3"/>
      <c r="BT40" s="3">
        <f>WORKDAY(Table2[[#This Row],[Final Proposal Submission Forecast]], 7)</f>
        <v>30</v>
      </c>
      <c r="BU40" s="103">
        <f ca="1">NETWORKDAYS(Table2[[#This Row],[BD submits proposal]], TODAY())</f>
        <v>32751</v>
      </c>
      <c r="BV40" s="3"/>
      <c r="BW40" s="3">
        <f>WORKDAY(Table2[[#This Row],[BD Submits Proposal Forecast]], 7)</f>
        <v>39</v>
      </c>
      <c r="BX40" s="103">
        <f ca="1">NETWORKDAYS(Table2[[#This Row],[Final Proposal Accepted]], TODAY())</f>
        <v>32751</v>
      </c>
      <c r="BY40" s="3"/>
      <c r="BZ40" s="3">
        <f>WORKDAY(Table2[[#This Row],[Final Proposal Accepted]], 90)</f>
        <v>125</v>
      </c>
      <c r="CA40" s="103">
        <f ca="1">NETWORKDAYS(Table2[[#This Row],[Legal Agreement]], TODAY())</f>
        <v>32751</v>
      </c>
      <c r="CB40" s="3"/>
      <c r="CC40" s="3">
        <f>WORKDAY(Table2[[#This Row],[Legal Agreement Forecast]], 10)</f>
        <v>139</v>
      </c>
      <c r="CD40" s="103">
        <f ca="1">NETWORKDAYS(Table2[[#This Row],[Executed Agreement]], TODAY())</f>
        <v>32751</v>
      </c>
      <c r="CE40" t="s">
        <v>76</v>
      </c>
      <c r="CF40" t="s">
        <v>189</v>
      </c>
      <c r="CG40" s="103"/>
      <c r="CH40" s="3">
        <v>44621</v>
      </c>
      <c r="CI40" s="3">
        <f>WORKDAY(Table2[[#This Row],[Executed Agreement]], 7)</f>
        <v>10</v>
      </c>
      <c r="CJ40" s="103">
        <f ca="1">NETWORKDAYS(Table2[[#This Row],[A&amp;E Request]], TODAY())</f>
        <v>880</v>
      </c>
      <c r="CK40" s="3">
        <v>44992</v>
      </c>
      <c r="CL40" s="3">
        <f>WORKDAY(Table2[[#This Row],[A&amp;E Request Forecast]], 10)</f>
        <v>24</v>
      </c>
      <c r="CM40" s="103">
        <f ca="1">NETWORKDAYS(Table2[[#This Row],[A&amp;E receive]], TODAY())</f>
        <v>615</v>
      </c>
      <c r="CO40" s="3">
        <f>WORKDAY(Table2[[#This Row],[FM Approval meeting ]], 10)</f>
        <v>13</v>
      </c>
      <c r="CP40" s="103">
        <f ca="1">NETWORKDAYS(Table2[[#This Row],[Budget Request]], TODAY())</f>
        <v>32751</v>
      </c>
      <c r="CR40" s="3">
        <f>WORKDAY(Table2[[#This Row],[Budget Request Forecast]], 7)</f>
        <v>24</v>
      </c>
      <c r="CS40" s="103">
        <f ca="1">NETWORKDAYS(Table2[[#This Row],[Budget Approval]], TODAY())</f>
        <v>32751</v>
      </c>
      <c r="CU40">
        <v>45020</v>
      </c>
      <c r="CV40" s="3">
        <f>WORKDAY(Table2[[#This Row],[Budget Approval Forecast ]], 7)</f>
        <v>33</v>
      </c>
      <c r="CW40" s="103">
        <f ca="1">NETWORKDAYS(Table2[[#This Row],[PO Request for OEM ]], TODAY())</f>
        <v>595</v>
      </c>
      <c r="CX40" s="3">
        <v>45055</v>
      </c>
      <c r="CY40" s="3">
        <f>WORKDAY(Table2[[#This Row],[PO Request for OEM Forecast]], 10)</f>
        <v>47</v>
      </c>
      <c r="CZ40" s="103">
        <f ca="1">NETWORKDAYS(Table2[[#This Row],[PO Approval]], TODAY())</f>
        <v>570</v>
      </c>
      <c r="DB40" s="3">
        <f>WORKDAY(Table2[[#This Row],[PO Approval Forecast]], 10)</f>
        <v>61</v>
      </c>
      <c r="DC40" s="103">
        <f ca="1">NETWORKDAYS(Table2[[#This Row],[backhaul ordered]], TODAY())</f>
        <v>32751</v>
      </c>
      <c r="DD40">
        <v>45536</v>
      </c>
      <c r="DE40" s="3">
        <f>WORKDAY(Table2[[#This Row],[Backhaul Order Forecast]], 10)</f>
        <v>75</v>
      </c>
      <c r="DF40" s="103">
        <f ca="1">NETWORKDAYS(Table2[[#This Row],[RTP Request]], TODAY())</f>
        <v>226</v>
      </c>
      <c r="DG40" s="3">
        <v>45349</v>
      </c>
      <c r="DH40" s="3">
        <f>WORKDAY(Table2[[#This Row],[RTP Request Forecast]], 10)</f>
        <v>89</v>
      </c>
      <c r="DI40" s="103">
        <f ca="1">NETWORKDAYS(Table2[[#This Row],[RTP Approved]], TODAY())</f>
        <v>360</v>
      </c>
      <c r="DK40" s="3">
        <f>WORKDAY(Table2[[#This Row],[RTP Approval Forecast ]], 7)</f>
        <v>100</v>
      </c>
      <c r="DL40" s="103">
        <f ca="1">NETWORKDAYS(Table2[[#This Row],[RFP Request]], TODAY())</f>
        <v>32751</v>
      </c>
      <c r="DN40" s="3">
        <f>WORKDAY(Table2[[#This Row],[RFP Request Forecast ]], 10)</f>
        <v>114</v>
      </c>
      <c r="DO40" s="103">
        <f ca="1">NETWORKDAYS(Table2[[#This Row],[RFP Received]], TODAY())</f>
        <v>32751</v>
      </c>
      <c r="DQ40" s="3">
        <f>WORKDAY(Table2[[#This Row],[RFP Received Forecast ]], 7)</f>
        <v>123</v>
      </c>
      <c r="DR40" s="103">
        <f ca="1">NETWORKDAYS(Table2[[#This Row],[PO for GC Request]], TODAY())</f>
        <v>32751</v>
      </c>
      <c r="DS40" s="3">
        <v>45548</v>
      </c>
      <c r="DT40" s="3">
        <f>WORKDAY(Table2[[#This Row],[PO for GC Request Forecast ]], 7)</f>
        <v>132</v>
      </c>
      <c r="DU40" s="103">
        <f ca="1">NETWORKDAYS(Table2[[#This Row],[PO for GC Approved]], TODAY())</f>
        <v>217</v>
      </c>
      <c r="DV40">
        <v>45211</v>
      </c>
      <c r="DW40" s="3">
        <f>WORKDAY(Table2[[#This Row],[PO for GC Approval Forecast ]], 10)</f>
        <v>146</v>
      </c>
      <c r="DX40" s="103">
        <f ca="1">NETWORKDAYS(Table2[[#This Row],[Construction Start]], TODAY())</f>
        <v>458</v>
      </c>
      <c r="DZ40" s="3">
        <f>WORKDAY(Table2[[#This Row],[Construction Start Forecast ]], 20)</f>
        <v>174</v>
      </c>
      <c r="EA40" s="103">
        <f ca="1">NETWORKDAYS(Table2[[#This Row],[Construction Complete]], TODAY())</f>
        <v>32751</v>
      </c>
      <c r="ED40" s="3">
        <f>WORKDAY(Table2[[#This Row],[Construction Complete Forecast ]], 10)</f>
        <v>188</v>
      </c>
      <c r="EE40" s="103">
        <f ca="1">NETWORKDAYS(Table2[[#This Row],[Integration Start]], TODAY())</f>
        <v>32751</v>
      </c>
      <c r="EF40" s="3"/>
      <c r="EG40" s="3">
        <f>WORKDAY(Table2[[#This Row],[Integration Start Forecast ]], 10)</f>
        <v>202</v>
      </c>
      <c r="EH40" s="103">
        <f ca="1">NETWORKDAYS(Table2[[#This Row],[Integration Complete]], TODAY())</f>
        <v>32751</v>
      </c>
      <c r="EJ40" s="3">
        <f>WORKDAY(Table2[[#This Row],[Integration Complete Forecast ]], 10)</f>
        <v>216</v>
      </c>
      <c r="EK40" s="103">
        <f ca="1">NETWORKDAYS(Table2[[#This Row],[Close Out Package(2weeks from integration complete]], TODAY())</f>
        <v>32751</v>
      </c>
      <c r="EM40" s="3">
        <f>WORKDAY(Table2[[#This Row],[Close Out Package Forecast ]], 10)</f>
        <v>230</v>
      </c>
      <c r="EN40" s="103">
        <f ca="1">NETWORKDAYS(Table2[[#This Row],[Acceptance testing 2 weeks from close out package)]], TODAY())</f>
        <v>32751</v>
      </c>
      <c r="EP40" s="3">
        <f>WORKDAY(Table2[[#This Row],[Acceptance Testing Forecast ]], 20)</f>
        <v>258</v>
      </c>
      <c r="EQ40" s="103">
        <f ca="1">NETWORKDAYS(Table2[[#This Row],[Customer acceptance(1 month after acceptance testing)]], TODAY())</f>
        <v>32751</v>
      </c>
      <c r="ES40" s="3">
        <f>WORKDAY(Table2[[#This Row],[Customer Acceptance Forecast ]], 5)</f>
        <v>265</v>
      </c>
      <c r="ET40" s="103">
        <f ca="1">NETWORKDAYS(Table2[[#This Row],[Operations handoff(1 week after customer acceptance)]], TODAY())</f>
        <v>32751</v>
      </c>
      <c r="EU40" s="3"/>
      <c r="EV40" s="3">
        <f>WORKDAY(Table2[[#This Row],[Operations Handoff Forecast ]], 7)</f>
        <v>276</v>
      </c>
      <c r="EW40" s="103">
        <f ca="1">NETWORKDAYS(Table2[[#This Row],[FNE Date]], TODAY())</f>
        <v>32751</v>
      </c>
      <c r="EX40" s="3"/>
      <c r="EY40" s="3">
        <f>WORKDAY(Table2[[#This Row],[FNE Date Forecast ]], 7)</f>
        <v>285</v>
      </c>
      <c r="EZ40" s="103">
        <f ca="1">NETWORKDAYS(Table2[[#This Row],[FNE Notice]], TODAY())</f>
        <v>32751</v>
      </c>
      <c r="FA40" s="3"/>
      <c r="FB40" s="3"/>
    </row>
    <row r="41" spans="1:158" x14ac:dyDescent="0.25">
      <c r="A41" t="s">
        <v>179</v>
      </c>
      <c r="B41" t="s">
        <v>162</v>
      </c>
      <c r="C41" t="s">
        <v>190</v>
      </c>
      <c r="D41" s="103"/>
      <c r="E41" t="s">
        <v>74</v>
      </c>
      <c r="H41" t="s">
        <v>75</v>
      </c>
      <c r="I41">
        <v>300</v>
      </c>
      <c r="J41" s="3">
        <v>45800</v>
      </c>
      <c r="K41" s="3">
        <f>J41+16</f>
        <v>45816</v>
      </c>
      <c r="L41" s="3">
        <v>45806</v>
      </c>
      <c r="M41" s="3">
        <f>WORKDAY(Table2[[#This Row],[Kickoff date]], 7)</f>
        <v>45825</v>
      </c>
      <c r="N41" s="104">
        <f ca="1">NETWORKDAYS(Table2[[#This Row],[ROM Request]], TODAY())</f>
        <v>33</v>
      </c>
      <c r="O41" s="3">
        <v>45810</v>
      </c>
      <c r="P41" s="3">
        <f>WORKDAY(Table2[[#This Row],[ROM Request]], 10)</f>
        <v>45820</v>
      </c>
      <c r="Q41" s="104">
        <f ca="1">NETWORKDAYS(Table2[[#This Row],[ROM Receive]], TODAY())</f>
        <v>31</v>
      </c>
      <c r="R41" s="3">
        <v>45806</v>
      </c>
      <c r="S41" s="3">
        <f>WORKDAY(Table2[[#This Row],[ROM Receive Forecast]], 15)</f>
        <v>45841</v>
      </c>
      <c r="T41" s="104">
        <f ca="1">NETWORKDAYS(Table2[[#This Row],[Backhaul Cost Request]], TODAY())</f>
        <v>33</v>
      </c>
      <c r="U41" s="3">
        <f>R41+22</f>
        <v>45828</v>
      </c>
      <c r="V41" s="3">
        <f>WORKDAY(Table2[[#This Row],[Backhaul Cost Request Forecast]], 15)</f>
        <v>45862</v>
      </c>
      <c r="W41" s="104">
        <f ca="1">NETWORKDAYS(Table2[[#This Row],[Backhaul Cost Receive]], TODAY())</f>
        <v>17</v>
      </c>
      <c r="X41" s="3">
        <f>Table2[[#This Row],[Kickoff date]]</f>
        <v>45816</v>
      </c>
      <c r="Y41" s="3">
        <f>WORKDAY(Table2[[#This Row],[Backhaul Cost Request Forecast]], 7)</f>
        <v>45852</v>
      </c>
      <c r="Z41" s="104">
        <f ca="1">NETWORKDAYS(Table2[[#This Row],[OSP Request]], TODAY())</f>
        <v>26</v>
      </c>
      <c r="AA41" s="3"/>
      <c r="AB41" s="3">
        <f>WORKDAY(Table2[[#This Row],[OSP Request Forecast]], 10)</f>
        <v>45866</v>
      </c>
      <c r="AC41" s="104">
        <f ca="1">NETWORKDAYS(Table2[[#This Row],[OSP Receive]], TODAY())</f>
        <v>32751</v>
      </c>
      <c r="AD41" s="3">
        <f>Table2[[#This Row],[Kickoff date]]</f>
        <v>45816</v>
      </c>
      <c r="AE41" s="3">
        <f>WORKDAY(Table2[[#This Row],[Kickoff date]], 7)</f>
        <v>45825</v>
      </c>
      <c r="AF41" s="104">
        <f ca="1">NETWORKDAYS(Table2[[#This Row],[FM Request]], TODAY())</f>
        <v>26</v>
      </c>
      <c r="AG41" s="3"/>
      <c r="AH41" s="3">
        <f>WORKDAY(Table2[[#This Row],[FM Request Forecast ]], 2)</f>
        <v>45827</v>
      </c>
      <c r="AI41" s="104">
        <f ca="1">NETWORKDAYS(Table2[[#This Row],[FM receive]], TODAY())</f>
        <v>32751</v>
      </c>
      <c r="AJ41" s="3"/>
      <c r="AK41" s="3">
        <f>WORKDAY(Table2[[#This Row],[FM Receive Forecast ]], 2)</f>
        <v>45831</v>
      </c>
      <c r="AM41" s="3">
        <f>K41+1</f>
        <v>45817</v>
      </c>
      <c r="AN41" s="3"/>
      <c r="AO41" s="3">
        <f>WORKDAY(Table2[[#This Row],[1-pager Submission to BD]], 7)</f>
        <v>45826</v>
      </c>
      <c r="AP41" s="103">
        <f ca="1">IF(ISBLANK(Table2[[#This Row],[Firm Pricing request]]), NETWORKDAYS(Table2[[#This Row],[Proposal Accepted]], TODAY()), NETWORKDAYS(Table2[[#This Row],[Proposal Accepted]], Table2[[#This Row],[Firm Pricing request]]))</f>
        <v>32751</v>
      </c>
      <c r="AQ41" s="3"/>
      <c r="AR41" s="3">
        <f>WORKDAY(Table2[[#This Row],[Proposal Acceptance Forecast]], 7)</f>
        <v>45835</v>
      </c>
      <c r="AS41" s="103">
        <f ca="1">NETWORKDAYS(Table2[[#This Row],[Firm Pricing request]], TODAY())</f>
        <v>32751</v>
      </c>
      <c r="AT41" s="3"/>
      <c r="AU41" s="3">
        <f>WORKDAY(Table2[[#This Row],[Firm Pricing Request Forecast]], 7)</f>
        <v>45846</v>
      </c>
      <c r="AV41" s="103">
        <f ca="1">NETWORKDAYS(Table2[[#This Row],[Site Walk]], TODAY())</f>
        <v>32751</v>
      </c>
      <c r="AW41" s="3"/>
      <c r="AX41" s="3">
        <f>WORKDAY(Table2[[#This Row],[Site Walk Forecast]], 7)</f>
        <v>45855</v>
      </c>
      <c r="AY41" s="103">
        <f ca="1">NETWORKDAYS(Table2[[#This Row],[Firm Quote Receival]], TODAY())</f>
        <v>32751</v>
      </c>
      <c r="AZ41" s="3"/>
      <c r="BA41" s="3">
        <f>WORKDAY(Table2[[#This Row],[Firm Quote Receival Forecast ]], 7)</f>
        <v>45866</v>
      </c>
      <c r="BB41" s="103">
        <f ca="1">NETWORKDAYS(Table2[[#This Row],[Final Design &amp; BOM(20 calendar days from site walk)]], TODAY())</f>
        <v>32751</v>
      </c>
      <c r="BC41" s="3"/>
      <c r="BD41" s="3">
        <f>WORKDAY(Table2[[#This Row],[Final Design &amp; BOM Forecast ]], 7)</f>
        <v>45875</v>
      </c>
      <c r="BE41" s="103">
        <f ca="1">NETWORKDAYS(Table2[[#This Row],[FM Request 2]], TODAY())</f>
        <v>32751</v>
      </c>
      <c r="BF41" s="3"/>
      <c r="BG41" s="3">
        <f>WORKDAY(Table2[[#This Row],[FM Request 2 Forecast]], 7)</f>
        <v>45884</v>
      </c>
      <c r="BH41" s="103"/>
      <c r="BI41" s="3"/>
      <c r="BJ41" s="3">
        <f>WORKDAY(Table2[[#This Row],[FM Review 2 Forecast]], 7)</f>
        <v>45895</v>
      </c>
      <c r="BK41" s="103">
        <f ca="1">NETWORKDAYS(Table2[[#This Row],[Tax Review]], TODAY())</f>
        <v>32751</v>
      </c>
      <c r="BL41" s="3"/>
      <c r="BM41" s="3">
        <f>WORKDAY(Table2[[#This Row],[Tax Review]], 7)</f>
        <v>10</v>
      </c>
      <c r="BN41" s="103">
        <f ca="1">NETWORKDAYS(Table2[[#This Row],[Tax Approval]], TODAY())</f>
        <v>32751</v>
      </c>
      <c r="BO41" s="3"/>
      <c r="BP41" s="3">
        <f>WORKDAY(Table2[[#This Row],[Tax Approval Forecast]], 7)</f>
        <v>19</v>
      </c>
      <c r="BQ41" s="103">
        <f ca="1">NETWORKDAYS(Table2[[#This Row],[Final proposal submission]], TODAY())</f>
        <v>32751</v>
      </c>
      <c r="BR41" s="3"/>
      <c r="BS41" s="3"/>
      <c r="BT41" s="3">
        <f>WORKDAY(Table2[[#This Row],[Final Proposal Submission Forecast]], 7)</f>
        <v>30</v>
      </c>
      <c r="BU41" s="103">
        <f ca="1">NETWORKDAYS(Table2[[#This Row],[BD submits proposal]], TODAY())</f>
        <v>32751</v>
      </c>
      <c r="BV41" s="3"/>
      <c r="BW41" s="3">
        <f>WORKDAY(Table2[[#This Row],[BD Submits Proposal Forecast]], 7)</f>
        <v>39</v>
      </c>
      <c r="BX41" s="103">
        <f ca="1">NETWORKDAYS(Table2[[#This Row],[Final Proposal Accepted]], TODAY())</f>
        <v>32751</v>
      </c>
      <c r="BY41" s="3"/>
      <c r="BZ41" s="3">
        <f>WORKDAY(Table2[[#This Row],[Final Proposal Accepted]], 90)</f>
        <v>125</v>
      </c>
      <c r="CA41" s="103">
        <f ca="1">NETWORKDAYS(Table2[[#This Row],[Legal Agreement]], TODAY())</f>
        <v>32751</v>
      </c>
      <c r="CB41" s="3"/>
      <c r="CC41" s="3">
        <f>WORKDAY(Table2[[#This Row],[Legal Agreement Forecast]], 10)</f>
        <v>139</v>
      </c>
      <c r="CD41" s="103">
        <f ca="1">NETWORKDAYS(Table2[[#This Row],[Executed Agreement]], TODAY())</f>
        <v>32751</v>
      </c>
      <c r="CE41" t="s">
        <v>76</v>
      </c>
      <c r="CF41" t="s">
        <v>191</v>
      </c>
      <c r="CG41" s="103"/>
      <c r="CH41" s="3">
        <v>45553</v>
      </c>
      <c r="CI41" s="3">
        <f>WORKDAY(Table2[[#This Row],[Executed Agreement]], 7)</f>
        <v>10</v>
      </c>
      <c r="CJ41" s="103">
        <f ca="1">NETWORKDAYS(Table2[[#This Row],[A&amp;E Request]], TODAY())</f>
        <v>214</v>
      </c>
      <c r="CK41" s="3">
        <v>45670</v>
      </c>
      <c r="CL41" s="3">
        <f>WORKDAY(Table2[[#This Row],[A&amp;E Request Forecast]], 10)</f>
        <v>24</v>
      </c>
      <c r="CM41" s="103">
        <f ca="1">NETWORKDAYS(Table2[[#This Row],[A&amp;E receive]], TODAY())</f>
        <v>131</v>
      </c>
      <c r="CO41" s="3">
        <f>WORKDAY(Table2[[#This Row],[FM Approval meeting ]], 10)</f>
        <v>13</v>
      </c>
      <c r="CP41" s="103">
        <f ca="1">NETWORKDAYS(Table2[[#This Row],[Budget Request]], TODAY())</f>
        <v>32751</v>
      </c>
      <c r="CR41" s="3">
        <f>WORKDAY(Table2[[#This Row],[Budget Request Forecast]], 7)</f>
        <v>24</v>
      </c>
      <c r="CS41" s="103">
        <f ca="1">NETWORKDAYS(Table2[[#This Row],[Budget Approval]], TODAY())</f>
        <v>32751</v>
      </c>
      <c r="CU41">
        <v>45562</v>
      </c>
      <c r="CV41" s="3">
        <f>WORKDAY(Table2[[#This Row],[Budget Approval Forecast ]], 7)</f>
        <v>33</v>
      </c>
      <c r="CW41" s="103">
        <f ca="1">NETWORKDAYS(Table2[[#This Row],[PO Request for OEM ]], TODAY())</f>
        <v>207</v>
      </c>
      <c r="CX41" s="3">
        <v>45631</v>
      </c>
      <c r="CY41" s="3">
        <f>WORKDAY(Table2[[#This Row],[PO Request for OEM Forecast]], 10)</f>
        <v>47</v>
      </c>
      <c r="CZ41" s="103">
        <f ca="1">NETWORKDAYS(Table2[[#This Row],[PO Approval]], TODAY())</f>
        <v>158</v>
      </c>
      <c r="DB41" s="3">
        <f>WORKDAY(Table2[[#This Row],[PO Approval Forecast]], 10)</f>
        <v>61</v>
      </c>
      <c r="DC41" s="103">
        <f ca="1">NETWORKDAYS(Table2[[#This Row],[backhaul ordered]], TODAY())</f>
        <v>32751</v>
      </c>
      <c r="DD41">
        <v>45536</v>
      </c>
      <c r="DE41" s="3">
        <f>WORKDAY(Table2[[#This Row],[Backhaul Order Forecast]], 10)</f>
        <v>75</v>
      </c>
      <c r="DF41" s="103">
        <f ca="1">NETWORKDAYS(Table2[[#This Row],[RTP Request]], TODAY())</f>
        <v>226</v>
      </c>
      <c r="DG41" s="3">
        <v>45705</v>
      </c>
      <c r="DH41" s="3">
        <f>WORKDAY(Table2[[#This Row],[RTP Request Forecast]], 10)</f>
        <v>89</v>
      </c>
      <c r="DI41" s="103">
        <f ca="1">NETWORKDAYS(Table2[[#This Row],[RTP Approved]], TODAY())</f>
        <v>106</v>
      </c>
      <c r="DK41" s="3">
        <f>WORKDAY(Table2[[#This Row],[RTP Approval Forecast ]], 7)</f>
        <v>100</v>
      </c>
      <c r="DL41" s="103">
        <f ca="1">NETWORKDAYS(Table2[[#This Row],[RFP Request]], TODAY())</f>
        <v>32751</v>
      </c>
      <c r="DN41" s="3">
        <f>WORKDAY(Table2[[#This Row],[RFP Request Forecast ]], 10)</f>
        <v>114</v>
      </c>
      <c r="DO41" s="103">
        <f ca="1">NETWORKDAYS(Table2[[#This Row],[RFP Received]], TODAY())</f>
        <v>32751</v>
      </c>
      <c r="DQ41" s="3">
        <f>WORKDAY(Table2[[#This Row],[RFP Received Forecast ]], 7)</f>
        <v>123</v>
      </c>
      <c r="DR41" s="103">
        <f ca="1">NETWORKDAYS(Table2[[#This Row],[PO for GC Request]], TODAY())</f>
        <v>32751</v>
      </c>
      <c r="DS41" s="3">
        <v>45566</v>
      </c>
      <c r="DT41" s="3">
        <f>WORKDAY(Table2[[#This Row],[PO for GC Request Forecast ]], 7)</f>
        <v>132</v>
      </c>
      <c r="DU41" s="103">
        <f ca="1">NETWORKDAYS(Table2[[#This Row],[PO for GC Approved]], TODAY())</f>
        <v>205</v>
      </c>
      <c r="DV41">
        <v>45544</v>
      </c>
      <c r="DW41" s="3">
        <f>WORKDAY(Table2[[#This Row],[PO for GC Approval Forecast ]], 10)</f>
        <v>146</v>
      </c>
      <c r="DX41" s="103">
        <f ca="1">NETWORKDAYS(Table2[[#This Row],[Construction Start]], TODAY())</f>
        <v>221</v>
      </c>
      <c r="DZ41" s="3">
        <f>WORKDAY(Table2[[#This Row],[Construction Start Forecast ]], 20)</f>
        <v>174</v>
      </c>
      <c r="EA41" s="103">
        <f ca="1">NETWORKDAYS(Table2[[#This Row],[Construction Complete]], TODAY())</f>
        <v>32751</v>
      </c>
      <c r="ED41" s="3">
        <f>WORKDAY(Table2[[#This Row],[Construction Complete Forecast ]], 10)</f>
        <v>188</v>
      </c>
      <c r="EE41" s="103">
        <f ca="1">NETWORKDAYS(Table2[[#This Row],[Integration Start]], TODAY())</f>
        <v>32751</v>
      </c>
      <c r="EF41" s="3"/>
      <c r="EG41" s="3">
        <f>WORKDAY(Table2[[#This Row],[Integration Start Forecast ]], 10)</f>
        <v>202</v>
      </c>
      <c r="EH41" s="103">
        <f ca="1">NETWORKDAYS(Table2[[#This Row],[Integration Complete]], TODAY())</f>
        <v>32751</v>
      </c>
      <c r="EJ41" s="3">
        <f>WORKDAY(Table2[[#This Row],[Integration Complete Forecast ]], 10)</f>
        <v>216</v>
      </c>
      <c r="EK41" s="103">
        <f ca="1">NETWORKDAYS(Table2[[#This Row],[Close Out Package(2weeks from integration complete]], TODAY())</f>
        <v>32751</v>
      </c>
      <c r="EM41" s="3">
        <f>WORKDAY(Table2[[#This Row],[Close Out Package Forecast ]], 10)</f>
        <v>230</v>
      </c>
      <c r="EN41" s="103">
        <f ca="1">NETWORKDAYS(Table2[[#This Row],[Acceptance testing 2 weeks from close out package)]], TODAY())</f>
        <v>32751</v>
      </c>
      <c r="EP41" s="3">
        <f>WORKDAY(Table2[[#This Row],[Acceptance Testing Forecast ]], 20)</f>
        <v>258</v>
      </c>
      <c r="EQ41" s="103">
        <f ca="1">NETWORKDAYS(Table2[[#This Row],[Customer acceptance(1 month after acceptance testing)]], TODAY())</f>
        <v>32751</v>
      </c>
      <c r="ES41" s="3">
        <f>WORKDAY(Table2[[#This Row],[Customer Acceptance Forecast ]], 5)</f>
        <v>265</v>
      </c>
      <c r="ET41" s="103">
        <f ca="1">NETWORKDAYS(Table2[[#This Row],[Operations handoff(1 week after customer acceptance)]], TODAY())</f>
        <v>32751</v>
      </c>
      <c r="EU41" s="3"/>
      <c r="EV41" s="3">
        <f>WORKDAY(Table2[[#This Row],[Operations Handoff Forecast ]], 7)</f>
        <v>276</v>
      </c>
      <c r="EW41" s="103">
        <f ca="1">NETWORKDAYS(Table2[[#This Row],[FNE Date]], TODAY())</f>
        <v>32751</v>
      </c>
      <c r="EX41" s="3"/>
      <c r="EY41" s="3">
        <f>WORKDAY(Table2[[#This Row],[FNE Date Forecast ]], 7)</f>
        <v>285</v>
      </c>
      <c r="EZ41" s="103">
        <f ca="1">NETWORKDAYS(Table2[[#This Row],[FNE Notice]], TODAY())</f>
        <v>32751</v>
      </c>
      <c r="FA41" s="3"/>
      <c r="FB41" s="3"/>
    </row>
    <row r="42" spans="1:158" x14ac:dyDescent="0.25">
      <c r="A42" t="s">
        <v>161</v>
      </c>
      <c r="B42" t="s">
        <v>162</v>
      </c>
      <c r="C42" t="s">
        <v>192</v>
      </c>
      <c r="D42" s="103"/>
      <c r="E42" t="s">
        <v>79</v>
      </c>
      <c r="H42" t="s">
        <v>164</v>
      </c>
      <c r="I42" t="s">
        <v>193</v>
      </c>
      <c r="J42" s="3">
        <v>45801</v>
      </c>
      <c r="K42" s="3">
        <f>J42+11</f>
        <v>45812</v>
      </c>
      <c r="L42" s="3" t="s">
        <v>106</v>
      </c>
      <c r="M42" s="3">
        <f>WORKDAY(Table2[[#This Row],[Kickoff date]], 7)</f>
        <v>45821</v>
      </c>
      <c r="N42" s="104" t="e">
        <f ca="1">NETWORKDAYS(Table2[[#This Row],[ROM Request]], TODAY())</f>
        <v>#VALUE!</v>
      </c>
      <c r="P42" s="3" t="e">
        <f>WORKDAY(Table2[[#This Row],[ROM Request]], 10)</f>
        <v>#VALUE!</v>
      </c>
      <c r="Q42" s="104">
        <f ca="1">NETWORKDAYS(Table2[[#This Row],[ROM Receive]], TODAY())</f>
        <v>32751</v>
      </c>
      <c r="S42" s="3" t="e">
        <f>WORKDAY(Table2[[#This Row],[ROM Receive Forecast]], 15)</f>
        <v>#VALUE!</v>
      </c>
      <c r="T42" s="104">
        <f ca="1">NETWORKDAYS(Table2[[#This Row],[Backhaul Cost Request]], TODAY())</f>
        <v>32751</v>
      </c>
      <c r="V42" s="3" t="e">
        <f>WORKDAY(Table2[[#This Row],[Backhaul Cost Request Forecast]], 15)</f>
        <v>#VALUE!</v>
      </c>
      <c r="W42" s="104">
        <f ca="1">NETWORKDAYS(Table2[[#This Row],[Backhaul Cost Receive]], TODAY())</f>
        <v>32751</v>
      </c>
      <c r="X42">
        <f>Table2[[#This Row],[Kickoff date]]</f>
        <v>45812</v>
      </c>
      <c r="Y42" s="3" t="e">
        <f>WORKDAY(Table2[[#This Row],[Backhaul Cost Request Forecast]], 7)</f>
        <v>#VALUE!</v>
      </c>
      <c r="Z42" s="104">
        <f ca="1">NETWORKDAYS(Table2[[#This Row],[OSP Request]], TODAY())</f>
        <v>29</v>
      </c>
      <c r="AB42" s="3" t="e">
        <f>WORKDAY(Table2[[#This Row],[OSP Request Forecast]], 10)</f>
        <v>#VALUE!</v>
      </c>
      <c r="AC42" s="104">
        <f ca="1">NETWORKDAYS(Table2[[#This Row],[OSP Receive]], TODAY())</f>
        <v>32751</v>
      </c>
      <c r="AD42">
        <f>Table2[[#This Row],[Kickoff date]]</f>
        <v>45812</v>
      </c>
      <c r="AE42" s="3">
        <f>WORKDAY(Table2[[#This Row],[Kickoff date]], 7)</f>
        <v>45821</v>
      </c>
      <c r="AF42" s="104">
        <f ca="1">NETWORKDAYS(Table2[[#This Row],[FM Request]], TODAY())</f>
        <v>29</v>
      </c>
      <c r="AH42" s="3">
        <f>WORKDAY(Table2[[#This Row],[FM Request Forecast ]], 2)</f>
        <v>45825</v>
      </c>
      <c r="AI42" s="104">
        <f ca="1">NETWORKDAYS(Table2[[#This Row],[FM receive]], TODAY())</f>
        <v>32751</v>
      </c>
      <c r="AK42" s="3">
        <f>WORKDAY(Table2[[#This Row],[FM Receive Forecast ]], 2)</f>
        <v>45827</v>
      </c>
      <c r="AM42" s="3">
        <f>K42+16</f>
        <v>45828</v>
      </c>
      <c r="AO42" s="3">
        <f>WORKDAY(Table2[[#This Row],[1-pager Submission to BD]], 7)</f>
        <v>45839</v>
      </c>
      <c r="AP42" s="103">
        <f ca="1">IF(ISBLANK(Table2[[#This Row],[Firm Pricing request]]), NETWORKDAYS(Table2[[#This Row],[Proposal Accepted]], TODAY()), NETWORKDAYS(Table2[[#This Row],[Proposal Accepted]], Table2[[#This Row],[Firm Pricing request]]))</f>
        <v>32751</v>
      </c>
      <c r="AR42" s="3">
        <f>WORKDAY(Table2[[#This Row],[Proposal Acceptance Forecast]], 7)</f>
        <v>45848</v>
      </c>
      <c r="AS42" s="103">
        <f ca="1">NETWORKDAYS(Table2[[#This Row],[Firm Pricing request]], TODAY())</f>
        <v>32751</v>
      </c>
      <c r="AU42" s="3">
        <f>WORKDAY(Table2[[#This Row],[Firm Pricing Request Forecast]], 7)</f>
        <v>45859</v>
      </c>
      <c r="AV42" s="103">
        <f ca="1">NETWORKDAYS(Table2[[#This Row],[Site Walk]], TODAY())</f>
        <v>32751</v>
      </c>
      <c r="AX42" s="3">
        <f>WORKDAY(Table2[[#This Row],[Site Walk Forecast]], 7)</f>
        <v>45868</v>
      </c>
      <c r="AY42" s="103">
        <f ca="1">NETWORKDAYS(Table2[[#This Row],[Firm Quote Receival]], TODAY())</f>
        <v>32751</v>
      </c>
      <c r="BA42" s="3">
        <f>WORKDAY(Table2[[#This Row],[Firm Quote Receival Forecast ]], 7)</f>
        <v>45877</v>
      </c>
      <c r="BB42" s="103">
        <f ca="1">NETWORKDAYS(Table2[[#This Row],[Final Design &amp; BOM(20 calendar days from site walk)]], TODAY())</f>
        <v>32751</v>
      </c>
      <c r="BD42" s="3">
        <f>WORKDAY(Table2[[#This Row],[Final Design &amp; BOM Forecast ]], 7)</f>
        <v>45888</v>
      </c>
      <c r="BE42" s="103">
        <f ca="1">NETWORKDAYS(Table2[[#This Row],[FM Request 2]], TODAY())</f>
        <v>32751</v>
      </c>
      <c r="BG42" s="3">
        <f>WORKDAY(Table2[[#This Row],[FM Request 2 Forecast]], 7)</f>
        <v>45897</v>
      </c>
      <c r="BH42" s="103"/>
      <c r="BJ42" s="3">
        <f>WORKDAY(Table2[[#This Row],[FM Review 2 Forecast]], 7)</f>
        <v>45908</v>
      </c>
      <c r="BK42" s="103">
        <f ca="1">NETWORKDAYS(Table2[[#This Row],[Tax Review]], TODAY())</f>
        <v>32751</v>
      </c>
      <c r="BM42" s="3">
        <f>WORKDAY(Table2[[#This Row],[Tax Review]], 7)</f>
        <v>10</v>
      </c>
      <c r="BN42" s="103">
        <f ca="1">NETWORKDAYS(Table2[[#This Row],[Tax Approval]], TODAY())</f>
        <v>32751</v>
      </c>
      <c r="BP42" s="3">
        <f>WORKDAY(Table2[[#This Row],[Tax Approval Forecast]], 7)</f>
        <v>19</v>
      </c>
      <c r="BQ42" s="103">
        <f ca="1">NETWORKDAYS(Table2[[#This Row],[Final proposal submission]], TODAY())</f>
        <v>32751</v>
      </c>
      <c r="BT42" s="3">
        <f>WORKDAY(Table2[[#This Row],[Final Proposal Submission Forecast]], 7)</f>
        <v>30</v>
      </c>
      <c r="BU42" s="103">
        <f ca="1">NETWORKDAYS(Table2[[#This Row],[BD submits proposal]], TODAY())</f>
        <v>32751</v>
      </c>
      <c r="BW42" s="3">
        <f>WORKDAY(Table2[[#This Row],[BD Submits Proposal Forecast]], 7)</f>
        <v>39</v>
      </c>
      <c r="BX42" s="103">
        <f ca="1">NETWORKDAYS(Table2[[#This Row],[Final Proposal Accepted]], TODAY())</f>
        <v>32751</v>
      </c>
      <c r="BZ42" s="3">
        <f>WORKDAY(Table2[[#This Row],[Final Proposal Accepted]], 90)</f>
        <v>125</v>
      </c>
      <c r="CA42" s="103">
        <f ca="1">NETWORKDAYS(Table2[[#This Row],[Legal Agreement]], TODAY())</f>
        <v>32751</v>
      </c>
      <c r="CC42" s="3">
        <f>WORKDAY(Table2[[#This Row],[Legal Agreement Forecast]], 10)</f>
        <v>139</v>
      </c>
      <c r="CD42" s="103">
        <f ca="1">NETWORKDAYS(Table2[[#This Row],[Executed Agreement]], TODAY())</f>
        <v>32751</v>
      </c>
      <c r="CE42" t="s">
        <v>91</v>
      </c>
      <c r="CF42" t="s">
        <v>194</v>
      </c>
      <c r="CG42" s="103"/>
      <c r="CH42" s="3"/>
      <c r="CI42" s="3">
        <f>WORKDAY(Table2[[#This Row],[Executed Agreement]], 7)</f>
        <v>10</v>
      </c>
      <c r="CJ42" s="103">
        <f ca="1">NETWORKDAYS(Table2[[#This Row],[A&amp;E Request]], TODAY())</f>
        <v>32751</v>
      </c>
      <c r="CL42" s="3">
        <f>WORKDAY(Table2[[#This Row],[A&amp;E Request Forecast]], 10)</f>
        <v>24</v>
      </c>
      <c r="CM42" s="103">
        <f ca="1">NETWORKDAYS(Table2[[#This Row],[A&amp;E receive]], TODAY())</f>
        <v>32751</v>
      </c>
      <c r="CO42" s="3">
        <f>WORKDAY(Table2[[#This Row],[FM Approval meeting ]], 10)</f>
        <v>13</v>
      </c>
      <c r="CP42" s="103">
        <f ca="1">NETWORKDAYS(Table2[[#This Row],[Budget Request]], TODAY())</f>
        <v>32751</v>
      </c>
      <c r="CR42" s="3">
        <f>WORKDAY(Table2[[#This Row],[Budget Request Forecast]], 7)</f>
        <v>24</v>
      </c>
      <c r="CS42" s="103">
        <f ca="1">NETWORKDAYS(Table2[[#This Row],[Budget Approval]], TODAY())</f>
        <v>32751</v>
      </c>
      <c r="CV42" s="3">
        <f>WORKDAY(Table2[[#This Row],[Budget Approval Forecast ]], 7)</f>
        <v>33</v>
      </c>
      <c r="CW42" s="103">
        <f ca="1">NETWORKDAYS(Table2[[#This Row],[PO Request for OEM ]], TODAY())</f>
        <v>32751</v>
      </c>
      <c r="CY42" s="3">
        <f>WORKDAY(Table2[[#This Row],[PO Request for OEM Forecast]], 10)</f>
        <v>47</v>
      </c>
      <c r="CZ42" s="103">
        <f ca="1">NETWORKDAYS(Table2[[#This Row],[PO Approval]], TODAY())</f>
        <v>32751</v>
      </c>
      <c r="DB42" s="3">
        <f>WORKDAY(Table2[[#This Row],[PO Approval Forecast]], 10)</f>
        <v>61</v>
      </c>
      <c r="DC42" s="103">
        <f ca="1">NETWORKDAYS(Table2[[#This Row],[backhaul ordered]], TODAY())</f>
        <v>32751</v>
      </c>
      <c r="DE42" s="3">
        <f>WORKDAY(Table2[[#This Row],[Backhaul Order Forecast]], 10)</f>
        <v>75</v>
      </c>
      <c r="DF42" s="103">
        <f ca="1">NETWORKDAYS(Table2[[#This Row],[RTP Request]], TODAY())</f>
        <v>32751</v>
      </c>
      <c r="DG42" s="3"/>
      <c r="DH42" s="3">
        <f>WORKDAY(Table2[[#This Row],[RTP Request Forecast]], 10)</f>
        <v>89</v>
      </c>
      <c r="DI42" s="103">
        <f ca="1">NETWORKDAYS(Table2[[#This Row],[RTP Approved]], TODAY())</f>
        <v>32751</v>
      </c>
      <c r="DK42" s="3">
        <f>WORKDAY(Table2[[#This Row],[RTP Approval Forecast ]], 7)</f>
        <v>100</v>
      </c>
      <c r="DL42" s="103">
        <f ca="1">NETWORKDAYS(Table2[[#This Row],[RFP Request]], TODAY())</f>
        <v>32751</v>
      </c>
      <c r="DN42" s="3">
        <f>WORKDAY(Table2[[#This Row],[RFP Request Forecast ]], 10)</f>
        <v>114</v>
      </c>
      <c r="DO42" s="103">
        <f ca="1">NETWORKDAYS(Table2[[#This Row],[RFP Received]], TODAY())</f>
        <v>32751</v>
      </c>
      <c r="DQ42" s="3">
        <f>WORKDAY(Table2[[#This Row],[RFP Received Forecast ]], 7)</f>
        <v>123</v>
      </c>
      <c r="DR42" s="103">
        <f ca="1">NETWORKDAYS(Table2[[#This Row],[PO for GC Request]], TODAY())</f>
        <v>32751</v>
      </c>
      <c r="DT42" s="3">
        <f>WORKDAY(Table2[[#This Row],[PO for GC Request Forecast ]], 7)</f>
        <v>132</v>
      </c>
      <c r="DU42" s="103">
        <f ca="1">NETWORKDAYS(Table2[[#This Row],[PO for GC Approved]], TODAY())</f>
        <v>32751</v>
      </c>
      <c r="DW42" s="3">
        <f>WORKDAY(Table2[[#This Row],[PO for GC Approval Forecast ]], 10)</f>
        <v>146</v>
      </c>
      <c r="DX42" s="103">
        <f ca="1">NETWORKDAYS(Table2[[#This Row],[Construction Start]], TODAY())</f>
        <v>32751</v>
      </c>
      <c r="DZ42" s="3">
        <f>WORKDAY(Table2[[#This Row],[Construction Start Forecast ]], 20)</f>
        <v>174</v>
      </c>
      <c r="EA42" s="103">
        <f ca="1">NETWORKDAYS(Table2[[#This Row],[Construction Complete]], TODAY())</f>
        <v>32751</v>
      </c>
      <c r="ED42" s="3">
        <f>WORKDAY(Table2[[#This Row],[Construction Complete Forecast ]], 10)</f>
        <v>188</v>
      </c>
      <c r="EE42" s="103">
        <f ca="1">NETWORKDAYS(Table2[[#This Row],[Integration Start]], TODAY())</f>
        <v>32751</v>
      </c>
      <c r="EF42" s="3"/>
      <c r="EG42" s="3">
        <f>WORKDAY(Table2[[#This Row],[Integration Start Forecast ]], 10)</f>
        <v>202</v>
      </c>
      <c r="EH42" s="103">
        <f ca="1">NETWORKDAYS(Table2[[#This Row],[Integration Complete]], TODAY())</f>
        <v>32751</v>
      </c>
      <c r="EJ42" s="3">
        <f>WORKDAY(Table2[[#This Row],[Integration Complete Forecast ]], 10)</f>
        <v>216</v>
      </c>
      <c r="EK42" s="103">
        <f ca="1">NETWORKDAYS(Table2[[#This Row],[Close Out Package(2weeks from integration complete]], TODAY())</f>
        <v>32751</v>
      </c>
      <c r="EM42" s="3">
        <f>WORKDAY(Table2[[#This Row],[Close Out Package Forecast ]], 10)</f>
        <v>230</v>
      </c>
      <c r="EN42" s="103">
        <f ca="1">NETWORKDAYS(Table2[[#This Row],[Acceptance testing 2 weeks from close out package)]], TODAY())</f>
        <v>32751</v>
      </c>
      <c r="EP42" s="3">
        <f>WORKDAY(Table2[[#This Row],[Acceptance Testing Forecast ]], 20)</f>
        <v>258</v>
      </c>
      <c r="EQ42" s="103">
        <f ca="1">NETWORKDAYS(Table2[[#This Row],[Customer acceptance(1 month after acceptance testing)]], TODAY())</f>
        <v>32751</v>
      </c>
      <c r="ES42" s="3">
        <f>WORKDAY(Table2[[#This Row],[Customer Acceptance Forecast ]], 5)</f>
        <v>265</v>
      </c>
      <c r="ET42" s="103">
        <f ca="1">NETWORKDAYS(Table2[[#This Row],[Operations handoff(1 week after customer acceptance)]], TODAY())</f>
        <v>32751</v>
      </c>
      <c r="EV42" s="3">
        <f>WORKDAY(Table2[[#This Row],[Operations Handoff Forecast ]], 7)</f>
        <v>276</v>
      </c>
      <c r="EW42" s="103">
        <f ca="1">NETWORKDAYS(Table2[[#This Row],[FNE Date]], TODAY())</f>
        <v>32751</v>
      </c>
      <c r="EY42" s="3">
        <f>WORKDAY(Table2[[#This Row],[FNE Date Forecast ]], 7)</f>
        <v>285</v>
      </c>
      <c r="EZ42" s="103">
        <f ca="1">NETWORKDAYS(Table2[[#This Row],[FNE Notice]], TODAY())</f>
        <v>32751</v>
      </c>
    </row>
    <row r="43" spans="1:158" x14ac:dyDescent="0.25">
      <c r="B43" t="s">
        <v>173</v>
      </c>
      <c r="C43" t="s">
        <v>195</v>
      </c>
      <c r="D43" s="103"/>
      <c r="E43" t="s">
        <v>115</v>
      </c>
      <c r="H43" t="s">
        <v>105</v>
      </c>
      <c r="J43" s="3">
        <v>45802</v>
      </c>
      <c r="K43" s="3">
        <f>J43+21</f>
        <v>45823</v>
      </c>
      <c r="L43" s="3">
        <v>45826</v>
      </c>
      <c r="M43" s="3">
        <f>WORKDAY(Table2[[#This Row],[Kickoff date]], 7)</f>
        <v>45832</v>
      </c>
      <c r="N43" s="104">
        <f ca="1">NETWORKDAYS(Table2[[#This Row],[ROM Request]], TODAY())</f>
        <v>19</v>
      </c>
      <c r="O43" s="3">
        <f>L43+11</f>
        <v>45837</v>
      </c>
      <c r="P43" s="3">
        <f>WORKDAY(Table2[[#This Row],[ROM Request]], 10)</f>
        <v>45840</v>
      </c>
      <c r="Q43" s="104">
        <f ca="1">NETWORKDAYS(Table2[[#This Row],[ROM Receive]], TODAY())</f>
        <v>11</v>
      </c>
      <c r="R43" s="3">
        <v>45839</v>
      </c>
      <c r="S43" s="3">
        <f>WORKDAY(Table2[[#This Row],[ROM Receive Forecast]], 15)</f>
        <v>45861</v>
      </c>
      <c r="T43" s="104">
        <f ca="1">NETWORKDAYS(Table2[[#This Row],[Backhaul Cost Request]], TODAY())</f>
        <v>10</v>
      </c>
      <c r="U43" s="3">
        <v>45809</v>
      </c>
      <c r="V43" s="3">
        <f>WORKDAY(Table2[[#This Row],[Backhaul Cost Request Forecast]], 15)</f>
        <v>45882</v>
      </c>
      <c r="W43" s="104">
        <f ca="1">NETWORKDAYS(Table2[[#This Row],[Backhaul Cost Receive]], TODAY())</f>
        <v>31</v>
      </c>
      <c r="X43" s="3">
        <f>Table2[[#This Row],[Kickoff date]]</f>
        <v>45823</v>
      </c>
      <c r="Y43" s="3">
        <f>WORKDAY(Table2[[#This Row],[Backhaul Cost Request Forecast]], 7)</f>
        <v>45870</v>
      </c>
      <c r="Z43" s="104">
        <f ca="1">NETWORKDAYS(Table2[[#This Row],[OSP Request]], TODAY())</f>
        <v>21</v>
      </c>
      <c r="AA43" s="3"/>
      <c r="AB43" s="3">
        <f>WORKDAY(Table2[[#This Row],[OSP Request Forecast]], 10)</f>
        <v>45884</v>
      </c>
      <c r="AC43" s="104">
        <f ca="1">NETWORKDAYS(Table2[[#This Row],[OSP Receive]], TODAY())</f>
        <v>32751</v>
      </c>
      <c r="AD43" s="3">
        <f>Table2[[#This Row],[Kickoff date]]</f>
        <v>45823</v>
      </c>
      <c r="AE43" s="3">
        <f>WORKDAY(Table2[[#This Row],[Kickoff date]], 7)</f>
        <v>45832</v>
      </c>
      <c r="AF43" s="104">
        <f ca="1">NETWORKDAYS(Table2[[#This Row],[FM Request]], TODAY())</f>
        <v>21</v>
      </c>
      <c r="AG43" s="3"/>
      <c r="AH43" s="3">
        <f>WORKDAY(Table2[[#This Row],[FM Request Forecast ]], 2)</f>
        <v>45834</v>
      </c>
      <c r="AI43" s="104">
        <f ca="1">NETWORKDAYS(Table2[[#This Row],[FM receive]], TODAY())</f>
        <v>32751</v>
      </c>
      <c r="AJ43" s="3"/>
      <c r="AK43" s="3">
        <f>WORKDAY(Table2[[#This Row],[FM Receive Forecast ]], 2)</f>
        <v>45838</v>
      </c>
      <c r="AM43" s="3">
        <f>K43+16</f>
        <v>45839</v>
      </c>
      <c r="AN43" s="3"/>
      <c r="AO43" s="3">
        <f>WORKDAY(Table2[[#This Row],[1-pager Submission to BD]], 7)</f>
        <v>45848</v>
      </c>
      <c r="AP43" s="103">
        <f ca="1">IF(ISBLANK(Table2[[#This Row],[Firm Pricing request]]), NETWORKDAYS(Table2[[#This Row],[Proposal Accepted]], TODAY()), NETWORKDAYS(Table2[[#This Row],[Proposal Accepted]], Table2[[#This Row],[Firm Pricing request]]))</f>
        <v>32751</v>
      </c>
      <c r="AQ43" s="3"/>
      <c r="AR43" s="3">
        <f>WORKDAY(Table2[[#This Row],[Proposal Acceptance Forecast]], 7)</f>
        <v>45859</v>
      </c>
      <c r="AS43" s="103">
        <f ca="1">NETWORKDAYS(Table2[[#This Row],[Firm Pricing request]], TODAY())</f>
        <v>32751</v>
      </c>
      <c r="AT43" s="3"/>
      <c r="AU43" s="3">
        <f>WORKDAY(Table2[[#This Row],[Firm Pricing Request Forecast]], 7)</f>
        <v>45868</v>
      </c>
      <c r="AV43" s="103">
        <f ca="1">NETWORKDAYS(Table2[[#This Row],[Site Walk]], TODAY())</f>
        <v>32751</v>
      </c>
      <c r="AW43" s="3"/>
      <c r="AX43" s="3">
        <f>WORKDAY(Table2[[#This Row],[Site Walk Forecast]], 7)</f>
        <v>45877</v>
      </c>
      <c r="AY43" s="103">
        <f ca="1">NETWORKDAYS(Table2[[#This Row],[Firm Quote Receival]], TODAY())</f>
        <v>32751</v>
      </c>
      <c r="AZ43" s="3"/>
      <c r="BA43" s="3">
        <f>WORKDAY(Table2[[#This Row],[Firm Quote Receival Forecast ]], 7)</f>
        <v>45888</v>
      </c>
      <c r="BB43" s="103">
        <f ca="1">NETWORKDAYS(Table2[[#This Row],[Final Design &amp; BOM(20 calendar days from site walk)]], TODAY())</f>
        <v>32751</v>
      </c>
      <c r="BC43" s="3"/>
      <c r="BD43" s="3">
        <f>WORKDAY(Table2[[#This Row],[Final Design &amp; BOM Forecast ]], 7)</f>
        <v>45897</v>
      </c>
      <c r="BE43" s="103">
        <f ca="1">NETWORKDAYS(Table2[[#This Row],[FM Request 2]], TODAY())</f>
        <v>32751</v>
      </c>
      <c r="BF43" s="3"/>
      <c r="BG43" s="3">
        <f>WORKDAY(Table2[[#This Row],[FM Request 2 Forecast]], 7)</f>
        <v>45908</v>
      </c>
      <c r="BH43" s="103"/>
      <c r="BI43" s="3"/>
      <c r="BJ43" s="3">
        <f>WORKDAY(Table2[[#This Row],[FM Review 2 Forecast]], 7)</f>
        <v>45917</v>
      </c>
      <c r="BK43" s="103">
        <f ca="1">NETWORKDAYS(Table2[[#This Row],[Tax Review]], TODAY())</f>
        <v>32751</v>
      </c>
      <c r="BL43" s="3"/>
      <c r="BM43" s="3">
        <f>WORKDAY(Table2[[#This Row],[Tax Review]], 7)</f>
        <v>10</v>
      </c>
      <c r="BN43" s="103">
        <f ca="1">NETWORKDAYS(Table2[[#This Row],[Tax Approval]], TODAY())</f>
        <v>32751</v>
      </c>
      <c r="BO43" s="3"/>
      <c r="BP43" s="3">
        <f>WORKDAY(Table2[[#This Row],[Tax Approval Forecast]], 7)</f>
        <v>19</v>
      </c>
      <c r="BQ43" s="103">
        <f ca="1">NETWORKDAYS(Table2[[#This Row],[Final proposal submission]], TODAY())</f>
        <v>32751</v>
      </c>
      <c r="BR43" s="3"/>
      <c r="BS43" s="3"/>
      <c r="BT43" s="3">
        <f>WORKDAY(Table2[[#This Row],[Final Proposal Submission Forecast]], 7)</f>
        <v>30</v>
      </c>
      <c r="BU43" s="103">
        <f ca="1">NETWORKDAYS(Table2[[#This Row],[BD submits proposal]], TODAY())</f>
        <v>32751</v>
      </c>
      <c r="BV43" s="3"/>
      <c r="BW43" s="3">
        <f>WORKDAY(Table2[[#This Row],[BD Submits Proposal Forecast]], 7)</f>
        <v>39</v>
      </c>
      <c r="BX43" s="103">
        <f ca="1">NETWORKDAYS(Table2[[#This Row],[Final Proposal Accepted]], TODAY())</f>
        <v>32751</v>
      </c>
      <c r="BY43" s="3"/>
      <c r="BZ43" s="3">
        <f>WORKDAY(Table2[[#This Row],[Final Proposal Accepted]], 90)</f>
        <v>125</v>
      </c>
      <c r="CA43" s="103">
        <f ca="1">NETWORKDAYS(Table2[[#This Row],[Legal Agreement]], TODAY())</f>
        <v>32751</v>
      </c>
      <c r="CB43" s="3"/>
      <c r="CC43" s="3">
        <f>WORKDAY(Table2[[#This Row],[Legal Agreement Forecast]], 10)</f>
        <v>139</v>
      </c>
      <c r="CD43" s="103">
        <f ca="1">NETWORKDAYS(Table2[[#This Row],[Executed Agreement]], TODAY())</f>
        <v>32751</v>
      </c>
      <c r="CE43" t="s">
        <v>76</v>
      </c>
      <c r="CF43" t="s">
        <v>196</v>
      </c>
      <c r="CG43" s="103"/>
      <c r="CH43" s="3"/>
      <c r="CI43" s="3">
        <f>WORKDAY(Table2[[#This Row],[Executed Agreement]], 7)</f>
        <v>10</v>
      </c>
      <c r="CJ43" s="103">
        <f ca="1">NETWORKDAYS(Table2[[#This Row],[A&amp;E Request]], TODAY())</f>
        <v>32751</v>
      </c>
      <c r="CL43" s="3">
        <f>WORKDAY(Table2[[#This Row],[A&amp;E Request Forecast]], 10)</f>
        <v>24</v>
      </c>
      <c r="CM43" s="103">
        <f ca="1">NETWORKDAYS(Table2[[#This Row],[A&amp;E receive]], TODAY())</f>
        <v>32751</v>
      </c>
      <c r="CO43" s="3">
        <f>WORKDAY(Table2[[#This Row],[FM Approval meeting ]], 10)</f>
        <v>13</v>
      </c>
      <c r="CP43" s="103">
        <f ca="1">NETWORKDAYS(Table2[[#This Row],[Budget Request]], TODAY())</f>
        <v>32751</v>
      </c>
      <c r="CR43" s="3">
        <f>WORKDAY(Table2[[#This Row],[Budget Request Forecast]], 7)</f>
        <v>24</v>
      </c>
      <c r="CS43" s="103">
        <f ca="1">NETWORKDAYS(Table2[[#This Row],[Budget Approval]], TODAY())</f>
        <v>32751</v>
      </c>
      <c r="CV43" s="3">
        <f>WORKDAY(Table2[[#This Row],[Budget Approval Forecast ]], 7)</f>
        <v>33</v>
      </c>
      <c r="CW43" s="103">
        <f ca="1">NETWORKDAYS(Table2[[#This Row],[PO Request for OEM ]], TODAY())</f>
        <v>32751</v>
      </c>
      <c r="CY43" s="3">
        <f>WORKDAY(Table2[[#This Row],[PO Request for OEM Forecast]], 10)</f>
        <v>47</v>
      </c>
      <c r="CZ43" s="103">
        <f ca="1">NETWORKDAYS(Table2[[#This Row],[PO Approval]], TODAY())</f>
        <v>32751</v>
      </c>
      <c r="DB43" s="3">
        <f>WORKDAY(Table2[[#This Row],[PO Approval Forecast]], 10)</f>
        <v>61</v>
      </c>
      <c r="DC43" s="103">
        <f ca="1">NETWORKDAYS(Table2[[#This Row],[backhaul ordered]], TODAY())</f>
        <v>32751</v>
      </c>
      <c r="DD43">
        <v>44166</v>
      </c>
      <c r="DE43" s="3">
        <f>WORKDAY(Table2[[#This Row],[Backhaul Order Forecast]], 10)</f>
        <v>75</v>
      </c>
      <c r="DF43" s="103">
        <f ca="1">NETWORKDAYS(Table2[[#This Row],[RTP Request]], TODAY())</f>
        <v>1205</v>
      </c>
      <c r="DG43" s="3"/>
      <c r="DH43" s="3">
        <f>WORKDAY(Table2[[#This Row],[RTP Request Forecast]], 10)</f>
        <v>89</v>
      </c>
      <c r="DI43" s="103">
        <f ca="1">NETWORKDAYS(Table2[[#This Row],[RTP Approved]], TODAY())</f>
        <v>32751</v>
      </c>
      <c r="DK43" s="3">
        <f>WORKDAY(Table2[[#This Row],[RTP Approval Forecast ]], 7)</f>
        <v>100</v>
      </c>
      <c r="DL43" s="103">
        <f ca="1">NETWORKDAYS(Table2[[#This Row],[RFP Request]], TODAY())</f>
        <v>32751</v>
      </c>
      <c r="DN43" s="3">
        <f>WORKDAY(Table2[[#This Row],[RFP Request Forecast ]], 10)</f>
        <v>114</v>
      </c>
      <c r="DO43" s="103">
        <f ca="1">NETWORKDAYS(Table2[[#This Row],[RFP Received]], TODAY())</f>
        <v>32751</v>
      </c>
      <c r="DQ43" s="3">
        <f>WORKDAY(Table2[[#This Row],[RFP Received Forecast ]], 7)</f>
        <v>123</v>
      </c>
      <c r="DR43" s="103">
        <f ca="1">NETWORKDAYS(Table2[[#This Row],[PO for GC Request]], TODAY())</f>
        <v>32751</v>
      </c>
      <c r="DT43" s="3">
        <f>WORKDAY(Table2[[#This Row],[PO for GC Request Forecast ]], 7)</f>
        <v>132</v>
      </c>
      <c r="DU43" s="103">
        <f ca="1">NETWORKDAYS(Table2[[#This Row],[PO for GC Approved]], TODAY())</f>
        <v>32751</v>
      </c>
      <c r="DV43">
        <v>44410</v>
      </c>
      <c r="DW43" s="3">
        <f>WORKDAY(Table2[[#This Row],[PO for GC Approval Forecast ]], 10)</f>
        <v>146</v>
      </c>
      <c r="DX43" s="103">
        <f ca="1">NETWORKDAYS(Table2[[#This Row],[Construction Start]], TODAY())</f>
        <v>1031</v>
      </c>
      <c r="DY43">
        <v>44734</v>
      </c>
      <c r="DZ43" s="3">
        <f>WORKDAY(Table2[[#This Row],[Construction Start Forecast ]], 20)</f>
        <v>174</v>
      </c>
      <c r="EA43" s="103">
        <f ca="1">NETWORKDAYS(Table2[[#This Row],[Construction Complete]], TODAY())</f>
        <v>799</v>
      </c>
      <c r="EC43">
        <v>44734</v>
      </c>
      <c r="ED43" s="3">
        <f>WORKDAY(Table2[[#This Row],[Construction Complete Forecast ]], 10)</f>
        <v>188</v>
      </c>
      <c r="EE43" s="103">
        <f ca="1">NETWORKDAYS(Table2[[#This Row],[Integration Start]], TODAY())</f>
        <v>799</v>
      </c>
      <c r="EF43" s="3">
        <v>44734</v>
      </c>
      <c r="EG43" s="3">
        <f>WORKDAY(Table2[[#This Row],[Integration Start Forecast ]], 10)</f>
        <v>202</v>
      </c>
      <c r="EH43" s="103">
        <f ca="1">NETWORKDAYS(Table2[[#This Row],[Integration Complete]], TODAY())</f>
        <v>799</v>
      </c>
      <c r="EJ43" s="3">
        <f>WORKDAY(Table2[[#This Row],[Integration Complete Forecast ]], 10)</f>
        <v>216</v>
      </c>
      <c r="EK43" s="103">
        <f ca="1">NETWORKDAYS(Table2[[#This Row],[Close Out Package(2weeks from integration complete]], TODAY())</f>
        <v>32751</v>
      </c>
      <c r="EM43" s="3">
        <f>WORKDAY(Table2[[#This Row],[Close Out Package Forecast ]], 10)</f>
        <v>230</v>
      </c>
      <c r="EN43" s="103">
        <f ca="1">NETWORKDAYS(Table2[[#This Row],[Acceptance testing 2 weeks from close out package)]], TODAY())</f>
        <v>32751</v>
      </c>
      <c r="EP43" s="3">
        <f>WORKDAY(Table2[[#This Row],[Acceptance Testing Forecast ]], 20)</f>
        <v>258</v>
      </c>
      <c r="EQ43" s="103">
        <f ca="1">NETWORKDAYS(Table2[[#This Row],[Customer acceptance(1 month after acceptance testing)]], TODAY())</f>
        <v>32751</v>
      </c>
      <c r="ES43" s="3">
        <f>WORKDAY(Table2[[#This Row],[Customer Acceptance Forecast ]], 5)</f>
        <v>265</v>
      </c>
      <c r="ET43" s="103">
        <f ca="1">NETWORKDAYS(Table2[[#This Row],[Operations handoff(1 week after customer acceptance)]], TODAY())</f>
        <v>32751</v>
      </c>
      <c r="EU43" s="3" t="s">
        <v>151</v>
      </c>
      <c r="EV43" s="3">
        <f>WORKDAY(Table2[[#This Row],[Operations Handoff Forecast ]], 7)</f>
        <v>276</v>
      </c>
      <c r="EW43" s="103" t="e">
        <f ca="1">NETWORKDAYS(Table2[[#This Row],[FNE Date]], TODAY())</f>
        <v>#VALUE!</v>
      </c>
      <c r="EX43" s="3"/>
      <c r="EY43" s="3">
        <f>WORKDAY(Table2[[#This Row],[FNE Date Forecast ]], 7)</f>
        <v>285</v>
      </c>
      <c r="EZ43" s="103">
        <f ca="1">NETWORKDAYS(Table2[[#This Row],[FNE Notice]], TODAY())</f>
        <v>32751</v>
      </c>
      <c r="FA43" s="3"/>
      <c r="FB43" s="3"/>
    </row>
    <row r="44" spans="1:158" x14ac:dyDescent="0.25">
      <c r="B44" t="s">
        <v>72</v>
      </c>
      <c r="C44" t="s">
        <v>78</v>
      </c>
      <c r="D44" s="103"/>
      <c r="E44" t="s">
        <v>79</v>
      </c>
      <c r="F44" s="1"/>
      <c r="H44" t="s">
        <v>80</v>
      </c>
      <c r="I44">
        <v>419</v>
      </c>
      <c r="J44" s="3">
        <v>45760</v>
      </c>
      <c r="K44" s="3">
        <f>J44+10</f>
        <v>45770</v>
      </c>
      <c r="L44" s="3">
        <v>45776</v>
      </c>
      <c r="M44" s="2">
        <f>WORKDAY(Table2[[#This Row],[Kickoff date]], 7)</f>
        <v>45779</v>
      </c>
      <c r="N44" s="102">
        <f ca="1">NETWORKDAYS(Table2[[#This Row],[ROM Request]], TODAY())</f>
        <v>55</v>
      </c>
      <c r="O44" s="2">
        <f>L44+5</f>
        <v>45781</v>
      </c>
      <c r="P44" s="2">
        <f>WORKDAY(Table2[[#This Row],[ROM Request]], 10)</f>
        <v>45790</v>
      </c>
      <c r="Q44" s="102">
        <f ca="1">NETWORKDAYS(Table2[[#This Row],[ROM Receive]], TODAY())</f>
        <v>51</v>
      </c>
      <c r="R44" s="2">
        <v>45780</v>
      </c>
      <c r="S44" s="2">
        <f>WORKDAY(Table2[[#This Row],[ROM Receive Forecast]], 15)</f>
        <v>45811</v>
      </c>
      <c r="T44" s="102">
        <f ca="1">NETWORKDAYS(Table2[[#This Row],[Backhaul Cost Request]], TODAY())</f>
        <v>51</v>
      </c>
      <c r="U44" s="2">
        <v>45807</v>
      </c>
      <c r="V44" s="2">
        <f>WORKDAY(Table2[[#This Row],[Backhaul Cost Request Forecast]], 15)</f>
        <v>45832</v>
      </c>
      <c r="W44" s="102">
        <f ca="1">NETWORKDAYS(Table2[[#This Row],[Backhaul Cost Receive]], TODAY())</f>
        <v>32</v>
      </c>
      <c r="X44" s="2">
        <f>Table2[[#This Row],[Kickoff date]]</f>
        <v>45770</v>
      </c>
      <c r="Y44" s="2">
        <f>WORKDAY(Table2[[#This Row],[Backhaul Cost Request Forecast]], 7)</f>
        <v>45820</v>
      </c>
      <c r="Z44" s="102">
        <f ca="1">NETWORKDAYS(Table2[[#This Row],[OSP Request]], TODAY())</f>
        <v>59</v>
      </c>
      <c r="AA44" s="2"/>
      <c r="AB44" s="2">
        <f>WORKDAY(Table2[[#This Row],[OSP Request Forecast]], 10)</f>
        <v>45834</v>
      </c>
      <c r="AC44" s="102">
        <f ca="1">NETWORKDAYS(Table2[[#This Row],[OSP Receive]], TODAY())</f>
        <v>32751</v>
      </c>
      <c r="AD44" s="2">
        <f>Table2[[#This Row],[Kickoff date]]</f>
        <v>45770</v>
      </c>
      <c r="AE44" s="3">
        <f>WORKDAY(Table2[[#This Row],[Kickoff date]], 7)</f>
        <v>45779</v>
      </c>
      <c r="AF44" s="102">
        <f ca="1">NETWORKDAYS(Table2[[#This Row],[FM Request]], TODAY())</f>
        <v>59</v>
      </c>
      <c r="AG44" s="2">
        <v>45779</v>
      </c>
      <c r="AH44" s="3">
        <f>WORKDAY(Table2[[#This Row],[FM Request Forecast ]], 2)</f>
        <v>45783</v>
      </c>
      <c r="AI44" s="102">
        <f ca="1">NETWORKDAYS(Table2[[#This Row],[FM receive]], TODAY())</f>
        <v>52</v>
      </c>
      <c r="AJ44" s="2"/>
      <c r="AK44" s="3">
        <f>WORKDAY(Table2[[#This Row],[FM Receive Forecast ]], 2)</f>
        <v>45785</v>
      </c>
      <c r="AL44" s="3"/>
      <c r="AM44" s="3">
        <f>K44+30</f>
        <v>45800</v>
      </c>
      <c r="AN44" s="2"/>
      <c r="AO44" s="3">
        <f>WORKDAY(Table2[[#This Row],[1-pager Submission to BD]], 7)</f>
        <v>45811</v>
      </c>
      <c r="AP44" s="101">
        <f ca="1">IF(ISBLANK(Table2[[#This Row],[Firm Pricing request]]), NETWORKDAYS(Table2[[#This Row],[Proposal Accepted]], TODAY()), NETWORKDAYS(Table2[[#This Row],[Proposal Accepted]], Table2[[#This Row],[Firm Pricing request]]))</f>
        <v>32751</v>
      </c>
      <c r="AQ44" s="2"/>
      <c r="AR44" s="3">
        <f>WORKDAY(Table2[[#This Row],[Proposal Acceptance Forecast]], 7)</f>
        <v>45820</v>
      </c>
      <c r="AS44" s="101">
        <f ca="1">NETWORKDAYS(Table2[[#This Row],[Firm Pricing request]], TODAY())</f>
        <v>32751</v>
      </c>
      <c r="AT44" s="2">
        <v>45803</v>
      </c>
      <c r="AU44" s="3">
        <f>WORKDAY(Table2[[#This Row],[Firm Pricing Request Forecast]], 7)</f>
        <v>45831</v>
      </c>
      <c r="AV44" s="101">
        <f ca="1">NETWORKDAYS(Table2[[#This Row],[Site Walk]], TODAY())</f>
        <v>36</v>
      </c>
      <c r="AW44" s="2"/>
      <c r="AX44" s="3">
        <f>WORKDAY(Table2[[#This Row],[Site Walk Forecast]], 7)</f>
        <v>45840</v>
      </c>
      <c r="AY44" s="101">
        <f ca="1">NETWORKDAYS(Table2[[#This Row],[Firm Quote Receival]], TODAY())</f>
        <v>32751</v>
      </c>
      <c r="AZ44" s="2">
        <v>45828</v>
      </c>
      <c r="BA44" s="3">
        <f>WORKDAY(Table2[[#This Row],[Firm Quote Receival Forecast ]], 7)</f>
        <v>45849</v>
      </c>
      <c r="BB44" s="101">
        <f ca="1">NETWORKDAYS(Table2[[#This Row],[Final Design &amp; BOM(20 calendar days from site walk)]], TODAY())</f>
        <v>17</v>
      </c>
      <c r="BC44" s="2">
        <v>45383</v>
      </c>
      <c r="BD44" s="3">
        <f>WORKDAY(Table2[[#This Row],[Final Design &amp; BOM Forecast ]], 7)</f>
        <v>45860</v>
      </c>
      <c r="BE44" s="101">
        <f ca="1">NETWORKDAYS(Table2[[#This Row],[FM Request 2]], TODAY())</f>
        <v>336</v>
      </c>
      <c r="BF44" s="2">
        <v>45750</v>
      </c>
      <c r="BG44" s="3">
        <f>WORKDAY(Table2[[#This Row],[FM Request 2 Forecast]], 7)</f>
        <v>45869</v>
      </c>
      <c r="BH44" s="101"/>
      <c r="BI44" s="2">
        <v>45748</v>
      </c>
      <c r="BJ44" s="3">
        <f>WORKDAY(Table2[[#This Row],[FM Review 2 Forecast]], 7)</f>
        <v>45880</v>
      </c>
      <c r="BK44" s="101">
        <f ca="1">NETWORKDAYS(Table2[[#This Row],[Tax Review]], TODAY())</f>
        <v>75</v>
      </c>
      <c r="BL44" s="2">
        <v>45756</v>
      </c>
      <c r="BM44" s="3">
        <f>WORKDAY(Table2[[#This Row],[Tax Review]], 7)</f>
        <v>45757</v>
      </c>
      <c r="BN44" s="101">
        <f ca="1">NETWORKDAYS(Table2[[#This Row],[Tax Approval]], TODAY())</f>
        <v>69</v>
      </c>
      <c r="BO44" s="2">
        <v>45757</v>
      </c>
      <c r="BP44" s="3">
        <f>WORKDAY(Table2[[#This Row],[Tax Approval Forecast]], 7)</f>
        <v>45768</v>
      </c>
      <c r="BQ44" s="101">
        <f ca="1">NETWORKDAYS(Table2[[#This Row],[Final proposal submission]], TODAY())</f>
        <v>68</v>
      </c>
      <c r="BR44" s="2">
        <v>45777</v>
      </c>
      <c r="BS44" s="2">
        <v>45786</v>
      </c>
      <c r="BT44" s="3">
        <f>WORKDAY(Table2[[#This Row],[Final Proposal Submission Forecast]], 7)</f>
        <v>45777</v>
      </c>
      <c r="BU44" s="101">
        <f ca="1">NETWORKDAYS(Table2[[#This Row],[BD submits proposal]], TODAY())</f>
        <v>47</v>
      </c>
      <c r="BV44" s="2">
        <v>45787</v>
      </c>
      <c r="BW44" s="3">
        <f>WORKDAY(Table2[[#This Row],[BD Submits Proposal Forecast]], 7)</f>
        <v>45786</v>
      </c>
      <c r="BX44" s="101">
        <f ca="1">NETWORKDAYS(Table2[[#This Row],[Final Proposal Accepted]], TODAY())</f>
        <v>46</v>
      </c>
      <c r="BY44" s="2"/>
      <c r="BZ44" s="3">
        <f>WORKDAY(Table2[[#This Row],[Final Proposal Accepted]], 90)</f>
        <v>45912</v>
      </c>
      <c r="CA44" s="101">
        <f ca="1">NETWORKDAYS(Table2[[#This Row],[Legal Agreement]], TODAY())</f>
        <v>32751</v>
      </c>
      <c r="CB44" s="2">
        <v>45944</v>
      </c>
      <c r="CC44" s="3">
        <f>WORKDAY(Table2[[#This Row],[Legal Agreement Forecast]], 10)</f>
        <v>45926</v>
      </c>
      <c r="CD44" s="101">
        <f ca="1">NETWORKDAYS(Table2[[#This Row],[Executed Agreement]], TODAY())</f>
        <v>-67</v>
      </c>
      <c r="CF44" t="s">
        <v>81</v>
      </c>
      <c r="CG44" s="103"/>
      <c r="CH44" s="3"/>
      <c r="CI44" s="3">
        <f>WORKDAY(Table2[[#This Row],[Executed Agreement]], 7)</f>
        <v>45953</v>
      </c>
      <c r="CJ44" s="101">
        <f ca="1">NETWORKDAYS(Table2[[#This Row],[A&amp;E Request]], TODAY())</f>
        <v>32751</v>
      </c>
      <c r="CL44" s="3">
        <f>WORKDAY(Table2[[#This Row],[A&amp;E Request Forecast]], 10)</f>
        <v>45967</v>
      </c>
      <c r="CM44" s="101">
        <f ca="1">NETWORKDAYS(Table2[[#This Row],[A&amp;E receive]], TODAY())</f>
        <v>32751</v>
      </c>
      <c r="CN44" s="3"/>
      <c r="CO44" s="3">
        <f>WORKDAY(Table2[[#This Row],[FM Approval meeting ]], 10)</f>
        <v>13</v>
      </c>
      <c r="CP44" s="101">
        <f ca="1">NETWORKDAYS(Table2[[#This Row],[Budget Request]], TODAY())</f>
        <v>32751</v>
      </c>
      <c r="CR44" s="3">
        <f>WORKDAY(Table2[[#This Row],[Budget Request Forecast]], 7)</f>
        <v>24</v>
      </c>
      <c r="CS44" s="101">
        <f ca="1">NETWORKDAYS(Table2[[#This Row],[Budget Approval]], TODAY())</f>
        <v>32751</v>
      </c>
      <c r="CT44" s="3"/>
      <c r="CU44" s="3"/>
      <c r="CV44" s="3">
        <f>WORKDAY(Table2[[#This Row],[Budget Approval Forecast ]], 7)</f>
        <v>33</v>
      </c>
      <c r="CW44" s="101">
        <f ca="1">NETWORKDAYS(Table2[[#This Row],[PO Request for OEM ]], TODAY())</f>
        <v>32751</v>
      </c>
      <c r="CY44" s="3">
        <f>WORKDAY(Table2[[#This Row],[PO Request for OEM Forecast]], 10)</f>
        <v>47</v>
      </c>
      <c r="CZ44" s="101">
        <f ca="1">NETWORKDAYS(Table2[[#This Row],[PO Approval]], TODAY())</f>
        <v>32751</v>
      </c>
      <c r="DA44" s="3"/>
      <c r="DB44" s="3">
        <f>WORKDAY(Table2[[#This Row],[PO Approval Forecast]], 10)</f>
        <v>61</v>
      </c>
      <c r="DC44" s="101">
        <f ca="1">NETWORKDAYS(Table2[[#This Row],[backhaul ordered]], TODAY())</f>
        <v>32751</v>
      </c>
      <c r="DD44" s="3"/>
      <c r="DE44" s="3">
        <f>WORKDAY(Table2[[#This Row],[Backhaul Order Forecast]], 10)</f>
        <v>75</v>
      </c>
      <c r="DF44" s="101">
        <f ca="1">NETWORKDAYS(Table2[[#This Row],[RTP Request]], TODAY())</f>
        <v>32751</v>
      </c>
      <c r="DG44" s="3"/>
      <c r="DH44" s="3">
        <f>WORKDAY(Table2[[#This Row],[RTP Request Forecast]], 10)</f>
        <v>89</v>
      </c>
      <c r="DI44" s="101">
        <f ca="1">NETWORKDAYS(Table2[[#This Row],[RTP Approved]], TODAY())</f>
        <v>32751</v>
      </c>
      <c r="DJ44" s="3">
        <v>45660</v>
      </c>
      <c r="DK44" s="3">
        <f>WORKDAY(Table2[[#This Row],[RTP Approval Forecast ]], 7)</f>
        <v>100</v>
      </c>
      <c r="DL44" s="101">
        <f ca="1">NETWORKDAYS(Table2[[#This Row],[RFP Request]], TODAY())</f>
        <v>137</v>
      </c>
      <c r="DM44" s="3">
        <v>45689</v>
      </c>
      <c r="DN44" s="3">
        <f>WORKDAY(Table2[[#This Row],[RFP Request Forecast ]], 10)</f>
        <v>114</v>
      </c>
      <c r="DO44" s="101">
        <f ca="1">NETWORKDAYS(Table2[[#This Row],[RFP Received]], TODAY())</f>
        <v>116</v>
      </c>
      <c r="DP44" s="3"/>
      <c r="DQ44" s="3">
        <f>WORKDAY(Table2[[#This Row],[RFP Received Forecast ]], 7)</f>
        <v>123</v>
      </c>
      <c r="DR44" s="101">
        <f ca="1">NETWORKDAYS(Table2[[#This Row],[PO for GC Request]], TODAY())</f>
        <v>32751</v>
      </c>
      <c r="DT44" s="3">
        <f>WORKDAY(Table2[[#This Row],[PO for GC Request Forecast ]], 7)</f>
        <v>132</v>
      </c>
      <c r="DU44" s="101">
        <f ca="1">NETWORKDAYS(Table2[[#This Row],[PO for GC Approved]], TODAY())</f>
        <v>32751</v>
      </c>
      <c r="DV44" s="3"/>
      <c r="DW44" s="3">
        <f>WORKDAY(Table2[[#This Row],[PO for GC Approval Forecast ]], 10)</f>
        <v>146</v>
      </c>
      <c r="DX44" s="101">
        <f ca="1">NETWORKDAYS(Table2[[#This Row],[Construction Start]], TODAY())</f>
        <v>32751</v>
      </c>
      <c r="DY44" s="3"/>
      <c r="DZ44" s="3">
        <f>WORKDAY(Table2[[#This Row],[Construction Start Forecast ]], 20)</f>
        <v>174</v>
      </c>
      <c r="EA44" s="101">
        <f ca="1">NETWORKDAYS(Table2[[#This Row],[Construction Complete]], TODAY())</f>
        <v>32751</v>
      </c>
      <c r="EB44" s="3"/>
      <c r="EC44" s="3">
        <v>45749</v>
      </c>
      <c r="ED44" s="3">
        <f>WORKDAY(Table2[[#This Row],[Construction Complete Forecast ]], 10)</f>
        <v>188</v>
      </c>
      <c r="EE44" s="101">
        <f ca="1">NETWORKDAYS(Table2[[#This Row],[Integration Start]], TODAY())</f>
        <v>74</v>
      </c>
      <c r="EF44" s="3">
        <f>EC44+30</f>
        <v>45779</v>
      </c>
      <c r="EG44" s="3">
        <f>WORKDAY(Table2[[#This Row],[Integration Start Forecast ]], 10)</f>
        <v>202</v>
      </c>
      <c r="EH44" s="101">
        <f ca="1">NETWORKDAYS(Table2[[#This Row],[Integration Complete]], TODAY())</f>
        <v>52</v>
      </c>
      <c r="EI44" s="3">
        <f>EF44+19</f>
        <v>45798</v>
      </c>
      <c r="EJ44" s="3">
        <f>WORKDAY(Table2[[#This Row],[Integration Complete Forecast ]], 10)</f>
        <v>216</v>
      </c>
      <c r="EK44" s="101">
        <f ca="1">NETWORKDAYS(Table2[[#This Row],[Close Out Package(2weeks from integration complete]], TODAY())</f>
        <v>39</v>
      </c>
      <c r="EL44" s="3">
        <f>EI44+30</f>
        <v>45828</v>
      </c>
      <c r="EM44" s="3">
        <f>WORKDAY(Table2[[#This Row],[Close Out Package Forecast ]], 10)</f>
        <v>230</v>
      </c>
      <c r="EN44" s="101">
        <f ca="1">NETWORKDAYS(Table2[[#This Row],[Acceptance testing 2 weeks from close out package)]], TODAY())</f>
        <v>17</v>
      </c>
      <c r="EO44" s="3">
        <f>EL44+41</f>
        <v>45869</v>
      </c>
      <c r="EP44" s="3">
        <f>WORKDAY(Table2[[#This Row],[Acceptance Testing Forecast ]], 20)</f>
        <v>258</v>
      </c>
      <c r="EQ44" s="101">
        <f ca="1">NETWORKDAYS(Table2[[#This Row],[Customer acceptance(1 month after acceptance testing)]], TODAY())</f>
        <v>-14</v>
      </c>
      <c r="ER44" s="3">
        <f>EO44+3</f>
        <v>45872</v>
      </c>
      <c r="ES44" s="3">
        <f>WORKDAY(Table2[[#This Row],[Customer Acceptance Forecast ]], 5)</f>
        <v>265</v>
      </c>
      <c r="ET44" s="101">
        <f ca="1">NETWORKDAYS(Table2[[#This Row],[Operations handoff(1 week after customer acceptance)]], TODAY())</f>
        <v>-15</v>
      </c>
      <c r="EU44" s="2" t="s">
        <v>82</v>
      </c>
      <c r="EV44" s="3">
        <f>WORKDAY(Table2[[#This Row],[Operations Handoff Forecast ]], 7)</f>
        <v>276</v>
      </c>
      <c r="EW44" s="101" t="e">
        <f ca="1">NETWORKDAYS(Table2[[#This Row],[FNE Date]], TODAY())</f>
        <v>#VALUE!</v>
      </c>
      <c r="EX44" s="2"/>
      <c r="EY44" s="3">
        <f>WORKDAY(Table2[[#This Row],[FNE Date Forecast ]], 7)</f>
        <v>285</v>
      </c>
      <c r="EZ44" s="101">
        <f ca="1">NETWORKDAYS(Table2[[#This Row],[FNE Notice]], TODAY())</f>
        <v>32751</v>
      </c>
      <c r="FA44" s="2"/>
      <c r="FB44" s="2"/>
    </row>
    <row r="45" spans="1:158" x14ac:dyDescent="0.25">
      <c r="B45" t="s">
        <v>72</v>
      </c>
      <c r="C45" t="s">
        <v>90</v>
      </c>
      <c r="D45" s="103"/>
      <c r="E45" t="s">
        <v>74</v>
      </c>
      <c r="F45" s="1"/>
      <c r="H45" t="s">
        <v>84</v>
      </c>
      <c r="I45">
        <v>273</v>
      </c>
      <c r="J45" s="3">
        <v>45763</v>
      </c>
      <c r="K45" s="3">
        <f>J45+11</f>
        <v>45774</v>
      </c>
      <c r="L45" s="3">
        <v>45785</v>
      </c>
      <c r="M45" s="2">
        <f>WORKDAY(Table2[[#This Row],[Kickoff date]], 7)</f>
        <v>45783</v>
      </c>
      <c r="N45" s="102">
        <f ca="1">NETWORKDAYS(Table2[[#This Row],[ROM Request]], TODAY())</f>
        <v>48</v>
      </c>
      <c r="O45" s="2">
        <f>L45+6</f>
        <v>45791</v>
      </c>
      <c r="P45" s="2">
        <f>WORKDAY(Table2[[#This Row],[ROM Request]], 10)</f>
        <v>45799</v>
      </c>
      <c r="Q45" s="102">
        <f ca="1">NETWORKDAYS(Table2[[#This Row],[ROM Receive]], TODAY())</f>
        <v>44</v>
      </c>
      <c r="R45" s="2">
        <v>45790</v>
      </c>
      <c r="S45" s="2">
        <f>WORKDAY(Table2[[#This Row],[ROM Receive Forecast]], 15)</f>
        <v>45820</v>
      </c>
      <c r="T45" s="102">
        <f ca="1">NETWORKDAYS(Table2[[#This Row],[Backhaul Cost Request]], TODAY())</f>
        <v>45</v>
      </c>
      <c r="U45" s="2">
        <v>45809</v>
      </c>
      <c r="V45" s="2">
        <f>WORKDAY(Table2[[#This Row],[Backhaul Cost Request Forecast]], 15)</f>
        <v>45841</v>
      </c>
      <c r="W45" s="102">
        <f ca="1">NETWORKDAYS(Table2[[#This Row],[Backhaul Cost Receive]], TODAY())</f>
        <v>31</v>
      </c>
      <c r="X45" s="2">
        <f>Table2[[#This Row],[Kickoff date]]</f>
        <v>45774</v>
      </c>
      <c r="Y45" s="2">
        <f>WORKDAY(Table2[[#This Row],[Backhaul Cost Request Forecast]], 7)</f>
        <v>45831</v>
      </c>
      <c r="Z45" s="102">
        <f ca="1">NETWORKDAYS(Table2[[#This Row],[OSP Request]], TODAY())</f>
        <v>56</v>
      </c>
      <c r="AA45" s="2"/>
      <c r="AB45" s="2">
        <f>WORKDAY(Table2[[#This Row],[OSP Request Forecast]], 10)</f>
        <v>45845</v>
      </c>
      <c r="AC45" s="102">
        <f ca="1">NETWORKDAYS(Table2[[#This Row],[OSP Receive]], TODAY())</f>
        <v>32751</v>
      </c>
      <c r="AD45" s="2">
        <f>Table2[[#This Row],[Kickoff date]]</f>
        <v>45774</v>
      </c>
      <c r="AE45" s="3">
        <f>WORKDAY(Table2[[#This Row],[Kickoff date]], 7)</f>
        <v>45783</v>
      </c>
      <c r="AF45" s="102">
        <f ca="1">NETWORKDAYS(Table2[[#This Row],[FM Request]], TODAY())</f>
        <v>56</v>
      </c>
      <c r="AG45" s="2"/>
      <c r="AH45" s="3">
        <f>WORKDAY(Table2[[#This Row],[FM Request Forecast ]], 2)</f>
        <v>45785</v>
      </c>
      <c r="AI45" s="102">
        <f ca="1">NETWORKDAYS(Table2[[#This Row],[FM receive]], TODAY())</f>
        <v>32751</v>
      </c>
      <c r="AJ45" s="2"/>
      <c r="AK45" s="3">
        <f>WORKDAY(Table2[[#This Row],[FM Receive Forecast ]], 2)</f>
        <v>45789</v>
      </c>
      <c r="AM45" s="3">
        <f>K45+30</f>
        <v>45804</v>
      </c>
      <c r="AN45" s="2"/>
      <c r="AO45" s="3">
        <f>WORKDAY(Table2[[#This Row],[1-pager Submission to BD]], 7)</f>
        <v>45813</v>
      </c>
      <c r="AP45" s="101">
        <f ca="1">IF(ISBLANK(Table2[[#This Row],[Firm Pricing request]]), NETWORKDAYS(Table2[[#This Row],[Proposal Accepted]], TODAY()), NETWORKDAYS(Table2[[#This Row],[Proposal Accepted]], Table2[[#This Row],[Firm Pricing request]]))</f>
        <v>32751</v>
      </c>
      <c r="AQ45" s="2"/>
      <c r="AR45" s="3">
        <f>WORKDAY(Table2[[#This Row],[Proposal Acceptance Forecast]], 7)</f>
        <v>45824</v>
      </c>
      <c r="AS45" s="101">
        <f ca="1">NETWORKDAYS(Table2[[#This Row],[Firm Pricing request]], TODAY())</f>
        <v>32751</v>
      </c>
      <c r="AT45" s="2">
        <v>45839</v>
      </c>
      <c r="AU45" s="3">
        <f>WORKDAY(Table2[[#This Row],[Firm Pricing Request Forecast]], 7)</f>
        <v>45833</v>
      </c>
      <c r="AV45" s="101">
        <f ca="1">NETWORKDAYS(Table2[[#This Row],[Site Walk]], TODAY())</f>
        <v>10</v>
      </c>
      <c r="AW45" s="2"/>
      <c r="AX45" s="3">
        <f>WORKDAY(Table2[[#This Row],[Site Walk Forecast]], 7)</f>
        <v>45842</v>
      </c>
      <c r="AY45" s="101">
        <f ca="1">NETWORKDAYS(Table2[[#This Row],[Firm Quote Receival]], TODAY())</f>
        <v>32751</v>
      </c>
      <c r="AZ45" s="2">
        <v>45840</v>
      </c>
      <c r="BA45" s="3">
        <f>WORKDAY(Table2[[#This Row],[Firm Quote Receival Forecast ]], 7)</f>
        <v>45853</v>
      </c>
      <c r="BB45" s="101">
        <f ca="1">NETWORKDAYS(Table2[[#This Row],[Final Design &amp; BOM(20 calendar days from site walk)]], TODAY())</f>
        <v>9</v>
      </c>
      <c r="BC45" s="2">
        <v>45870</v>
      </c>
      <c r="BD45" s="3">
        <f>WORKDAY(Table2[[#This Row],[Final Design &amp; BOM Forecast ]], 7)</f>
        <v>45862</v>
      </c>
      <c r="BE45" s="101">
        <f ca="1">NETWORKDAYS(Table2[[#This Row],[FM Request 2]], TODAY())</f>
        <v>-15</v>
      </c>
      <c r="BF45" s="2">
        <v>45871</v>
      </c>
      <c r="BG45" s="3">
        <f>WORKDAY(Table2[[#This Row],[FM Request 2 Forecast]], 7)</f>
        <v>45873</v>
      </c>
      <c r="BH45" s="101"/>
      <c r="BI45" s="2"/>
      <c r="BJ45" s="3">
        <f>WORKDAY(Table2[[#This Row],[FM Review 2 Forecast]], 7)</f>
        <v>45882</v>
      </c>
      <c r="BK45" s="101">
        <f ca="1">NETWORKDAYS(Table2[[#This Row],[Tax Review]], TODAY())</f>
        <v>32751</v>
      </c>
      <c r="BL45" s="2"/>
      <c r="BM45" s="3">
        <f>WORKDAY(Table2[[#This Row],[Tax Review]], 7)</f>
        <v>10</v>
      </c>
      <c r="BN45" s="101">
        <f ca="1">NETWORKDAYS(Table2[[#This Row],[Tax Approval]], TODAY())</f>
        <v>32751</v>
      </c>
      <c r="BO45" s="2"/>
      <c r="BP45" s="3">
        <f>WORKDAY(Table2[[#This Row],[Tax Approval Forecast]], 7)</f>
        <v>19</v>
      </c>
      <c r="BQ45" s="101">
        <f ca="1">NETWORKDAYS(Table2[[#This Row],[Final proposal submission]], TODAY())</f>
        <v>32751</v>
      </c>
      <c r="BR45" s="2"/>
      <c r="BS45" s="2"/>
      <c r="BT45" s="3">
        <f>WORKDAY(Table2[[#This Row],[Final Proposal Submission Forecast]], 7)</f>
        <v>30</v>
      </c>
      <c r="BU45" s="101">
        <f ca="1">NETWORKDAYS(Table2[[#This Row],[BD submits proposal]], TODAY())</f>
        <v>32751</v>
      </c>
      <c r="BV45" s="2">
        <v>45748</v>
      </c>
      <c r="BW45" s="3">
        <f>WORKDAY(Table2[[#This Row],[BD Submits Proposal Forecast]], 7)</f>
        <v>39</v>
      </c>
      <c r="BX45" s="101">
        <f ca="1">NETWORKDAYS(Table2[[#This Row],[Final Proposal Accepted]], TODAY())</f>
        <v>75</v>
      </c>
      <c r="BY45" s="2"/>
      <c r="BZ45" s="3">
        <f>WORKDAY(Table2[[#This Row],[Final Proposal Accepted]], 90)</f>
        <v>45874</v>
      </c>
      <c r="CA45" s="101">
        <f ca="1">NETWORKDAYS(Table2[[#This Row],[Legal Agreement]], TODAY())</f>
        <v>32751</v>
      </c>
      <c r="CB45" s="2"/>
      <c r="CC45" s="3">
        <f>WORKDAY(Table2[[#This Row],[Legal Agreement Forecast]], 10)</f>
        <v>45888</v>
      </c>
      <c r="CD45" s="101">
        <f ca="1">NETWORKDAYS(Table2[[#This Row],[Executed Agreement]], TODAY())</f>
        <v>32751</v>
      </c>
      <c r="CE45" t="s">
        <v>91</v>
      </c>
      <c r="CF45" t="s">
        <v>92</v>
      </c>
      <c r="CG45" s="103"/>
      <c r="CH45" s="3"/>
      <c r="CI45" s="3">
        <f>WORKDAY(Table2[[#This Row],[Executed Agreement]], 7)</f>
        <v>10</v>
      </c>
      <c r="CJ45" s="101">
        <f ca="1">NETWORKDAYS(Table2[[#This Row],[A&amp;E Request]], TODAY())</f>
        <v>32751</v>
      </c>
      <c r="CL45" s="3">
        <f>WORKDAY(Table2[[#This Row],[A&amp;E Request Forecast]], 10)</f>
        <v>24</v>
      </c>
      <c r="CM45" s="101">
        <f ca="1">NETWORKDAYS(Table2[[#This Row],[A&amp;E receive]], TODAY())</f>
        <v>32751</v>
      </c>
      <c r="CO45" s="3">
        <f>WORKDAY(Table2[[#This Row],[FM Approval meeting ]], 10)</f>
        <v>13</v>
      </c>
      <c r="CP45" s="101">
        <f ca="1">NETWORKDAYS(Table2[[#This Row],[Budget Request]], TODAY())</f>
        <v>32751</v>
      </c>
      <c r="CR45" s="3">
        <f>WORKDAY(Table2[[#This Row],[Budget Request Forecast]], 7)</f>
        <v>24</v>
      </c>
      <c r="CS45" s="101">
        <f ca="1">NETWORKDAYS(Table2[[#This Row],[Budget Approval]], TODAY())</f>
        <v>32751</v>
      </c>
      <c r="CV45" s="3">
        <f>WORKDAY(Table2[[#This Row],[Budget Approval Forecast ]], 7)</f>
        <v>33</v>
      </c>
      <c r="CW45" s="101">
        <f ca="1">NETWORKDAYS(Table2[[#This Row],[PO Request for OEM ]], TODAY())</f>
        <v>32751</v>
      </c>
      <c r="CY45" s="3">
        <f>WORKDAY(Table2[[#This Row],[PO Request for OEM Forecast]], 10)</f>
        <v>47</v>
      </c>
      <c r="CZ45" s="101">
        <f ca="1">NETWORKDAYS(Table2[[#This Row],[PO Approval]], TODAY())</f>
        <v>32751</v>
      </c>
      <c r="DB45" s="3">
        <f>WORKDAY(Table2[[#This Row],[PO Approval Forecast]], 10)</f>
        <v>61</v>
      </c>
      <c r="DC45" s="101">
        <f ca="1">NETWORKDAYS(Table2[[#This Row],[backhaul ordered]], TODAY())</f>
        <v>32751</v>
      </c>
      <c r="DD45">
        <v>44378</v>
      </c>
      <c r="DE45" s="3">
        <f>WORKDAY(Table2[[#This Row],[Backhaul Order Forecast]], 10)</f>
        <v>75</v>
      </c>
      <c r="DF45" s="101">
        <f ca="1">NETWORKDAYS(Table2[[#This Row],[RTP Request]], TODAY())</f>
        <v>1053</v>
      </c>
      <c r="DG45" s="3">
        <v>44798</v>
      </c>
      <c r="DH45" s="3">
        <f>WORKDAY(Table2[[#This Row],[RTP Request Forecast]], 10)</f>
        <v>89</v>
      </c>
      <c r="DI45" s="101">
        <f ca="1">NETWORKDAYS(Table2[[#This Row],[RTP Approved]], TODAY())</f>
        <v>753</v>
      </c>
      <c r="DK45" s="3">
        <f>WORKDAY(Table2[[#This Row],[RTP Approval Forecast ]], 7)</f>
        <v>100</v>
      </c>
      <c r="DL45" s="101">
        <f ca="1">NETWORKDAYS(Table2[[#This Row],[RFP Request]], TODAY())</f>
        <v>32751</v>
      </c>
      <c r="DN45" s="3">
        <f>WORKDAY(Table2[[#This Row],[RFP Request Forecast ]], 10)</f>
        <v>114</v>
      </c>
      <c r="DO45" s="101">
        <f ca="1">NETWORKDAYS(Table2[[#This Row],[RFP Received]], TODAY())</f>
        <v>32751</v>
      </c>
      <c r="DQ45" s="3">
        <f>WORKDAY(Table2[[#This Row],[RFP Received Forecast ]], 7)</f>
        <v>123</v>
      </c>
      <c r="DR45" s="101">
        <f ca="1">NETWORKDAYS(Table2[[#This Row],[PO for GC Request]], TODAY())</f>
        <v>32751</v>
      </c>
      <c r="DT45" s="3">
        <f>WORKDAY(Table2[[#This Row],[PO for GC Request Forecast ]], 7)</f>
        <v>132</v>
      </c>
      <c r="DU45" s="101">
        <f ca="1">NETWORKDAYS(Table2[[#This Row],[PO for GC Approved]], TODAY())</f>
        <v>32751</v>
      </c>
      <c r="DW45" s="3">
        <f>WORKDAY(Table2[[#This Row],[PO for GC Approval Forecast ]], 10)</f>
        <v>146</v>
      </c>
      <c r="DX45" s="101">
        <f ca="1">NETWORKDAYS(Table2[[#This Row],[Construction Start]], TODAY())</f>
        <v>32751</v>
      </c>
      <c r="DZ45" s="3">
        <f>WORKDAY(Table2[[#This Row],[Construction Start Forecast ]], 20)</f>
        <v>174</v>
      </c>
      <c r="EA45" s="101">
        <f ca="1">NETWORKDAYS(Table2[[#This Row],[Construction Complete]], TODAY())</f>
        <v>32751</v>
      </c>
      <c r="ED45" s="3">
        <f>WORKDAY(Table2[[#This Row],[Construction Complete Forecast ]], 10)</f>
        <v>188</v>
      </c>
      <c r="EE45" s="101">
        <f ca="1">NETWORKDAYS(Table2[[#This Row],[Integration Start]], TODAY())</f>
        <v>32751</v>
      </c>
      <c r="EF45" s="3"/>
      <c r="EG45" s="3">
        <f>WORKDAY(Table2[[#This Row],[Integration Start Forecast ]], 10)</f>
        <v>202</v>
      </c>
      <c r="EH45" s="101">
        <f ca="1">NETWORKDAYS(Table2[[#This Row],[Integration Complete]], TODAY())</f>
        <v>32751</v>
      </c>
      <c r="EJ45" s="3">
        <f>WORKDAY(Table2[[#This Row],[Integration Complete Forecast ]], 10)</f>
        <v>216</v>
      </c>
      <c r="EK45" s="101">
        <f ca="1">NETWORKDAYS(Table2[[#This Row],[Close Out Package(2weeks from integration complete]], TODAY())</f>
        <v>32751</v>
      </c>
      <c r="EM45" s="3">
        <f>WORKDAY(Table2[[#This Row],[Close Out Package Forecast ]], 10)</f>
        <v>230</v>
      </c>
      <c r="EN45" s="101">
        <f ca="1">NETWORKDAYS(Table2[[#This Row],[Acceptance testing 2 weeks from close out package)]], TODAY())</f>
        <v>32751</v>
      </c>
      <c r="EP45" s="3">
        <f>WORKDAY(Table2[[#This Row],[Acceptance Testing Forecast ]], 20)</f>
        <v>258</v>
      </c>
      <c r="EQ45" s="101">
        <f ca="1">NETWORKDAYS(Table2[[#This Row],[Customer acceptance(1 month after acceptance testing)]], TODAY())</f>
        <v>32751</v>
      </c>
      <c r="ES45" s="3">
        <f>WORKDAY(Table2[[#This Row],[Customer Acceptance Forecast ]], 5)</f>
        <v>265</v>
      </c>
      <c r="ET45" s="101">
        <f ca="1">NETWORKDAYS(Table2[[#This Row],[Operations handoff(1 week after customer acceptance)]], TODAY())</f>
        <v>32751</v>
      </c>
      <c r="EU45" s="2" t="s">
        <v>93</v>
      </c>
      <c r="EV45" s="3">
        <f>WORKDAY(Table2[[#This Row],[Operations Handoff Forecast ]], 7)</f>
        <v>276</v>
      </c>
      <c r="EW45" s="101" t="e">
        <f ca="1">NETWORKDAYS(Table2[[#This Row],[FNE Date]], TODAY())</f>
        <v>#VALUE!</v>
      </c>
      <c r="EX45" s="2"/>
      <c r="EY45" s="3">
        <f>WORKDAY(Table2[[#This Row],[FNE Date Forecast ]], 7)</f>
        <v>285</v>
      </c>
      <c r="EZ45" s="101">
        <f ca="1">NETWORKDAYS(Table2[[#This Row],[FNE Notice]], TODAY())</f>
        <v>32751</v>
      </c>
      <c r="FA45" s="2"/>
      <c r="FB45" s="2"/>
    </row>
    <row r="46" spans="1:158" x14ac:dyDescent="0.25">
      <c r="B46" t="s">
        <v>72</v>
      </c>
      <c r="C46" s="73" t="s">
        <v>104</v>
      </c>
      <c r="D46" s="103"/>
      <c r="E46" s="73" t="s">
        <v>79</v>
      </c>
      <c r="F46" s="1"/>
      <c r="H46" t="s">
        <v>105</v>
      </c>
      <c r="I46" t="s">
        <v>106</v>
      </c>
      <c r="J46" s="3">
        <v>45768</v>
      </c>
      <c r="K46" s="3">
        <f>J46+8</f>
        <v>45776</v>
      </c>
      <c r="L46" s="3">
        <v>45788</v>
      </c>
      <c r="M46" s="2">
        <f>WORKDAY(Table2[[#This Row],[Kickoff date]], 7)</f>
        <v>45785</v>
      </c>
      <c r="N46" s="102">
        <f ca="1">NETWORKDAYS(Table2[[#This Row],[ROM Request]], TODAY())</f>
        <v>46</v>
      </c>
      <c r="O46" s="2">
        <f>L46+13</f>
        <v>45801</v>
      </c>
      <c r="P46" s="2">
        <f>WORKDAY(Table2[[#This Row],[ROM Request]], 10)</f>
        <v>45800</v>
      </c>
      <c r="Q46" s="102">
        <f ca="1">NETWORKDAYS(Table2[[#This Row],[ROM Receive]], TODAY())</f>
        <v>36</v>
      </c>
      <c r="R46" s="2">
        <v>45795</v>
      </c>
      <c r="S46" s="2">
        <f>WORKDAY(Table2[[#This Row],[ROM Receive Forecast]], 15)</f>
        <v>45821</v>
      </c>
      <c r="T46" s="102">
        <f ca="1">NETWORKDAYS(Table2[[#This Row],[Backhaul Cost Request]], TODAY())</f>
        <v>41</v>
      </c>
      <c r="U46" s="2">
        <v>45808</v>
      </c>
      <c r="V46" s="2">
        <f>WORKDAY(Table2[[#This Row],[Backhaul Cost Request Forecast]], 15)</f>
        <v>45842</v>
      </c>
      <c r="W46" s="102">
        <f ca="1">NETWORKDAYS(Table2[[#This Row],[Backhaul Cost Receive]], TODAY())</f>
        <v>31</v>
      </c>
      <c r="X46" s="2">
        <f>Table2[[#This Row],[Kickoff date]]</f>
        <v>45776</v>
      </c>
      <c r="Y46" s="2">
        <f>WORKDAY(Table2[[#This Row],[Backhaul Cost Request Forecast]], 7)</f>
        <v>45832</v>
      </c>
      <c r="Z46" s="102">
        <f ca="1">NETWORKDAYS(Table2[[#This Row],[OSP Request]], TODAY())</f>
        <v>55</v>
      </c>
      <c r="AA46" s="2"/>
      <c r="AB46" s="2">
        <f>WORKDAY(Table2[[#This Row],[OSP Request Forecast]], 10)</f>
        <v>45846</v>
      </c>
      <c r="AC46" s="102">
        <f ca="1">NETWORKDAYS(Table2[[#This Row],[OSP Receive]], TODAY())</f>
        <v>32751</v>
      </c>
      <c r="AD46" s="2">
        <f>Table2[[#This Row],[Kickoff date]]</f>
        <v>45776</v>
      </c>
      <c r="AE46" s="3">
        <f>WORKDAY(Table2[[#This Row],[Kickoff date]], 7)</f>
        <v>45785</v>
      </c>
      <c r="AF46" s="102">
        <f ca="1">NETWORKDAYS(Table2[[#This Row],[FM Request]], TODAY())</f>
        <v>55</v>
      </c>
      <c r="AG46" s="2"/>
      <c r="AH46" s="3">
        <f>WORKDAY(Table2[[#This Row],[FM Request Forecast ]], 2)</f>
        <v>45789</v>
      </c>
      <c r="AI46" s="102">
        <f ca="1">NETWORKDAYS(Table2[[#This Row],[FM receive]], TODAY())</f>
        <v>32751</v>
      </c>
      <c r="AJ46" s="2"/>
      <c r="AK46" s="3">
        <f>WORKDAY(Table2[[#This Row],[FM Receive Forecast ]], 2)</f>
        <v>45791</v>
      </c>
      <c r="AM46" s="3">
        <f>K46+30</f>
        <v>45806</v>
      </c>
      <c r="AN46" s="2"/>
      <c r="AO46" s="3">
        <f>WORKDAY(Table2[[#This Row],[1-pager Submission to BD]], 7)</f>
        <v>45817</v>
      </c>
      <c r="AP46" s="101">
        <f ca="1">IF(ISBLANK(Table2[[#This Row],[Firm Pricing request]]), NETWORKDAYS(Table2[[#This Row],[Proposal Accepted]], TODAY()), NETWORKDAYS(Table2[[#This Row],[Proposal Accepted]], Table2[[#This Row],[Firm Pricing request]]))</f>
        <v>32751</v>
      </c>
      <c r="AQ46" s="2"/>
      <c r="AR46" s="3">
        <f>WORKDAY(Table2[[#This Row],[Proposal Acceptance Forecast]], 7)</f>
        <v>45826</v>
      </c>
      <c r="AS46" s="101">
        <f ca="1">NETWORKDAYS(Table2[[#This Row],[Firm Pricing request]], TODAY())</f>
        <v>32751</v>
      </c>
      <c r="AT46" s="2"/>
      <c r="AU46" s="3">
        <f>WORKDAY(Table2[[#This Row],[Firm Pricing Request Forecast]], 7)</f>
        <v>45835</v>
      </c>
      <c r="AV46" s="101">
        <f ca="1">NETWORKDAYS(Table2[[#This Row],[Site Walk]], TODAY())</f>
        <v>32751</v>
      </c>
      <c r="AW46" s="2"/>
      <c r="AX46" s="3">
        <f>WORKDAY(Table2[[#This Row],[Site Walk Forecast]], 7)</f>
        <v>45846</v>
      </c>
      <c r="AY46" s="101">
        <f ca="1">NETWORKDAYS(Table2[[#This Row],[Firm Quote Receival]], TODAY())</f>
        <v>32751</v>
      </c>
      <c r="AZ46" s="2"/>
      <c r="BA46" s="3">
        <f>WORKDAY(Table2[[#This Row],[Firm Quote Receival Forecast ]], 7)</f>
        <v>45855</v>
      </c>
      <c r="BB46" s="101">
        <f ca="1">NETWORKDAYS(Table2[[#This Row],[Final Design &amp; BOM(20 calendar days from site walk)]], TODAY())</f>
        <v>32751</v>
      </c>
      <c r="BC46" s="2"/>
      <c r="BD46" s="3">
        <f>WORKDAY(Table2[[#This Row],[Final Design &amp; BOM Forecast ]], 7)</f>
        <v>45866</v>
      </c>
      <c r="BE46" s="101">
        <f ca="1">NETWORKDAYS(Table2[[#This Row],[FM Request 2]], TODAY())</f>
        <v>32751</v>
      </c>
      <c r="BF46" s="2"/>
      <c r="BG46" s="3">
        <f>WORKDAY(Table2[[#This Row],[FM Request 2 Forecast]], 7)</f>
        <v>45875</v>
      </c>
      <c r="BH46" s="101"/>
      <c r="BI46" s="2"/>
      <c r="BJ46" s="3">
        <f>WORKDAY(Table2[[#This Row],[FM Review 2 Forecast]], 7)</f>
        <v>45884</v>
      </c>
      <c r="BK46" s="101">
        <f ca="1">NETWORKDAYS(Table2[[#This Row],[Tax Review]], TODAY())</f>
        <v>32751</v>
      </c>
      <c r="BL46" s="2"/>
      <c r="BM46" s="3">
        <f>WORKDAY(Table2[[#This Row],[Tax Review]], 7)</f>
        <v>10</v>
      </c>
      <c r="BN46" s="101">
        <f ca="1">NETWORKDAYS(Table2[[#This Row],[Tax Approval]], TODAY())</f>
        <v>32751</v>
      </c>
      <c r="BO46" s="2"/>
      <c r="BP46" s="3">
        <f>WORKDAY(Table2[[#This Row],[Tax Approval Forecast]], 7)</f>
        <v>19</v>
      </c>
      <c r="BQ46" s="101">
        <f ca="1">NETWORKDAYS(Table2[[#This Row],[Final proposal submission]], TODAY())</f>
        <v>32751</v>
      </c>
      <c r="BR46" s="2"/>
      <c r="BS46" s="2"/>
      <c r="BT46" s="3">
        <f>WORKDAY(Table2[[#This Row],[Final Proposal Submission Forecast]], 7)</f>
        <v>30</v>
      </c>
      <c r="BU46" s="101">
        <f ca="1">NETWORKDAYS(Table2[[#This Row],[BD submits proposal]], TODAY())</f>
        <v>32751</v>
      </c>
      <c r="BV46" s="2"/>
      <c r="BW46" s="3">
        <f>WORKDAY(Table2[[#This Row],[BD Submits Proposal Forecast]], 7)</f>
        <v>39</v>
      </c>
      <c r="BX46" s="101">
        <f ca="1">NETWORKDAYS(Table2[[#This Row],[Final Proposal Accepted]], TODAY())</f>
        <v>32751</v>
      </c>
      <c r="BY46" s="2"/>
      <c r="BZ46" s="3">
        <f>WORKDAY(Table2[[#This Row],[Final Proposal Accepted]], 90)</f>
        <v>125</v>
      </c>
      <c r="CA46" s="101">
        <f ca="1">NETWORKDAYS(Table2[[#This Row],[Legal Agreement]], TODAY())</f>
        <v>32751</v>
      </c>
      <c r="CB46" s="2"/>
      <c r="CC46" s="3">
        <f>WORKDAY(Table2[[#This Row],[Legal Agreement Forecast]], 10)</f>
        <v>139</v>
      </c>
      <c r="CD46" s="101">
        <f ca="1">NETWORKDAYS(Table2[[#This Row],[Executed Agreement]], TODAY())</f>
        <v>32751</v>
      </c>
      <c r="CE46" t="s">
        <v>76</v>
      </c>
      <c r="CF46" t="s">
        <v>107</v>
      </c>
      <c r="CG46" s="103"/>
      <c r="CH46" s="3"/>
      <c r="CI46" s="3">
        <f>WORKDAY(Table2[[#This Row],[Executed Agreement]], 7)</f>
        <v>10</v>
      </c>
      <c r="CJ46" s="101">
        <f ca="1">NETWORKDAYS(Table2[[#This Row],[A&amp;E Request]], TODAY())</f>
        <v>32751</v>
      </c>
      <c r="CL46" s="3">
        <f>WORKDAY(Table2[[#This Row],[A&amp;E Request Forecast]], 10)</f>
        <v>24</v>
      </c>
      <c r="CM46" s="101">
        <f ca="1">NETWORKDAYS(Table2[[#This Row],[A&amp;E receive]], TODAY())</f>
        <v>32751</v>
      </c>
      <c r="CO46" s="3">
        <f>WORKDAY(Table2[[#This Row],[FM Approval meeting ]], 10)</f>
        <v>13</v>
      </c>
      <c r="CP46" s="101">
        <f ca="1">NETWORKDAYS(Table2[[#This Row],[Budget Request]], TODAY())</f>
        <v>32751</v>
      </c>
      <c r="CR46" s="3">
        <f>WORKDAY(Table2[[#This Row],[Budget Request Forecast]], 7)</f>
        <v>24</v>
      </c>
      <c r="CS46" s="101">
        <f ca="1">NETWORKDAYS(Table2[[#This Row],[Budget Approval]], TODAY())</f>
        <v>32751</v>
      </c>
      <c r="CV46" s="3">
        <f>WORKDAY(Table2[[#This Row],[Budget Approval Forecast ]], 7)</f>
        <v>33</v>
      </c>
      <c r="CW46" s="101">
        <f ca="1">NETWORKDAYS(Table2[[#This Row],[PO Request for OEM ]], TODAY())</f>
        <v>32751</v>
      </c>
      <c r="CY46" s="3">
        <f>WORKDAY(Table2[[#This Row],[PO Request for OEM Forecast]], 10)</f>
        <v>47</v>
      </c>
      <c r="CZ46" s="101">
        <f ca="1">NETWORKDAYS(Table2[[#This Row],[PO Approval]], TODAY())</f>
        <v>32751</v>
      </c>
      <c r="DB46" s="3">
        <f>WORKDAY(Table2[[#This Row],[PO Approval Forecast]], 10)</f>
        <v>61</v>
      </c>
      <c r="DC46" s="101">
        <f ca="1">NETWORKDAYS(Table2[[#This Row],[backhaul ordered]], TODAY())</f>
        <v>32751</v>
      </c>
      <c r="DD46">
        <v>44470</v>
      </c>
      <c r="DE46" s="3">
        <f>WORKDAY(Table2[[#This Row],[Backhaul Order Forecast]], 10)</f>
        <v>75</v>
      </c>
      <c r="DF46" s="101">
        <f ca="1">NETWORKDAYS(Table2[[#This Row],[RTP Request]], TODAY())</f>
        <v>987</v>
      </c>
      <c r="DG46" s="3">
        <v>45267</v>
      </c>
      <c r="DH46" s="3">
        <f>WORKDAY(Table2[[#This Row],[RTP Request Forecast]], 10)</f>
        <v>89</v>
      </c>
      <c r="DI46" s="101">
        <f ca="1">NETWORKDAYS(Table2[[#This Row],[RTP Approved]], TODAY())</f>
        <v>418</v>
      </c>
      <c r="DK46" s="3">
        <f>WORKDAY(Table2[[#This Row],[RTP Approval Forecast ]], 7)</f>
        <v>100</v>
      </c>
      <c r="DL46" s="101">
        <f ca="1">NETWORKDAYS(Table2[[#This Row],[RFP Request]], TODAY())</f>
        <v>32751</v>
      </c>
      <c r="DN46" s="3">
        <f>WORKDAY(Table2[[#This Row],[RFP Request Forecast ]], 10)</f>
        <v>114</v>
      </c>
      <c r="DO46" s="101">
        <f ca="1">NETWORKDAYS(Table2[[#This Row],[RFP Received]], TODAY())</f>
        <v>32751</v>
      </c>
      <c r="DQ46" s="3">
        <f>WORKDAY(Table2[[#This Row],[RFP Received Forecast ]], 7)</f>
        <v>123</v>
      </c>
      <c r="DR46" s="101">
        <f ca="1">NETWORKDAYS(Table2[[#This Row],[PO for GC Request]], TODAY())</f>
        <v>32751</v>
      </c>
      <c r="DT46" s="3">
        <f>WORKDAY(Table2[[#This Row],[PO for GC Request Forecast ]], 7)</f>
        <v>132</v>
      </c>
      <c r="DU46" s="101">
        <f ca="1">NETWORKDAYS(Table2[[#This Row],[PO for GC Approved]], TODAY())</f>
        <v>32751</v>
      </c>
      <c r="DW46" s="3">
        <f>WORKDAY(Table2[[#This Row],[PO for GC Approval Forecast ]], 10)</f>
        <v>146</v>
      </c>
      <c r="DX46" s="101">
        <f ca="1">NETWORKDAYS(Table2[[#This Row],[Construction Start]], TODAY())</f>
        <v>32751</v>
      </c>
      <c r="DZ46" s="3">
        <f>WORKDAY(Table2[[#This Row],[Construction Start Forecast ]], 20)</f>
        <v>174</v>
      </c>
      <c r="EA46" s="101">
        <f ca="1">NETWORKDAYS(Table2[[#This Row],[Construction Complete]], TODAY())</f>
        <v>32751</v>
      </c>
      <c r="ED46" s="3">
        <f>WORKDAY(Table2[[#This Row],[Construction Complete Forecast ]], 10)</f>
        <v>188</v>
      </c>
      <c r="EE46" s="101">
        <f ca="1">NETWORKDAYS(Table2[[#This Row],[Integration Start]], TODAY())</f>
        <v>32751</v>
      </c>
      <c r="EF46" s="3"/>
      <c r="EG46" s="3">
        <f>WORKDAY(Table2[[#This Row],[Integration Start Forecast ]], 10)</f>
        <v>202</v>
      </c>
      <c r="EH46" s="101">
        <f ca="1">NETWORKDAYS(Table2[[#This Row],[Integration Complete]], TODAY())</f>
        <v>32751</v>
      </c>
      <c r="EJ46" s="3">
        <f>WORKDAY(Table2[[#This Row],[Integration Complete Forecast ]], 10)</f>
        <v>216</v>
      </c>
      <c r="EK46" s="101">
        <f ca="1">NETWORKDAYS(Table2[[#This Row],[Close Out Package(2weeks from integration complete]], TODAY())</f>
        <v>32751</v>
      </c>
      <c r="EM46" s="3">
        <f>WORKDAY(Table2[[#This Row],[Close Out Package Forecast ]], 10)</f>
        <v>230</v>
      </c>
      <c r="EN46" s="101">
        <f ca="1">NETWORKDAYS(Table2[[#This Row],[Acceptance testing 2 weeks from close out package)]], TODAY())</f>
        <v>32751</v>
      </c>
      <c r="EP46" s="3">
        <f>WORKDAY(Table2[[#This Row],[Acceptance Testing Forecast ]], 20)</f>
        <v>258</v>
      </c>
      <c r="EQ46" s="101">
        <f ca="1">NETWORKDAYS(Table2[[#This Row],[Customer acceptance(1 month after acceptance testing)]], TODAY())</f>
        <v>32751</v>
      </c>
      <c r="ES46" s="3">
        <f>WORKDAY(Table2[[#This Row],[Customer Acceptance Forecast ]], 5)</f>
        <v>265</v>
      </c>
      <c r="ET46" s="101">
        <f ca="1">NETWORKDAYS(Table2[[#This Row],[Operations handoff(1 week after customer acceptance)]], TODAY())</f>
        <v>32751</v>
      </c>
      <c r="EU46" s="2" t="s">
        <v>89</v>
      </c>
      <c r="EV46" s="3">
        <f>WORKDAY(Table2[[#This Row],[Operations Handoff Forecast ]], 7)</f>
        <v>276</v>
      </c>
      <c r="EW46" s="101" t="e">
        <f ca="1">NETWORKDAYS(Table2[[#This Row],[FNE Date]], TODAY())</f>
        <v>#VALUE!</v>
      </c>
      <c r="EX46" s="2"/>
      <c r="EY46" s="3">
        <f>WORKDAY(Table2[[#This Row],[FNE Date Forecast ]], 7)</f>
        <v>285</v>
      </c>
      <c r="EZ46" s="101">
        <f ca="1">NETWORKDAYS(Table2[[#This Row],[FNE Notice]], TODAY())</f>
        <v>32751</v>
      </c>
      <c r="FA46" s="2"/>
      <c r="FB46" s="2"/>
    </row>
    <row r="47" spans="1:158" x14ac:dyDescent="0.25">
      <c r="A47" t="s">
        <v>101</v>
      </c>
      <c r="B47" t="s">
        <v>72</v>
      </c>
      <c r="C47" s="73" t="s">
        <v>114</v>
      </c>
      <c r="D47" s="103"/>
      <c r="E47" t="s">
        <v>115</v>
      </c>
      <c r="F47" s="1"/>
      <c r="H47" t="s">
        <v>116</v>
      </c>
      <c r="I47">
        <v>450</v>
      </c>
      <c r="J47" s="3">
        <v>45771</v>
      </c>
      <c r="K47" s="3">
        <f>J47+8</f>
        <v>45779</v>
      </c>
      <c r="L47" s="3">
        <v>45787</v>
      </c>
      <c r="M47" s="2">
        <f>WORKDAY(Table2[[#This Row],[Kickoff date]], 7)</f>
        <v>45790</v>
      </c>
      <c r="N47" s="104">
        <f ca="1">NETWORKDAYS(Table2[[#This Row],[ROM Request]], TODAY())</f>
        <v>46</v>
      </c>
      <c r="O47" s="3">
        <f>L47+12</f>
        <v>45799</v>
      </c>
      <c r="P47" s="3">
        <f>WORKDAY(Table2[[#This Row],[ROM Request]], 10)</f>
        <v>45800</v>
      </c>
      <c r="Q47" s="104">
        <f ca="1">NETWORKDAYS(Table2[[#This Row],[ROM Receive]], TODAY())</f>
        <v>38</v>
      </c>
      <c r="R47" s="3">
        <v>45748</v>
      </c>
      <c r="S47" s="2">
        <f>WORKDAY(Table2[[#This Row],[ROM Receive Forecast]], 15)</f>
        <v>45821</v>
      </c>
      <c r="T47" s="104">
        <f ca="1">NETWORKDAYS(Table2[[#This Row],[Backhaul Cost Request]], TODAY())</f>
        <v>75</v>
      </c>
      <c r="U47" s="3">
        <v>45764</v>
      </c>
      <c r="V47" s="3">
        <f>WORKDAY(Table2[[#This Row],[Backhaul Cost Request Forecast]], 15)</f>
        <v>45842</v>
      </c>
      <c r="W47" s="104">
        <f ca="1">NETWORKDAYS(Table2[[#This Row],[Backhaul Cost Receive]], TODAY())</f>
        <v>63</v>
      </c>
      <c r="X47" s="3">
        <f>Table2[[#This Row],[Kickoff date]]</f>
        <v>45779</v>
      </c>
      <c r="Y47" s="2">
        <f>WORKDAY(Table2[[#This Row],[Backhaul Cost Request Forecast]], 7)</f>
        <v>45832</v>
      </c>
      <c r="Z47" s="104">
        <f ca="1">NETWORKDAYS(Table2[[#This Row],[OSP Request]], TODAY())</f>
        <v>52</v>
      </c>
      <c r="AA47" s="3"/>
      <c r="AB47" s="3">
        <f>WORKDAY(Table2[[#This Row],[OSP Request Forecast]], 10)</f>
        <v>45846</v>
      </c>
      <c r="AC47" s="104">
        <f ca="1">NETWORKDAYS(Table2[[#This Row],[OSP Receive]], TODAY())</f>
        <v>32751</v>
      </c>
      <c r="AD47" s="3">
        <f>Table2[[#This Row],[Kickoff date]]</f>
        <v>45779</v>
      </c>
      <c r="AE47" s="3">
        <f>WORKDAY(Table2[[#This Row],[Kickoff date]], 7)</f>
        <v>45790</v>
      </c>
      <c r="AF47" s="104">
        <f ca="1">NETWORKDAYS(Table2[[#This Row],[FM Request]], TODAY())</f>
        <v>52</v>
      </c>
      <c r="AG47" s="3"/>
      <c r="AH47" s="3">
        <f>WORKDAY(Table2[[#This Row],[FM Request Forecast ]], 2)</f>
        <v>45792</v>
      </c>
      <c r="AI47" s="104">
        <f ca="1">NETWORKDAYS(Table2[[#This Row],[FM receive]], TODAY())</f>
        <v>32751</v>
      </c>
      <c r="AJ47" s="3"/>
      <c r="AK47" s="3">
        <f>WORKDAY(Table2[[#This Row],[FM Receive Forecast ]], 2)</f>
        <v>45796</v>
      </c>
      <c r="AM47" s="3">
        <f>K47+31</f>
        <v>45810</v>
      </c>
      <c r="AN47" s="3"/>
      <c r="AO47" s="3">
        <f>WORKDAY(Table2[[#This Row],[1-pager Submission to BD]], 7)</f>
        <v>45819</v>
      </c>
      <c r="AP47" s="103">
        <f ca="1">IF(ISBLANK(Table2[[#This Row],[Firm Pricing request]]), NETWORKDAYS(Table2[[#This Row],[Proposal Accepted]], TODAY()), NETWORKDAYS(Table2[[#This Row],[Proposal Accepted]], Table2[[#This Row],[Firm Pricing request]]))</f>
        <v>32751</v>
      </c>
      <c r="AQ47" s="3"/>
      <c r="AR47" s="3">
        <f>WORKDAY(Table2[[#This Row],[Proposal Acceptance Forecast]], 7)</f>
        <v>45828</v>
      </c>
      <c r="AS47" s="103">
        <f ca="1">NETWORKDAYS(Table2[[#This Row],[Firm Pricing request]], TODAY())</f>
        <v>32751</v>
      </c>
      <c r="AT47" s="3"/>
      <c r="AU47" s="3">
        <f>WORKDAY(Table2[[#This Row],[Firm Pricing Request Forecast]], 7)</f>
        <v>45839</v>
      </c>
      <c r="AV47" s="103">
        <f ca="1">NETWORKDAYS(Table2[[#This Row],[Site Walk]], TODAY())</f>
        <v>32751</v>
      </c>
      <c r="AW47" s="3"/>
      <c r="AX47" s="3">
        <f>WORKDAY(Table2[[#This Row],[Site Walk Forecast]], 7)</f>
        <v>45848</v>
      </c>
      <c r="AY47" s="103">
        <f ca="1">NETWORKDAYS(Table2[[#This Row],[Firm Quote Receival]], TODAY())</f>
        <v>32751</v>
      </c>
      <c r="AZ47" s="3"/>
      <c r="BA47" s="3">
        <f>WORKDAY(Table2[[#This Row],[Firm Quote Receival Forecast ]], 7)</f>
        <v>45859</v>
      </c>
      <c r="BB47" s="103">
        <f ca="1">NETWORKDAYS(Table2[[#This Row],[Final Design &amp; BOM(20 calendar days from site walk)]], TODAY())</f>
        <v>32751</v>
      </c>
      <c r="BC47" s="3"/>
      <c r="BD47" s="3">
        <f>WORKDAY(Table2[[#This Row],[Final Design &amp; BOM Forecast ]], 7)</f>
        <v>45868</v>
      </c>
      <c r="BE47" s="103">
        <f ca="1">NETWORKDAYS(Table2[[#This Row],[FM Request 2]], TODAY())</f>
        <v>32751</v>
      </c>
      <c r="BF47" s="3"/>
      <c r="BG47" s="3">
        <f>WORKDAY(Table2[[#This Row],[FM Request 2 Forecast]], 7)</f>
        <v>45877</v>
      </c>
      <c r="BH47" s="103"/>
      <c r="BI47" s="3"/>
      <c r="BJ47" s="3">
        <f>WORKDAY(Table2[[#This Row],[FM Review 2 Forecast]], 7)</f>
        <v>45888</v>
      </c>
      <c r="BK47" s="103">
        <f ca="1">NETWORKDAYS(Table2[[#This Row],[Tax Review]], TODAY())</f>
        <v>32751</v>
      </c>
      <c r="BL47" s="3"/>
      <c r="BM47" s="3">
        <f>WORKDAY(Table2[[#This Row],[Tax Review]], 7)</f>
        <v>10</v>
      </c>
      <c r="BN47" s="103">
        <f ca="1">NETWORKDAYS(Table2[[#This Row],[Tax Approval]], TODAY())</f>
        <v>32751</v>
      </c>
      <c r="BO47" s="3"/>
      <c r="BP47" s="3">
        <f>WORKDAY(Table2[[#This Row],[Tax Approval Forecast]], 7)</f>
        <v>19</v>
      </c>
      <c r="BQ47" s="103">
        <f ca="1">NETWORKDAYS(Table2[[#This Row],[Final proposal submission]], TODAY())</f>
        <v>32751</v>
      </c>
      <c r="BR47" s="3"/>
      <c r="BS47" s="3"/>
      <c r="BT47" s="3">
        <f>WORKDAY(Table2[[#This Row],[Final Proposal Submission Forecast]], 7)</f>
        <v>30</v>
      </c>
      <c r="BU47" s="103">
        <f ca="1">NETWORKDAYS(Table2[[#This Row],[BD submits proposal]], TODAY())</f>
        <v>32751</v>
      </c>
      <c r="BV47" s="3"/>
      <c r="BW47" s="3">
        <f>WORKDAY(Table2[[#This Row],[BD Submits Proposal Forecast]], 7)</f>
        <v>39</v>
      </c>
      <c r="BX47" s="103">
        <f ca="1">NETWORKDAYS(Table2[[#This Row],[Final Proposal Accepted]], TODAY())</f>
        <v>32751</v>
      </c>
      <c r="BY47" s="3"/>
      <c r="BZ47" s="3">
        <f>WORKDAY(Table2[[#This Row],[Final Proposal Accepted]], 90)</f>
        <v>125</v>
      </c>
      <c r="CA47" s="103">
        <f ca="1">NETWORKDAYS(Table2[[#This Row],[Legal Agreement]], TODAY())</f>
        <v>32751</v>
      </c>
      <c r="CB47" s="3"/>
      <c r="CC47" s="3">
        <f>WORKDAY(Table2[[#This Row],[Legal Agreement Forecast]], 10)</f>
        <v>139</v>
      </c>
      <c r="CD47" s="103">
        <f ca="1">NETWORKDAYS(Table2[[#This Row],[Executed Agreement]], TODAY())</f>
        <v>32751</v>
      </c>
      <c r="CE47" t="s">
        <v>91</v>
      </c>
      <c r="CF47" t="s">
        <v>117</v>
      </c>
      <c r="CG47" s="103"/>
      <c r="CH47" s="3">
        <v>45611</v>
      </c>
      <c r="CI47" s="3">
        <f>WORKDAY(Table2[[#This Row],[Executed Agreement]], 7)</f>
        <v>10</v>
      </c>
      <c r="CJ47" s="103">
        <f ca="1">NETWORKDAYS(Table2[[#This Row],[A&amp;E Request]], TODAY())</f>
        <v>172</v>
      </c>
      <c r="CL47" s="3">
        <f>WORKDAY(Table2[[#This Row],[A&amp;E Request Forecast]], 10)</f>
        <v>24</v>
      </c>
      <c r="CM47" s="103">
        <f ca="1">NETWORKDAYS(Table2[[#This Row],[A&amp;E receive]], TODAY())</f>
        <v>32751</v>
      </c>
      <c r="CO47" s="3">
        <f>WORKDAY(Table2[[#This Row],[FM Approval meeting ]], 10)</f>
        <v>13</v>
      </c>
      <c r="CP47" s="103">
        <f ca="1">NETWORKDAYS(Table2[[#This Row],[Budget Request]], TODAY())</f>
        <v>32751</v>
      </c>
      <c r="CR47" s="3">
        <f>WORKDAY(Table2[[#This Row],[Budget Request Forecast]], 7)</f>
        <v>24</v>
      </c>
      <c r="CS47" s="103">
        <f ca="1">NETWORKDAYS(Table2[[#This Row],[Budget Approval]], TODAY())</f>
        <v>32751</v>
      </c>
      <c r="CV47" s="3">
        <f>WORKDAY(Table2[[#This Row],[Budget Approval Forecast ]], 7)</f>
        <v>33</v>
      </c>
      <c r="CW47" s="103">
        <f ca="1">NETWORKDAYS(Table2[[#This Row],[PO Request for OEM ]], TODAY())</f>
        <v>32751</v>
      </c>
      <c r="CY47" s="3">
        <f>WORKDAY(Table2[[#This Row],[PO Request for OEM Forecast]], 10)</f>
        <v>47</v>
      </c>
      <c r="CZ47" s="103">
        <f ca="1">NETWORKDAYS(Table2[[#This Row],[PO Approval]], TODAY())</f>
        <v>32751</v>
      </c>
      <c r="DB47" s="3">
        <f>WORKDAY(Table2[[#This Row],[PO Approval Forecast]], 10)</f>
        <v>61</v>
      </c>
      <c r="DC47" s="103">
        <f ca="1">NETWORKDAYS(Table2[[#This Row],[backhaul ordered]], TODAY())</f>
        <v>32751</v>
      </c>
      <c r="DD47">
        <v>45736</v>
      </c>
      <c r="DE47" s="3">
        <f>WORKDAY(Table2[[#This Row],[Backhaul Order Forecast]], 10)</f>
        <v>75</v>
      </c>
      <c r="DF47" s="103">
        <f ca="1">NETWORKDAYS(Table2[[#This Row],[RTP Request]], TODAY())</f>
        <v>83</v>
      </c>
      <c r="DG47" s="3"/>
      <c r="DH47" s="3">
        <f>WORKDAY(Table2[[#This Row],[RTP Request Forecast]], 10)</f>
        <v>89</v>
      </c>
      <c r="DI47" s="103">
        <f ca="1">NETWORKDAYS(Table2[[#This Row],[RTP Approved]], TODAY())</f>
        <v>32751</v>
      </c>
      <c r="DK47" s="3">
        <f>WORKDAY(Table2[[#This Row],[RTP Approval Forecast ]], 7)</f>
        <v>100</v>
      </c>
      <c r="DL47" s="103">
        <f ca="1">NETWORKDAYS(Table2[[#This Row],[RFP Request]], TODAY())</f>
        <v>32751</v>
      </c>
      <c r="DM47" s="3">
        <v>45744</v>
      </c>
      <c r="DN47" s="3">
        <f>WORKDAY(Table2[[#This Row],[RFP Request Forecast ]], 10)</f>
        <v>114</v>
      </c>
      <c r="DO47" s="103">
        <f ca="1">NETWORKDAYS(Table2[[#This Row],[RFP Received]], TODAY())</f>
        <v>77</v>
      </c>
      <c r="DQ47" s="3">
        <f>WORKDAY(Table2[[#This Row],[RFP Received Forecast ]], 7)</f>
        <v>123</v>
      </c>
      <c r="DR47" s="103">
        <f ca="1">NETWORKDAYS(Table2[[#This Row],[PO for GC Request]], TODAY())</f>
        <v>32751</v>
      </c>
      <c r="DS47" s="3">
        <v>45807</v>
      </c>
      <c r="DT47" s="3">
        <f>WORKDAY(Table2[[#This Row],[PO for GC Request Forecast ]], 7)</f>
        <v>132</v>
      </c>
      <c r="DU47" s="103">
        <f ca="1">NETWORKDAYS(Table2[[#This Row],[PO for GC Approved]], TODAY())</f>
        <v>32</v>
      </c>
      <c r="DW47" s="3">
        <f>WORKDAY(Table2[[#This Row],[PO for GC Approval Forecast ]], 10)</f>
        <v>146</v>
      </c>
      <c r="DX47" s="103">
        <f ca="1">NETWORKDAYS(Table2[[#This Row],[Construction Start]], TODAY())</f>
        <v>32751</v>
      </c>
      <c r="DZ47" s="3">
        <f>WORKDAY(Table2[[#This Row],[Construction Start Forecast ]], 20)</f>
        <v>174</v>
      </c>
      <c r="EA47" s="103">
        <f ca="1">NETWORKDAYS(Table2[[#This Row],[Construction Complete]], TODAY())</f>
        <v>32751</v>
      </c>
      <c r="ED47" s="3">
        <f>WORKDAY(Table2[[#This Row],[Construction Complete Forecast ]], 10)</f>
        <v>188</v>
      </c>
      <c r="EE47" s="103">
        <f ca="1">NETWORKDAYS(Table2[[#This Row],[Integration Start]], TODAY())</f>
        <v>32751</v>
      </c>
      <c r="EF47" s="3"/>
      <c r="EG47" s="3">
        <f>WORKDAY(Table2[[#This Row],[Integration Start Forecast ]], 10)</f>
        <v>202</v>
      </c>
      <c r="EH47" s="103">
        <f ca="1">NETWORKDAYS(Table2[[#This Row],[Integration Complete]], TODAY())</f>
        <v>32751</v>
      </c>
      <c r="EJ47" s="3">
        <f>WORKDAY(Table2[[#This Row],[Integration Complete Forecast ]], 10)</f>
        <v>216</v>
      </c>
      <c r="EK47" s="103">
        <f ca="1">NETWORKDAYS(Table2[[#This Row],[Close Out Package(2weeks from integration complete]], TODAY())</f>
        <v>32751</v>
      </c>
      <c r="EM47" s="3">
        <f>WORKDAY(Table2[[#This Row],[Close Out Package Forecast ]], 10)</f>
        <v>230</v>
      </c>
      <c r="EN47" s="103">
        <f ca="1">NETWORKDAYS(Table2[[#This Row],[Acceptance testing 2 weeks from close out package)]], TODAY())</f>
        <v>32751</v>
      </c>
      <c r="EP47" s="3">
        <f>WORKDAY(Table2[[#This Row],[Acceptance Testing Forecast ]], 20)</f>
        <v>258</v>
      </c>
      <c r="EQ47" s="103">
        <f ca="1">NETWORKDAYS(Table2[[#This Row],[Customer acceptance(1 month after acceptance testing)]], TODAY())</f>
        <v>32751</v>
      </c>
      <c r="ES47" s="3">
        <f>WORKDAY(Table2[[#This Row],[Customer Acceptance Forecast ]], 5)</f>
        <v>265</v>
      </c>
      <c r="ET47" s="103">
        <f ca="1">NETWORKDAYS(Table2[[#This Row],[Operations handoff(1 week after customer acceptance)]], TODAY())</f>
        <v>32751</v>
      </c>
      <c r="EU47" s="3"/>
      <c r="EV47" s="3">
        <f>WORKDAY(Table2[[#This Row],[Operations Handoff Forecast ]], 7)</f>
        <v>276</v>
      </c>
      <c r="EW47" s="103">
        <f ca="1">NETWORKDAYS(Table2[[#This Row],[FNE Date]], TODAY())</f>
        <v>32751</v>
      </c>
      <c r="EX47" s="3"/>
      <c r="EY47" s="3">
        <f>WORKDAY(Table2[[#This Row],[FNE Date Forecast ]], 7)</f>
        <v>285</v>
      </c>
      <c r="EZ47" s="103">
        <f ca="1">NETWORKDAYS(Table2[[#This Row],[FNE Notice]], TODAY())</f>
        <v>32751</v>
      </c>
      <c r="FA47" s="3"/>
      <c r="FB47" s="3"/>
    </row>
    <row r="48" spans="1:158" ht="15" customHeight="1" x14ac:dyDescent="0.25">
      <c r="B48" t="s">
        <v>72</v>
      </c>
      <c r="C48" t="s">
        <v>94</v>
      </c>
      <c r="D48" s="103"/>
      <c r="E48" t="s">
        <v>74</v>
      </c>
      <c r="F48" s="1"/>
      <c r="H48" t="s">
        <v>84</v>
      </c>
      <c r="I48">
        <v>339</v>
      </c>
      <c r="J48" s="3">
        <v>45764</v>
      </c>
      <c r="K48" s="3">
        <f>J48+17</f>
        <v>45781</v>
      </c>
      <c r="L48" s="3">
        <v>45787</v>
      </c>
      <c r="M48" s="2">
        <f>WORKDAY(Table2[[#This Row],[Kickoff date]], 7)</f>
        <v>45790</v>
      </c>
      <c r="N48" s="102">
        <f ca="1">NETWORKDAYS(Table2[[#This Row],[ROM Request]], TODAY())</f>
        <v>46</v>
      </c>
      <c r="O48" s="2">
        <f>L48+11</f>
        <v>45798</v>
      </c>
      <c r="P48" s="2">
        <f>WORKDAY(Table2[[#This Row],[ROM Request]], 10)</f>
        <v>45800</v>
      </c>
      <c r="Q48" s="102">
        <f ca="1">NETWORKDAYS(Table2[[#This Row],[ROM Receive]], TODAY())</f>
        <v>39</v>
      </c>
      <c r="R48" s="2">
        <v>45793</v>
      </c>
      <c r="S48" s="2">
        <f>WORKDAY(Table2[[#This Row],[ROM Receive Forecast]], 15)</f>
        <v>45821</v>
      </c>
      <c r="T48" s="102">
        <f ca="1">NETWORKDAYS(Table2[[#This Row],[Backhaul Cost Request]], TODAY())</f>
        <v>42</v>
      </c>
      <c r="U48" s="2">
        <v>45811</v>
      </c>
      <c r="V48" s="2">
        <f>WORKDAY(Table2[[#This Row],[Backhaul Cost Request Forecast]], 15)</f>
        <v>45842</v>
      </c>
      <c r="W48" s="102">
        <f ca="1">NETWORKDAYS(Table2[[#This Row],[Backhaul Cost Receive]], TODAY())</f>
        <v>30</v>
      </c>
      <c r="X48" s="2">
        <f>Table2[[#This Row],[Kickoff date]]</f>
        <v>45781</v>
      </c>
      <c r="Y48" s="2">
        <f>WORKDAY(Table2[[#This Row],[Backhaul Cost Request Forecast]], 7)</f>
        <v>45832</v>
      </c>
      <c r="Z48" s="102">
        <f ca="1">NETWORKDAYS(Table2[[#This Row],[OSP Request]], TODAY())</f>
        <v>51</v>
      </c>
      <c r="AA48" s="2"/>
      <c r="AB48" s="2">
        <f>WORKDAY(Table2[[#This Row],[OSP Request Forecast]], 10)</f>
        <v>45846</v>
      </c>
      <c r="AC48" s="102">
        <f ca="1">NETWORKDAYS(Table2[[#This Row],[OSP Receive]], TODAY())</f>
        <v>32751</v>
      </c>
      <c r="AD48" s="2">
        <f>Table2[[#This Row],[Kickoff date]]</f>
        <v>45781</v>
      </c>
      <c r="AE48" s="3">
        <f>WORKDAY(Table2[[#This Row],[Kickoff date]], 7)</f>
        <v>45790</v>
      </c>
      <c r="AF48" s="102">
        <f ca="1">NETWORKDAYS(Table2[[#This Row],[FM Request]], TODAY())</f>
        <v>51</v>
      </c>
      <c r="AG48" s="2"/>
      <c r="AH48" s="3">
        <f>WORKDAY(Table2[[#This Row],[FM Request Forecast ]], 2)</f>
        <v>45792</v>
      </c>
      <c r="AI48" s="102">
        <f ca="1">NETWORKDAYS(Table2[[#This Row],[FM receive]], TODAY())</f>
        <v>32751</v>
      </c>
      <c r="AJ48" s="2"/>
      <c r="AK48" s="3">
        <f>WORKDAY(Table2[[#This Row],[FM Receive Forecast ]], 2)</f>
        <v>45796</v>
      </c>
      <c r="AM48" s="3">
        <f>K48+26</f>
        <v>45807</v>
      </c>
      <c r="AN48" s="2"/>
      <c r="AO48" s="3">
        <f>WORKDAY(Table2[[#This Row],[1-pager Submission to BD]], 7)</f>
        <v>45818</v>
      </c>
      <c r="AP48" s="101">
        <f ca="1">IF(ISBLANK(Table2[[#This Row],[Firm Pricing request]]), NETWORKDAYS(Table2[[#This Row],[Proposal Accepted]], TODAY()), NETWORKDAYS(Table2[[#This Row],[Proposal Accepted]], Table2[[#This Row],[Firm Pricing request]]))</f>
        <v>32751</v>
      </c>
      <c r="AQ48" s="2"/>
      <c r="AR48" s="3">
        <f>WORKDAY(Table2[[#This Row],[Proposal Acceptance Forecast]], 7)</f>
        <v>45827</v>
      </c>
      <c r="AS48" s="101">
        <f ca="1">NETWORKDAYS(Table2[[#This Row],[Firm Pricing request]], TODAY())</f>
        <v>32751</v>
      </c>
      <c r="AT48" s="2"/>
      <c r="AU48" s="3">
        <f>WORKDAY(Table2[[#This Row],[Firm Pricing Request Forecast]], 7)</f>
        <v>45838</v>
      </c>
      <c r="AV48" s="101">
        <f ca="1">NETWORKDAYS(Table2[[#This Row],[Site Walk]], TODAY())</f>
        <v>32751</v>
      </c>
      <c r="AW48" s="2"/>
      <c r="AX48" s="3">
        <f>WORKDAY(Table2[[#This Row],[Site Walk Forecast]], 7)</f>
        <v>45847</v>
      </c>
      <c r="AY48" s="101">
        <f ca="1">NETWORKDAYS(Table2[[#This Row],[Firm Quote Receival]], TODAY())</f>
        <v>32751</v>
      </c>
      <c r="AZ48" s="2"/>
      <c r="BA48" s="3">
        <f>WORKDAY(Table2[[#This Row],[Firm Quote Receival Forecast ]], 7)</f>
        <v>45856</v>
      </c>
      <c r="BB48" s="101">
        <f ca="1">NETWORKDAYS(Table2[[#This Row],[Final Design &amp; BOM(20 calendar days from site walk)]], TODAY())</f>
        <v>32751</v>
      </c>
      <c r="BC48" s="2"/>
      <c r="BD48" s="3">
        <f>WORKDAY(Table2[[#This Row],[Final Design &amp; BOM Forecast ]], 7)</f>
        <v>45867</v>
      </c>
      <c r="BE48" s="101">
        <f ca="1">NETWORKDAYS(Table2[[#This Row],[FM Request 2]], TODAY())</f>
        <v>32751</v>
      </c>
      <c r="BF48" s="2"/>
      <c r="BG48" s="3">
        <f>WORKDAY(Table2[[#This Row],[FM Request 2 Forecast]], 7)</f>
        <v>45876</v>
      </c>
      <c r="BH48" s="101"/>
      <c r="BI48" s="2"/>
      <c r="BJ48" s="3">
        <f>WORKDAY(Table2[[#This Row],[FM Review 2 Forecast]], 7)</f>
        <v>45887</v>
      </c>
      <c r="BK48" s="101">
        <f ca="1">NETWORKDAYS(Table2[[#This Row],[Tax Review]], TODAY())</f>
        <v>32751</v>
      </c>
      <c r="BL48" s="2"/>
      <c r="BM48" s="3">
        <f>WORKDAY(Table2[[#This Row],[Tax Review]], 7)</f>
        <v>10</v>
      </c>
      <c r="BN48" s="101">
        <f ca="1">NETWORKDAYS(Table2[[#This Row],[Tax Approval]], TODAY())</f>
        <v>32751</v>
      </c>
      <c r="BO48" s="2"/>
      <c r="BP48" s="3">
        <f>WORKDAY(Table2[[#This Row],[Tax Approval Forecast]], 7)</f>
        <v>19</v>
      </c>
      <c r="BQ48" s="101">
        <f ca="1">NETWORKDAYS(Table2[[#This Row],[Final proposal submission]], TODAY())</f>
        <v>32751</v>
      </c>
      <c r="BR48" s="2"/>
      <c r="BS48" s="2"/>
      <c r="BT48" s="3">
        <f>WORKDAY(Table2[[#This Row],[Final Proposal Submission Forecast]], 7)</f>
        <v>30</v>
      </c>
      <c r="BU48" s="101">
        <f ca="1">NETWORKDAYS(Table2[[#This Row],[BD submits proposal]], TODAY())</f>
        <v>32751</v>
      </c>
      <c r="BV48" s="2">
        <v>45691</v>
      </c>
      <c r="BW48" s="3">
        <f>WORKDAY(Table2[[#This Row],[BD Submits Proposal Forecast]], 7)</f>
        <v>39</v>
      </c>
      <c r="BX48" s="101">
        <f ca="1">NETWORKDAYS(Table2[[#This Row],[Final Proposal Accepted]], TODAY())</f>
        <v>116</v>
      </c>
      <c r="BY48" s="2"/>
      <c r="BZ48" s="3">
        <f>WORKDAY(Table2[[#This Row],[Final Proposal Accepted]], 90)</f>
        <v>45817</v>
      </c>
      <c r="CA48" s="101">
        <f ca="1">NETWORKDAYS(Table2[[#This Row],[Legal Agreement]], TODAY())</f>
        <v>32751</v>
      </c>
      <c r="CB48" s="2"/>
      <c r="CC48" s="3">
        <f>WORKDAY(Table2[[#This Row],[Legal Agreement Forecast]], 10)</f>
        <v>45831</v>
      </c>
      <c r="CD48" s="101">
        <f ca="1">NETWORKDAYS(Table2[[#This Row],[Executed Agreement]], TODAY())</f>
        <v>32751</v>
      </c>
      <c r="CE48" t="s">
        <v>87</v>
      </c>
      <c r="CF48" t="s">
        <v>95</v>
      </c>
      <c r="CG48" s="103"/>
      <c r="CH48" s="3">
        <v>45544</v>
      </c>
      <c r="CI48" s="3">
        <f>WORKDAY(Table2[[#This Row],[Executed Agreement]], 7)</f>
        <v>10</v>
      </c>
      <c r="CJ48" s="101">
        <f ca="1">NETWORKDAYS(Table2[[#This Row],[A&amp;E Request]], TODAY())</f>
        <v>221</v>
      </c>
      <c r="CK48" s="3">
        <v>45670</v>
      </c>
      <c r="CL48" s="3">
        <f>WORKDAY(Table2[[#This Row],[A&amp;E Request Forecast]], 10)</f>
        <v>24</v>
      </c>
      <c r="CM48" s="101">
        <f ca="1">NETWORKDAYS(Table2[[#This Row],[A&amp;E receive]], TODAY())</f>
        <v>131</v>
      </c>
      <c r="CO48" s="3">
        <f>WORKDAY(Table2[[#This Row],[FM Approval meeting ]], 10)</f>
        <v>13</v>
      </c>
      <c r="CP48" s="101">
        <f ca="1">NETWORKDAYS(Table2[[#This Row],[Budget Request]], TODAY())</f>
        <v>32751</v>
      </c>
      <c r="CR48" s="3">
        <f>WORKDAY(Table2[[#This Row],[Budget Request Forecast]], 7)</f>
        <v>24</v>
      </c>
      <c r="CS48" s="101">
        <f ca="1">NETWORKDAYS(Table2[[#This Row],[Budget Approval]], TODAY())</f>
        <v>32751</v>
      </c>
      <c r="CT48">
        <v>45597</v>
      </c>
      <c r="CU48">
        <v>45597</v>
      </c>
      <c r="CV48" s="3">
        <f>WORKDAY(Table2[[#This Row],[Budget Approval Forecast ]], 7)</f>
        <v>33</v>
      </c>
      <c r="CW48" s="101">
        <f ca="1">NETWORKDAYS(Table2[[#This Row],[PO Request for OEM ]], TODAY())</f>
        <v>182</v>
      </c>
      <c r="CX48" s="3">
        <v>45597</v>
      </c>
      <c r="CY48" s="3">
        <f>WORKDAY(Table2[[#This Row],[PO Request for OEM Forecast]], 10)</f>
        <v>47</v>
      </c>
      <c r="CZ48" s="101">
        <f ca="1">NETWORKDAYS(Table2[[#This Row],[PO Approval]], TODAY())</f>
        <v>182</v>
      </c>
      <c r="DB48" s="3">
        <f>WORKDAY(Table2[[#This Row],[PO Approval Forecast]], 10)</f>
        <v>61</v>
      </c>
      <c r="DC48" s="101">
        <f ca="1">NETWORKDAYS(Table2[[#This Row],[backhaul ordered]], TODAY())</f>
        <v>32751</v>
      </c>
      <c r="DD48">
        <v>45576</v>
      </c>
      <c r="DE48" s="3">
        <f>WORKDAY(Table2[[#This Row],[Backhaul Order Forecast]], 10)</f>
        <v>75</v>
      </c>
      <c r="DF48" s="101">
        <f ca="1">NETWORKDAYS(Table2[[#This Row],[RTP Request]], TODAY())</f>
        <v>197</v>
      </c>
      <c r="DG48" s="3">
        <v>45665</v>
      </c>
      <c r="DH48" s="3">
        <f>WORKDAY(Table2[[#This Row],[RTP Request Forecast]], 10)</f>
        <v>89</v>
      </c>
      <c r="DI48" s="101">
        <f ca="1">NETWORKDAYS(Table2[[#This Row],[RTP Approved]], TODAY())</f>
        <v>134</v>
      </c>
      <c r="DK48" s="3">
        <f>WORKDAY(Table2[[#This Row],[RTP Approval Forecast ]], 7)</f>
        <v>100</v>
      </c>
      <c r="DL48" s="101">
        <f ca="1">NETWORKDAYS(Table2[[#This Row],[RFP Request]], TODAY())</f>
        <v>32751</v>
      </c>
      <c r="DN48" s="3">
        <f>WORKDAY(Table2[[#This Row],[RFP Request Forecast ]], 10)</f>
        <v>114</v>
      </c>
      <c r="DO48" s="101">
        <f ca="1">NETWORKDAYS(Table2[[#This Row],[RFP Received]], TODAY())</f>
        <v>32751</v>
      </c>
      <c r="DQ48" s="3">
        <f>WORKDAY(Table2[[#This Row],[RFP Received Forecast ]], 7)</f>
        <v>123</v>
      </c>
      <c r="DR48" s="101">
        <f ca="1">NETWORKDAYS(Table2[[#This Row],[PO for GC Request]], TODAY())</f>
        <v>32751</v>
      </c>
      <c r="DS48" s="3">
        <v>45663</v>
      </c>
      <c r="DT48" s="3">
        <f>WORKDAY(Table2[[#This Row],[PO for GC Request Forecast ]], 7)</f>
        <v>132</v>
      </c>
      <c r="DU48" s="101">
        <f ca="1">NETWORKDAYS(Table2[[#This Row],[PO for GC Approved]], TODAY())</f>
        <v>136</v>
      </c>
      <c r="DV48">
        <v>45670</v>
      </c>
      <c r="DW48" s="3">
        <f>WORKDAY(Table2[[#This Row],[PO for GC Approval Forecast ]], 10)</f>
        <v>146</v>
      </c>
      <c r="DX48" s="101">
        <f ca="1">NETWORKDAYS(Table2[[#This Row],[Construction Start]], TODAY())</f>
        <v>131</v>
      </c>
      <c r="DY48">
        <v>45744</v>
      </c>
      <c r="DZ48" s="3">
        <f>WORKDAY(Table2[[#This Row],[Construction Start Forecast ]], 20)</f>
        <v>174</v>
      </c>
      <c r="EA48" s="101">
        <f ca="1">NETWORKDAYS(Table2[[#This Row],[Construction Complete]], TODAY())</f>
        <v>77</v>
      </c>
      <c r="EC48">
        <v>45744</v>
      </c>
      <c r="ED48" s="3">
        <f>WORKDAY(Table2[[#This Row],[Construction Complete Forecast ]], 10)</f>
        <v>188</v>
      </c>
      <c r="EE48" s="101">
        <f ca="1">NETWORKDAYS(Table2[[#This Row],[Integration Start]], TODAY())</f>
        <v>77</v>
      </c>
      <c r="EF48" s="3">
        <v>45744</v>
      </c>
      <c r="EG48" s="3">
        <f>WORKDAY(Table2[[#This Row],[Integration Start Forecast ]], 10)</f>
        <v>202</v>
      </c>
      <c r="EH48" s="101">
        <f ca="1">NETWORKDAYS(Table2[[#This Row],[Integration Complete]], TODAY())</f>
        <v>77</v>
      </c>
      <c r="EJ48" s="3">
        <f>WORKDAY(Table2[[#This Row],[Integration Complete Forecast ]], 10)</f>
        <v>216</v>
      </c>
      <c r="EK48" s="101">
        <f ca="1">NETWORKDAYS(Table2[[#This Row],[Close Out Package(2weeks from integration complete]], TODAY())</f>
        <v>32751</v>
      </c>
      <c r="EM48" s="3">
        <f>WORKDAY(Table2[[#This Row],[Close Out Package Forecast ]], 10)</f>
        <v>230</v>
      </c>
      <c r="EN48" s="101">
        <f ca="1">NETWORKDAYS(Table2[[#This Row],[Acceptance testing 2 weeks from close out package)]], TODAY())</f>
        <v>32751</v>
      </c>
      <c r="EP48" s="3">
        <f>WORKDAY(Table2[[#This Row],[Acceptance Testing Forecast ]], 20)</f>
        <v>258</v>
      </c>
      <c r="EQ48" s="101">
        <f ca="1">NETWORKDAYS(Table2[[#This Row],[Customer acceptance(1 month after acceptance testing)]], TODAY())</f>
        <v>32751</v>
      </c>
      <c r="ES48" s="3">
        <f>WORKDAY(Table2[[#This Row],[Customer Acceptance Forecast ]], 5)</f>
        <v>265</v>
      </c>
      <c r="ET48" s="101">
        <f ca="1">NETWORKDAYS(Table2[[#This Row],[Operations handoff(1 week after customer acceptance)]], TODAY())</f>
        <v>32751</v>
      </c>
      <c r="EU48" s="2">
        <v>45772</v>
      </c>
      <c r="EV48" s="3">
        <f>WORKDAY(Table2[[#This Row],[Operations Handoff Forecast ]], 7)</f>
        <v>276</v>
      </c>
      <c r="EW48" s="101">
        <f ca="1">NETWORKDAYS(Table2[[#This Row],[FNE Date]], TODAY())</f>
        <v>57</v>
      </c>
      <c r="EX48" s="2"/>
      <c r="EY48" s="3">
        <f>WORKDAY(Table2[[#This Row],[FNE Date Forecast ]], 7)</f>
        <v>285</v>
      </c>
      <c r="EZ48" s="101">
        <f ca="1">NETWORKDAYS(Table2[[#This Row],[FNE Notice]], TODAY())</f>
        <v>32751</v>
      </c>
      <c r="FA48" s="2"/>
      <c r="FB48" s="2"/>
    </row>
    <row r="49" spans="1:158" ht="15" customHeight="1" x14ac:dyDescent="0.25">
      <c r="A49" t="s">
        <v>124</v>
      </c>
      <c r="B49" t="s">
        <v>72</v>
      </c>
      <c r="C49" t="s">
        <v>168</v>
      </c>
      <c r="D49" s="103"/>
      <c r="E49" t="s">
        <v>74</v>
      </c>
      <c r="H49" t="s">
        <v>103</v>
      </c>
      <c r="I49">
        <v>306</v>
      </c>
      <c r="J49" s="3">
        <v>45792</v>
      </c>
      <c r="K49" s="3">
        <f>J49+12</f>
        <v>45804</v>
      </c>
      <c r="L49" s="3">
        <v>45776</v>
      </c>
      <c r="M49" s="3">
        <f>WORKDAY(Table2[[#This Row],[Kickoff date]], 7)</f>
        <v>45813</v>
      </c>
      <c r="N49" s="104">
        <f ca="1">NETWORKDAYS(Table2[[#This Row],[ROM Request]], TODAY())</f>
        <v>55</v>
      </c>
      <c r="O49" s="3">
        <v>45782</v>
      </c>
      <c r="P49" s="3">
        <f>WORKDAY(Table2[[#This Row],[ROM Request]], 10)</f>
        <v>45790</v>
      </c>
      <c r="Q49" s="104">
        <f ca="1">NETWORKDAYS(Table2[[#This Row],[ROM Receive]], TODAY())</f>
        <v>51</v>
      </c>
      <c r="R49" s="3">
        <v>45776</v>
      </c>
      <c r="S49" s="3">
        <f>WORKDAY(Table2[[#This Row],[ROM Receive Forecast]], 15)</f>
        <v>45811</v>
      </c>
      <c r="T49" s="104">
        <f ca="1">NETWORKDAYS(Table2[[#This Row],[Backhaul Cost Request]], TODAY())</f>
        <v>55</v>
      </c>
      <c r="U49" s="3">
        <v>45796</v>
      </c>
      <c r="V49" s="3">
        <f>WORKDAY(Table2[[#This Row],[Backhaul Cost Request Forecast]], 15)</f>
        <v>45832</v>
      </c>
      <c r="W49" s="104">
        <f ca="1">NETWORKDAYS(Table2[[#This Row],[Backhaul Cost Receive]], TODAY())</f>
        <v>41</v>
      </c>
      <c r="X49" s="3">
        <f>Table2[[#This Row],[Kickoff date]]</f>
        <v>45804</v>
      </c>
      <c r="Y49" s="3">
        <f>WORKDAY(Table2[[#This Row],[Backhaul Cost Request Forecast]], 7)</f>
        <v>45820</v>
      </c>
      <c r="Z49" s="104">
        <f ca="1">NETWORKDAYS(Table2[[#This Row],[OSP Request]], TODAY())</f>
        <v>35</v>
      </c>
      <c r="AA49" s="3">
        <v>45791</v>
      </c>
      <c r="AB49" s="3">
        <f>WORKDAY(Table2[[#This Row],[OSP Request Forecast]], 10)</f>
        <v>45834</v>
      </c>
      <c r="AC49" s="104">
        <f ca="1">NETWORKDAYS(Table2[[#This Row],[OSP Receive]], TODAY())</f>
        <v>44</v>
      </c>
      <c r="AD49" s="3">
        <f>Table2[[#This Row],[Kickoff date]]</f>
        <v>45804</v>
      </c>
      <c r="AE49" s="3">
        <f>WORKDAY(Table2[[#This Row],[Kickoff date]], 7)</f>
        <v>45813</v>
      </c>
      <c r="AF49" s="104">
        <f ca="1">NETWORKDAYS(Table2[[#This Row],[FM Request]], TODAY())</f>
        <v>35</v>
      </c>
      <c r="AG49" s="3">
        <v>45800</v>
      </c>
      <c r="AH49" s="3">
        <f>WORKDAY(Table2[[#This Row],[FM Request Forecast ]], 2)</f>
        <v>45817</v>
      </c>
      <c r="AI49" s="104">
        <f ca="1">NETWORKDAYS(Table2[[#This Row],[FM receive]], TODAY())</f>
        <v>37</v>
      </c>
      <c r="AJ49" s="3"/>
      <c r="AK49" s="3">
        <f>WORKDAY(Table2[[#This Row],[FM Receive Forecast ]], 2)</f>
        <v>45819</v>
      </c>
      <c r="AL49" s="79"/>
      <c r="AM49" s="3">
        <f>K49+27</f>
        <v>45831</v>
      </c>
      <c r="AN49" s="3"/>
      <c r="AO49" s="3">
        <f>WORKDAY(Table2[[#This Row],[1-pager Submission to BD]], 7)</f>
        <v>45840</v>
      </c>
      <c r="AP49" s="103">
        <f ca="1">IF(ISBLANK(Table2[[#This Row],[Firm Pricing request]]), NETWORKDAYS(Table2[[#This Row],[Proposal Accepted]], TODAY()), NETWORKDAYS(Table2[[#This Row],[Proposal Accepted]], Table2[[#This Row],[Firm Pricing request]]))</f>
        <v>32751</v>
      </c>
      <c r="AQ49" s="3"/>
      <c r="AR49" s="3">
        <f>WORKDAY(Table2[[#This Row],[Proposal Acceptance Forecast]], 7)</f>
        <v>45849</v>
      </c>
      <c r="AS49" s="103">
        <f ca="1">NETWORKDAYS(Table2[[#This Row],[Firm Pricing request]], TODAY())</f>
        <v>32751</v>
      </c>
      <c r="AT49" s="3"/>
      <c r="AU49" s="3">
        <f>WORKDAY(Table2[[#This Row],[Firm Pricing Request Forecast]], 7)</f>
        <v>45860</v>
      </c>
      <c r="AV49" s="103">
        <f ca="1">NETWORKDAYS(Table2[[#This Row],[Site Walk]], TODAY())</f>
        <v>32751</v>
      </c>
      <c r="AW49" s="3"/>
      <c r="AX49" s="3">
        <f>WORKDAY(Table2[[#This Row],[Site Walk Forecast]], 7)</f>
        <v>45869</v>
      </c>
      <c r="AY49" s="103">
        <f ca="1">NETWORKDAYS(Table2[[#This Row],[Firm Quote Receival]], TODAY())</f>
        <v>32751</v>
      </c>
      <c r="AZ49" s="3"/>
      <c r="BA49" s="3">
        <f>WORKDAY(Table2[[#This Row],[Firm Quote Receival Forecast ]], 7)</f>
        <v>45880</v>
      </c>
      <c r="BB49" s="103">
        <f ca="1">NETWORKDAYS(Table2[[#This Row],[Final Design &amp; BOM(20 calendar days from site walk)]], TODAY())</f>
        <v>32751</v>
      </c>
      <c r="BC49" s="3"/>
      <c r="BD49" s="3">
        <f>WORKDAY(Table2[[#This Row],[Final Design &amp; BOM Forecast ]], 7)</f>
        <v>45889</v>
      </c>
      <c r="BE49" s="103">
        <f ca="1">NETWORKDAYS(Table2[[#This Row],[FM Request 2]], TODAY())</f>
        <v>32751</v>
      </c>
      <c r="BF49" s="3"/>
      <c r="BG49" s="3">
        <f>WORKDAY(Table2[[#This Row],[FM Request 2 Forecast]], 7)</f>
        <v>45898</v>
      </c>
      <c r="BH49" s="103"/>
      <c r="BI49" s="3"/>
      <c r="BJ49" s="3">
        <f>WORKDAY(Table2[[#This Row],[FM Review 2 Forecast]], 7)</f>
        <v>45909</v>
      </c>
      <c r="BK49" s="103">
        <f ca="1">NETWORKDAYS(Table2[[#This Row],[Tax Review]], TODAY())</f>
        <v>32751</v>
      </c>
      <c r="BL49" s="3"/>
      <c r="BM49" s="3">
        <f>WORKDAY(Table2[[#This Row],[Tax Review]], 7)</f>
        <v>10</v>
      </c>
      <c r="BN49" s="103">
        <f ca="1">NETWORKDAYS(Table2[[#This Row],[Tax Approval]], TODAY())</f>
        <v>32751</v>
      </c>
      <c r="BO49" s="3"/>
      <c r="BP49" s="3">
        <f>WORKDAY(Table2[[#This Row],[Tax Approval Forecast]], 7)</f>
        <v>19</v>
      </c>
      <c r="BQ49" s="103">
        <f ca="1">NETWORKDAYS(Table2[[#This Row],[Final proposal submission]], TODAY())</f>
        <v>32751</v>
      </c>
      <c r="BR49" s="3"/>
      <c r="BS49" s="3"/>
      <c r="BT49" s="3">
        <f>WORKDAY(Table2[[#This Row],[Final Proposal Submission Forecast]], 7)</f>
        <v>30</v>
      </c>
      <c r="BU49" s="103">
        <f ca="1">NETWORKDAYS(Table2[[#This Row],[BD submits proposal]], TODAY())</f>
        <v>32751</v>
      </c>
      <c r="BV49" s="3"/>
      <c r="BW49" s="3">
        <f>WORKDAY(Table2[[#This Row],[BD Submits Proposal Forecast]], 7)</f>
        <v>39</v>
      </c>
      <c r="BX49" s="103">
        <f ca="1">NETWORKDAYS(Table2[[#This Row],[Final Proposal Accepted]], TODAY())</f>
        <v>32751</v>
      </c>
      <c r="BY49" s="3"/>
      <c r="BZ49" s="3">
        <f>WORKDAY(Table2[[#This Row],[Final Proposal Accepted]], 90)</f>
        <v>125</v>
      </c>
      <c r="CA49" s="103">
        <f ca="1">NETWORKDAYS(Table2[[#This Row],[Legal Agreement]], TODAY())</f>
        <v>32751</v>
      </c>
      <c r="CB49" s="3"/>
      <c r="CC49" s="3">
        <f>WORKDAY(Table2[[#This Row],[Legal Agreement Forecast]], 10)</f>
        <v>139</v>
      </c>
      <c r="CD49" s="103">
        <f ca="1">NETWORKDAYS(Table2[[#This Row],[Executed Agreement]], TODAY())</f>
        <v>32751</v>
      </c>
      <c r="CE49" t="s">
        <v>76</v>
      </c>
      <c r="CF49" t="s">
        <v>169</v>
      </c>
      <c r="CG49" s="103"/>
      <c r="CH49" s="3"/>
      <c r="CI49" s="3">
        <f>WORKDAY(Table2[[#This Row],[Executed Agreement]], 7)</f>
        <v>10</v>
      </c>
      <c r="CJ49" s="103">
        <f ca="1">NETWORKDAYS(Table2[[#This Row],[A&amp;E Request]], TODAY())</f>
        <v>32751</v>
      </c>
      <c r="CL49" s="3">
        <f>WORKDAY(Table2[[#This Row],[A&amp;E Request Forecast]], 10)</f>
        <v>24</v>
      </c>
      <c r="CM49" s="103">
        <f ca="1">NETWORKDAYS(Table2[[#This Row],[A&amp;E receive]], TODAY())</f>
        <v>32751</v>
      </c>
      <c r="CN49" s="79"/>
      <c r="CO49" s="3">
        <f>WORKDAY(Table2[[#This Row],[FM Approval meeting ]], 10)</f>
        <v>13</v>
      </c>
      <c r="CP49" s="103">
        <f ca="1">NETWORKDAYS(Table2[[#This Row],[Budget Request]], TODAY())</f>
        <v>32751</v>
      </c>
      <c r="CR49" s="3">
        <f>WORKDAY(Table2[[#This Row],[Budget Request Forecast]], 7)</f>
        <v>24</v>
      </c>
      <c r="CS49" s="103">
        <f ca="1">NETWORKDAYS(Table2[[#This Row],[Budget Approval]], TODAY())</f>
        <v>32751</v>
      </c>
      <c r="CT49" s="79"/>
      <c r="CU49" s="79"/>
      <c r="CV49" s="3">
        <f>WORKDAY(Table2[[#This Row],[Budget Approval Forecast ]], 7)</f>
        <v>33</v>
      </c>
      <c r="CW49" s="103">
        <f ca="1">NETWORKDAYS(Table2[[#This Row],[PO Request for OEM ]], TODAY())</f>
        <v>32751</v>
      </c>
      <c r="CY49" s="3">
        <f>WORKDAY(Table2[[#This Row],[PO Request for OEM Forecast]], 10)</f>
        <v>47</v>
      </c>
      <c r="CZ49" s="103">
        <f ca="1">NETWORKDAYS(Table2[[#This Row],[PO Approval]], TODAY())</f>
        <v>32751</v>
      </c>
      <c r="DA49" s="79"/>
      <c r="DB49" s="3">
        <f>WORKDAY(Table2[[#This Row],[PO Approval Forecast]], 10)</f>
        <v>61</v>
      </c>
      <c r="DC49" s="103">
        <f ca="1">NETWORKDAYS(Table2[[#This Row],[backhaul ordered]], TODAY())</f>
        <v>32751</v>
      </c>
      <c r="DD49" s="79"/>
      <c r="DE49" s="3">
        <f>WORKDAY(Table2[[#This Row],[Backhaul Order Forecast]], 10)</f>
        <v>75</v>
      </c>
      <c r="DF49" s="103">
        <f ca="1">NETWORKDAYS(Table2[[#This Row],[RTP Request]], TODAY())</f>
        <v>32751</v>
      </c>
      <c r="DG49" s="3"/>
      <c r="DH49" s="3">
        <f>WORKDAY(Table2[[#This Row],[RTP Request Forecast]], 10)</f>
        <v>89</v>
      </c>
      <c r="DI49" s="103">
        <f ca="1">NETWORKDAYS(Table2[[#This Row],[RTP Approved]], TODAY())</f>
        <v>32751</v>
      </c>
      <c r="DJ49" s="79"/>
      <c r="DK49" s="3">
        <f>WORKDAY(Table2[[#This Row],[RTP Approval Forecast ]], 7)</f>
        <v>100</v>
      </c>
      <c r="DL49" s="103">
        <f ca="1">NETWORKDAYS(Table2[[#This Row],[RFP Request]], TODAY())</f>
        <v>32751</v>
      </c>
      <c r="DN49" s="3">
        <f>WORKDAY(Table2[[#This Row],[RFP Request Forecast ]], 10)</f>
        <v>114</v>
      </c>
      <c r="DO49" s="103">
        <f ca="1">NETWORKDAYS(Table2[[#This Row],[RFP Received]], TODAY())</f>
        <v>32751</v>
      </c>
      <c r="DP49" s="79"/>
      <c r="DQ49" s="3">
        <f>WORKDAY(Table2[[#This Row],[RFP Received Forecast ]], 7)</f>
        <v>123</v>
      </c>
      <c r="DR49" s="103">
        <f ca="1">NETWORKDAYS(Table2[[#This Row],[PO for GC Request]], TODAY())</f>
        <v>32751</v>
      </c>
      <c r="DT49" s="3">
        <f>WORKDAY(Table2[[#This Row],[PO for GC Request Forecast ]], 7)</f>
        <v>132</v>
      </c>
      <c r="DU49" s="103">
        <f ca="1">NETWORKDAYS(Table2[[#This Row],[PO for GC Approved]], TODAY())</f>
        <v>32751</v>
      </c>
      <c r="DV49" s="79"/>
      <c r="DW49" s="3">
        <f>WORKDAY(Table2[[#This Row],[PO for GC Approval Forecast ]], 10)</f>
        <v>146</v>
      </c>
      <c r="DX49" s="103">
        <f ca="1">NETWORKDAYS(Table2[[#This Row],[Construction Start]], TODAY())</f>
        <v>32751</v>
      </c>
      <c r="DY49" s="79"/>
      <c r="DZ49" s="3">
        <f>WORKDAY(Table2[[#This Row],[Construction Start Forecast ]], 20)</f>
        <v>174</v>
      </c>
      <c r="EA49" s="103">
        <f ca="1">NETWORKDAYS(Table2[[#This Row],[Construction Complete]], TODAY())</f>
        <v>32751</v>
      </c>
      <c r="EB49" s="79"/>
      <c r="EC49" s="79"/>
      <c r="ED49" s="3">
        <f>WORKDAY(Table2[[#This Row],[Construction Complete Forecast ]], 10)</f>
        <v>188</v>
      </c>
      <c r="EE49" s="103">
        <f ca="1">NETWORKDAYS(Table2[[#This Row],[Integration Start]], TODAY())</f>
        <v>32751</v>
      </c>
      <c r="EF49" s="3"/>
      <c r="EG49" s="3">
        <f>WORKDAY(Table2[[#This Row],[Integration Start Forecast ]], 10)</f>
        <v>202</v>
      </c>
      <c r="EH49" s="103">
        <f ca="1">NETWORKDAYS(Table2[[#This Row],[Integration Complete]], TODAY())</f>
        <v>32751</v>
      </c>
      <c r="EJ49" s="3">
        <f>WORKDAY(Table2[[#This Row],[Integration Complete Forecast ]], 10)</f>
        <v>216</v>
      </c>
      <c r="EK49" s="103">
        <f ca="1">NETWORKDAYS(Table2[[#This Row],[Close Out Package(2weeks from integration complete]], TODAY())</f>
        <v>32751</v>
      </c>
      <c r="EM49" s="3">
        <f>WORKDAY(Table2[[#This Row],[Close Out Package Forecast ]], 10)</f>
        <v>230</v>
      </c>
      <c r="EN49" s="103">
        <f ca="1">NETWORKDAYS(Table2[[#This Row],[Acceptance testing 2 weeks from close out package)]], TODAY())</f>
        <v>32751</v>
      </c>
      <c r="EP49" s="3">
        <f>WORKDAY(Table2[[#This Row],[Acceptance Testing Forecast ]], 20)</f>
        <v>258</v>
      </c>
      <c r="EQ49" s="103">
        <f ca="1">NETWORKDAYS(Table2[[#This Row],[Customer acceptance(1 month after acceptance testing)]], TODAY())</f>
        <v>32751</v>
      </c>
      <c r="ES49" s="3">
        <f>WORKDAY(Table2[[#This Row],[Customer Acceptance Forecast ]], 5)</f>
        <v>265</v>
      </c>
      <c r="ET49" s="103">
        <f ca="1">NETWORKDAYS(Table2[[#This Row],[Operations handoff(1 week after customer acceptance)]], TODAY())</f>
        <v>32751</v>
      </c>
      <c r="EU49" s="3" t="s">
        <v>93</v>
      </c>
      <c r="EV49" s="3">
        <f>WORKDAY(Table2[[#This Row],[Operations Handoff Forecast ]], 7)</f>
        <v>276</v>
      </c>
      <c r="EW49" s="103" t="e">
        <f ca="1">NETWORKDAYS(Table2[[#This Row],[FNE Date]], TODAY())</f>
        <v>#VALUE!</v>
      </c>
      <c r="EX49" s="3"/>
      <c r="EY49" s="3">
        <f>WORKDAY(Table2[[#This Row],[FNE Date Forecast ]], 7)</f>
        <v>285</v>
      </c>
      <c r="EZ49" s="103">
        <f ca="1">NETWORKDAYS(Table2[[#This Row],[FNE Notice]], TODAY())</f>
        <v>32751</v>
      </c>
      <c r="FA49" s="3"/>
      <c r="FB49" s="3"/>
    </row>
    <row r="50" spans="1:158" ht="15" customHeight="1" x14ac:dyDescent="0.25">
      <c r="D50" s="103"/>
      <c r="M50" s="3">
        <f>WORKDAY(Table2[[#This Row],[Kickoff date]], 7)</f>
        <v>10</v>
      </c>
      <c r="N50" s="104">
        <f ca="1">NETWORKDAYS(Table2[[#This Row],[ROM Request]], TODAY())</f>
        <v>32751</v>
      </c>
      <c r="P50" s="3">
        <f>WORKDAY(Table2[[#This Row],[ROM Request]], 10)</f>
        <v>13</v>
      </c>
      <c r="Q50" s="104">
        <f ca="1">NETWORKDAYS(Table2[[#This Row],[ROM Receive]], TODAY())</f>
        <v>32751</v>
      </c>
      <c r="S50" s="3">
        <f>WORKDAY(Table2[[#This Row],[ROM Receive Forecast]], 15)</f>
        <v>34</v>
      </c>
      <c r="T50" s="104">
        <f ca="1">NETWORKDAYS(Table2[[#This Row],[Backhaul Cost Request]], TODAY())</f>
        <v>32751</v>
      </c>
      <c r="V50" s="3">
        <f>WORKDAY(Table2[[#This Row],[Backhaul Cost Request Forecast]], 15)</f>
        <v>55</v>
      </c>
      <c r="W50" s="104">
        <f ca="1">NETWORKDAYS(Table2[[#This Row],[Backhaul Cost Receive]], TODAY())</f>
        <v>32751</v>
      </c>
      <c r="X50">
        <f>Table2[[#This Row],[Kickoff date]]</f>
        <v>0</v>
      </c>
      <c r="Y50" s="3">
        <f>WORKDAY(Table2[[#This Row],[Backhaul Cost Request Forecast]], 7)</f>
        <v>45</v>
      </c>
      <c r="Z50" s="104">
        <f ca="1">NETWORKDAYS(Table2[[#This Row],[OSP Request]], TODAY())</f>
        <v>32751</v>
      </c>
      <c r="AB50" s="3">
        <f>WORKDAY(Table2[[#This Row],[OSP Request Forecast]], 10)</f>
        <v>59</v>
      </c>
      <c r="AC50" s="104">
        <f ca="1">NETWORKDAYS(Table2[[#This Row],[OSP Receive]], TODAY())</f>
        <v>32751</v>
      </c>
      <c r="AD50">
        <f>Table2[[#This Row],[Kickoff date]]</f>
        <v>0</v>
      </c>
      <c r="AE50" s="3">
        <f>WORKDAY(Table2[[#This Row],[Kickoff date]], 7)</f>
        <v>10</v>
      </c>
      <c r="AF50" s="104">
        <f ca="1">NETWORKDAYS(Table2[[#This Row],[FM Request]], TODAY())</f>
        <v>32751</v>
      </c>
      <c r="AH50" s="3">
        <f>WORKDAY(Table2[[#This Row],[FM Request Forecast ]], 2)</f>
        <v>12</v>
      </c>
      <c r="AI50" s="104">
        <f ca="1">NETWORKDAYS(Table2[[#This Row],[FM receive]], TODAY())</f>
        <v>32751</v>
      </c>
      <c r="AK50" s="3">
        <f>WORKDAY(Table2[[#This Row],[FM Receive Forecast ]], 2)</f>
        <v>16</v>
      </c>
      <c r="AO50" s="3">
        <f>WORKDAY(Table2[[#This Row],[1-pager Submission to BD]], 7)</f>
        <v>10</v>
      </c>
      <c r="AP50" s="103">
        <f ca="1">IF(ISBLANK(Table2[[#This Row],[Firm Pricing request]]), NETWORKDAYS(Table2[[#This Row],[Proposal Accepted]], TODAY()), NETWORKDAYS(Table2[[#This Row],[Proposal Accepted]], Table2[[#This Row],[Firm Pricing request]]))</f>
        <v>32751</v>
      </c>
      <c r="AR50" s="3">
        <f>WORKDAY(Table2[[#This Row],[Proposal Acceptance Forecast]], 7)</f>
        <v>19</v>
      </c>
      <c r="AS50" s="103">
        <f ca="1">NETWORKDAYS(Table2[[#This Row],[Firm Pricing request]], TODAY())</f>
        <v>32751</v>
      </c>
      <c r="AU50" s="3">
        <f>WORKDAY(Table2[[#This Row],[Firm Pricing Request Forecast]], 7)</f>
        <v>30</v>
      </c>
      <c r="AV50" s="103">
        <f ca="1">NETWORKDAYS(Table2[[#This Row],[Site Walk]], TODAY())</f>
        <v>32751</v>
      </c>
      <c r="AX50" s="3">
        <f>WORKDAY(Table2[[#This Row],[Site Walk Forecast]], 7)</f>
        <v>39</v>
      </c>
      <c r="AY50" s="103">
        <f ca="1">NETWORKDAYS(Table2[[#This Row],[Firm Quote Receival]], TODAY())</f>
        <v>32751</v>
      </c>
      <c r="BA50" s="3">
        <f>WORKDAY(Table2[[#This Row],[Firm Quote Receival Forecast ]], 7)</f>
        <v>48</v>
      </c>
      <c r="BB50" s="103">
        <f ca="1">NETWORKDAYS(Table2[[#This Row],[Final Design &amp; BOM(20 calendar days from site walk)]], TODAY())</f>
        <v>32751</v>
      </c>
      <c r="BD50" s="3">
        <f>WORKDAY(Table2[[#This Row],[Final Design &amp; BOM Forecast ]], 7)</f>
        <v>59</v>
      </c>
      <c r="BE50" s="103">
        <f ca="1">NETWORKDAYS(Table2[[#This Row],[FM Request 2]], TODAY())</f>
        <v>32751</v>
      </c>
      <c r="BG50" s="3">
        <f>WORKDAY(Table2[[#This Row],[FM Request 2 Forecast]], 7)</f>
        <v>68</v>
      </c>
      <c r="BH50" s="103"/>
      <c r="BJ50" s="3">
        <f>WORKDAY(Table2[[#This Row],[FM Review 2 Forecast]], 7)</f>
        <v>79</v>
      </c>
      <c r="BK50" s="103">
        <f ca="1">NETWORKDAYS(Table2[[#This Row],[Tax Review]], TODAY())</f>
        <v>32751</v>
      </c>
      <c r="BM50" s="3">
        <f>WORKDAY(Table2[[#This Row],[Tax Review]], 7)</f>
        <v>10</v>
      </c>
      <c r="BN50" s="103">
        <f ca="1">NETWORKDAYS(Table2[[#This Row],[Tax Approval]], TODAY())</f>
        <v>32751</v>
      </c>
      <c r="BP50" s="3">
        <f>WORKDAY(Table2[[#This Row],[Tax Approval Forecast]], 7)</f>
        <v>19</v>
      </c>
      <c r="BQ50" s="103">
        <f ca="1">NETWORKDAYS(Table2[[#This Row],[Final proposal submission]], TODAY())</f>
        <v>32751</v>
      </c>
      <c r="BT50" s="3">
        <f>WORKDAY(Table2[[#This Row],[Final Proposal Submission Forecast]], 7)</f>
        <v>30</v>
      </c>
      <c r="BU50" s="103">
        <f ca="1">NETWORKDAYS(Table2[[#This Row],[BD submits proposal]], TODAY())</f>
        <v>32751</v>
      </c>
      <c r="BW50" s="3">
        <f>WORKDAY(Table2[[#This Row],[BD Submits Proposal Forecast]], 7)</f>
        <v>39</v>
      </c>
      <c r="BX50" s="103">
        <f ca="1">NETWORKDAYS(Table2[[#This Row],[Final Proposal Accepted]], TODAY())</f>
        <v>32751</v>
      </c>
      <c r="BZ50" s="3">
        <f>WORKDAY(Table2[[#This Row],[Final Proposal Accepted]], 90)</f>
        <v>125</v>
      </c>
      <c r="CA50" s="103">
        <f ca="1">NETWORKDAYS(Table2[[#This Row],[Legal Agreement]], TODAY())</f>
        <v>32751</v>
      </c>
      <c r="CC50" s="3">
        <f>WORKDAY(Table2[[#This Row],[Legal Agreement Forecast]], 10)</f>
        <v>139</v>
      </c>
      <c r="CD50" s="103">
        <f ca="1">NETWORKDAYS(Table2[[#This Row],[Executed Agreement]], TODAY())</f>
        <v>32751</v>
      </c>
      <c r="CE50" t="s">
        <v>91</v>
      </c>
      <c r="CF50" t="s">
        <v>197</v>
      </c>
      <c r="CG50" s="103"/>
      <c r="CH50" s="3">
        <v>45712</v>
      </c>
      <c r="CI50" s="3">
        <f>WORKDAY(Table2[[#This Row],[Executed Agreement]], 7)</f>
        <v>10</v>
      </c>
      <c r="CJ50" s="103">
        <f ca="1">NETWORKDAYS(Table2[[#This Row],[A&amp;E Request]], TODAY())</f>
        <v>101</v>
      </c>
      <c r="CL50" s="3">
        <f>WORKDAY(Table2[[#This Row],[A&amp;E Request Forecast]], 10)</f>
        <v>24</v>
      </c>
      <c r="CM50" s="103">
        <f ca="1">NETWORKDAYS(Table2[[#This Row],[A&amp;E receive]], TODAY())</f>
        <v>32751</v>
      </c>
      <c r="CO50" s="3">
        <f>WORKDAY(Table2[[#This Row],[FM Approval meeting ]], 10)</f>
        <v>13</v>
      </c>
      <c r="CP50" s="103">
        <f ca="1">NETWORKDAYS(Table2[[#This Row],[Budget Request]], TODAY())</f>
        <v>32751</v>
      </c>
      <c r="CR50" s="3">
        <f>WORKDAY(Table2[[#This Row],[Budget Request Forecast]], 7)</f>
        <v>24</v>
      </c>
      <c r="CS50" s="103">
        <f ca="1">NETWORKDAYS(Table2[[#This Row],[Budget Approval]], TODAY())</f>
        <v>32751</v>
      </c>
      <c r="CV50" s="3">
        <f>WORKDAY(Table2[[#This Row],[Budget Approval Forecast ]], 7)</f>
        <v>33</v>
      </c>
      <c r="CW50" s="103">
        <f ca="1">NETWORKDAYS(Table2[[#This Row],[PO Request for OEM ]], TODAY())</f>
        <v>32751</v>
      </c>
      <c r="CY50" s="3">
        <f>WORKDAY(Table2[[#This Row],[PO Request for OEM Forecast]], 10)</f>
        <v>47</v>
      </c>
      <c r="CZ50" s="103">
        <f ca="1">NETWORKDAYS(Table2[[#This Row],[PO Approval]], TODAY())</f>
        <v>32751</v>
      </c>
      <c r="DB50" s="3">
        <f>WORKDAY(Table2[[#This Row],[PO Approval Forecast]], 10)</f>
        <v>61</v>
      </c>
      <c r="DC50" s="103">
        <f ca="1">NETWORKDAYS(Table2[[#This Row],[backhaul ordered]], TODAY())</f>
        <v>32751</v>
      </c>
      <c r="DD50">
        <v>45659</v>
      </c>
      <c r="DE50" s="3">
        <f>WORKDAY(Table2[[#This Row],[Backhaul Order Forecast]], 10)</f>
        <v>75</v>
      </c>
      <c r="DF50" s="103">
        <f ca="1">NETWORKDAYS(Table2[[#This Row],[RTP Request]], TODAY())</f>
        <v>138</v>
      </c>
      <c r="DG50" s="3"/>
      <c r="DH50" s="3">
        <f>WORKDAY(Table2[[#This Row],[RTP Request Forecast]], 10)</f>
        <v>89</v>
      </c>
      <c r="DI50" s="103">
        <f ca="1">NETWORKDAYS(Table2[[#This Row],[RTP Approved]], TODAY())</f>
        <v>32751</v>
      </c>
      <c r="DK50" s="3">
        <f>WORKDAY(Table2[[#This Row],[RTP Approval Forecast ]], 7)</f>
        <v>100</v>
      </c>
      <c r="DL50" s="103">
        <f ca="1">NETWORKDAYS(Table2[[#This Row],[RFP Request]], TODAY())</f>
        <v>32751</v>
      </c>
      <c r="DN50" s="3">
        <f>WORKDAY(Table2[[#This Row],[RFP Request Forecast ]], 10)</f>
        <v>114</v>
      </c>
      <c r="DO50" s="103">
        <f ca="1">NETWORKDAYS(Table2[[#This Row],[RFP Received]], TODAY())</f>
        <v>32751</v>
      </c>
      <c r="DQ50" s="3">
        <f>WORKDAY(Table2[[#This Row],[RFP Received Forecast ]], 7)</f>
        <v>123</v>
      </c>
      <c r="DR50" s="103">
        <f ca="1">NETWORKDAYS(Table2[[#This Row],[PO for GC Request]], TODAY())</f>
        <v>32751</v>
      </c>
      <c r="DT50" s="3">
        <f>WORKDAY(Table2[[#This Row],[PO for GC Request Forecast ]], 7)</f>
        <v>132</v>
      </c>
      <c r="DU50" s="103">
        <f ca="1">NETWORKDAYS(Table2[[#This Row],[PO for GC Approved]], TODAY())</f>
        <v>32751</v>
      </c>
      <c r="DW50" s="3">
        <f>WORKDAY(Table2[[#This Row],[PO for GC Approval Forecast ]], 10)</f>
        <v>146</v>
      </c>
      <c r="DX50" s="103">
        <f ca="1">NETWORKDAYS(Table2[[#This Row],[Construction Start]], TODAY())</f>
        <v>32751</v>
      </c>
      <c r="DZ50" s="3">
        <f>WORKDAY(Table2[[#This Row],[Construction Start Forecast ]], 20)</f>
        <v>174</v>
      </c>
      <c r="EA50" s="103">
        <f ca="1">NETWORKDAYS(Table2[[#This Row],[Construction Complete]], TODAY())</f>
        <v>32751</v>
      </c>
      <c r="ED50" s="3">
        <f>WORKDAY(Table2[[#This Row],[Construction Complete Forecast ]], 10)</f>
        <v>188</v>
      </c>
      <c r="EE50" s="103">
        <f ca="1">NETWORKDAYS(Table2[[#This Row],[Integration Start]], TODAY())</f>
        <v>32751</v>
      </c>
      <c r="EF50" s="3"/>
      <c r="EG50" s="3">
        <f>WORKDAY(Table2[[#This Row],[Integration Start Forecast ]], 10)</f>
        <v>202</v>
      </c>
      <c r="EH50" s="103">
        <f ca="1">NETWORKDAYS(Table2[[#This Row],[Integration Complete]], TODAY())</f>
        <v>32751</v>
      </c>
      <c r="EJ50" s="3">
        <f>WORKDAY(Table2[[#This Row],[Integration Complete Forecast ]], 10)</f>
        <v>216</v>
      </c>
      <c r="EK50" s="103">
        <f ca="1">NETWORKDAYS(Table2[[#This Row],[Close Out Package(2weeks from integration complete]], TODAY())</f>
        <v>32751</v>
      </c>
      <c r="EM50" s="3">
        <f>WORKDAY(Table2[[#This Row],[Close Out Package Forecast ]], 10)</f>
        <v>230</v>
      </c>
      <c r="EN50" s="103">
        <f ca="1">NETWORKDAYS(Table2[[#This Row],[Acceptance testing 2 weeks from close out package)]], TODAY())</f>
        <v>32751</v>
      </c>
      <c r="EP50" s="3">
        <f>WORKDAY(Table2[[#This Row],[Acceptance Testing Forecast ]], 20)</f>
        <v>258</v>
      </c>
      <c r="EQ50" s="103">
        <f ca="1">NETWORKDAYS(Table2[[#This Row],[Customer acceptance(1 month after acceptance testing)]], TODAY())</f>
        <v>32751</v>
      </c>
      <c r="ES50" s="3">
        <f>WORKDAY(Table2[[#This Row],[Customer Acceptance Forecast ]], 5)</f>
        <v>265</v>
      </c>
      <c r="ET50" s="103">
        <f ca="1">NETWORKDAYS(Table2[[#This Row],[Operations handoff(1 week after customer acceptance)]], TODAY())</f>
        <v>32751</v>
      </c>
      <c r="EV50" s="3">
        <f>WORKDAY(Table2[[#This Row],[Operations Handoff Forecast ]], 7)</f>
        <v>276</v>
      </c>
      <c r="EW50" s="103">
        <f ca="1">NETWORKDAYS(Table2[[#This Row],[FNE Date]], TODAY())</f>
        <v>32751</v>
      </c>
      <c r="EY50" s="3">
        <f>WORKDAY(Table2[[#This Row],[FNE Date Forecast ]], 7)</f>
        <v>285</v>
      </c>
      <c r="EZ50" s="103">
        <f ca="1">NETWORKDAYS(Table2[[#This Row],[FNE Notice]], TODAY())</f>
        <v>32751</v>
      </c>
    </row>
    <row r="51" spans="1:158" ht="15" customHeight="1" x14ac:dyDescent="0.25">
      <c r="D51" s="103"/>
      <c r="M51" s="3">
        <f>WORKDAY(Table2[[#This Row],[Kickoff date]], 7)</f>
        <v>10</v>
      </c>
      <c r="N51" s="104">
        <f ca="1">NETWORKDAYS(Table2[[#This Row],[ROM Request]], TODAY())</f>
        <v>32751</v>
      </c>
      <c r="P51" s="3">
        <f>WORKDAY(Table2[[#This Row],[ROM Request]], 10)</f>
        <v>13</v>
      </c>
      <c r="Q51" s="104">
        <f ca="1">NETWORKDAYS(Table2[[#This Row],[ROM Receive]], TODAY())</f>
        <v>32751</v>
      </c>
      <c r="S51" s="3">
        <f>WORKDAY(Table2[[#This Row],[ROM Receive Forecast]], 15)</f>
        <v>34</v>
      </c>
      <c r="T51" s="104">
        <f ca="1">NETWORKDAYS(Table2[[#This Row],[Backhaul Cost Request]], TODAY())</f>
        <v>32751</v>
      </c>
      <c r="V51" s="3">
        <f>WORKDAY(Table2[[#This Row],[Backhaul Cost Request Forecast]], 15)</f>
        <v>55</v>
      </c>
      <c r="W51" s="104">
        <f ca="1">NETWORKDAYS(Table2[[#This Row],[Backhaul Cost Receive]], TODAY())</f>
        <v>32751</v>
      </c>
      <c r="X51">
        <f>Table2[[#This Row],[Kickoff date]]</f>
        <v>0</v>
      </c>
      <c r="Y51" s="3">
        <f>WORKDAY(Table2[[#This Row],[Backhaul Cost Request Forecast]], 7)</f>
        <v>45</v>
      </c>
      <c r="Z51" s="104">
        <f ca="1">NETWORKDAYS(Table2[[#This Row],[OSP Request]], TODAY())</f>
        <v>32751</v>
      </c>
      <c r="AB51" s="3">
        <f>WORKDAY(Table2[[#This Row],[OSP Request Forecast]], 10)</f>
        <v>59</v>
      </c>
      <c r="AC51" s="104">
        <f ca="1">NETWORKDAYS(Table2[[#This Row],[OSP Receive]], TODAY())</f>
        <v>32751</v>
      </c>
      <c r="AD51">
        <f>Table2[[#This Row],[Kickoff date]]</f>
        <v>0</v>
      </c>
      <c r="AE51" s="3">
        <f>WORKDAY(Table2[[#This Row],[Kickoff date]], 7)</f>
        <v>10</v>
      </c>
      <c r="AF51" s="104">
        <f ca="1">NETWORKDAYS(Table2[[#This Row],[FM Request]], TODAY())</f>
        <v>32751</v>
      </c>
      <c r="AH51" s="3">
        <f>WORKDAY(Table2[[#This Row],[FM Request Forecast ]], 2)</f>
        <v>12</v>
      </c>
      <c r="AI51" s="104">
        <f ca="1">NETWORKDAYS(Table2[[#This Row],[FM receive]], TODAY())</f>
        <v>32751</v>
      </c>
      <c r="AK51" s="3">
        <f>WORKDAY(Table2[[#This Row],[FM Receive Forecast ]], 2)</f>
        <v>16</v>
      </c>
      <c r="AO51" s="3">
        <f>WORKDAY(Table2[[#This Row],[1-pager Submission to BD]], 7)</f>
        <v>10</v>
      </c>
      <c r="AP51" s="103">
        <f ca="1">IF(ISBLANK(Table2[[#This Row],[Firm Pricing request]]), NETWORKDAYS(Table2[[#This Row],[Proposal Accepted]], TODAY()), NETWORKDAYS(Table2[[#This Row],[Proposal Accepted]], Table2[[#This Row],[Firm Pricing request]]))</f>
        <v>32751</v>
      </c>
      <c r="AR51" s="3">
        <f>WORKDAY(Table2[[#This Row],[Proposal Acceptance Forecast]], 7)</f>
        <v>19</v>
      </c>
      <c r="AS51" s="103">
        <f ca="1">NETWORKDAYS(Table2[[#This Row],[Firm Pricing request]], TODAY())</f>
        <v>32751</v>
      </c>
      <c r="AU51" s="3">
        <f>WORKDAY(Table2[[#This Row],[Firm Pricing Request Forecast]], 7)</f>
        <v>30</v>
      </c>
      <c r="AV51" s="103">
        <f ca="1">NETWORKDAYS(Table2[[#This Row],[Site Walk]], TODAY())</f>
        <v>32751</v>
      </c>
      <c r="AX51" s="3">
        <f>WORKDAY(Table2[[#This Row],[Site Walk Forecast]], 7)</f>
        <v>39</v>
      </c>
      <c r="AY51" s="103">
        <f ca="1">NETWORKDAYS(Table2[[#This Row],[Firm Quote Receival]], TODAY())</f>
        <v>32751</v>
      </c>
      <c r="BA51" s="3">
        <f>WORKDAY(Table2[[#This Row],[Firm Quote Receival Forecast ]], 7)</f>
        <v>48</v>
      </c>
      <c r="BB51" s="103">
        <f ca="1">NETWORKDAYS(Table2[[#This Row],[Final Design &amp; BOM(20 calendar days from site walk)]], TODAY())</f>
        <v>32751</v>
      </c>
      <c r="BD51" s="3">
        <f>WORKDAY(Table2[[#This Row],[Final Design &amp; BOM Forecast ]], 7)</f>
        <v>59</v>
      </c>
      <c r="BE51" s="103">
        <f ca="1">NETWORKDAYS(Table2[[#This Row],[FM Request 2]], TODAY())</f>
        <v>32751</v>
      </c>
      <c r="BG51" s="3">
        <f>WORKDAY(Table2[[#This Row],[FM Request 2 Forecast]], 7)</f>
        <v>68</v>
      </c>
      <c r="BH51" s="103"/>
      <c r="BJ51" s="3">
        <f>WORKDAY(Table2[[#This Row],[FM Review 2 Forecast]], 7)</f>
        <v>79</v>
      </c>
      <c r="BK51" s="103">
        <f ca="1">NETWORKDAYS(Table2[[#This Row],[Tax Review]], TODAY())</f>
        <v>32751</v>
      </c>
      <c r="BM51" s="3">
        <f>WORKDAY(Table2[[#This Row],[Tax Review]], 7)</f>
        <v>10</v>
      </c>
      <c r="BN51" s="103">
        <f ca="1">NETWORKDAYS(Table2[[#This Row],[Tax Approval]], TODAY())</f>
        <v>32751</v>
      </c>
      <c r="BP51" s="3">
        <f>WORKDAY(Table2[[#This Row],[Tax Approval Forecast]], 7)</f>
        <v>19</v>
      </c>
      <c r="BQ51" s="103">
        <f ca="1">NETWORKDAYS(Table2[[#This Row],[Final proposal submission]], TODAY())</f>
        <v>32751</v>
      </c>
      <c r="BT51" s="3">
        <f>WORKDAY(Table2[[#This Row],[Final Proposal Submission Forecast]], 7)</f>
        <v>30</v>
      </c>
      <c r="BU51" s="103">
        <f ca="1">NETWORKDAYS(Table2[[#This Row],[BD submits proposal]], TODAY())</f>
        <v>32751</v>
      </c>
      <c r="BW51" s="3">
        <f>WORKDAY(Table2[[#This Row],[BD Submits Proposal Forecast]], 7)</f>
        <v>39</v>
      </c>
      <c r="BX51" s="103">
        <f ca="1">NETWORKDAYS(Table2[[#This Row],[Final Proposal Accepted]], TODAY())</f>
        <v>32751</v>
      </c>
      <c r="BZ51" s="3">
        <f>WORKDAY(Table2[[#This Row],[Final Proposal Accepted]], 90)</f>
        <v>125</v>
      </c>
      <c r="CA51" s="103">
        <f ca="1">NETWORKDAYS(Table2[[#This Row],[Legal Agreement]], TODAY())</f>
        <v>32751</v>
      </c>
      <c r="CC51" s="3">
        <f>WORKDAY(Table2[[#This Row],[Legal Agreement Forecast]], 10)</f>
        <v>139</v>
      </c>
      <c r="CD51" s="103">
        <f ca="1">NETWORKDAYS(Table2[[#This Row],[Executed Agreement]], TODAY())</f>
        <v>32751</v>
      </c>
      <c r="CF51" t="s">
        <v>198</v>
      </c>
      <c r="CG51" s="103"/>
      <c r="CH51" s="3"/>
      <c r="CI51" s="3">
        <f>WORKDAY(Table2[[#This Row],[Executed Agreement]], 7)</f>
        <v>10</v>
      </c>
      <c r="CJ51" s="103">
        <f ca="1">NETWORKDAYS(Table2[[#This Row],[A&amp;E Request]], TODAY())</f>
        <v>32751</v>
      </c>
      <c r="CL51" s="3">
        <f>WORKDAY(Table2[[#This Row],[A&amp;E Request Forecast]], 10)</f>
        <v>24</v>
      </c>
      <c r="CM51" s="103">
        <f ca="1">NETWORKDAYS(Table2[[#This Row],[A&amp;E receive]], TODAY())</f>
        <v>32751</v>
      </c>
      <c r="CO51" s="3">
        <f>WORKDAY(Table2[[#This Row],[FM Approval meeting ]], 10)</f>
        <v>13</v>
      </c>
      <c r="CP51" s="103">
        <f ca="1">NETWORKDAYS(Table2[[#This Row],[Budget Request]], TODAY())</f>
        <v>32751</v>
      </c>
      <c r="CR51" s="3">
        <f>WORKDAY(Table2[[#This Row],[Budget Request Forecast]], 7)</f>
        <v>24</v>
      </c>
      <c r="CS51" s="103">
        <f ca="1">NETWORKDAYS(Table2[[#This Row],[Budget Approval]], TODAY())</f>
        <v>32751</v>
      </c>
      <c r="CV51" s="3">
        <f>WORKDAY(Table2[[#This Row],[Budget Approval Forecast ]], 7)</f>
        <v>33</v>
      </c>
      <c r="CW51" s="103">
        <f ca="1">NETWORKDAYS(Table2[[#This Row],[PO Request for OEM ]], TODAY())</f>
        <v>32751</v>
      </c>
      <c r="CY51" s="3">
        <f>WORKDAY(Table2[[#This Row],[PO Request for OEM Forecast]], 10)</f>
        <v>47</v>
      </c>
      <c r="CZ51" s="103">
        <f ca="1">NETWORKDAYS(Table2[[#This Row],[PO Approval]], TODAY())</f>
        <v>32751</v>
      </c>
      <c r="DB51" s="3">
        <f>WORKDAY(Table2[[#This Row],[PO Approval Forecast]], 10)</f>
        <v>61</v>
      </c>
      <c r="DC51" s="103">
        <f ca="1">NETWORKDAYS(Table2[[#This Row],[backhaul ordered]], TODAY())</f>
        <v>32751</v>
      </c>
      <c r="DE51" s="3">
        <f>WORKDAY(Table2[[#This Row],[Backhaul Order Forecast]], 10)</f>
        <v>75</v>
      </c>
      <c r="DF51" s="103">
        <f ca="1">NETWORKDAYS(Table2[[#This Row],[RTP Request]], TODAY())</f>
        <v>32751</v>
      </c>
      <c r="DG51" s="3"/>
      <c r="DH51" s="3">
        <f>WORKDAY(Table2[[#This Row],[RTP Request Forecast]], 10)</f>
        <v>89</v>
      </c>
      <c r="DI51" s="103">
        <f ca="1">NETWORKDAYS(Table2[[#This Row],[RTP Approved]], TODAY())</f>
        <v>32751</v>
      </c>
      <c r="DK51" s="3">
        <f>WORKDAY(Table2[[#This Row],[RTP Approval Forecast ]], 7)</f>
        <v>100</v>
      </c>
      <c r="DL51" s="103">
        <f ca="1">NETWORKDAYS(Table2[[#This Row],[RFP Request]], TODAY())</f>
        <v>32751</v>
      </c>
      <c r="DN51" s="3">
        <f>WORKDAY(Table2[[#This Row],[RFP Request Forecast ]], 10)</f>
        <v>114</v>
      </c>
      <c r="DO51" s="103">
        <f ca="1">NETWORKDAYS(Table2[[#This Row],[RFP Received]], TODAY())</f>
        <v>32751</v>
      </c>
      <c r="DQ51" s="3">
        <f>WORKDAY(Table2[[#This Row],[RFP Received Forecast ]], 7)</f>
        <v>123</v>
      </c>
      <c r="DR51" s="103">
        <f ca="1">NETWORKDAYS(Table2[[#This Row],[PO for GC Request]], TODAY())</f>
        <v>32751</v>
      </c>
      <c r="DT51" s="3">
        <f>WORKDAY(Table2[[#This Row],[PO for GC Request Forecast ]], 7)</f>
        <v>132</v>
      </c>
      <c r="DU51" s="103">
        <f ca="1">NETWORKDAYS(Table2[[#This Row],[PO for GC Approved]], TODAY())</f>
        <v>32751</v>
      </c>
      <c r="DW51" s="3">
        <f>WORKDAY(Table2[[#This Row],[PO for GC Approval Forecast ]], 10)</f>
        <v>146</v>
      </c>
      <c r="DX51" s="103">
        <f ca="1">NETWORKDAYS(Table2[[#This Row],[Construction Start]], TODAY())</f>
        <v>32751</v>
      </c>
      <c r="DZ51" s="3">
        <f>WORKDAY(Table2[[#This Row],[Construction Start Forecast ]], 20)</f>
        <v>174</v>
      </c>
      <c r="EA51" s="103">
        <f ca="1">NETWORKDAYS(Table2[[#This Row],[Construction Complete]], TODAY())</f>
        <v>32751</v>
      </c>
      <c r="ED51" s="3">
        <f>WORKDAY(Table2[[#This Row],[Construction Complete Forecast ]], 10)</f>
        <v>188</v>
      </c>
      <c r="EE51" s="103">
        <f ca="1">NETWORKDAYS(Table2[[#This Row],[Integration Start]], TODAY())</f>
        <v>32751</v>
      </c>
      <c r="EF51" s="3"/>
      <c r="EG51" s="3">
        <f>WORKDAY(Table2[[#This Row],[Integration Start Forecast ]], 10)</f>
        <v>202</v>
      </c>
      <c r="EH51" s="103">
        <f ca="1">NETWORKDAYS(Table2[[#This Row],[Integration Complete]], TODAY())</f>
        <v>32751</v>
      </c>
      <c r="EJ51" s="3">
        <f>WORKDAY(Table2[[#This Row],[Integration Complete Forecast ]], 10)</f>
        <v>216</v>
      </c>
      <c r="EK51" s="103">
        <f ca="1">NETWORKDAYS(Table2[[#This Row],[Close Out Package(2weeks from integration complete]], TODAY())</f>
        <v>32751</v>
      </c>
      <c r="EM51" s="3">
        <f>WORKDAY(Table2[[#This Row],[Close Out Package Forecast ]], 10)</f>
        <v>230</v>
      </c>
      <c r="EN51" s="103">
        <f ca="1">NETWORKDAYS(Table2[[#This Row],[Acceptance testing 2 weeks from close out package)]], TODAY())</f>
        <v>32751</v>
      </c>
      <c r="EP51" s="3">
        <f>WORKDAY(Table2[[#This Row],[Acceptance Testing Forecast ]], 20)</f>
        <v>258</v>
      </c>
      <c r="EQ51" s="103">
        <f ca="1">NETWORKDAYS(Table2[[#This Row],[Customer acceptance(1 month after acceptance testing)]], TODAY())</f>
        <v>32751</v>
      </c>
      <c r="ES51" s="3">
        <f>WORKDAY(Table2[[#This Row],[Customer Acceptance Forecast ]], 5)</f>
        <v>265</v>
      </c>
      <c r="ET51" s="103">
        <f ca="1">NETWORKDAYS(Table2[[#This Row],[Operations handoff(1 week after customer acceptance)]], TODAY())</f>
        <v>32751</v>
      </c>
      <c r="EU51" t="s">
        <v>82</v>
      </c>
      <c r="EV51" s="3">
        <f>WORKDAY(Table2[[#This Row],[Operations Handoff Forecast ]], 7)</f>
        <v>276</v>
      </c>
      <c r="EW51" s="103" t="e">
        <f ca="1">NETWORKDAYS(Table2[[#This Row],[FNE Date]], TODAY())</f>
        <v>#VALUE!</v>
      </c>
      <c r="EY51" s="3">
        <f>WORKDAY(Table2[[#This Row],[FNE Date Forecast ]], 7)</f>
        <v>285</v>
      </c>
      <c r="EZ51" s="103">
        <f ca="1">NETWORKDAYS(Table2[[#This Row],[FNE Notice]], TODAY())</f>
        <v>32751</v>
      </c>
    </row>
    <row r="52" spans="1:158" ht="15" customHeight="1" x14ac:dyDescent="0.25">
      <c r="D52" s="103"/>
      <c r="M52" s="3">
        <f>WORKDAY(Table2[[#This Row],[Kickoff date]], 7)</f>
        <v>10</v>
      </c>
      <c r="N52" s="104">
        <f ca="1">NETWORKDAYS(Table2[[#This Row],[ROM Request]], TODAY())</f>
        <v>32751</v>
      </c>
      <c r="P52" s="3">
        <f>WORKDAY(Table2[[#This Row],[ROM Request]], 10)</f>
        <v>13</v>
      </c>
      <c r="Q52" s="104">
        <f ca="1">NETWORKDAYS(Table2[[#This Row],[ROM Receive]], TODAY())</f>
        <v>32751</v>
      </c>
      <c r="S52" s="3">
        <f>WORKDAY(Table2[[#This Row],[ROM Receive Forecast]], 15)</f>
        <v>34</v>
      </c>
      <c r="T52" s="104">
        <f ca="1">NETWORKDAYS(Table2[[#This Row],[Backhaul Cost Request]], TODAY())</f>
        <v>32751</v>
      </c>
      <c r="V52" s="3">
        <f>WORKDAY(Table2[[#This Row],[Backhaul Cost Request Forecast]], 15)</f>
        <v>55</v>
      </c>
      <c r="W52" s="104">
        <f ca="1">NETWORKDAYS(Table2[[#This Row],[Backhaul Cost Receive]], TODAY())</f>
        <v>32751</v>
      </c>
      <c r="X52">
        <f>Table2[[#This Row],[Kickoff date]]</f>
        <v>0</v>
      </c>
      <c r="Y52" s="3">
        <f>WORKDAY(Table2[[#This Row],[Backhaul Cost Request Forecast]], 7)</f>
        <v>45</v>
      </c>
      <c r="Z52" s="104">
        <f ca="1">NETWORKDAYS(Table2[[#This Row],[OSP Request]], TODAY())</f>
        <v>32751</v>
      </c>
      <c r="AB52" s="3">
        <f>WORKDAY(Table2[[#This Row],[OSP Request Forecast]], 10)</f>
        <v>59</v>
      </c>
      <c r="AC52" s="104">
        <f ca="1">NETWORKDAYS(Table2[[#This Row],[OSP Receive]], TODAY())</f>
        <v>32751</v>
      </c>
      <c r="AD52">
        <f>Table2[[#This Row],[Kickoff date]]</f>
        <v>0</v>
      </c>
      <c r="AE52" s="3">
        <f>WORKDAY(Table2[[#This Row],[Kickoff date]], 7)</f>
        <v>10</v>
      </c>
      <c r="AF52" s="104">
        <f ca="1">NETWORKDAYS(Table2[[#This Row],[FM Request]], TODAY())</f>
        <v>32751</v>
      </c>
      <c r="AH52" s="3">
        <f>WORKDAY(Table2[[#This Row],[FM Request Forecast ]], 2)</f>
        <v>12</v>
      </c>
      <c r="AI52" s="104">
        <f ca="1">NETWORKDAYS(Table2[[#This Row],[FM receive]], TODAY())</f>
        <v>32751</v>
      </c>
      <c r="AK52" s="3">
        <f>WORKDAY(Table2[[#This Row],[FM Receive Forecast ]], 2)</f>
        <v>16</v>
      </c>
      <c r="AO52" s="3">
        <f>WORKDAY(Table2[[#This Row],[1-pager Submission to BD]], 7)</f>
        <v>10</v>
      </c>
      <c r="AP52" s="103">
        <f ca="1">IF(ISBLANK(Table2[[#This Row],[Firm Pricing request]]), NETWORKDAYS(Table2[[#This Row],[Proposal Accepted]], TODAY()), NETWORKDAYS(Table2[[#This Row],[Proposal Accepted]], Table2[[#This Row],[Firm Pricing request]]))</f>
        <v>32751</v>
      </c>
      <c r="AR52" s="3">
        <f>WORKDAY(Table2[[#This Row],[Proposal Acceptance Forecast]], 7)</f>
        <v>19</v>
      </c>
      <c r="AS52" s="103">
        <f ca="1">NETWORKDAYS(Table2[[#This Row],[Firm Pricing request]], TODAY())</f>
        <v>32751</v>
      </c>
      <c r="AU52" s="3">
        <f>WORKDAY(Table2[[#This Row],[Firm Pricing Request Forecast]], 7)</f>
        <v>30</v>
      </c>
      <c r="AV52" s="103">
        <f ca="1">NETWORKDAYS(Table2[[#This Row],[Site Walk]], TODAY())</f>
        <v>32751</v>
      </c>
      <c r="AX52" s="3">
        <f>WORKDAY(Table2[[#This Row],[Site Walk Forecast]], 7)</f>
        <v>39</v>
      </c>
      <c r="AY52" s="103">
        <f ca="1">NETWORKDAYS(Table2[[#This Row],[Firm Quote Receival]], TODAY())</f>
        <v>32751</v>
      </c>
      <c r="BA52" s="3">
        <f>WORKDAY(Table2[[#This Row],[Firm Quote Receival Forecast ]], 7)</f>
        <v>48</v>
      </c>
      <c r="BB52" s="103">
        <f ca="1">NETWORKDAYS(Table2[[#This Row],[Final Design &amp; BOM(20 calendar days from site walk)]], TODAY())</f>
        <v>32751</v>
      </c>
      <c r="BD52" s="3">
        <f>WORKDAY(Table2[[#This Row],[Final Design &amp; BOM Forecast ]], 7)</f>
        <v>59</v>
      </c>
      <c r="BE52" s="103">
        <f ca="1">NETWORKDAYS(Table2[[#This Row],[FM Request 2]], TODAY())</f>
        <v>32751</v>
      </c>
      <c r="BG52" s="3">
        <f>WORKDAY(Table2[[#This Row],[FM Request 2 Forecast]], 7)</f>
        <v>68</v>
      </c>
      <c r="BH52" s="103"/>
      <c r="BJ52" s="3">
        <f>WORKDAY(Table2[[#This Row],[FM Review 2 Forecast]], 7)</f>
        <v>79</v>
      </c>
      <c r="BK52" s="103">
        <f ca="1">NETWORKDAYS(Table2[[#This Row],[Tax Review]], TODAY())</f>
        <v>32751</v>
      </c>
      <c r="BM52" s="3">
        <f>WORKDAY(Table2[[#This Row],[Tax Review]], 7)</f>
        <v>10</v>
      </c>
      <c r="BN52" s="103">
        <f ca="1">NETWORKDAYS(Table2[[#This Row],[Tax Approval]], TODAY())</f>
        <v>32751</v>
      </c>
      <c r="BP52" s="3">
        <f>WORKDAY(Table2[[#This Row],[Tax Approval Forecast]], 7)</f>
        <v>19</v>
      </c>
      <c r="BQ52" s="103">
        <f ca="1">NETWORKDAYS(Table2[[#This Row],[Final proposal submission]], TODAY())</f>
        <v>32751</v>
      </c>
      <c r="BT52" s="3">
        <f>WORKDAY(Table2[[#This Row],[Final Proposal Submission Forecast]], 7)</f>
        <v>30</v>
      </c>
      <c r="BU52" s="103">
        <f ca="1">NETWORKDAYS(Table2[[#This Row],[BD submits proposal]], TODAY())</f>
        <v>32751</v>
      </c>
      <c r="BW52" s="3">
        <f>WORKDAY(Table2[[#This Row],[BD Submits Proposal Forecast]], 7)</f>
        <v>39</v>
      </c>
      <c r="BX52" s="103">
        <f ca="1">NETWORKDAYS(Table2[[#This Row],[Final Proposal Accepted]], TODAY())</f>
        <v>32751</v>
      </c>
      <c r="BZ52" s="3">
        <f>WORKDAY(Table2[[#This Row],[Final Proposal Accepted]], 90)</f>
        <v>125</v>
      </c>
      <c r="CA52" s="103">
        <f ca="1">NETWORKDAYS(Table2[[#This Row],[Legal Agreement]], TODAY())</f>
        <v>32751</v>
      </c>
      <c r="CC52" s="3">
        <f>WORKDAY(Table2[[#This Row],[Legal Agreement Forecast]], 10)</f>
        <v>139</v>
      </c>
      <c r="CD52" s="103">
        <f ca="1">NETWORKDAYS(Table2[[#This Row],[Executed Agreement]], TODAY())</f>
        <v>32751</v>
      </c>
      <c r="CE52" t="s">
        <v>76</v>
      </c>
      <c r="CF52" t="s">
        <v>199</v>
      </c>
      <c r="CG52" s="103"/>
      <c r="CH52" s="3">
        <v>45587</v>
      </c>
      <c r="CI52" s="3">
        <f>WORKDAY(Table2[[#This Row],[Executed Agreement]], 7)</f>
        <v>10</v>
      </c>
      <c r="CJ52" s="103">
        <f ca="1">NETWORKDAYS(Table2[[#This Row],[A&amp;E Request]], TODAY())</f>
        <v>190</v>
      </c>
      <c r="CK52" s="3">
        <v>45653</v>
      </c>
      <c r="CL52" s="3">
        <f>WORKDAY(Table2[[#This Row],[A&amp;E Request Forecast]], 10)</f>
        <v>24</v>
      </c>
      <c r="CM52" s="103">
        <f ca="1">NETWORKDAYS(Table2[[#This Row],[A&amp;E receive]], TODAY())</f>
        <v>142</v>
      </c>
      <c r="CO52" s="3">
        <f>WORKDAY(Table2[[#This Row],[FM Approval meeting ]], 10)</f>
        <v>13</v>
      </c>
      <c r="CP52" s="103">
        <f ca="1">NETWORKDAYS(Table2[[#This Row],[Budget Request]], TODAY())</f>
        <v>32751</v>
      </c>
      <c r="CR52" s="3">
        <f>WORKDAY(Table2[[#This Row],[Budget Request Forecast]], 7)</f>
        <v>24</v>
      </c>
      <c r="CS52" s="103">
        <f ca="1">NETWORKDAYS(Table2[[#This Row],[Budget Approval]], TODAY())</f>
        <v>32751</v>
      </c>
      <c r="CU52">
        <v>45580</v>
      </c>
      <c r="CV52" s="3">
        <f>WORKDAY(Table2[[#This Row],[Budget Approval Forecast ]], 7)</f>
        <v>33</v>
      </c>
      <c r="CW52" s="103">
        <f ca="1">NETWORKDAYS(Table2[[#This Row],[PO Request for OEM ]], TODAY())</f>
        <v>195</v>
      </c>
      <c r="CX52" s="3">
        <v>45608</v>
      </c>
      <c r="CY52" s="3">
        <f>WORKDAY(Table2[[#This Row],[PO Request for OEM Forecast]], 10)</f>
        <v>47</v>
      </c>
      <c r="CZ52" s="103">
        <f ca="1">NETWORKDAYS(Table2[[#This Row],[PO Approval]], TODAY())</f>
        <v>175</v>
      </c>
      <c r="DB52" s="3">
        <f>WORKDAY(Table2[[#This Row],[PO Approval Forecast]], 10)</f>
        <v>61</v>
      </c>
      <c r="DC52" s="103">
        <f ca="1">NETWORKDAYS(Table2[[#This Row],[backhaul ordered]], TODAY())</f>
        <v>32751</v>
      </c>
      <c r="DD52">
        <v>45536</v>
      </c>
      <c r="DE52" s="3">
        <f>WORKDAY(Table2[[#This Row],[Backhaul Order Forecast]], 10)</f>
        <v>75</v>
      </c>
      <c r="DF52" s="103">
        <f ca="1">NETWORKDAYS(Table2[[#This Row],[RTP Request]], TODAY())</f>
        <v>226</v>
      </c>
      <c r="DG52" s="3">
        <v>45638</v>
      </c>
      <c r="DH52" s="3">
        <f>WORKDAY(Table2[[#This Row],[RTP Request Forecast]], 10)</f>
        <v>89</v>
      </c>
      <c r="DI52" s="103">
        <f ca="1">NETWORKDAYS(Table2[[#This Row],[RTP Approved]], TODAY())</f>
        <v>153</v>
      </c>
      <c r="DK52" s="3">
        <f>WORKDAY(Table2[[#This Row],[RTP Approval Forecast ]], 7)</f>
        <v>100</v>
      </c>
      <c r="DL52" s="103">
        <f ca="1">NETWORKDAYS(Table2[[#This Row],[RFP Request]], TODAY())</f>
        <v>32751</v>
      </c>
      <c r="DN52" s="3">
        <f>WORKDAY(Table2[[#This Row],[RFP Request Forecast ]], 10)</f>
        <v>114</v>
      </c>
      <c r="DO52" s="103">
        <f ca="1">NETWORKDAYS(Table2[[#This Row],[RFP Received]], TODAY())</f>
        <v>32751</v>
      </c>
      <c r="DQ52" s="3">
        <f>WORKDAY(Table2[[#This Row],[RFP Received Forecast ]], 7)</f>
        <v>123</v>
      </c>
      <c r="DR52" s="103">
        <f ca="1">NETWORKDAYS(Table2[[#This Row],[PO for GC Request]], TODAY())</f>
        <v>32751</v>
      </c>
      <c r="DS52" s="3">
        <v>45586</v>
      </c>
      <c r="DT52" s="3">
        <f>WORKDAY(Table2[[#This Row],[PO for GC Request Forecast ]], 7)</f>
        <v>132</v>
      </c>
      <c r="DU52" s="103">
        <f ca="1">NETWORKDAYS(Table2[[#This Row],[PO for GC Approved]], TODAY())</f>
        <v>191</v>
      </c>
      <c r="DV52">
        <v>45600</v>
      </c>
      <c r="DW52" s="3">
        <f>WORKDAY(Table2[[#This Row],[PO for GC Approval Forecast ]], 10)</f>
        <v>146</v>
      </c>
      <c r="DX52" s="103">
        <f ca="1">NETWORKDAYS(Table2[[#This Row],[Construction Start]], TODAY())</f>
        <v>181</v>
      </c>
      <c r="DY52">
        <v>45639</v>
      </c>
      <c r="DZ52" s="3">
        <f>WORKDAY(Table2[[#This Row],[Construction Start Forecast ]], 20)</f>
        <v>174</v>
      </c>
      <c r="EA52" s="103">
        <f ca="1">NETWORKDAYS(Table2[[#This Row],[Construction Complete]], TODAY())</f>
        <v>152</v>
      </c>
      <c r="EC52">
        <v>45639</v>
      </c>
      <c r="ED52" s="3">
        <f>WORKDAY(Table2[[#This Row],[Construction Complete Forecast ]], 10)</f>
        <v>188</v>
      </c>
      <c r="EE52" s="103">
        <f ca="1">NETWORKDAYS(Table2[[#This Row],[Integration Start]], TODAY())</f>
        <v>152</v>
      </c>
      <c r="EF52" s="3">
        <v>45639</v>
      </c>
      <c r="EG52" s="3">
        <f>WORKDAY(Table2[[#This Row],[Integration Start Forecast ]], 10)</f>
        <v>202</v>
      </c>
      <c r="EH52" s="103">
        <f ca="1">NETWORKDAYS(Table2[[#This Row],[Integration Complete]], TODAY())</f>
        <v>152</v>
      </c>
      <c r="EJ52" s="3">
        <f>WORKDAY(Table2[[#This Row],[Integration Complete Forecast ]], 10)</f>
        <v>216</v>
      </c>
      <c r="EK52" s="103">
        <f ca="1">NETWORKDAYS(Table2[[#This Row],[Close Out Package(2weeks from integration complete]], TODAY())</f>
        <v>32751</v>
      </c>
      <c r="EM52" s="3">
        <f>WORKDAY(Table2[[#This Row],[Close Out Package Forecast ]], 10)</f>
        <v>230</v>
      </c>
      <c r="EN52" s="103">
        <f ca="1">NETWORKDAYS(Table2[[#This Row],[Acceptance testing 2 weeks from close out package)]], TODAY())</f>
        <v>32751</v>
      </c>
      <c r="EP52" s="3">
        <f>WORKDAY(Table2[[#This Row],[Acceptance Testing Forecast ]], 20)</f>
        <v>258</v>
      </c>
      <c r="EQ52" s="103">
        <f ca="1">NETWORKDAYS(Table2[[#This Row],[Customer acceptance(1 month after acceptance testing)]], TODAY())</f>
        <v>32751</v>
      </c>
      <c r="ES52" s="3">
        <f>WORKDAY(Table2[[#This Row],[Customer Acceptance Forecast ]], 5)</f>
        <v>265</v>
      </c>
      <c r="ET52" s="103">
        <f ca="1">NETWORKDAYS(Table2[[#This Row],[Operations handoff(1 week after customer acceptance)]], TODAY())</f>
        <v>32751</v>
      </c>
      <c r="EU52" t="s">
        <v>98</v>
      </c>
      <c r="EV52" s="3">
        <f>WORKDAY(Table2[[#This Row],[Operations Handoff Forecast ]], 7)</f>
        <v>276</v>
      </c>
      <c r="EW52" s="103" t="e">
        <f ca="1">NETWORKDAYS(Table2[[#This Row],[FNE Date]], TODAY())</f>
        <v>#VALUE!</v>
      </c>
      <c r="EY52" s="3">
        <f>WORKDAY(Table2[[#This Row],[FNE Date Forecast ]], 7)</f>
        <v>285</v>
      </c>
      <c r="EZ52" s="103">
        <f ca="1">NETWORKDAYS(Table2[[#This Row],[FNE Notice]], TODAY())</f>
        <v>32751</v>
      </c>
    </row>
    <row r="53" spans="1:158" ht="15" customHeight="1" x14ac:dyDescent="0.25">
      <c r="D53" s="103"/>
      <c r="M53" s="3">
        <f>WORKDAY(Table2[[#This Row],[Kickoff date]], 7)</f>
        <v>10</v>
      </c>
      <c r="N53" s="104">
        <f ca="1">NETWORKDAYS(Table2[[#This Row],[ROM Request]], TODAY())</f>
        <v>32751</v>
      </c>
      <c r="P53" s="3">
        <f>WORKDAY(Table2[[#This Row],[ROM Request]], 10)</f>
        <v>13</v>
      </c>
      <c r="Q53" s="104">
        <f ca="1">NETWORKDAYS(Table2[[#This Row],[ROM Receive]], TODAY())</f>
        <v>32751</v>
      </c>
      <c r="S53" s="3">
        <f>WORKDAY(Table2[[#This Row],[ROM Receive Forecast]], 15)</f>
        <v>34</v>
      </c>
      <c r="T53" s="104">
        <f ca="1">NETWORKDAYS(Table2[[#This Row],[Backhaul Cost Request]], TODAY())</f>
        <v>32751</v>
      </c>
      <c r="V53" s="3">
        <f>WORKDAY(Table2[[#This Row],[Backhaul Cost Request Forecast]], 15)</f>
        <v>55</v>
      </c>
      <c r="W53" s="104">
        <f ca="1">NETWORKDAYS(Table2[[#This Row],[Backhaul Cost Receive]], TODAY())</f>
        <v>32751</v>
      </c>
      <c r="X53">
        <f>Table2[[#This Row],[Kickoff date]]</f>
        <v>0</v>
      </c>
      <c r="Y53" s="3">
        <f>WORKDAY(Table2[[#This Row],[Backhaul Cost Request Forecast]], 7)</f>
        <v>45</v>
      </c>
      <c r="Z53" s="104">
        <f ca="1">NETWORKDAYS(Table2[[#This Row],[OSP Request]], TODAY())</f>
        <v>32751</v>
      </c>
      <c r="AB53" s="3">
        <f>WORKDAY(Table2[[#This Row],[OSP Request Forecast]], 10)</f>
        <v>59</v>
      </c>
      <c r="AC53" s="104">
        <f ca="1">NETWORKDAYS(Table2[[#This Row],[OSP Receive]], TODAY())</f>
        <v>32751</v>
      </c>
      <c r="AD53">
        <f>Table2[[#This Row],[Kickoff date]]</f>
        <v>0</v>
      </c>
      <c r="AE53" s="3">
        <f>WORKDAY(Table2[[#This Row],[Kickoff date]], 7)</f>
        <v>10</v>
      </c>
      <c r="AF53" s="104">
        <f ca="1">NETWORKDAYS(Table2[[#This Row],[FM Request]], TODAY())</f>
        <v>32751</v>
      </c>
      <c r="AH53" s="3">
        <f>WORKDAY(Table2[[#This Row],[FM Request Forecast ]], 2)</f>
        <v>12</v>
      </c>
      <c r="AI53" s="104">
        <f ca="1">NETWORKDAYS(Table2[[#This Row],[FM receive]], TODAY())</f>
        <v>32751</v>
      </c>
      <c r="AK53" s="3">
        <f>WORKDAY(Table2[[#This Row],[FM Receive Forecast ]], 2)</f>
        <v>16</v>
      </c>
      <c r="AO53" s="3">
        <f>WORKDAY(Table2[[#This Row],[1-pager Submission to BD]], 7)</f>
        <v>10</v>
      </c>
      <c r="AP53" s="103">
        <f ca="1">IF(ISBLANK(Table2[[#This Row],[Firm Pricing request]]), NETWORKDAYS(Table2[[#This Row],[Proposal Accepted]], TODAY()), NETWORKDAYS(Table2[[#This Row],[Proposal Accepted]], Table2[[#This Row],[Firm Pricing request]]))</f>
        <v>32751</v>
      </c>
      <c r="AR53" s="3">
        <f>WORKDAY(Table2[[#This Row],[Proposal Acceptance Forecast]], 7)</f>
        <v>19</v>
      </c>
      <c r="AS53" s="103">
        <f ca="1">NETWORKDAYS(Table2[[#This Row],[Firm Pricing request]], TODAY())</f>
        <v>32751</v>
      </c>
      <c r="AU53" s="3">
        <f>WORKDAY(Table2[[#This Row],[Firm Pricing Request Forecast]], 7)</f>
        <v>30</v>
      </c>
      <c r="AV53" s="103">
        <f ca="1">NETWORKDAYS(Table2[[#This Row],[Site Walk]], TODAY())</f>
        <v>32751</v>
      </c>
      <c r="AX53" s="3">
        <f>WORKDAY(Table2[[#This Row],[Site Walk Forecast]], 7)</f>
        <v>39</v>
      </c>
      <c r="AY53" s="103">
        <f ca="1">NETWORKDAYS(Table2[[#This Row],[Firm Quote Receival]], TODAY())</f>
        <v>32751</v>
      </c>
      <c r="BA53" s="3">
        <f>WORKDAY(Table2[[#This Row],[Firm Quote Receival Forecast ]], 7)</f>
        <v>48</v>
      </c>
      <c r="BB53" s="103">
        <f ca="1">NETWORKDAYS(Table2[[#This Row],[Final Design &amp; BOM(20 calendar days from site walk)]], TODAY())</f>
        <v>32751</v>
      </c>
      <c r="BD53" s="3">
        <f>WORKDAY(Table2[[#This Row],[Final Design &amp; BOM Forecast ]], 7)</f>
        <v>59</v>
      </c>
      <c r="BE53" s="103">
        <f ca="1">NETWORKDAYS(Table2[[#This Row],[FM Request 2]], TODAY())</f>
        <v>32751</v>
      </c>
      <c r="BG53" s="3">
        <f>WORKDAY(Table2[[#This Row],[FM Request 2 Forecast]], 7)</f>
        <v>68</v>
      </c>
      <c r="BH53" s="103"/>
      <c r="BJ53" s="3">
        <f>WORKDAY(Table2[[#This Row],[FM Review 2 Forecast]], 7)</f>
        <v>79</v>
      </c>
      <c r="BK53" s="103">
        <f ca="1">NETWORKDAYS(Table2[[#This Row],[Tax Review]], TODAY())</f>
        <v>32751</v>
      </c>
      <c r="BM53" s="3">
        <f>WORKDAY(Table2[[#This Row],[Tax Review]], 7)</f>
        <v>10</v>
      </c>
      <c r="BN53" s="103">
        <f ca="1">NETWORKDAYS(Table2[[#This Row],[Tax Approval]], TODAY())</f>
        <v>32751</v>
      </c>
      <c r="BP53" s="3">
        <f>WORKDAY(Table2[[#This Row],[Tax Approval Forecast]], 7)</f>
        <v>19</v>
      </c>
      <c r="BQ53" s="103">
        <f ca="1">NETWORKDAYS(Table2[[#This Row],[Final proposal submission]], TODAY())</f>
        <v>32751</v>
      </c>
      <c r="BT53" s="3">
        <f>WORKDAY(Table2[[#This Row],[Final Proposal Submission Forecast]], 7)</f>
        <v>30</v>
      </c>
      <c r="BU53" s="103">
        <f ca="1">NETWORKDAYS(Table2[[#This Row],[BD submits proposal]], TODAY())</f>
        <v>32751</v>
      </c>
      <c r="BW53" s="3">
        <f>WORKDAY(Table2[[#This Row],[BD Submits Proposal Forecast]], 7)</f>
        <v>39</v>
      </c>
      <c r="BX53" s="103">
        <f ca="1">NETWORKDAYS(Table2[[#This Row],[Final Proposal Accepted]], TODAY())</f>
        <v>32751</v>
      </c>
      <c r="BZ53" s="3">
        <f>WORKDAY(Table2[[#This Row],[Final Proposal Accepted]], 90)</f>
        <v>125</v>
      </c>
      <c r="CA53" s="103">
        <f ca="1">NETWORKDAYS(Table2[[#This Row],[Legal Agreement]], TODAY())</f>
        <v>32751</v>
      </c>
      <c r="CC53" s="3">
        <f>WORKDAY(Table2[[#This Row],[Legal Agreement Forecast]], 10)</f>
        <v>139</v>
      </c>
      <c r="CD53" s="103">
        <f ca="1">NETWORKDAYS(Table2[[#This Row],[Executed Agreement]], TODAY())</f>
        <v>32751</v>
      </c>
      <c r="CE53" t="s">
        <v>76</v>
      </c>
      <c r="CF53" t="s">
        <v>200</v>
      </c>
      <c r="CG53" s="103"/>
      <c r="CH53" s="3">
        <v>45308</v>
      </c>
      <c r="CI53" s="3">
        <f>WORKDAY(Table2[[#This Row],[Executed Agreement]], 7)</f>
        <v>10</v>
      </c>
      <c r="CJ53" s="103">
        <f ca="1">NETWORKDAYS(Table2[[#This Row],[A&amp;E Request]], TODAY())</f>
        <v>389</v>
      </c>
      <c r="CK53" s="3">
        <v>45394</v>
      </c>
      <c r="CL53" s="3">
        <f>WORKDAY(Table2[[#This Row],[A&amp;E Request Forecast]], 10)</f>
        <v>24</v>
      </c>
      <c r="CM53" s="103">
        <f ca="1">NETWORKDAYS(Table2[[#This Row],[A&amp;E receive]], TODAY())</f>
        <v>327</v>
      </c>
      <c r="CO53" s="3">
        <f>WORKDAY(Table2[[#This Row],[FM Approval meeting ]], 10)</f>
        <v>13</v>
      </c>
      <c r="CP53" s="103">
        <f ca="1">NETWORKDAYS(Table2[[#This Row],[Budget Request]], TODAY())</f>
        <v>32751</v>
      </c>
      <c r="CR53" s="3">
        <f>WORKDAY(Table2[[#This Row],[Budget Request Forecast]], 7)</f>
        <v>24</v>
      </c>
      <c r="CS53" s="103">
        <f ca="1">NETWORKDAYS(Table2[[#This Row],[Budget Approval]], TODAY())</f>
        <v>32751</v>
      </c>
      <c r="CU53">
        <v>45441</v>
      </c>
      <c r="CV53" s="3">
        <f>WORKDAY(Table2[[#This Row],[Budget Approval Forecast ]], 7)</f>
        <v>33</v>
      </c>
      <c r="CW53" s="103">
        <f ca="1">NETWORKDAYS(Table2[[#This Row],[PO Request for OEM ]], TODAY())</f>
        <v>294</v>
      </c>
      <c r="CX53" s="3">
        <v>45475</v>
      </c>
      <c r="CY53" s="3">
        <f>WORKDAY(Table2[[#This Row],[PO Request for OEM Forecast]], 10)</f>
        <v>47</v>
      </c>
      <c r="CZ53" s="103">
        <f ca="1">NETWORKDAYS(Table2[[#This Row],[PO Approval]], TODAY())</f>
        <v>270</v>
      </c>
      <c r="DB53" s="3">
        <f>WORKDAY(Table2[[#This Row],[PO Approval Forecast]], 10)</f>
        <v>61</v>
      </c>
      <c r="DC53" s="103">
        <f ca="1">NETWORKDAYS(Table2[[#This Row],[backhaul ordered]], TODAY())</f>
        <v>32751</v>
      </c>
      <c r="DD53">
        <v>45730</v>
      </c>
      <c r="DE53" s="3">
        <f>WORKDAY(Table2[[#This Row],[Backhaul Order Forecast]], 10)</f>
        <v>75</v>
      </c>
      <c r="DF53" s="103">
        <f ca="1">NETWORKDAYS(Table2[[#This Row],[RTP Request]], TODAY())</f>
        <v>87</v>
      </c>
      <c r="DG53" s="3">
        <v>45672</v>
      </c>
      <c r="DH53" s="3">
        <f>WORKDAY(Table2[[#This Row],[RTP Request Forecast]], 10)</f>
        <v>89</v>
      </c>
      <c r="DI53" s="103">
        <f ca="1">NETWORKDAYS(Table2[[#This Row],[RTP Approved]], TODAY())</f>
        <v>129</v>
      </c>
      <c r="DK53" s="3">
        <f>WORKDAY(Table2[[#This Row],[RTP Approval Forecast ]], 7)</f>
        <v>100</v>
      </c>
      <c r="DL53" s="103">
        <f ca="1">NETWORKDAYS(Table2[[#This Row],[RFP Request]], TODAY())</f>
        <v>32751</v>
      </c>
      <c r="DN53" s="3">
        <f>WORKDAY(Table2[[#This Row],[RFP Request Forecast ]], 10)</f>
        <v>114</v>
      </c>
      <c r="DO53" s="103">
        <f ca="1">NETWORKDAYS(Table2[[#This Row],[RFP Received]], TODAY())</f>
        <v>32751</v>
      </c>
      <c r="DQ53" s="3">
        <f>WORKDAY(Table2[[#This Row],[RFP Received Forecast ]], 7)</f>
        <v>123</v>
      </c>
      <c r="DR53" s="103">
        <f ca="1">NETWORKDAYS(Table2[[#This Row],[PO for GC Request]], TODAY())</f>
        <v>32751</v>
      </c>
      <c r="DS53" s="3">
        <v>45538</v>
      </c>
      <c r="DT53" s="3">
        <f>WORKDAY(Table2[[#This Row],[PO for GC Request Forecast ]], 7)</f>
        <v>132</v>
      </c>
      <c r="DU53" s="103">
        <f ca="1">NETWORKDAYS(Table2[[#This Row],[PO for GC Approved]], TODAY())</f>
        <v>225</v>
      </c>
      <c r="DV53">
        <v>45685</v>
      </c>
      <c r="DW53" s="3">
        <f>WORKDAY(Table2[[#This Row],[PO for GC Approval Forecast ]], 10)</f>
        <v>146</v>
      </c>
      <c r="DX53" s="103">
        <f ca="1">NETWORKDAYS(Table2[[#This Row],[Construction Start]], TODAY())</f>
        <v>120</v>
      </c>
      <c r="DY53">
        <v>45769</v>
      </c>
      <c r="DZ53" s="3">
        <f>WORKDAY(Table2[[#This Row],[Construction Start Forecast ]], 20)</f>
        <v>174</v>
      </c>
      <c r="EA53" s="103">
        <f ca="1">NETWORKDAYS(Table2[[#This Row],[Construction Complete]], TODAY())</f>
        <v>60</v>
      </c>
      <c r="EC53">
        <v>45769</v>
      </c>
      <c r="ED53" s="3">
        <f>WORKDAY(Table2[[#This Row],[Construction Complete Forecast ]], 10)</f>
        <v>188</v>
      </c>
      <c r="EE53" s="103">
        <f ca="1">NETWORKDAYS(Table2[[#This Row],[Integration Start]], TODAY())</f>
        <v>60</v>
      </c>
      <c r="EF53" s="3">
        <v>45769</v>
      </c>
      <c r="EG53" s="3">
        <f>WORKDAY(Table2[[#This Row],[Integration Start Forecast ]], 10)</f>
        <v>202</v>
      </c>
      <c r="EH53" s="103">
        <f ca="1">NETWORKDAYS(Table2[[#This Row],[Integration Complete]], TODAY())</f>
        <v>60</v>
      </c>
      <c r="EJ53" s="3">
        <f>WORKDAY(Table2[[#This Row],[Integration Complete Forecast ]], 10)</f>
        <v>216</v>
      </c>
      <c r="EK53" s="103">
        <f ca="1">NETWORKDAYS(Table2[[#This Row],[Close Out Package(2weeks from integration complete]], TODAY())</f>
        <v>32751</v>
      </c>
      <c r="EM53" s="3">
        <f>WORKDAY(Table2[[#This Row],[Close Out Package Forecast ]], 10)</f>
        <v>230</v>
      </c>
      <c r="EN53" s="103">
        <f ca="1">NETWORKDAYS(Table2[[#This Row],[Acceptance testing 2 weeks from close out package)]], TODAY())</f>
        <v>32751</v>
      </c>
      <c r="EP53" s="3">
        <f>WORKDAY(Table2[[#This Row],[Acceptance Testing Forecast ]], 20)</f>
        <v>258</v>
      </c>
      <c r="EQ53" s="103">
        <f ca="1">NETWORKDAYS(Table2[[#This Row],[Customer acceptance(1 month after acceptance testing)]], TODAY())</f>
        <v>32751</v>
      </c>
      <c r="ES53" s="3">
        <f>WORKDAY(Table2[[#This Row],[Customer Acceptance Forecast ]], 5)</f>
        <v>265</v>
      </c>
      <c r="ET53" s="103">
        <f ca="1">NETWORKDAYS(Table2[[#This Row],[Operations handoff(1 week after customer acceptance)]], TODAY())</f>
        <v>32751</v>
      </c>
      <c r="EV53" s="3">
        <f>WORKDAY(Table2[[#This Row],[Operations Handoff Forecast ]], 7)</f>
        <v>276</v>
      </c>
      <c r="EW53" s="103">
        <f ca="1">NETWORKDAYS(Table2[[#This Row],[FNE Date]], TODAY())</f>
        <v>32751</v>
      </c>
      <c r="EY53" s="3">
        <f>WORKDAY(Table2[[#This Row],[FNE Date Forecast ]], 7)</f>
        <v>285</v>
      </c>
      <c r="EZ53" s="103">
        <f ca="1">NETWORKDAYS(Table2[[#This Row],[FNE Notice]], TODAY())</f>
        <v>32751</v>
      </c>
    </row>
    <row r="54" spans="1:158" ht="15" customHeight="1" x14ac:dyDescent="0.25">
      <c r="D54" s="103"/>
      <c r="M54" s="3">
        <f>WORKDAY(Table2[[#This Row],[Kickoff date]], 7)</f>
        <v>10</v>
      </c>
      <c r="N54" s="104">
        <f ca="1">NETWORKDAYS(Table2[[#This Row],[ROM Request]], TODAY())</f>
        <v>32751</v>
      </c>
      <c r="P54" s="3">
        <f>WORKDAY(Table2[[#This Row],[ROM Request]], 10)</f>
        <v>13</v>
      </c>
      <c r="Q54" s="104">
        <f ca="1">NETWORKDAYS(Table2[[#This Row],[ROM Receive]], TODAY())</f>
        <v>32751</v>
      </c>
      <c r="S54" s="3">
        <f>WORKDAY(Table2[[#This Row],[ROM Receive Forecast]], 15)</f>
        <v>34</v>
      </c>
      <c r="T54" s="104">
        <f ca="1">NETWORKDAYS(Table2[[#This Row],[Backhaul Cost Request]], TODAY())</f>
        <v>32751</v>
      </c>
      <c r="V54" s="3">
        <f>WORKDAY(Table2[[#This Row],[Backhaul Cost Request Forecast]], 15)</f>
        <v>55</v>
      </c>
      <c r="W54" s="104">
        <f ca="1">NETWORKDAYS(Table2[[#This Row],[Backhaul Cost Receive]], TODAY())</f>
        <v>32751</v>
      </c>
      <c r="X54">
        <f>Table2[[#This Row],[Kickoff date]]</f>
        <v>0</v>
      </c>
      <c r="Y54" s="3">
        <f>WORKDAY(Table2[[#This Row],[Backhaul Cost Request Forecast]], 7)</f>
        <v>45</v>
      </c>
      <c r="Z54" s="104">
        <f ca="1">NETWORKDAYS(Table2[[#This Row],[OSP Request]], TODAY())</f>
        <v>32751</v>
      </c>
      <c r="AB54" s="3">
        <f>WORKDAY(Table2[[#This Row],[OSP Request Forecast]], 10)</f>
        <v>59</v>
      </c>
      <c r="AC54" s="104">
        <f ca="1">NETWORKDAYS(Table2[[#This Row],[OSP Receive]], TODAY())</f>
        <v>32751</v>
      </c>
      <c r="AD54">
        <f>Table2[[#This Row],[Kickoff date]]</f>
        <v>0</v>
      </c>
      <c r="AE54" s="3">
        <f>WORKDAY(Table2[[#This Row],[Kickoff date]], 7)</f>
        <v>10</v>
      </c>
      <c r="AF54" s="104">
        <f ca="1">NETWORKDAYS(Table2[[#This Row],[FM Request]], TODAY())</f>
        <v>32751</v>
      </c>
      <c r="AH54" s="3">
        <f>WORKDAY(Table2[[#This Row],[FM Request Forecast ]], 2)</f>
        <v>12</v>
      </c>
      <c r="AI54" s="104">
        <f ca="1">NETWORKDAYS(Table2[[#This Row],[FM receive]], TODAY())</f>
        <v>32751</v>
      </c>
      <c r="AK54" s="3">
        <f>WORKDAY(Table2[[#This Row],[FM Receive Forecast ]], 2)</f>
        <v>16</v>
      </c>
      <c r="AO54" s="3">
        <f>WORKDAY(Table2[[#This Row],[1-pager Submission to BD]], 7)</f>
        <v>10</v>
      </c>
      <c r="AP54" s="103">
        <f ca="1">IF(ISBLANK(Table2[[#This Row],[Firm Pricing request]]), NETWORKDAYS(Table2[[#This Row],[Proposal Accepted]], TODAY()), NETWORKDAYS(Table2[[#This Row],[Proposal Accepted]], Table2[[#This Row],[Firm Pricing request]]))</f>
        <v>32751</v>
      </c>
      <c r="AR54" s="3">
        <f>WORKDAY(Table2[[#This Row],[Proposal Acceptance Forecast]], 7)</f>
        <v>19</v>
      </c>
      <c r="AS54" s="103">
        <f ca="1">NETWORKDAYS(Table2[[#This Row],[Firm Pricing request]], TODAY())</f>
        <v>32751</v>
      </c>
      <c r="AU54" s="3">
        <f>WORKDAY(Table2[[#This Row],[Firm Pricing Request Forecast]], 7)</f>
        <v>30</v>
      </c>
      <c r="AV54" s="103">
        <f ca="1">NETWORKDAYS(Table2[[#This Row],[Site Walk]], TODAY())</f>
        <v>32751</v>
      </c>
      <c r="AX54" s="3">
        <f>WORKDAY(Table2[[#This Row],[Site Walk Forecast]], 7)</f>
        <v>39</v>
      </c>
      <c r="AY54" s="103">
        <f ca="1">NETWORKDAYS(Table2[[#This Row],[Firm Quote Receival]], TODAY())</f>
        <v>32751</v>
      </c>
      <c r="BA54" s="3">
        <f>WORKDAY(Table2[[#This Row],[Firm Quote Receival Forecast ]], 7)</f>
        <v>48</v>
      </c>
      <c r="BB54" s="103">
        <f ca="1">NETWORKDAYS(Table2[[#This Row],[Final Design &amp; BOM(20 calendar days from site walk)]], TODAY())</f>
        <v>32751</v>
      </c>
      <c r="BD54" s="3">
        <f>WORKDAY(Table2[[#This Row],[Final Design &amp; BOM Forecast ]], 7)</f>
        <v>59</v>
      </c>
      <c r="BE54" s="103">
        <f ca="1">NETWORKDAYS(Table2[[#This Row],[FM Request 2]], TODAY())</f>
        <v>32751</v>
      </c>
      <c r="BG54" s="3">
        <f>WORKDAY(Table2[[#This Row],[FM Request 2 Forecast]], 7)</f>
        <v>68</v>
      </c>
      <c r="BH54" s="103"/>
      <c r="BJ54" s="3">
        <f>WORKDAY(Table2[[#This Row],[FM Review 2 Forecast]], 7)</f>
        <v>79</v>
      </c>
      <c r="BK54" s="103">
        <f ca="1">NETWORKDAYS(Table2[[#This Row],[Tax Review]], TODAY())</f>
        <v>32751</v>
      </c>
      <c r="BM54" s="3">
        <f>WORKDAY(Table2[[#This Row],[Tax Review]], 7)</f>
        <v>10</v>
      </c>
      <c r="BN54" s="103">
        <f ca="1">NETWORKDAYS(Table2[[#This Row],[Tax Approval]], TODAY())</f>
        <v>32751</v>
      </c>
      <c r="BP54" s="3">
        <f>WORKDAY(Table2[[#This Row],[Tax Approval Forecast]], 7)</f>
        <v>19</v>
      </c>
      <c r="BQ54" s="103">
        <f ca="1">NETWORKDAYS(Table2[[#This Row],[Final proposal submission]], TODAY())</f>
        <v>32751</v>
      </c>
      <c r="BT54" s="3">
        <f>WORKDAY(Table2[[#This Row],[Final Proposal Submission Forecast]], 7)</f>
        <v>30</v>
      </c>
      <c r="BU54" s="103">
        <f ca="1">NETWORKDAYS(Table2[[#This Row],[BD submits proposal]], TODAY())</f>
        <v>32751</v>
      </c>
      <c r="BW54" s="3">
        <f>WORKDAY(Table2[[#This Row],[BD Submits Proposal Forecast]], 7)</f>
        <v>39</v>
      </c>
      <c r="BX54" s="103">
        <f ca="1">NETWORKDAYS(Table2[[#This Row],[Final Proposal Accepted]], TODAY())</f>
        <v>32751</v>
      </c>
      <c r="BZ54" s="3">
        <f>WORKDAY(Table2[[#This Row],[Final Proposal Accepted]], 90)</f>
        <v>125</v>
      </c>
      <c r="CA54" s="103">
        <f ca="1">NETWORKDAYS(Table2[[#This Row],[Legal Agreement]], TODAY())</f>
        <v>32751</v>
      </c>
      <c r="CC54" s="3">
        <f>WORKDAY(Table2[[#This Row],[Legal Agreement Forecast]], 10)</f>
        <v>139</v>
      </c>
      <c r="CD54" s="103">
        <f ca="1">NETWORKDAYS(Table2[[#This Row],[Executed Agreement]], TODAY())</f>
        <v>32751</v>
      </c>
      <c r="CG54" s="103"/>
      <c r="CH54" s="3"/>
      <c r="CI54" s="3">
        <f>WORKDAY(Table2[[#This Row],[Executed Agreement]], 7)</f>
        <v>10</v>
      </c>
      <c r="CJ54" s="103">
        <f ca="1">NETWORKDAYS(Table2[[#This Row],[A&amp;E Request]], TODAY())</f>
        <v>32751</v>
      </c>
      <c r="CK54" s="3"/>
      <c r="CL54" s="3">
        <f>WORKDAY(Table2[[#This Row],[A&amp;E Request Forecast]], 10)</f>
        <v>24</v>
      </c>
      <c r="CM54" s="103">
        <f ca="1">NETWORKDAYS(Table2[[#This Row],[A&amp;E receive]], TODAY())</f>
        <v>32751</v>
      </c>
      <c r="CO54" s="3">
        <f>WORKDAY(Table2[[#This Row],[FM Approval meeting ]], 10)</f>
        <v>13</v>
      </c>
      <c r="CP54" s="103">
        <f ca="1">NETWORKDAYS(Table2[[#This Row],[Budget Request]], TODAY())</f>
        <v>32751</v>
      </c>
      <c r="CR54" s="3">
        <f>WORKDAY(Table2[[#This Row],[Budget Request Forecast]], 7)</f>
        <v>24</v>
      </c>
      <c r="CS54" s="103">
        <f ca="1">NETWORKDAYS(Table2[[#This Row],[Budget Approval]], TODAY())</f>
        <v>32751</v>
      </c>
      <c r="CV54" s="3">
        <f>WORKDAY(Table2[[#This Row],[Budget Approval Forecast ]], 7)</f>
        <v>33</v>
      </c>
      <c r="CW54" s="103">
        <f ca="1">NETWORKDAYS(Table2[[#This Row],[PO Request for OEM ]], TODAY())</f>
        <v>32751</v>
      </c>
      <c r="CX54" s="3"/>
      <c r="CY54" s="3">
        <f>WORKDAY(Table2[[#This Row],[PO Request for OEM Forecast]], 10)</f>
        <v>47</v>
      </c>
      <c r="CZ54" s="103">
        <f ca="1">NETWORKDAYS(Table2[[#This Row],[PO Approval]], TODAY())</f>
        <v>32751</v>
      </c>
      <c r="DB54" s="3">
        <f>WORKDAY(Table2[[#This Row],[PO Approval Forecast]], 10)</f>
        <v>61</v>
      </c>
      <c r="DC54" s="103">
        <f ca="1">NETWORKDAYS(Table2[[#This Row],[backhaul ordered]], TODAY())</f>
        <v>32751</v>
      </c>
      <c r="DE54" s="3">
        <f>WORKDAY(Table2[[#This Row],[Backhaul Order Forecast]], 10)</f>
        <v>75</v>
      </c>
      <c r="DF54" s="103">
        <f ca="1">NETWORKDAYS(Table2[[#This Row],[RTP Request]], TODAY())</f>
        <v>32751</v>
      </c>
      <c r="DG54" s="3"/>
      <c r="DH54" s="3">
        <f>WORKDAY(Table2[[#This Row],[RTP Request Forecast]], 10)</f>
        <v>89</v>
      </c>
      <c r="DI54" s="103">
        <f ca="1">NETWORKDAYS(Table2[[#This Row],[RTP Approved]], TODAY())</f>
        <v>32751</v>
      </c>
      <c r="DK54" s="3">
        <f>WORKDAY(Table2[[#This Row],[RTP Approval Forecast ]], 7)</f>
        <v>100</v>
      </c>
      <c r="DL54" s="103">
        <f ca="1">NETWORKDAYS(Table2[[#This Row],[RFP Request]], TODAY())</f>
        <v>32751</v>
      </c>
      <c r="DN54" s="3">
        <f>WORKDAY(Table2[[#This Row],[RFP Request Forecast ]], 10)</f>
        <v>114</v>
      </c>
      <c r="DO54" s="103">
        <f ca="1">NETWORKDAYS(Table2[[#This Row],[RFP Received]], TODAY())</f>
        <v>32751</v>
      </c>
      <c r="DQ54" s="3">
        <f>WORKDAY(Table2[[#This Row],[RFP Received Forecast ]], 7)</f>
        <v>123</v>
      </c>
      <c r="DR54" s="103">
        <f ca="1">NETWORKDAYS(Table2[[#This Row],[PO for GC Request]], TODAY())</f>
        <v>32751</v>
      </c>
      <c r="DS54" s="3"/>
      <c r="DT54" s="3">
        <f>WORKDAY(Table2[[#This Row],[PO for GC Request Forecast ]], 7)</f>
        <v>132</v>
      </c>
      <c r="DU54" s="103">
        <f ca="1">NETWORKDAYS(Table2[[#This Row],[PO for GC Approved]], TODAY())</f>
        <v>32751</v>
      </c>
      <c r="DW54" s="3">
        <f>WORKDAY(Table2[[#This Row],[PO for GC Approval Forecast ]], 10)</f>
        <v>146</v>
      </c>
      <c r="DX54" s="103">
        <f ca="1">NETWORKDAYS(Table2[[#This Row],[Construction Start]], TODAY())</f>
        <v>32751</v>
      </c>
      <c r="DZ54" s="3">
        <f>WORKDAY(Table2[[#This Row],[Construction Start Forecast ]], 20)</f>
        <v>174</v>
      </c>
      <c r="EA54" s="103">
        <f ca="1">NETWORKDAYS(Table2[[#This Row],[Construction Complete]], TODAY())</f>
        <v>32751</v>
      </c>
      <c r="ED54" s="3">
        <f>WORKDAY(Table2[[#This Row],[Construction Complete Forecast ]], 10)</f>
        <v>188</v>
      </c>
      <c r="EE54" s="103">
        <f ca="1">NETWORKDAYS(Table2[[#This Row],[Integration Start]], TODAY())</f>
        <v>32751</v>
      </c>
      <c r="EF54" s="3"/>
      <c r="EG54" s="3">
        <f>WORKDAY(Table2[[#This Row],[Integration Start Forecast ]], 10)</f>
        <v>202</v>
      </c>
      <c r="EH54" s="103">
        <f ca="1">NETWORKDAYS(Table2[[#This Row],[Integration Complete]], TODAY())</f>
        <v>32751</v>
      </c>
      <c r="EJ54" s="3">
        <f>WORKDAY(Table2[[#This Row],[Integration Complete Forecast ]], 10)</f>
        <v>216</v>
      </c>
      <c r="EK54" s="103">
        <f ca="1">NETWORKDAYS(Table2[[#This Row],[Close Out Package(2weeks from integration complete]], TODAY())</f>
        <v>32751</v>
      </c>
      <c r="EM54" s="3">
        <f>WORKDAY(Table2[[#This Row],[Close Out Package Forecast ]], 10)</f>
        <v>230</v>
      </c>
      <c r="EN54" s="103">
        <f ca="1">NETWORKDAYS(Table2[[#This Row],[Acceptance testing 2 weeks from close out package)]], TODAY())</f>
        <v>32751</v>
      </c>
      <c r="EP54" s="3">
        <f>WORKDAY(Table2[[#This Row],[Acceptance Testing Forecast ]], 20)</f>
        <v>258</v>
      </c>
      <c r="EQ54" s="103">
        <f ca="1">NETWORKDAYS(Table2[[#This Row],[Customer acceptance(1 month after acceptance testing)]], TODAY())</f>
        <v>32751</v>
      </c>
      <c r="ES54" s="3">
        <f>WORKDAY(Table2[[#This Row],[Customer Acceptance Forecast ]], 5)</f>
        <v>265</v>
      </c>
      <c r="ET54" s="103">
        <f ca="1">NETWORKDAYS(Table2[[#This Row],[Operations handoff(1 week after customer acceptance)]], TODAY())</f>
        <v>32751</v>
      </c>
      <c r="EV54" s="3">
        <f>WORKDAY(Table2[[#This Row],[Operations Handoff Forecast ]], 7)</f>
        <v>276</v>
      </c>
      <c r="EW54" s="103">
        <f ca="1">NETWORKDAYS(Table2[[#This Row],[FNE Date]], TODAY())</f>
        <v>32751</v>
      </c>
      <c r="EY54" s="3">
        <f>WORKDAY(Table2[[#This Row],[FNE Date Forecast ]], 7)</f>
        <v>285</v>
      </c>
      <c r="EZ54" s="103">
        <f ca="1">NETWORKDAYS(Table2[[#This Row],[FNE Notice]], TODAY())</f>
        <v>32751</v>
      </c>
    </row>
    <row r="55" spans="1:158" ht="15" customHeight="1" x14ac:dyDescent="0.25">
      <c r="D55" s="103"/>
      <c r="M55" s="3">
        <f>WORKDAY(Table2[[#This Row],[Kickoff date]], 7)</f>
        <v>10</v>
      </c>
      <c r="N55" s="104">
        <f ca="1">NETWORKDAYS(Table2[[#This Row],[ROM Request]], TODAY())</f>
        <v>32751</v>
      </c>
      <c r="P55" s="3">
        <f>WORKDAY(Table2[[#This Row],[ROM Request]], 10)</f>
        <v>13</v>
      </c>
      <c r="Q55" s="104">
        <f ca="1">NETWORKDAYS(Table2[[#This Row],[ROM Receive]], TODAY())</f>
        <v>32751</v>
      </c>
      <c r="S55" s="3">
        <f>WORKDAY(Table2[[#This Row],[ROM Receive Forecast]], 15)</f>
        <v>34</v>
      </c>
      <c r="T55" s="104">
        <f ca="1">NETWORKDAYS(Table2[[#This Row],[Backhaul Cost Request]], TODAY())</f>
        <v>32751</v>
      </c>
      <c r="V55" s="3">
        <f>WORKDAY(Table2[[#This Row],[Backhaul Cost Request Forecast]], 15)</f>
        <v>55</v>
      </c>
      <c r="W55" s="104">
        <f ca="1">NETWORKDAYS(Table2[[#This Row],[Backhaul Cost Receive]], TODAY())</f>
        <v>32751</v>
      </c>
      <c r="X55">
        <f>Table2[[#This Row],[Kickoff date]]</f>
        <v>0</v>
      </c>
      <c r="Y55" s="3">
        <f>WORKDAY(Table2[[#This Row],[Backhaul Cost Request Forecast]], 7)</f>
        <v>45</v>
      </c>
      <c r="Z55" s="104">
        <f ca="1">NETWORKDAYS(Table2[[#This Row],[OSP Request]], TODAY())</f>
        <v>32751</v>
      </c>
      <c r="AB55" s="3">
        <f>WORKDAY(Table2[[#This Row],[OSP Request Forecast]], 10)</f>
        <v>59</v>
      </c>
      <c r="AC55" s="104">
        <f ca="1">NETWORKDAYS(Table2[[#This Row],[OSP Receive]], TODAY())</f>
        <v>32751</v>
      </c>
      <c r="AD55">
        <f>Table2[[#This Row],[Kickoff date]]</f>
        <v>0</v>
      </c>
      <c r="AE55" s="3">
        <f>WORKDAY(Table2[[#This Row],[Kickoff date]], 7)</f>
        <v>10</v>
      </c>
      <c r="AF55" s="104">
        <f ca="1">NETWORKDAYS(Table2[[#This Row],[FM Request]], TODAY())</f>
        <v>32751</v>
      </c>
      <c r="AH55" s="3">
        <f>WORKDAY(Table2[[#This Row],[FM Request Forecast ]], 2)</f>
        <v>12</v>
      </c>
      <c r="AI55" s="104">
        <f ca="1">NETWORKDAYS(Table2[[#This Row],[FM receive]], TODAY())</f>
        <v>32751</v>
      </c>
      <c r="AK55" s="3">
        <f>WORKDAY(Table2[[#This Row],[FM Receive Forecast ]], 2)</f>
        <v>16</v>
      </c>
      <c r="AO55" s="3">
        <f>WORKDAY(Table2[[#This Row],[1-pager Submission to BD]], 7)</f>
        <v>10</v>
      </c>
      <c r="AP55" s="103">
        <f ca="1">IF(ISBLANK(Table2[[#This Row],[Firm Pricing request]]), NETWORKDAYS(Table2[[#This Row],[Proposal Accepted]], TODAY()), NETWORKDAYS(Table2[[#This Row],[Proposal Accepted]], Table2[[#This Row],[Firm Pricing request]]))</f>
        <v>32751</v>
      </c>
      <c r="AR55" s="3">
        <f>WORKDAY(Table2[[#This Row],[Proposal Acceptance Forecast]], 7)</f>
        <v>19</v>
      </c>
      <c r="AS55" s="103">
        <f ca="1">NETWORKDAYS(Table2[[#This Row],[Firm Pricing request]], TODAY())</f>
        <v>32751</v>
      </c>
      <c r="AU55" s="3">
        <f>WORKDAY(Table2[[#This Row],[Firm Pricing Request Forecast]], 7)</f>
        <v>30</v>
      </c>
      <c r="AV55" s="103">
        <f ca="1">NETWORKDAYS(Table2[[#This Row],[Site Walk]], TODAY())</f>
        <v>32751</v>
      </c>
      <c r="AX55" s="3">
        <f>WORKDAY(Table2[[#This Row],[Site Walk Forecast]], 7)</f>
        <v>39</v>
      </c>
      <c r="AY55" s="103">
        <f ca="1">NETWORKDAYS(Table2[[#This Row],[Firm Quote Receival]], TODAY())</f>
        <v>32751</v>
      </c>
      <c r="BA55" s="3">
        <f>WORKDAY(Table2[[#This Row],[Firm Quote Receival Forecast ]], 7)</f>
        <v>48</v>
      </c>
      <c r="BB55" s="103">
        <f ca="1">NETWORKDAYS(Table2[[#This Row],[Final Design &amp; BOM(20 calendar days from site walk)]], TODAY())</f>
        <v>32751</v>
      </c>
      <c r="BD55" s="3">
        <f>WORKDAY(Table2[[#This Row],[Final Design &amp; BOM Forecast ]], 7)</f>
        <v>59</v>
      </c>
      <c r="BE55" s="103">
        <f ca="1">NETWORKDAYS(Table2[[#This Row],[FM Request 2]], TODAY())</f>
        <v>32751</v>
      </c>
      <c r="BG55" s="3">
        <f>WORKDAY(Table2[[#This Row],[FM Request 2 Forecast]], 7)</f>
        <v>68</v>
      </c>
      <c r="BH55" s="103"/>
      <c r="BJ55" s="3">
        <f>WORKDAY(Table2[[#This Row],[FM Review 2 Forecast]], 7)</f>
        <v>79</v>
      </c>
      <c r="BK55" s="103">
        <f ca="1">NETWORKDAYS(Table2[[#This Row],[Tax Review]], TODAY())</f>
        <v>32751</v>
      </c>
      <c r="BM55" s="3">
        <f>WORKDAY(Table2[[#This Row],[Tax Review]], 7)</f>
        <v>10</v>
      </c>
      <c r="BN55" s="103">
        <f ca="1">NETWORKDAYS(Table2[[#This Row],[Tax Approval]], TODAY())</f>
        <v>32751</v>
      </c>
      <c r="BP55" s="3">
        <f>WORKDAY(Table2[[#This Row],[Tax Approval Forecast]], 7)</f>
        <v>19</v>
      </c>
      <c r="BQ55" s="103">
        <f ca="1">NETWORKDAYS(Table2[[#This Row],[Final proposal submission]], TODAY())</f>
        <v>32751</v>
      </c>
      <c r="BT55" s="3">
        <f>WORKDAY(Table2[[#This Row],[Final Proposal Submission Forecast]], 7)</f>
        <v>30</v>
      </c>
      <c r="BU55" s="103">
        <f ca="1">NETWORKDAYS(Table2[[#This Row],[BD submits proposal]], TODAY())</f>
        <v>32751</v>
      </c>
      <c r="BW55" s="3">
        <f>WORKDAY(Table2[[#This Row],[BD Submits Proposal Forecast]], 7)</f>
        <v>39</v>
      </c>
      <c r="BX55" s="103">
        <f ca="1">NETWORKDAYS(Table2[[#This Row],[Final Proposal Accepted]], TODAY())</f>
        <v>32751</v>
      </c>
      <c r="BZ55" s="3">
        <f>WORKDAY(Table2[[#This Row],[Final Proposal Accepted]], 90)</f>
        <v>125</v>
      </c>
      <c r="CA55" s="103">
        <f ca="1">NETWORKDAYS(Table2[[#This Row],[Legal Agreement]], TODAY())</f>
        <v>32751</v>
      </c>
      <c r="CC55" s="3">
        <f>WORKDAY(Table2[[#This Row],[Legal Agreement Forecast]], 10)</f>
        <v>139</v>
      </c>
      <c r="CD55" s="103">
        <f ca="1">NETWORKDAYS(Table2[[#This Row],[Executed Agreement]], TODAY())</f>
        <v>32751</v>
      </c>
      <c r="CG55" s="103"/>
      <c r="CH55" s="3"/>
      <c r="CI55" s="3">
        <f>WORKDAY(Table2[[#This Row],[Executed Agreement]], 7)</f>
        <v>10</v>
      </c>
      <c r="CJ55" s="103">
        <f ca="1">NETWORKDAYS(Table2[[#This Row],[A&amp;E Request]], TODAY())</f>
        <v>32751</v>
      </c>
      <c r="CL55" s="3">
        <f>WORKDAY(Table2[[#This Row],[A&amp;E Request Forecast]], 10)</f>
        <v>24</v>
      </c>
      <c r="CM55" s="103">
        <f ca="1">NETWORKDAYS(Table2[[#This Row],[A&amp;E receive]], TODAY())</f>
        <v>32751</v>
      </c>
      <c r="CO55" s="3">
        <f>WORKDAY(Table2[[#This Row],[FM Approval meeting ]], 10)</f>
        <v>13</v>
      </c>
      <c r="CP55" s="103">
        <f ca="1">NETWORKDAYS(Table2[[#This Row],[Budget Request]], TODAY())</f>
        <v>32751</v>
      </c>
      <c r="CR55" s="3">
        <f>WORKDAY(Table2[[#This Row],[Budget Request Forecast]], 7)</f>
        <v>24</v>
      </c>
      <c r="CS55" s="103">
        <f ca="1">NETWORKDAYS(Table2[[#This Row],[Budget Approval]], TODAY())</f>
        <v>32751</v>
      </c>
      <c r="CV55" s="3">
        <f>WORKDAY(Table2[[#This Row],[Budget Approval Forecast ]], 7)</f>
        <v>33</v>
      </c>
      <c r="CW55" s="103">
        <f ca="1">NETWORKDAYS(Table2[[#This Row],[PO Request for OEM ]], TODAY())</f>
        <v>32751</v>
      </c>
      <c r="CY55" s="3">
        <f>WORKDAY(Table2[[#This Row],[PO Request for OEM Forecast]], 10)</f>
        <v>47</v>
      </c>
      <c r="CZ55" s="103">
        <f ca="1">NETWORKDAYS(Table2[[#This Row],[PO Approval]], TODAY())</f>
        <v>32751</v>
      </c>
      <c r="DB55" s="3">
        <f>WORKDAY(Table2[[#This Row],[PO Approval Forecast]], 10)</f>
        <v>61</v>
      </c>
      <c r="DC55" s="103">
        <f ca="1">NETWORKDAYS(Table2[[#This Row],[backhaul ordered]], TODAY())</f>
        <v>32751</v>
      </c>
      <c r="DE55" s="3">
        <f>WORKDAY(Table2[[#This Row],[Backhaul Order Forecast]], 10)</f>
        <v>75</v>
      </c>
      <c r="DF55" s="103">
        <f ca="1">NETWORKDAYS(Table2[[#This Row],[RTP Request]], TODAY())</f>
        <v>32751</v>
      </c>
      <c r="DG55" s="3"/>
      <c r="DH55" s="3">
        <f>WORKDAY(Table2[[#This Row],[RTP Request Forecast]], 10)</f>
        <v>89</v>
      </c>
      <c r="DI55" s="103">
        <f ca="1">NETWORKDAYS(Table2[[#This Row],[RTP Approved]], TODAY())</f>
        <v>32751</v>
      </c>
      <c r="DK55" s="3">
        <f>WORKDAY(Table2[[#This Row],[RTP Approval Forecast ]], 7)</f>
        <v>100</v>
      </c>
      <c r="DL55" s="103">
        <f ca="1">NETWORKDAYS(Table2[[#This Row],[RFP Request]], TODAY())</f>
        <v>32751</v>
      </c>
      <c r="DN55" s="3">
        <f>WORKDAY(Table2[[#This Row],[RFP Request Forecast ]], 10)</f>
        <v>114</v>
      </c>
      <c r="DO55" s="103">
        <f ca="1">NETWORKDAYS(Table2[[#This Row],[RFP Received]], TODAY())</f>
        <v>32751</v>
      </c>
      <c r="DQ55" s="3">
        <f>WORKDAY(Table2[[#This Row],[RFP Received Forecast ]], 7)</f>
        <v>123</v>
      </c>
      <c r="DR55" s="103">
        <f ca="1">NETWORKDAYS(Table2[[#This Row],[PO for GC Request]], TODAY())</f>
        <v>32751</v>
      </c>
      <c r="DT55" s="3">
        <f>WORKDAY(Table2[[#This Row],[PO for GC Request Forecast ]], 7)</f>
        <v>132</v>
      </c>
      <c r="DU55" s="103">
        <f ca="1">NETWORKDAYS(Table2[[#This Row],[PO for GC Approved]], TODAY())</f>
        <v>32751</v>
      </c>
      <c r="DW55" s="3">
        <f>WORKDAY(Table2[[#This Row],[PO for GC Approval Forecast ]], 10)</f>
        <v>146</v>
      </c>
      <c r="DX55" s="103">
        <f ca="1">NETWORKDAYS(Table2[[#This Row],[Construction Start]], TODAY())</f>
        <v>32751</v>
      </c>
      <c r="DZ55" s="3">
        <f>WORKDAY(Table2[[#This Row],[Construction Start Forecast ]], 20)</f>
        <v>174</v>
      </c>
      <c r="EA55" s="103">
        <f ca="1">NETWORKDAYS(Table2[[#This Row],[Construction Complete]], TODAY())</f>
        <v>32751</v>
      </c>
      <c r="ED55" s="3">
        <f>WORKDAY(Table2[[#This Row],[Construction Complete Forecast ]], 10)</f>
        <v>188</v>
      </c>
      <c r="EE55" s="103">
        <f ca="1">NETWORKDAYS(Table2[[#This Row],[Integration Start]], TODAY())</f>
        <v>32751</v>
      </c>
      <c r="EF55" s="3"/>
      <c r="EG55" s="3">
        <f>WORKDAY(Table2[[#This Row],[Integration Start Forecast ]], 10)</f>
        <v>202</v>
      </c>
      <c r="EH55" s="103">
        <f ca="1">NETWORKDAYS(Table2[[#This Row],[Integration Complete]], TODAY())</f>
        <v>32751</v>
      </c>
      <c r="EJ55" s="3">
        <f>WORKDAY(Table2[[#This Row],[Integration Complete Forecast ]], 10)</f>
        <v>216</v>
      </c>
      <c r="EK55" s="103">
        <f ca="1">NETWORKDAYS(Table2[[#This Row],[Close Out Package(2weeks from integration complete]], TODAY())</f>
        <v>32751</v>
      </c>
      <c r="EM55" s="3">
        <f>WORKDAY(Table2[[#This Row],[Close Out Package Forecast ]], 10)</f>
        <v>230</v>
      </c>
      <c r="EN55" s="103">
        <f ca="1">NETWORKDAYS(Table2[[#This Row],[Acceptance testing 2 weeks from close out package)]], TODAY())</f>
        <v>32751</v>
      </c>
      <c r="EP55" s="3">
        <f>WORKDAY(Table2[[#This Row],[Acceptance Testing Forecast ]], 20)</f>
        <v>258</v>
      </c>
      <c r="EQ55" s="103">
        <f ca="1">NETWORKDAYS(Table2[[#This Row],[Customer acceptance(1 month after acceptance testing)]], TODAY())</f>
        <v>32751</v>
      </c>
      <c r="ES55" s="3">
        <f>WORKDAY(Table2[[#This Row],[Customer Acceptance Forecast ]], 5)</f>
        <v>265</v>
      </c>
      <c r="ET55" s="103">
        <f ca="1">NETWORKDAYS(Table2[[#This Row],[Operations handoff(1 week after customer acceptance)]], TODAY())</f>
        <v>32751</v>
      </c>
      <c r="EV55" s="3">
        <f>WORKDAY(Table2[[#This Row],[Operations Handoff Forecast ]], 7)</f>
        <v>276</v>
      </c>
      <c r="EW55" s="103">
        <f ca="1">NETWORKDAYS(Table2[[#This Row],[FNE Date]], TODAY())</f>
        <v>32751</v>
      </c>
      <c r="EY55" s="3">
        <f>WORKDAY(Table2[[#This Row],[FNE Date Forecast ]], 7)</f>
        <v>285</v>
      </c>
      <c r="EZ55" s="103">
        <f ca="1">NETWORKDAYS(Table2[[#This Row],[FNE Notice]], TODAY())</f>
        <v>32751</v>
      </c>
    </row>
    <row r="56" spans="1:158" ht="15" customHeight="1" x14ac:dyDescent="0.25">
      <c r="A56" t="s">
        <v>386</v>
      </c>
      <c r="I56">
        <f>SUBTOTAL(103,Table2['#Units])</f>
        <v>42</v>
      </c>
      <c r="J56">
        <f>SUBTOTAL(102,Table2[Receive date])</f>
        <v>46</v>
      </c>
      <c r="O56">
        <f>SUBTOTAL(102,Table2[ROM Receive])</f>
        <v>44</v>
      </c>
      <c r="U56">
        <f>SUBTOTAL(102,Table2[Backhaul Cost Receive])</f>
        <v>43</v>
      </c>
      <c r="AA56">
        <f>SUBTOTAL(102,Table2[OSP Receive])</f>
        <v>15</v>
      </c>
      <c r="AG56">
        <f>SUBTOTAL(102,Table2[FM receive])</f>
        <v>11</v>
      </c>
      <c r="AZ56">
        <f>SUBTOTAL(102,Table2[Final Design &amp; BOM(20 calendar days from site walk)])</f>
        <v>7</v>
      </c>
      <c r="BF56">
        <f>SUBTOTAL(102,Table2[FM Review 2])</f>
        <v>6</v>
      </c>
      <c r="BL56">
        <f>SUBTOTAL(102,Table2[Tax Approval])</f>
        <v>5</v>
      </c>
      <c r="BO56">
        <f>SUBTOTAL(102,Table2[Final proposal submission])</f>
        <v>5</v>
      </c>
      <c r="BR56">
        <f>SUBTOTAL(102,Table2[CAC Presentation (If applicable)])</f>
        <v>5</v>
      </c>
      <c r="BS56">
        <f>SUBTOTAL(102,Table2[BD submits proposal])</f>
        <v>4</v>
      </c>
      <c r="BY56">
        <f>SUBTOTAL(102,Table2[Legal Agreement])</f>
        <v>0</v>
      </c>
      <c r="CB56">
        <f>SUBTOTAL(102,Table2[Executed Agreement])</f>
        <v>4</v>
      </c>
      <c r="CK56">
        <f>SUBTOTAL(102,Table2[A&amp;E receive])</f>
        <v>12</v>
      </c>
      <c r="CQ56">
        <f>SUBTOTAL(102,Table2[Budget Approval])</f>
        <v>3</v>
      </c>
      <c r="CX56">
        <f>SUBTOTAL(102,Table2[PO Approval])</f>
        <v>9</v>
      </c>
      <c r="DG56">
        <f>SUBTOTAL(102,Table2[RTP Approved])</f>
        <v>13</v>
      </c>
      <c r="DM56">
        <f>SUBTOTAL(102,Table2[RFP Received])</f>
        <v>13</v>
      </c>
      <c r="DS56">
        <f>SUBTOTAL(102,Table2[PO for GC Approved])</f>
        <v>15</v>
      </c>
      <c r="EF56">
        <f>SUBTOTAL(102,Table2[Integration Complete])</f>
        <v>10</v>
      </c>
      <c r="EI56">
        <f>SUBTOTAL(102,Table2[Close Out Package(2weeks from integration complete])</f>
        <v>4</v>
      </c>
      <c r="EL56">
        <f>SUBTOTAL(102,Table2[Acceptance testing 2 weeks from close out package)])</f>
        <v>4</v>
      </c>
      <c r="EO56">
        <f>SUBTOTAL(102,Table2[Customer acceptance(1 month after acceptance testing)])</f>
        <v>4</v>
      </c>
      <c r="ER56">
        <f>SUBTOTAL(102,Table2[Operations handoff(1 week after customer acceptance)])</f>
        <v>4</v>
      </c>
      <c r="EX56">
        <f>SUBTOTAL(102,Table2[FNE Notice])</f>
        <v>3</v>
      </c>
      <c r="FA56">
        <f>SUBTOTAL(102,Table2[PMDB Update])</f>
        <v>3</v>
      </c>
      <c r="FB56">
        <f>SUBTOTAL(102,Table2[Revenue Billing(PMDB)])</f>
        <v>3</v>
      </c>
    </row>
  </sheetData>
  <dataConsolidate topLabels="1">
    <dataRefs count="2">
      <dataRef ref="A1:BN1" sheet="Prototype Tracker"/>
      <dataRef ref="A2:BN2" sheet="Prototype Tracker"/>
    </dataRefs>
  </dataConsolidate>
  <mergeCells count="2">
    <mergeCell ref="CH1:FB1"/>
    <mergeCell ref="A1:CB1"/>
  </mergeCells>
  <phoneticPr fontId="37" type="noConversion"/>
  <conditionalFormatting sqref="ER4:ER55">
    <cfRule type="expression" dxfId="769" priority="322" stopIfTrue="1">
      <formula>ER4=IF(NETWORKDAYS(EO4,ER4)&lt;7, ER4, 0)</formula>
    </cfRule>
    <cfRule type="expression" dxfId="768" priority="323" stopIfTrue="1">
      <formula>ER4=IF(NETWORKDAYS(EO4,ER4)=7, ER4, 0)</formula>
    </cfRule>
    <cfRule type="expression" dxfId="767" priority="324" stopIfTrue="1">
      <formula>ER4=IF(NETWORKDAYS(EO4,ER4)&gt;7, ER4, 0)</formula>
    </cfRule>
  </conditionalFormatting>
  <conditionalFormatting sqref="J4:J55">
    <cfRule type="expression" dxfId="766" priority="113" stopIfTrue="1">
      <formula>J4=IF(LEN(J4)=0, J4, 0)</formula>
    </cfRule>
    <cfRule type="expression" dxfId="765" priority="413" stopIfTrue="1">
      <formula>J4=IF(NETWORKDAYS(K4,AM4)=20,J4,0)</formula>
    </cfRule>
    <cfRule type="expression" dxfId="764" priority="414" stopIfTrue="1">
      <formula>J4=IF(NETWORKDAYS(K4,AM4)&gt;20,J4,0)</formula>
    </cfRule>
    <cfRule type="expression" dxfId="763" priority="415" stopIfTrue="1">
      <formula>J4=IF(NETWORKDAYS(K4,AM4)&lt;20,J4,0)</formula>
    </cfRule>
  </conditionalFormatting>
  <conditionalFormatting sqref="U4:U55">
    <cfRule type="expression" dxfId="762" priority="110" stopIfTrue="1">
      <formula>U4=IF(LEN(U4)=0,U4,0)</formula>
    </cfRule>
    <cfRule type="expression" dxfId="761" priority="395" stopIfTrue="1">
      <formula>U4=IF(NETWORKDAYS(R4,U4)&gt;15, U4, 0)</formula>
    </cfRule>
    <cfRule type="expression" dxfId="760" priority="396" stopIfTrue="1">
      <formula>U4=IF(NETWORKDAYS(R4,U4)=15, U4, 0)</formula>
    </cfRule>
    <cfRule type="expression" dxfId="759" priority="397" stopIfTrue="1">
      <formula>U4=IF(NETWORKDAYS(R4,U4)&lt;15, U4, 0)</formula>
    </cfRule>
  </conditionalFormatting>
  <conditionalFormatting sqref="CK4:CK55">
    <cfRule type="expression" dxfId="758" priority="361" stopIfTrue="1">
      <formula>CK4=IF(NETWORKDAYS(CH4,CK4)&lt;10, CK4, 0)</formula>
    </cfRule>
    <cfRule type="expression" dxfId="757" priority="362" stopIfTrue="1">
      <formula>CK4=IF(NETWORKDAYS(CH4,CK4)=10, CK4, 0)</formula>
    </cfRule>
    <cfRule type="expression" dxfId="756" priority="363" stopIfTrue="1">
      <formula>CK4=IF(NETWORKDAYS(CH4,CK4)&gt;10, CK4, 0)</formula>
    </cfRule>
  </conditionalFormatting>
  <conditionalFormatting sqref="CQ4:CQ55">
    <cfRule type="expression" dxfId="755" priority="358" stopIfTrue="1">
      <formula>CQ4=IF(NETWORKDAYS(CN4,CQ4)&lt;4, CQ4, 0)</formula>
    </cfRule>
    <cfRule type="expression" dxfId="754" priority="359" stopIfTrue="1">
      <formula>CQ4=IF(NETWORKDAYS(CN4,CQ4)=4, CQ4, 0)</formula>
    </cfRule>
    <cfRule type="expression" dxfId="753" priority="360" stopIfTrue="1">
      <formula>CQ4=IF(NETWORKDAYS(CN4,CQ4)&gt;4, CQ4, 0)</formula>
    </cfRule>
  </conditionalFormatting>
  <conditionalFormatting sqref="CX4:CX55">
    <cfRule type="expression" dxfId="752" priority="355" stopIfTrue="1">
      <formula>CX4=IF(NETWORKDAYS(CU4,CX4)&lt;4, CX4, 0)</formula>
    </cfRule>
    <cfRule type="expression" dxfId="751" priority="356" stopIfTrue="1">
      <formula>CX4=IF(NETWORKDAYS(CU4,CX4)=4, CX4, 0)</formula>
    </cfRule>
    <cfRule type="expression" dxfId="750" priority="357" stopIfTrue="1">
      <formula>CX4=IF(NETWORKDAYS(CU4,CX4)&gt;4, CX4, 0)</formula>
    </cfRule>
  </conditionalFormatting>
  <conditionalFormatting sqref="DG4:DG55">
    <cfRule type="expression" dxfId="749" priority="352" stopIfTrue="1">
      <formula>DG4=IF(NETWORKDAYS(DD4,DG4)&lt;90, DG4, 0)</formula>
    </cfRule>
    <cfRule type="expression" dxfId="748" priority="353" stopIfTrue="1">
      <formula>DG4=IF(NETWORKDAYS(DD4,DG4)=90, DG4, 0)</formula>
    </cfRule>
    <cfRule type="expression" dxfId="747" priority="354" stopIfTrue="1">
      <formula>DG4=IF(NETWORKDAYS(DD4,DG4)&gt;90, DG4, 0)</formula>
    </cfRule>
  </conditionalFormatting>
  <conditionalFormatting sqref="DM4:DM55">
    <cfRule type="expression" dxfId="746" priority="349" stopIfTrue="1">
      <formula>DM4=IF(NETWORKDAYS(DJ4,DM4)&lt;14, DM4, 0)</formula>
    </cfRule>
    <cfRule type="expression" dxfId="745" priority="350" stopIfTrue="1">
      <formula>DM4=IF(NETWORKDAYS(DJ4,DM4)=14, DM4, 0)</formula>
    </cfRule>
    <cfRule type="expression" dxfId="744" priority="351" stopIfTrue="1">
      <formula>DM4=IF(NETWORKDAYS(DJ4,DM4)&gt;14, DM4, 0)</formula>
    </cfRule>
  </conditionalFormatting>
  <conditionalFormatting sqref="DS4:DS55">
    <cfRule type="expression" dxfId="743" priority="346" stopIfTrue="1">
      <formula>DS4=IF(NETWORKDAYS(DP4,DS4)&lt;4, DS4, 0)</formula>
    </cfRule>
    <cfRule type="expression" dxfId="742" priority="347" stopIfTrue="1">
      <formula>DS4=IF(NETWORKDAYS(DP4,DS4)=4, DS4, 0)</formula>
    </cfRule>
    <cfRule type="expression" dxfId="741" priority="348" stopIfTrue="1">
      <formula>DS4=IF(NETWORKDAYS(DP4,DS4)&gt;4, DS4, 0)</formula>
    </cfRule>
  </conditionalFormatting>
  <conditionalFormatting sqref="EF4:EF55">
    <cfRule type="expression" dxfId="740" priority="343" stopIfTrue="1">
      <formula>EF4=IF(NETWORKDAYS(EC4,EF4)&lt;21, EF4, 0)</formula>
    </cfRule>
    <cfRule type="expression" dxfId="739" priority="344" stopIfTrue="1">
      <formula>EF4=IF(NETWORKDAYS(EC4,EF4)=21, EF4, 0)</formula>
    </cfRule>
    <cfRule type="expression" dxfId="738" priority="345" stopIfTrue="1">
      <formula>EF4=IF(NETWORKDAYS(EC4,EF4)&gt;21, EF4, 0)</formula>
    </cfRule>
  </conditionalFormatting>
  <conditionalFormatting sqref="EI4:EI55">
    <cfRule type="expression" dxfId="737" priority="340" stopIfTrue="1">
      <formula>EI4=IF(NETWORKDAYS(EF4,EI4)&lt;14, EI4, 0)</formula>
    </cfRule>
    <cfRule type="expression" dxfId="736" priority="341" stopIfTrue="1">
      <formula>EI4=IF(NETWORKDAYS(EF4,EI4)=14, EI4, 0)</formula>
    </cfRule>
    <cfRule type="expression" dxfId="735" priority="342" stopIfTrue="1">
      <formula>EI4=IF(NETWORKDAYS(EF4,EI4)&gt;14, EI4, 0)</formula>
    </cfRule>
  </conditionalFormatting>
  <conditionalFormatting sqref="EL4:EL55">
    <cfRule type="expression" dxfId="734" priority="337" stopIfTrue="1">
      <formula>EL4=IF(NETWORKDAYS(EI4,EL4)&lt;14, EL4, 0)</formula>
    </cfRule>
    <cfRule type="expression" dxfId="733" priority="338" stopIfTrue="1">
      <formula>EL4=IF(NETWORKDAYS(EI4,EL4)=14, EL4, 0)</formula>
    </cfRule>
    <cfRule type="expression" dxfId="732" priority="339" stopIfTrue="1">
      <formula>EL4=IF(NETWORKDAYS(EI4,EL4)&gt;14, EL4, 0)</formula>
    </cfRule>
  </conditionalFormatting>
  <conditionalFormatting sqref="EO4:EO55">
    <cfRule type="expression" dxfId="731" priority="334" stopIfTrue="1">
      <formula>EO4=IF(NETWORKDAYS(EL4,EO4)&lt;30, EO4, 0)</formula>
    </cfRule>
    <cfRule type="expression" dxfId="730" priority="335" stopIfTrue="1">
      <formula>EO4=IF(NETWORKDAYS(EL4,EO4)=30, EO4, 0)</formula>
    </cfRule>
    <cfRule type="expression" dxfId="729" priority="336" stopIfTrue="1">
      <formula>EO4=IF(NETWORKDAYS(EL4,EO4)&gt;30, EO4, 0)</formula>
    </cfRule>
  </conditionalFormatting>
  <conditionalFormatting sqref="O4:O55">
    <cfRule type="expression" dxfId="728" priority="111" stopIfTrue="1">
      <formula>O4=IF(LEN(O4)=0, O4, 0)</formula>
    </cfRule>
    <cfRule type="expression" dxfId="727" priority="398" stopIfTrue="1">
      <formula>O4=IF(NETWORKDAYS(L4,O4)&gt;10, O4, 0)</formula>
    </cfRule>
    <cfRule type="expression" dxfId="726" priority="399" stopIfTrue="1">
      <formula>O4=IF(NETWORKDAYS(L4,O4)=10, O4, 0)</formula>
    </cfRule>
    <cfRule type="expression" dxfId="725" priority="400" stopIfTrue="1">
      <formula>O4=IF(NETWORKDAYS(L4,O4)&lt;10, O4, 0)</formula>
    </cfRule>
  </conditionalFormatting>
  <conditionalFormatting sqref="Q4:Q55">
    <cfRule type="expression" dxfId="724" priority="318" stopIfTrue="1">
      <formula>Q4=IF(NETWORKDAYS(O4, TODAY())&gt;=8, Q4, 0)</formula>
    </cfRule>
    <cfRule type="expression" dxfId="723" priority="320" stopIfTrue="1">
      <formula>Q4=IF(OR(NETWORKDAYS(O4, TODAY()) = 6, NETWORKDAYS(O4, TODAY()) = 7), Q4, 0)</formula>
    </cfRule>
    <cfRule type="expression" dxfId="722" priority="321" stopIfTrue="1">
      <formula>Q4=IF(NETWORKDAYS(O4, TODAY())&lt;=5, Q4, 0)</formula>
    </cfRule>
  </conditionalFormatting>
  <conditionalFormatting sqref="T4:T55">
    <cfRule type="expression" dxfId="721" priority="315" stopIfTrue="1">
      <formula>T4=IF(NETWORKDAYS(R4, TODAY())&gt;=12, T4, 0)</formula>
    </cfRule>
    <cfRule type="expression" dxfId="720" priority="316" stopIfTrue="1">
      <formula>T4=IF(OR(NETWORKDAYS(R4, TODAY()) = 10,  NETWORKDAYS(R4, TODAY()) = 11), T4, 0)</formula>
    </cfRule>
    <cfRule type="expression" dxfId="719" priority="317" stopIfTrue="1">
      <formula>T4=IF(NETWORKDAYS(R4, TODAY())&lt;10, T4, 0)</formula>
    </cfRule>
  </conditionalFormatting>
  <conditionalFormatting sqref="N4:N55">
    <cfRule type="expression" dxfId="718" priority="312" stopIfTrue="1">
      <formula>N4=IF(NETWORKDAYS(L4, TODAY())&gt;=5, N4, 0)</formula>
    </cfRule>
    <cfRule type="expression" dxfId="717" priority="313" stopIfTrue="1">
      <formula>N4=IF(NETWORKDAYS(L4, TODAY())=4, N4, 0)</formula>
    </cfRule>
    <cfRule type="expression" dxfId="716" priority="314" stopIfTrue="1">
      <formula>N4=IF(NETWORKDAYS(L4, TODAY())&lt;4, N4, 0)</formula>
    </cfRule>
  </conditionalFormatting>
  <conditionalFormatting sqref="W4:W55">
    <cfRule type="expression" dxfId="715" priority="309" stopIfTrue="1">
      <formula>W4=IF(NETWORKDAYS(U4, TODAY())&gt;=12, W4, 0)</formula>
    </cfRule>
    <cfRule type="expression" dxfId="714" priority="310" stopIfTrue="1">
      <formula>W4=IF(OR(NETWORKDAYS(U4, TODAY()) = 10,  NETWORKDAYS(U4, TODAY()) = 11), W4, 0)</formula>
    </cfRule>
    <cfRule type="expression" dxfId="713" priority="311" stopIfTrue="1">
      <formula>W4=IF(NETWORKDAYS(U4, TODAY())&lt;10, W4, 0)</formula>
    </cfRule>
  </conditionalFormatting>
  <conditionalFormatting sqref="Z4:Z55">
    <cfRule type="expression" dxfId="712" priority="306" stopIfTrue="1">
      <formula>Z4=IF(NETWORKDAYS(X4, TODAY())&gt;=5, Z4, 0)</formula>
    </cfRule>
    <cfRule type="expression" dxfId="711" priority="307" stopIfTrue="1">
      <formula>Z4=IF(NETWORKDAYS(X4, TODAY())=4, Z4, 0)</formula>
    </cfRule>
    <cfRule type="expression" dxfId="710" priority="308" stopIfTrue="1">
      <formula>Z4=IF(NETWORKDAYS(X4, TODAY())&lt;4, Z4, 0)</formula>
    </cfRule>
  </conditionalFormatting>
  <conditionalFormatting sqref="AC4:AC55">
    <cfRule type="expression" dxfId="709" priority="303" stopIfTrue="1">
      <formula>AC4=IF(NETWORKDAYS(AA4, TODAY())&gt;=8, AC4, 0)</formula>
    </cfRule>
    <cfRule type="expression" dxfId="708" priority="304" stopIfTrue="1">
      <formula>AC4=IF(OR(NETWORKDAYS(AA4, TODAY()) = 6, NETWORKDAYS(AA4, TODAY()) = 7), AC4, 0)</formula>
    </cfRule>
    <cfRule type="expression" dxfId="707" priority="305" stopIfTrue="1">
      <formula>AC4=IF(NETWORKDAYS(AA4, TODAY())&lt;=5, AC4, 0)</formula>
    </cfRule>
  </conditionalFormatting>
  <conditionalFormatting sqref="AF4:AF55">
    <cfRule type="expression" dxfId="706" priority="300" stopIfTrue="1">
      <formula>AF4=IF(NETWORKDAYS(AD4, TODAY())&gt;=5, AF4, 0)</formula>
    </cfRule>
    <cfRule type="expression" dxfId="705" priority="301" stopIfTrue="1">
      <formula>AF4=IF(NETWORKDAYS(AD4, TODAY())=4, AF4, 0)</formula>
    </cfRule>
    <cfRule type="expression" dxfId="704" priority="302" stopIfTrue="1">
      <formula>AF4=IF(NETWORKDAYS(AD4, TODAY())&lt;4, AF4, 0)</formula>
    </cfRule>
  </conditionalFormatting>
  <conditionalFormatting sqref="AP4:AP55">
    <cfRule type="expression" dxfId="703" priority="294" stopIfTrue="1">
      <formula>AP4=IF(NETWORKDAYS(AN4, TODAY())&gt;=5, AP4, 0)</formula>
    </cfRule>
    <cfRule type="expression" dxfId="702" priority="295" stopIfTrue="1">
      <formula>AP4=IF(NETWORKDAYS(AN4, TODAY())=4, AP4, 0)</formula>
    </cfRule>
    <cfRule type="expression" dxfId="701" priority="296" stopIfTrue="1">
      <formula>AP4=IF(NETWORKDAYS(AN4, TODAY())&lt;4, AP4, 0)</formula>
    </cfRule>
  </conditionalFormatting>
  <conditionalFormatting sqref="AL4:AL55">
    <cfRule type="expression" dxfId="700" priority="112" stopIfTrue="1">
      <formula>AL4=IF(LEN(AL4)=0, AL4, 0)</formula>
    </cfRule>
    <cfRule type="expression" dxfId="699" priority="288" stopIfTrue="1">
      <formula>AL4=IF(NETWORKDAYS(AI4,AL4)&gt;2, AL4, 0)</formula>
    </cfRule>
    <cfRule type="expression" dxfId="698" priority="289" stopIfTrue="1">
      <formula>AL4=IF(NETWORKDAYS(AI4,AL4)=2, AL4, 0)</formula>
    </cfRule>
    <cfRule type="expression" dxfId="697" priority="290" stopIfTrue="1">
      <formula>AL4=IF(NETWORKDAYS(AI4,AL4)&lt;2, AL4, 0)</formula>
    </cfRule>
  </conditionalFormatting>
  <conditionalFormatting sqref="CN4:CN55">
    <cfRule type="expression" dxfId="696" priority="264" stopIfTrue="1">
      <formula>CN4=IF(NETWORKDAYS(CK4,CN4)&gt;2, CN4, 0)</formula>
    </cfRule>
    <cfRule type="expression" dxfId="695" priority="265" stopIfTrue="1">
      <formula>CN4=IF(NETWORKDAYS(CK4,CN4)=2, CN4, 0)</formula>
    </cfRule>
    <cfRule type="expression" dxfId="694" priority="266" stopIfTrue="1">
      <formula>CN4=IF(NETWORKDAYS(CK4,CN4)&lt;2, CN4, 0)</formula>
    </cfRule>
  </conditionalFormatting>
  <conditionalFormatting sqref="CT4:CT55">
    <cfRule type="expression" dxfId="693" priority="261" stopIfTrue="1">
      <formula>CT4=IF(NETWORKDAYS(CQ4,CT4)&gt;2, CT4, 0)</formula>
    </cfRule>
    <cfRule type="expression" dxfId="692" priority="262" stopIfTrue="1">
      <formula>CT4=IF(NETWORKDAYS(CQ4,CT4)=2, CT4, 0)</formula>
    </cfRule>
    <cfRule type="expression" dxfId="691" priority="263" stopIfTrue="1">
      <formula>CT4=IF(NETWORKDAYS(CQ4,CT4)&lt;2, CT4, 0)</formula>
    </cfRule>
  </conditionalFormatting>
  <conditionalFormatting sqref="CU4:CU55">
    <cfRule type="expression" dxfId="690" priority="258" stopIfTrue="1">
      <formula>CU4=IF(NETWORKDAYS(CR4,CU4)&gt;2, CU4, 0)</formula>
    </cfRule>
    <cfRule type="expression" dxfId="689" priority="259" stopIfTrue="1">
      <formula>CU4=IF(NETWORKDAYS(CR4,CU4)=2, CU4, 0)</formula>
    </cfRule>
    <cfRule type="expression" dxfId="688" priority="260" stopIfTrue="1">
      <formula>CU4=IF(NETWORKDAYS(CR4,CU4)&lt;2, CU4, 0)</formula>
    </cfRule>
  </conditionalFormatting>
  <conditionalFormatting sqref="DA4:DA55">
    <cfRule type="expression" dxfId="687" priority="255" stopIfTrue="1">
      <formula>DA4=IF(NETWORKDAYS(CX4,DA4)&gt;2, DA4, 0)</formula>
    </cfRule>
    <cfRule type="expression" dxfId="686" priority="256" stopIfTrue="1">
      <formula>DA4=IF(NETWORKDAYS(CX4,DA4)=2, DA4, 0)</formula>
    </cfRule>
    <cfRule type="expression" dxfId="685" priority="257" stopIfTrue="1">
      <formula>DA4=IF(NETWORKDAYS(CX4,DA4)&lt;2, DA4, 0)</formula>
    </cfRule>
  </conditionalFormatting>
  <conditionalFormatting sqref="DD4:DD55">
    <cfRule type="expression" dxfId="684" priority="252" stopIfTrue="1">
      <formula>DD4=IF(NETWORKDAYS(DA4,DD4)&gt;2, DD4, 0)</formula>
    </cfRule>
    <cfRule type="expression" dxfId="683" priority="253" stopIfTrue="1">
      <formula>DD4=IF(NETWORKDAYS(DA4,DD4)=2, DD4, 0)</formula>
    </cfRule>
    <cfRule type="expression" dxfId="682" priority="254" stopIfTrue="1">
      <formula>DD4=IF(NETWORKDAYS(DA4,DD4)&lt;2, DD4, 0)</formula>
    </cfRule>
  </conditionalFormatting>
  <conditionalFormatting sqref="DJ4:DJ55">
    <cfRule type="expression" dxfId="681" priority="249" stopIfTrue="1">
      <formula>DJ4=IF(NETWORKDAYS(DG4,DJ4)&gt;2, DJ4, 0)</formula>
    </cfRule>
    <cfRule type="expression" dxfId="680" priority="250" stopIfTrue="1">
      <formula>DJ4=IF(NETWORKDAYS(DG4,DJ4)=2, DJ4, 0)</formula>
    </cfRule>
    <cfRule type="expression" dxfId="679" priority="251" stopIfTrue="1">
      <formula>DJ4=IF(NETWORKDAYS(DG4,DJ4)&lt;2, DJ4, 0)</formula>
    </cfRule>
  </conditionalFormatting>
  <conditionalFormatting sqref="DP4:DP55">
    <cfRule type="expression" dxfId="678" priority="246" stopIfTrue="1">
      <formula>DP4=IF(NETWORKDAYS(DM4,DP4)&gt;2, DP4, 0)</formula>
    </cfRule>
    <cfRule type="expression" dxfId="677" priority="247" stopIfTrue="1">
      <formula>DP4=IF(NETWORKDAYS(DM4,DP4)=2, DP4, 0)</formula>
    </cfRule>
    <cfRule type="expression" dxfId="676" priority="248" stopIfTrue="1">
      <formula>DP4=IF(NETWORKDAYS(DM4,DP4)&lt;2, DP4, 0)</formula>
    </cfRule>
  </conditionalFormatting>
  <conditionalFormatting sqref="DV4:DV55">
    <cfRule type="expression" dxfId="675" priority="243" stopIfTrue="1">
      <formula>DV4=IF(NETWORKDAYS(DS4,DV4)&gt;2, DV4, 0)</formula>
    </cfRule>
    <cfRule type="expression" dxfId="674" priority="244" stopIfTrue="1">
      <formula>DV4=IF(NETWORKDAYS(DS4,DV4)=2, DV4, 0)</formula>
    </cfRule>
    <cfRule type="expression" dxfId="673" priority="245" stopIfTrue="1">
      <formula>DV4=IF(NETWORKDAYS(DS4,DV4)&lt;2, DV4, 0)</formula>
    </cfRule>
  </conditionalFormatting>
  <conditionalFormatting sqref="DY4:DY55">
    <cfRule type="expression" dxfId="672" priority="240" stopIfTrue="1">
      <formula>DY4=IF(NETWORKDAYS(DV4,DY4)&gt;2, DY4, 0)</formula>
    </cfRule>
    <cfRule type="expression" dxfId="671" priority="241" stopIfTrue="1">
      <formula>DY4=IF(NETWORKDAYS(DV4,DY4)=2, DY4, 0)</formula>
    </cfRule>
    <cfRule type="expression" dxfId="670" priority="242" stopIfTrue="1">
      <formula>DY4=IF(NETWORKDAYS(DV4,DY4)&lt;2, DY4, 0)</formula>
    </cfRule>
  </conditionalFormatting>
  <conditionalFormatting sqref="EB4:EB55">
    <cfRule type="expression" dxfId="669" priority="237" stopIfTrue="1">
      <formula>EB4=IF(NETWORKDAYS(DY4,EB4)&gt;2, EB4, 0)</formula>
    </cfRule>
    <cfRule type="expression" dxfId="668" priority="238" stopIfTrue="1">
      <formula>EB4=IF(NETWORKDAYS(DY4,EB4)=2, EB4, 0)</formula>
    </cfRule>
    <cfRule type="expression" dxfId="667" priority="239" stopIfTrue="1">
      <formula>EB4=IF(NETWORKDAYS(DY4,EB4)&lt;2, EB4, 0)</formula>
    </cfRule>
  </conditionalFormatting>
  <conditionalFormatting sqref="EC4:EC55">
    <cfRule type="expression" dxfId="666" priority="234" stopIfTrue="1">
      <formula>EC4=IF(NETWORKDAYS(DZ4,EC4)&gt;2, EC4, 0)</formula>
    </cfRule>
    <cfRule type="expression" dxfId="665" priority="235" stopIfTrue="1">
      <formula>EC4=IF(NETWORKDAYS(DZ4,EC4)=2, EC4, 0)</formula>
    </cfRule>
    <cfRule type="expression" dxfId="664" priority="236" stopIfTrue="1">
      <formula>EC4=IF(NETWORKDAYS(DZ4,EC4)&lt;2, EC4, 0)</formula>
    </cfRule>
  </conditionalFormatting>
  <conditionalFormatting sqref="AS4:AS55">
    <cfRule type="expression" dxfId="663" priority="225" stopIfTrue="1">
      <formula>AS4=IF(NETWORKDAYS(AQ4, TODAY())&gt;=5, AS4, 0)</formula>
    </cfRule>
    <cfRule type="expression" dxfId="662" priority="226" stopIfTrue="1">
      <formula>AS4=IF(NETWORKDAYS(AQ4, TODAY())=4, AS4, 0)</formula>
    </cfRule>
    <cfRule type="expression" dxfId="661" priority="227" stopIfTrue="1">
      <formula>AS4=IF(NETWORKDAYS(AQ4, TODAY())&lt;4, AS4, 0)</formula>
    </cfRule>
  </conditionalFormatting>
  <conditionalFormatting sqref="AV4:AV55">
    <cfRule type="expression" dxfId="660" priority="222" stopIfTrue="1">
      <formula>AV4=IF(NETWORKDAYS(AT4, TODAY())&gt;=5, AV4, 0)</formula>
    </cfRule>
    <cfRule type="expression" dxfId="659" priority="223" stopIfTrue="1">
      <formula>AV4=IF(NETWORKDAYS(AT4, TODAY())=4, AV4, 0)</formula>
    </cfRule>
    <cfRule type="expression" dxfId="658" priority="224" stopIfTrue="1">
      <formula>AV4=IF(NETWORKDAYS(AT4, TODAY())&lt;4, AV4, 0)</formula>
    </cfRule>
  </conditionalFormatting>
  <conditionalFormatting sqref="AY4:AY55">
    <cfRule type="expression" dxfId="657" priority="219" stopIfTrue="1">
      <formula>AY4=IF(NETWORKDAYS(AW4, TODAY())&gt;=5, AY4, 0)</formula>
    </cfRule>
    <cfRule type="expression" dxfId="656" priority="220" stopIfTrue="1">
      <formula>AY4=IF(NETWORKDAYS(AW4, TODAY())=4, AY4, 0)</formula>
    </cfRule>
    <cfRule type="expression" dxfId="655" priority="221" stopIfTrue="1">
      <formula>AY4=IF(NETWORKDAYS(AW4, TODAY())&lt;4, AY4, 0)</formula>
    </cfRule>
  </conditionalFormatting>
  <conditionalFormatting sqref="BB4:BB55">
    <cfRule type="expression" dxfId="654" priority="216" stopIfTrue="1">
      <formula>BB4=IF(NETWORKDAYS(AZ4, TODAY())&gt;=5, BB4, 0)</formula>
    </cfRule>
    <cfRule type="expression" dxfId="653" priority="217" stopIfTrue="1">
      <formula>BB4=IF(NETWORKDAYS(AZ4, TODAY())=4, BB4, 0)</formula>
    </cfRule>
    <cfRule type="expression" dxfId="652" priority="218" stopIfTrue="1">
      <formula>BB4=IF(NETWORKDAYS(AZ4, TODAY())&lt;4, BB4, 0)</formula>
    </cfRule>
  </conditionalFormatting>
  <conditionalFormatting sqref="BE4:BE55">
    <cfRule type="expression" dxfId="651" priority="213" stopIfTrue="1">
      <formula>BE4=IF(NETWORKDAYS(BC4, TODAY())&gt;=5, BE4, 0)</formula>
    </cfRule>
    <cfRule type="expression" dxfId="650" priority="214" stopIfTrue="1">
      <formula>BE4=IF(NETWORKDAYS(BC4, TODAY())=4, BE4, 0)</formula>
    </cfRule>
    <cfRule type="expression" dxfId="649" priority="215" stopIfTrue="1">
      <formula>BE4=IF(NETWORKDAYS(BC4, TODAY())&lt;4, BE4, 0)</formula>
    </cfRule>
  </conditionalFormatting>
  <conditionalFormatting sqref="BH4:BH55">
    <cfRule type="expression" dxfId="648" priority="210" stopIfTrue="1">
      <formula>BH4=IF(NETWORKDAYS(BF4, TODAY())&gt;=5, BH4, 0)</formula>
    </cfRule>
    <cfRule type="expression" dxfId="647" priority="211" stopIfTrue="1">
      <formula>BH4=IF(NETWORKDAYS(BF4, TODAY())=4, BH4, 0)</formula>
    </cfRule>
    <cfRule type="expression" dxfId="646" priority="212" stopIfTrue="1">
      <formula>BH4=IF(NETWORKDAYS(BF4, TODAY())&lt;4, BH4, 0)</formula>
    </cfRule>
  </conditionalFormatting>
  <conditionalFormatting sqref="BK4:BK55">
    <cfRule type="expression" dxfId="645" priority="207" stopIfTrue="1">
      <formula>BK4=IF(NETWORKDAYS(BI4, TODAY())&gt;=5, BK4, 0)</formula>
    </cfRule>
    <cfRule type="expression" dxfId="644" priority="208" stopIfTrue="1">
      <formula>BK4=IF(NETWORKDAYS(BI4, TODAY())=4, BK4, 0)</formula>
    </cfRule>
    <cfRule type="expression" dxfId="643" priority="209" stopIfTrue="1">
      <formula>BK4=IF(NETWORKDAYS(BI4, TODAY())&lt;4, BK4, 0)</formula>
    </cfRule>
  </conditionalFormatting>
  <conditionalFormatting sqref="BN4:BN55">
    <cfRule type="expression" dxfId="642" priority="204" stopIfTrue="1">
      <formula>BN4=IF(NETWORKDAYS(BL4, TODAY())&gt;=5, BN4, 0)</formula>
    </cfRule>
    <cfRule type="expression" dxfId="641" priority="205" stopIfTrue="1">
      <formula>BN4=IF(NETWORKDAYS(BL4, TODAY())=4, BN4, 0)</formula>
    </cfRule>
    <cfRule type="expression" dxfId="640" priority="206" stopIfTrue="1">
      <formula>BN4=IF(NETWORKDAYS(BL4, TODAY())&lt;4, BN4, 0)</formula>
    </cfRule>
  </conditionalFormatting>
  <conditionalFormatting sqref="BQ4:BQ55">
    <cfRule type="expression" dxfId="639" priority="201" stopIfTrue="1">
      <formula>BQ4=IF(NETWORKDAYS(BO4, TODAY())&gt;=5, BQ4, 0)</formula>
    </cfRule>
    <cfRule type="expression" dxfId="638" priority="202" stopIfTrue="1">
      <formula>BQ4=IF(NETWORKDAYS(BO4, TODAY())=4, BQ4, 0)</formula>
    </cfRule>
    <cfRule type="expression" dxfId="637" priority="203" stopIfTrue="1">
      <formula>BQ4=IF(NETWORKDAYS(BO4, TODAY())&lt;4, BQ4, 0)</formula>
    </cfRule>
  </conditionalFormatting>
  <conditionalFormatting sqref="BU4:BU55">
    <cfRule type="expression" dxfId="636" priority="198" stopIfTrue="1">
      <formula>BU4=IF(NETWORKDAYS(BS4, TODAY())&gt;=5, BU4, 0)</formula>
    </cfRule>
    <cfRule type="expression" dxfId="635" priority="199" stopIfTrue="1">
      <formula>BU4=IF(NETWORKDAYS(BS4, TODAY())=4, BU4, 0)</formula>
    </cfRule>
    <cfRule type="expression" dxfId="634" priority="200" stopIfTrue="1">
      <formula>BU4=IF(NETWORKDAYS(BS4, TODAY())&lt;4, BU4, 0)</formula>
    </cfRule>
  </conditionalFormatting>
  <conditionalFormatting sqref="BX4:BX55">
    <cfRule type="expression" dxfId="633" priority="195" stopIfTrue="1">
      <formula>BX4=IF(NETWORKDAYS(BV4, TODAY())&gt;=5, BX4, 0)</formula>
    </cfRule>
    <cfRule type="expression" dxfId="632" priority="196" stopIfTrue="1">
      <formula>BX4=IF(NETWORKDAYS(BV4, TODAY())=4, BX4, 0)</formula>
    </cfRule>
    <cfRule type="expression" dxfId="631" priority="197" stopIfTrue="1">
      <formula>BX4=IF(NETWORKDAYS(BV4, TODAY())&lt;4, BX4, 0)</formula>
    </cfRule>
  </conditionalFormatting>
  <conditionalFormatting sqref="CA4:CA55">
    <cfRule type="expression" dxfId="630" priority="192" stopIfTrue="1">
      <formula>CA4=IF(NETWORKDAYS(BY4, TODAY())&gt;=5, CA4, 0)</formula>
    </cfRule>
    <cfRule type="expression" dxfId="629" priority="193" stopIfTrue="1">
      <formula>CA4=IF(NETWORKDAYS(BY4, TODAY())=4, CA4, 0)</formula>
    </cfRule>
    <cfRule type="expression" dxfId="628" priority="194" stopIfTrue="1">
      <formula>CA4=IF(NETWORKDAYS(BY4, TODAY())&lt;4, CA4, 0)</formula>
    </cfRule>
  </conditionalFormatting>
  <conditionalFormatting sqref="CD4:CD55">
    <cfRule type="expression" dxfId="627" priority="189" stopIfTrue="1">
      <formula>CD4=IF(NETWORKDAYS(CB4, TODAY())&gt;=5, CD4, 0)</formula>
    </cfRule>
    <cfRule type="expression" dxfId="626" priority="190" stopIfTrue="1">
      <formula>CD4=IF(NETWORKDAYS(CB4, TODAY())=4, CD4, 0)</formula>
    </cfRule>
    <cfRule type="expression" dxfId="625" priority="191" stopIfTrue="1">
      <formula>CD4=IF(NETWORKDAYS(CB4, TODAY())&lt;4, CD4, 0)</formula>
    </cfRule>
  </conditionalFormatting>
  <conditionalFormatting sqref="CJ4:CJ55">
    <cfRule type="expression" dxfId="624" priority="186" stopIfTrue="1">
      <formula>CJ4=IF(NETWORKDAYS(CH4, TODAY())&gt;=5, CJ4, 0)</formula>
    </cfRule>
    <cfRule type="expression" dxfId="623" priority="187" stopIfTrue="1">
      <formula>CJ4=IF(NETWORKDAYS(CH4, TODAY())=4, CJ4, 0)</formula>
    </cfRule>
    <cfRule type="expression" dxfId="622" priority="188" stopIfTrue="1">
      <formula>CJ4=IF(NETWORKDAYS(CH4, TODAY())&lt;4, CJ4, 0)</formula>
    </cfRule>
  </conditionalFormatting>
  <conditionalFormatting sqref="CM4:CM55">
    <cfRule type="expression" dxfId="621" priority="183" stopIfTrue="1">
      <formula>CM4=IF(NETWORKDAYS(CK4, TODAY())&gt;=5, CM4, 0)</formula>
    </cfRule>
    <cfRule type="expression" dxfId="620" priority="184" stopIfTrue="1">
      <formula>CM4=IF(NETWORKDAYS(CK4, TODAY())=4, CM4, 0)</formula>
    </cfRule>
    <cfRule type="expression" dxfId="619" priority="185" stopIfTrue="1">
      <formula>CM4=IF(NETWORKDAYS(CK4, TODAY())&lt;4, CM4, 0)</formula>
    </cfRule>
  </conditionalFormatting>
  <conditionalFormatting sqref="CP4:CP55">
    <cfRule type="expression" dxfId="618" priority="180" stopIfTrue="1">
      <formula>CP4=IF(NETWORKDAYS(CN4, TODAY())&gt;=5, CP4, 0)</formula>
    </cfRule>
    <cfRule type="expression" dxfId="617" priority="181" stopIfTrue="1">
      <formula>CP4=IF(NETWORKDAYS(CN4, TODAY())=4, CP4, 0)</formula>
    </cfRule>
    <cfRule type="expression" dxfId="616" priority="182" stopIfTrue="1">
      <formula>CP4=IF(NETWORKDAYS(CN4, TODAY())&lt;4, CP4, 0)</formula>
    </cfRule>
  </conditionalFormatting>
  <conditionalFormatting sqref="CS4:CS55">
    <cfRule type="expression" dxfId="615" priority="177" stopIfTrue="1">
      <formula>CS4=IF(NETWORKDAYS(CQ4, TODAY())&gt;=5, CS4, 0)</formula>
    </cfRule>
    <cfRule type="expression" dxfId="614" priority="178" stopIfTrue="1">
      <formula>CS4=IF(NETWORKDAYS(CQ4, TODAY())=4, CS4, 0)</formula>
    </cfRule>
    <cfRule type="expression" dxfId="613" priority="179" stopIfTrue="1">
      <formula>CS4=IF(NETWORKDAYS(CQ4, TODAY())&lt;4, CS4, 0)</formula>
    </cfRule>
  </conditionalFormatting>
  <conditionalFormatting sqref="CW4:CW55">
    <cfRule type="expression" dxfId="612" priority="174" stopIfTrue="1">
      <formula>CW4=IF(NETWORKDAYS(CU4, TODAY())&gt;=5, CW4, 0)</formula>
    </cfRule>
    <cfRule type="expression" dxfId="611" priority="175" stopIfTrue="1">
      <formula>CW4=IF(NETWORKDAYS(CU4, TODAY())=4, CW4, 0)</formula>
    </cfRule>
    <cfRule type="expression" dxfId="610" priority="176" stopIfTrue="1">
      <formula>CW4=IF(NETWORKDAYS(CU4, TODAY())&lt;4, CW4, 0)</formula>
    </cfRule>
  </conditionalFormatting>
  <conditionalFormatting sqref="CZ4:CZ55">
    <cfRule type="expression" dxfId="609" priority="171" stopIfTrue="1">
      <formula>CZ4=IF(NETWORKDAYS(CX4, TODAY())&gt;=5, CZ4, 0)</formula>
    </cfRule>
    <cfRule type="expression" dxfId="608" priority="172" stopIfTrue="1">
      <formula>CZ4=IF(NETWORKDAYS(CX4, TODAY())=4, CZ4, 0)</formula>
    </cfRule>
    <cfRule type="expression" dxfId="607" priority="173" stopIfTrue="1">
      <formula>CZ4=IF(NETWORKDAYS(CX4, TODAY())&lt;4, CZ4, 0)</formula>
    </cfRule>
  </conditionalFormatting>
  <conditionalFormatting sqref="DC4:DC55">
    <cfRule type="expression" dxfId="606" priority="168" stopIfTrue="1">
      <formula>DC4=IF(NETWORKDAYS(DA4, TODAY())&gt;=5, DC4, 0)</formula>
    </cfRule>
    <cfRule type="expression" dxfId="605" priority="169" stopIfTrue="1">
      <formula>DC4=IF(NETWORKDAYS(DA4, TODAY())=4, DC4, 0)</formula>
    </cfRule>
    <cfRule type="expression" dxfId="604" priority="170" stopIfTrue="1">
      <formula>DC4=IF(NETWORKDAYS(DA4, TODAY())&lt;4, DC4, 0)</formula>
    </cfRule>
  </conditionalFormatting>
  <conditionalFormatting sqref="DF4:DF55">
    <cfRule type="expression" dxfId="603" priority="165" stopIfTrue="1">
      <formula>DF4=IF(NETWORKDAYS(DD4, TODAY())&gt;=5, DF4, 0)</formula>
    </cfRule>
    <cfRule type="expression" dxfId="602" priority="166" stopIfTrue="1">
      <formula>DF4=IF(NETWORKDAYS(DD4, TODAY())=4, DF4, 0)</formula>
    </cfRule>
    <cfRule type="expression" dxfId="601" priority="167" stopIfTrue="1">
      <formula>DF4=IF(NETWORKDAYS(DD4, TODAY())&lt;4, DF4, 0)</formula>
    </cfRule>
  </conditionalFormatting>
  <conditionalFormatting sqref="DI4:DI55">
    <cfRule type="expression" dxfId="600" priority="162" stopIfTrue="1">
      <formula>DI4=IF(NETWORKDAYS(DG4, TODAY())&gt;=5, DI4, 0)</formula>
    </cfRule>
    <cfRule type="expression" dxfId="599" priority="163" stopIfTrue="1">
      <formula>DI4=IF(NETWORKDAYS(DG4, TODAY())=4, DI4, 0)</formula>
    </cfRule>
    <cfRule type="expression" dxfId="598" priority="164" stopIfTrue="1">
      <formula>DI4=IF(NETWORKDAYS(DG4, TODAY())&lt;4, DI4, 0)</formula>
    </cfRule>
  </conditionalFormatting>
  <conditionalFormatting sqref="DL4:DL55">
    <cfRule type="expression" dxfId="597" priority="159" stopIfTrue="1">
      <formula>DL4=IF(NETWORKDAYS(DJ4, TODAY())&gt;=5, DL4, 0)</formula>
    </cfRule>
    <cfRule type="expression" dxfId="596" priority="160" stopIfTrue="1">
      <formula>DL4=IF(NETWORKDAYS(DJ4, TODAY())=4, DL4, 0)</formula>
    </cfRule>
    <cfRule type="expression" dxfId="595" priority="161" stopIfTrue="1">
      <formula>DL4=IF(NETWORKDAYS(DJ4, TODAY())&lt;4, DL4, 0)</formula>
    </cfRule>
  </conditionalFormatting>
  <conditionalFormatting sqref="DO4:DO55">
    <cfRule type="expression" dxfId="594" priority="156" stopIfTrue="1">
      <formula>DO4=IF(NETWORKDAYS(DM4, TODAY())&gt;=5, DO4, 0)</formula>
    </cfRule>
    <cfRule type="expression" dxfId="593" priority="157" stopIfTrue="1">
      <formula>DO4=IF(NETWORKDAYS(DM4, TODAY())=4, DO4, 0)</formula>
    </cfRule>
    <cfRule type="expression" dxfId="592" priority="158" stopIfTrue="1">
      <formula>DO4=IF(NETWORKDAYS(DM4, TODAY())&lt;4, DO4, 0)</formula>
    </cfRule>
  </conditionalFormatting>
  <conditionalFormatting sqref="DR4:DR55">
    <cfRule type="expression" dxfId="591" priority="153" stopIfTrue="1">
      <formula>DR4=IF(NETWORKDAYS(DP4, TODAY())&gt;=5, DR4, 0)</formula>
    </cfRule>
    <cfRule type="expression" dxfId="590" priority="154" stopIfTrue="1">
      <formula>DR4=IF(NETWORKDAYS(DP4, TODAY())=4, DR4, 0)</formula>
    </cfRule>
    <cfRule type="expression" dxfId="589" priority="155" stopIfTrue="1">
      <formula>DR4=IF(NETWORKDAYS(DP4, TODAY())&lt;4, DR4, 0)</formula>
    </cfRule>
  </conditionalFormatting>
  <conditionalFormatting sqref="DU4:DU55">
    <cfRule type="expression" dxfId="588" priority="150" stopIfTrue="1">
      <formula>DU4=IF(NETWORKDAYS(DS4, TODAY())&gt;=5, DU4, 0)</formula>
    </cfRule>
    <cfRule type="expression" dxfId="587" priority="151" stopIfTrue="1">
      <formula>DU4=IF(NETWORKDAYS(DS4, TODAY())=4, DU4, 0)</formula>
    </cfRule>
    <cfRule type="expression" dxfId="586" priority="152" stopIfTrue="1">
      <formula>DU4=IF(NETWORKDAYS(DS4, TODAY())&lt;4, DU4, 0)</formula>
    </cfRule>
  </conditionalFormatting>
  <conditionalFormatting sqref="DX4:DX55">
    <cfRule type="expression" dxfId="585" priority="147" stopIfTrue="1">
      <formula>DX4=IF(NETWORKDAYS(DV4, TODAY())&gt;=5, DX4, 0)</formula>
    </cfRule>
    <cfRule type="expression" dxfId="584" priority="148" stopIfTrue="1">
      <formula>DX4=IF(NETWORKDAYS(DV4, TODAY())=4, DX4, 0)</formula>
    </cfRule>
    <cfRule type="expression" dxfId="583" priority="149" stopIfTrue="1">
      <formula>DX4=IF(NETWORKDAYS(DV4, TODAY())&lt;4, DX4, 0)</formula>
    </cfRule>
  </conditionalFormatting>
  <conditionalFormatting sqref="EA4:EA55">
    <cfRule type="expression" dxfId="582" priority="144" stopIfTrue="1">
      <formula>EA4=IF(NETWORKDAYS(DY4, TODAY())&gt;=5, EA4, 0)</formula>
    </cfRule>
    <cfRule type="expression" dxfId="581" priority="145" stopIfTrue="1">
      <formula>EA4=IF(NETWORKDAYS(DY4, TODAY())=4, EA4, 0)</formula>
    </cfRule>
    <cfRule type="expression" dxfId="580" priority="146" stopIfTrue="1">
      <formula>EA4=IF(NETWORKDAYS(DY4, TODAY())&lt;4, EA4, 0)</formula>
    </cfRule>
  </conditionalFormatting>
  <conditionalFormatting sqref="EE4:EE55">
    <cfRule type="expression" dxfId="579" priority="141" stopIfTrue="1">
      <formula>EE4=IF(NETWORKDAYS(EC4, TODAY())&gt;=5, EE4, 0)</formula>
    </cfRule>
    <cfRule type="expression" dxfId="578" priority="142" stopIfTrue="1">
      <formula>EE4=IF(NETWORKDAYS(EC4, TODAY())=4, EE4, 0)</formula>
    </cfRule>
    <cfRule type="expression" dxfId="577" priority="143" stopIfTrue="1">
      <formula>EE4=IF(NETWORKDAYS(EC4, TODAY())&lt;4, EE4, 0)</formula>
    </cfRule>
  </conditionalFormatting>
  <conditionalFormatting sqref="EH4:EH55">
    <cfRule type="expression" dxfId="576" priority="138" stopIfTrue="1">
      <formula>EH4=IF(NETWORKDAYS(EF4, TODAY())&gt;=5, EH4, 0)</formula>
    </cfRule>
    <cfRule type="expression" dxfId="575" priority="139" stopIfTrue="1">
      <formula>EH4=IF(NETWORKDAYS(EF4, TODAY())=4, EH4, 0)</formula>
    </cfRule>
    <cfRule type="expression" dxfId="574" priority="140" stopIfTrue="1">
      <formula>EH4=IF(NETWORKDAYS(EF4, TODAY())&lt;4, EH4, 0)</formula>
    </cfRule>
  </conditionalFormatting>
  <conditionalFormatting sqref="EK4:EK55">
    <cfRule type="expression" dxfId="573" priority="135" stopIfTrue="1">
      <formula>EK4=IF(NETWORKDAYS(EI4, TODAY())&gt;=5, EK4, 0)</formula>
    </cfRule>
    <cfRule type="expression" dxfId="572" priority="136" stopIfTrue="1">
      <formula>EK4=IF(NETWORKDAYS(EI4, TODAY())=4, EK4, 0)</formula>
    </cfRule>
    <cfRule type="expression" dxfId="571" priority="137" stopIfTrue="1">
      <formula>EK4=IF(NETWORKDAYS(EI4, TODAY())&lt;4, EK4, 0)</formula>
    </cfRule>
  </conditionalFormatting>
  <conditionalFormatting sqref="EN4:EN55">
    <cfRule type="expression" dxfId="570" priority="132" stopIfTrue="1">
      <formula>EN4=IF(NETWORKDAYS(EL4, TODAY())&gt;=5, EN4, 0)</formula>
    </cfRule>
    <cfRule type="expression" dxfId="569" priority="133" stopIfTrue="1">
      <formula>EN4=IF(NETWORKDAYS(EL4, TODAY())=4, EN4, 0)</formula>
    </cfRule>
    <cfRule type="expression" dxfId="568" priority="134" stopIfTrue="1">
      <formula>EN4=IF(NETWORKDAYS(EL4, TODAY())&lt;4, EN4, 0)</formula>
    </cfRule>
  </conditionalFormatting>
  <conditionalFormatting sqref="EQ4:EQ55">
    <cfRule type="expression" dxfId="567" priority="129" stopIfTrue="1">
      <formula>EQ4=IF(NETWORKDAYS(EO4, TODAY())&gt;=5, EQ4, 0)</formula>
    </cfRule>
    <cfRule type="expression" dxfId="566" priority="130" stopIfTrue="1">
      <formula>EQ4=IF(NETWORKDAYS(EO4, TODAY())=4, EQ4, 0)</formula>
    </cfRule>
    <cfRule type="expression" dxfId="565" priority="131" stopIfTrue="1">
      <formula>EQ4=IF(NETWORKDAYS(EO4, TODAY())&lt;4, EQ4, 0)</formula>
    </cfRule>
  </conditionalFormatting>
  <conditionalFormatting sqref="ET4:ET55">
    <cfRule type="expression" dxfId="564" priority="126" stopIfTrue="1">
      <formula>ET4=IF(NETWORKDAYS(ER4, TODAY())&gt;=5, ET4, 0)</formula>
    </cfRule>
    <cfRule type="expression" dxfId="563" priority="127" stopIfTrue="1">
      <formula>ET4=IF(NETWORKDAYS(ER4, TODAY())=4, ET4, 0)</formula>
    </cfRule>
    <cfRule type="expression" dxfId="562" priority="128" stopIfTrue="1">
      <formula>ET4=IF(NETWORKDAYS(ER4, TODAY())&lt;4, ET4, 0)</formula>
    </cfRule>
  </conditionalFormatting>
  <conditionalFormatting sqref="EW4:EW55">
    <cfRule type="expression" dxfId="561" priority="123" stopIfTrue="1">
      <formula>EW4=IF(NETWORKDAYS(EU4, TODAY())&gt;=5, EW4, 0)</formula>
    </cfRule>
    <cfRule type="expression" dxfId="560" priority="124" stopIfTrue="1">
      <formula>EW4=IF(NETWORKDAYS(EU4, TODAY())=4, EW4, 0)</formula>
    </cfRule>
    <cfRule type="expression" dxfId="559" priority="125" stopIfTrue="1">
      <formula>EW4=IF(NETWORKDAYS(EU4, TODAY())&lt;4, EW4, 0)</formula>
    </cfRule>
  </conditionalFormatting>
  <conditionalFormatting sqref="EZ4:EZ55">
    <cfRule type="expression" dxfId="558" priority="120" stopIfTrue="1">
      <formula>EZ4=IF(NETWORKDAYS(EX4, TODAY())&gt;=5, EZ4, 0)</formula>
    </cfRule>
    <cfRule type="expression" dxfId="557" priority="121" stopIfTrue="1">
      <formula>EZ4=IF(NETWORKDAYS(EX4, TODAY())=4, EZ4, 0)</formula>
    </cfRule>
    <cfRule type="expression" dxfId="556" priority="122" stopIfTrue="1">
      <formula>EZ4=IF(NETWORKDAYS(EX4, TODAY())&lt;4, EZ4, 0)</formula>
    </cfRule>
  </conditionalFormatting>
  <conditionalFormatting sqref="BZ4">
    <cfRule type="expression" dxfId="555" priority="117" stopIfTrue="1">
      <formula>BZ4=IF(NETWORKDAYS(BW4,BZ4)&lt;90, BZ4, 0)</formula>
    </cfRule>
    <cfRule type="expression" dxfId="554" priority="118" stopIfTrue="1">
      <formula>BZ4=IF(NETWORKDAYS(BW4,BZ4)=90, BZ4, 0)</formula>
    </cfRule>
    <cfRule type="expression" dxfId="553" priority="119" stopIfTrue="1">
      <formula>BZ4=IF(NETWORKDAYS(BW4,BZ4)&gt;90, BZ4, 0)</formula>
    </cfRule>
  </conditionalFormatting>
  <conditionalFormatting sqref="AI4:AI55">
    <cfRule type="expression" dxfId="552" priority="114" stopIfTrue="1">
      <formula>AI4=IF(NETWORKDAYS(AG4, TODAY())&gt;=5, AI4, 0)</formula>
    </cfRule>
    <cfRule type="expression" dxfId="551" priority="115" stopIfTrue="1">
      <formula>AI4=IF(NETWORKDAYS(AG4, TODAY())=4, AI4, 0)</formula>
    </cfRule>
    <cfRule type="expression" dxfId="550" priority="116" stopIfTrue="1">
      <formula>AI4=IF(NETWORKDAYS(AG4, TODAY())&lt;4, AI4, 0)</formula>
    </cfRule>
  </conditionalFormatting>
  <conditionalFormatting sqref="X4:X55">
    <cfRule type="expression" dxfId="549" priority="105" stopIfTrue="1">
      <formula>X4=IF(LEN(X4)=0,X4,0)</formula>
    </cfRule>
    <cfRule type="expression" dxfId="548" priority="106" stopIfTrue="1">
      <formula>X4=IF(NETWORKDAYS(U4,X4)&gt;15, X4, 0)</formula>
    </cfRule>
    <cfRule type="expression" dxfId="547" priority="107" stopIfTrue="1">
      <formula>X4=IF(NETWORKDAYS(U4,X4)=15, X4, 0)</formula>
    </cfRule>
    <cfRule type="expression" dxfId="546" priority="108" stopIfTrue="1">
      <formula>X4=IF(NETWORKDAYS(U4,X4)&lt;15, X4, 0)</formula>
    </cfRule>
  </conditionalFormatting>
  <conditionalFormatting sqref="AA4:AA55">
    <cfRule type="expression" dxfId="545" priority="101" stopIfTrue="1">
      <formula>AA4=IF(LEN(AA4)=0,AA4,0)</formula>
    </cfRule>
    <cfRule type="expression" dxfId="544" priority="102" stopIfTrue="1">
      <formula>AA4=IF(NETWORKDAYS(X4,AA4)&gt;15, AA4, 0)</formula>
    </cfRule>
    <cfRule type="expression" dxfId="543" priority="103" stopIfTrue="1">
      <formula>AA4=IF(NETWORKDAYS(X4,AA4)=15, AA4, 0)</formula>
    </cfRule>
    <cfRule type="expression" dxfId="542" priority="104" stopIfTrue="1">
      <formula>AA4=IF(NETWORKDAYS(X4,AA4)&lt;15, AA4, 0)</formula>
    </cfRule>
  </conditionalFormatting>
  <conditionalFormatting sqref="AD4:AD55">
    <cfRule type="expression" dxfId="541" priority="97" stopIfTrue="1">
      <formula>AD4=IF(LEN(AD4)=0,AD4,0)</formula>
    </cfRule>
    <cfRule type="expression" dxfId="540" priority="98" stopIfTrue="1">
      <formula>AD4=IF(NETWORKDAYS(AA4,AD4)&gt;15, AD4, 0)</formula>
    </cfRule>
    <cfRule type="expression" dxfId="539" priority="99" stopIfTrue="1">
      <formula>AD4=IF(NETWORKDAYS(AA4,AD4)=15, AD4, 0)</formula>
    </cfRule>
    <cfRule type="expression" dxfId="538" priority="100" stopIfTrue="1">
      <formula>AD4=IF(NETWORKDAYS(AA4,AD4)&lt;15, AD4, 0)</formula>
    </cfRule>
  </conditionalFormatting>
  <conditionalFormatting sqref="AG4:AG55">
    <cfRule type="expression" dxfId="537" priority="93" stopIfTrue="1">
      <formula>AG4=IF(LEN(AG4)=0,AG4,0)</formula>
    </cfRule>
    <cfRule type="expression" dxfId="536" priority="94" stopIfTrue="1">
      <formula>AG4=IF(NETWORKDAYS(AD4,AG4)&gt;15, AG4, 0)</formula>
    </cfRule>
    <cfRule type="expression" dxfId="535" priority="95" stopIfTrue="1">
      <formula>AG4=IF(NETWORKDAYS(AD4,AG4)=15, AG4, 0)</formula>
    </cfRule>
    <cfRule type="expression" dxfId="534" priority="96" stopIfTrue="1">
      <formula>AG4=IF(NETWORKDAYS(AD4,AG4)&lt;15, AG4, 0)</formula>
    </cfRule>
  </conditionalFormatting>
  <conditionalFormatting sqref="AJ4:AJ55">
    <cfRule type="expression" dxfId="533" priority="89" stopIfTrue="1">
      <formula>AJ4=IF(LEN(AJ4)=0,AJ4,0)</formula>
    </cfRule>
    <cfRule type="expression" dxfId="532" priority="90" stopIfTrue="1">
      <formula>AJ4=IF(NETWORKDAYS(AG4,AJ4)&gt;15, AJ4, 0)</formula>
    </cfRule>
    <cfRule type="expression" dxfId="531" priority="91" stopIfTrue="1">
      <formula>AJ4=IF(NETWORKDAYS(AG4,AJ4)=15, AJ4, 0)</formula>
    </cfRule>
    <cfRule type="expression" dxfId="530" priority="92" stopIfTrue="1">
      <formula>AJ4=IF(NETWORKDAYS(AG4,AJ4)&lt;15, AJ4, 0)</formula>
    </cfRule>
  </conditionalFormatting>
  <conditionalFormatting sqref="BS4:BS55">
    <cfRule type="expression" dxfId="529" priority="85" stopIfTrue="1">
      <formula>BS4=IF(LEN(BS4)=0,BS4,0)</formula>
    </cfRule>
    <cfRule type="expression" dxfId="528" priority="86" stopIfTrue="1">
      <formula>BS4=IF(NETWORKDAYS(BP4,BS4)&gt;15, BS4, 0)</formula>
    </cfRule>
    <cfRule type="expression" dxfId="527" priority="87" stopIfTrue="1">
      <formula>BS4=IF(NETWORKDAYS(BP4,BS4)=15, BS4, 0)</formula>
    </cfRule>
    <cfRule type="expression" dxfId="526" priority="88" stopIfTrue="1">
      <formula>BS4=IF(NETWORKDAYS(BP4,BS4)&lt;15, BS4, 0)</formula>
    </cfRule>
  </conditionalFormatting>
  <conditionalFormatting sqref="BV4:BV55">
    <cfRule type="expression" dxfId="525" priority="81" stopIfTrue="1">
      <formula>BV4=IF(LEN(BV4)=0,BV4,0)</formula>
    </cfRule>
    <cfRule type="expression" dxfId="524" priority="82" stopIfTrue="1">
      <formula>BV4=IF(NETWORKDAYS(BS4,BV4)&gt;15, BV4, 0)</formula>
    </cfRule>
    <cfRule type="expression" dxfId="523" priority="83" stopIfTrue="1">
      <formula>BV4=IF(NETWORKDAYS(BS4,BV4)=15, BV4, 0)</formula>
    </cfRule>
    <cfRule type="expression" dxfId="522" priority="84" stopIfTrue="1">
      <formula>BV4=IF(NETWORKDAYS(BS4,BV4)&lt;15, BV4, 0)</formula>
    </cfRule>
  </conditionalFormatting>
  <conditionalFormatting sqref="BY4:BY55">
    <cfRule type="expression" dxfId="521" priority="77" stopIfTrue="1">
      <formula>BY4=IF(LEN(BY4)=0,BY4,0)</formula>
    </cfRule>
    <cfRule type="expression" dxfId="520" priority="78" stopIfTrue="1">
      <formula>BY4=IF(NETWORKDAYS(BV4,BY4)&gt;15, BY4, 0)</formula>
    </cfRule>
    <cfRule type="expression" dxfId="519" priority="79" stopIfTrue="1">
      <formula>BY4=IF(NETWORKDAYS(BV4,BY4)=15, BY4, 0)</formula>
    </cfRule>
    <cfRule type="expression" dxfId="518" priority="80" stopIfTrue="1">
      <formula>BY4=IF(NETWORKDAYS(BV4,BY4)&lt;15, BY4, 0)</formula>
    </cfRule>
  </conditionalFormatting>
  <conditionalFormatting sqref="CB4:CB55">
    <cfRule type="expression" dxfId="517" priority="73" stopIfTrue="1">
      <formula>CB4=IF(LEN(CB4)=0,CB4,0)</formula>
    </cfRule>
    <cfRule type="expression" dxfId="516" priority="74" stopIfTrue="1">
      <formula>CB4=IF(NETWORKDAYS(BY4,CB4)&gt;15, CB4, 0)</formula>
    </cfRule>
    <cfRule type="expression" dxfId="515" priority="75" stopIfTrue="1">
      <formula>CB4=IF(NETWORKDAYS(BY4,CB4)=15, CB4, 0)</formula>
    </cfRule>
    <cfRule type="expression" dxfId="514" priority="76" stopIfTrue="1">
      <formula>CB4=IF(NETWORKDAYS(BY4,CB4)&lt;15, CB4, 0)</formula>
    </cfRule>
  </conditionalFormatting>
  <conditionalFormatting sqref="EU4:EU55">
    <cfRule type="expression" dxfId="513" priority="69" stopIfTrue="1">
      <formula>EU4=IF(LEN(EU4)=0,EU4,0)</formula>
    </cfRule>
    <cfRule type="expression" dxfId="512" priority="70" stopIfTrue="1">
      <formula>EU4=IF(NETWORKDAYS(ER4,EU4)&gt;15, EU4, 0)</formula>
    </cfRule>
    <cfRule type="expression" dxfId="511" priority="71" stopIfTrue="1">
      <formula>EU4=IF(NETWORKDAYS(ER4,EU4)=15, EU4, 0)</formula>
    </cfRule>
    <cfRule type="expression" dxfId="510" priority="72" stopIfTrue="1">
      <formula>EU4=IF(NETWORKDAYS(ER4,EU4)&lt;15, EU4, 0)</formula>
    </cfRule>
  </conditionalFormatting>
  <conditionalFormatting sqref="EX4:EX55">
    <cfRule type="expression" dxfId="509" priority="65" stopIfTrue="1">
      <formula>EX4=IF(LEN(EX4)=0,EX4,0)</formula>
    </cfRule>
    <cfRule type="expression" dxfId="508" priority="66" stopIfTrue="1">
      <formula>EX4=IF(NETWORKDAYS(EU4,EX4)&gt;15, EX4, 0)</formula>
    </cfRule>
    <cfRule type="expression" dxfId="507" priority="67" stopIfTrue="1">
      <formula>EX4=IF(NETWORKDAYS(EU4,EX4)=15, EX4, 0)</formula>
    </cfRule>
    <cfRule type="expression" dxfId="506" priority="68" stopIfTrue="1">
      <formula>EX4=IF(NETWORKDAYS(EU4,EX4)&lt;15, EX4, 0)</formula>
    </cfRule>
  </conditionalFormatting>
  <conditionalFormatting sqref="FA4:FA55">
    <cfRule type="expression" dxfId="505" priority="61" stopIfTrue="1">
      <formula>FA4=IF(LEN(FA4)=0,FA4,0)</formula>
    </cfRule>
    <cfRule type="expression" dxfId="504" priority="62" stopIfTrue="1">
      <formula>FA4=IF(NETWORKDAYS(EX4,FA4)&gt;15, FA4, 0)</formula>
    </cfRule>
    <cfRule type="expression" dxfId="503" priority="63" stopIfTrue="1">
      <formula>FA4=IF(NETWORKDAYS(EX4,FA4)=15, FA4, 0)</formula>
    </cfRule>
    <cfRule type="expression" dxfId="502" priority="64" stopIfTrue="1">
      <formula>FA4=IF(NETWORKDAYS(EX4,FA4)&lt;15, FA4, 0)</formula>
    </cfRule>
  </conditionalFormatting>
  <conditionalFormatting sqref="FB4:FB55">
    <cfRule type="expression" dxfId="501" priority="57" stopIfTrue="1">
      <formula>FB4=IF(LEN(FB4)=0,FB4,0)</formula>
    </cfRule>
    <cfRule type="expression" dxfId="500" priority="58" stopIfTrue="1">
      <formula>FB4=IF(NETWORKDAYS(EY4,FB4)&gt;15, FB4, 0)</formula>
    </cfRule>
    <cfRule type="expression" dxfId="499" priority="59" stopIfTrue="1">
      <formula>FB4=IF(NETWORKDAYS(EY4,FB4)=15, FB4, 0)</formula>
    </cfRule>
    <cfRule type="expression" dxfId="498" priority="60" stopIfTrue="1">
      <formula>FB4=IF(NETWORKDAYS(EY4,FB4)&lt;15, FB4, 0)</formula>
    </cfRule>
  </conditionalFormatting>
  <conditionalFormatting sqref="AN4:AN55">
    <cfRule type="expression" dxfId="497" priority="53" stopIfTrue="1">
      <formula>AN4=IF(LEN(AN4)=0,AN4,0)</formula>
    </cfRule>
    <cfRule type="expression" dxfId="496" priority="54" stopIfTrue="1">
      <formula>AN4=IF(NETWORKDAYS(AK4,AN4)&gt;15, AN4, 0)</formula>
    </cfRule>
    <cfRule type="expression" dxfId="495" priority="55" stopIfTrue="1">
      <formula>AN4=IF(NETWORKDAYS(AK4,AN4)=15, AN4, 0)</formula>
    </cfRule>
    <cfRule type="expression" dxfId="494" priority="56" stopIfTrue="1">
      <formula>AN4=IF(NETWORKDAYS(AK4,AN4)&lt;15, AN4, 0)</formula>
    </cfRule>
  </conditionalFormatting>
  <conditionalFormatting sqref="AQ4:AQ55">
    <cfRule type="expression" dxfId="493" priority="49" stopIfTrue="1">
      <formula>AQ4=IF(LEN(AQ4)=0,AQ4,0)</formula>
    </cfRule>
    <cfRule type="expression" dxfId="492" priority="50" stopIfTrue="1">
      <formula>AQ4=IF(NETWORKDAYS(AN4,AQ4)&gt;15, AQ4, 0)</formula>
    </cfRule>
    <cfRule type="expression" dxfId="491" priority="51" stopIfTrue="1">
      <formula>AQ4=IF(NETWORKDAYS(AN4,AQ4)=15, AQ4, 0)</formula>
    </cfRule>
    <cfRule type="expression" dxfId="490" priority="52" stopIfTrue="1">
      <formula>AQ4=IF(NETWORKDAYS(AN4,AQ4)&lt;15, AQ4, 0)</formula>
    </cfRule>
  </conditionalFormatting>
  <conditionalFormatting sqref="AT4:AT55">
    <cfRule type="expression" dxfId="489" priority="45" stopIfTrue="1">
      <formula>AT4=IF(LEN(AT4)=0,AT4,0)</formula>
    </cfRule>
    <cfRule type="expression" dxfId="488" priority="46" stopIfTrue="1">
      <formula>AT4=IF(NETWORKDAYS(AQ4,AT4)&gt;15, AT4, 0)</formula>
    </cfRule>
    <cfRule type="expression" dxfId="487" priority="47" stopIfTrue="1">
      <formula>AT4=IF(NETWORKDAYS(AQ4,AT4)=15, AT4, 0)</formula>
    </cfRule>
    <cfRule type="expression" dxfId="486" priority="48" stopIfTrue="1">
      <formula>AT4=IF(NETWORKDAYS(AQ4,AT4)&lt;15, AT4, 0)</formula>
    </cfRule>
  </conditionalFormatting>
  <conditionalFormatting sqref="AW4:AW55">
    <cfRule type="expression" dxfId="485" priority="41" stopIfTrue="1">
      <formula>AW4=IF(LEN(AW4)=0,AW4,0)</formula>
    </cfRule>
    <cfRule type="expression" dxfId="484" priority="42" stopIfTrue="1">
      <formula>AW4=IF(NETWORKDAYS(AT4,AW4)&gt;15, AW4, 0)</formula>
    </cfRule>
    <cfRule type="expression" dxfId="483" priority="43" stopIfTrue="1">
      <formula>AW4=IF(NETWORKDAYS(AT4,AW4)=15, AW4, 0)</formula>
    </cfRule>
    <cfRule type="expression" dxfId="482" priority="44" stopIfTrue="1">
      <formula>AW4=IF(NETWORKDAYS(AT4,AW4)&lt;15, AW4, 0)</formula>
    </cfRule>
  </conditionalFormatting>
  <conditionalFormatting sqref="AZ4:AZ55">
    <cfRule type="expression" dxfId="481" priority="37" stopIfTrue="1">
      <formula>AZ4=IF(LEN(AZ4)=0,AZ4,0)</formula>
    </cfRule>
    <cfRule type="expression" dxfId="480" priority="38" stopIfTrue="1">
      <formula>AZ4=IF(NETWORKDAYS(AW4,AZ4)&gt;15, AZ4, 0)</formula>
    </cfRule>
    <cfRule type="expression" dxfId="479" priority="39" stopIfTrue="1">
      <formula>AZ4=IF(NETWORKDAYS(AW4,AZ4)=15, AZ4, 0)</formula>
    </cfRule>
    <cfRule type="expression" dxfId="478" priority="40" stopIfTrue="1">
      <formula>AZ4=IF(NETWORKDAYS(AW4,AZ4)&lt;15, AZ4, 0)</formula>
    </cfRule>
  </conditionalFormatting>
  <conditionalFormatting sqref="BC4:BC55">
    <cfRule type="expression" dxfId="477" priority="33" stopIfTrue="1">
      <formula>BC4=IF(LEN(BC4)=0,BC4,0)</formula>
    </cfRule>
    <cfRule type="expression" dxfId="476" priority="34" stopIfTrue="1">
      <formula>BC4=IF(NETWORKDAYS(AZ4,BC4)&gt;15, BC4, 0)</formula>
    </cfRule>
    <cfRule type="expression" dxfId="475" priority="35" stopIfTrue="1">
      <formula>BC4=IF(NETWORKDAYS(AZ4,BC4)=15, BC4, 0)</formula>
    </cfRule>
    <cfRule type="expression" dxfId="474" priority="36" stopIfTrue="1">
      <formula>BC4=IF(NETWORKDAYS(AZ4,BC4)&lt;15, BC4, 0)</formula>
    </cfRule>
  </conditionalFormatting>
  <conditionalFormatting sqref="BF4:BF55">
    <cfRule type="expression" dxfId="473" priority="29" stopIfTrue="1">
      <formula>BF4=IF(LEN(BF4)=0,BF4,0)</formula>
    </cfRule>
    <cfRule type="expression" dxfId="472" priority="30" stopIfTrue="1">
      <formula>BF4=IF(NETWORKDAYS(BC4,BF4)&gt;15, BF4, 0)</formula>
    </cfRule>
    <cfRule type="expression" dxfId="471" priority="31" stopIfTrue="1">
      <formula>BF4=IF(NETWORKDAYS(BC4,BF4)=15, BF4, 0)</formula>
    </cfRule>
    <cfRule type="expression" dxfId="470" priority="32" stopIfTrue="1">
      <formula>BF4=IF(NETWORKDAYS(BC4,BF4)&lt;15, BF4, 0)</formula>
    </cfRule>
  </conditionalFormatting>
  <conditionalFormatting sqref="BI4:BI55">
    <cfRule type="expression" dxfId="469" priority="25" stopIfTrue="1">
      <formula>BI4=IF(LEN(BI4)=0,BI4,0)</formula>
    </cfRule>
    <cfRule type="expression" dxfId="468" priority="26" stopIfTrue="1">
      <formula>BI4=IF(NETWORKDAYS(BF4,BI4)&gt;15, BI4, 0)</formula>
    </cfRule>
    <cfRule type="expression" dxfId="467" priority="27" stopIfTrue="1">
      <formula>BI4=IF(NETWORKDAYS(BF4,BI4)=15, BI4, 0)</formula>
    </cfRule>
    <cfRule type="expression" dxfId="466" priority="28" stopIfTrue="1">
      <formula>BI4=IF(NETWORKDAYS(BF4,BI4)&lt;15, BI4, 0)</formula>
    </cfRule>
  </conditionalFormatting>
  <conditionalFormatting sqref="BL4:BL55">
    <cfRule type="expression" dxfId="465" priority="21" stopIfTrue="1">
      <formula>BL4=IF(LEN(BL4)=0,BL4,0)</formula>
    </cfRule>
    <cfRule type="expression" dxfId="464" priority="22" stopIfTrue="1">
      <formula>BL4=IF(NETWORKDAYS(BI4,BL4)&gt;15, BL4, 0)</formula>
    </cfRule>
    <cfRule type="expression" dxfId="463" priority="23" stopIfTrue="1">
      <formula>BL4=IF(NETWORKDAYS(BI4,BL4)=15, BL4, 0)</formula>
    </cfRule>
    <cfRule type="expression" dxfId="462" priority="24" stopIfTrue="1">
      <formula>BL4=IF(NETWORKDAYS(BI4,BL4)&lt;15, BL4, 0)</formula>
    </cfRule>
  </conditionalFormatting>
  <conditionalFormatting sqref="BO4:BO55">
    <cfRule type="expression" dxfId="461" priority="17" stopIfTrue="1">
      <formula>BO4=IF(LEN(BO4)=0,BO4,0)</formula>
    </cfRule>
    <cfRule type="expression" dxfId="460" priority="18" stopIfTrue="1">
      <formula>BO4=IF(NETWORKDAYS(BL4,BO4)&gt;15, BO4, 0)</formula>
    </cfRule>
    <cfRule type="expression" dxfId="459" priority="19" stopIfTrue="1">
      <formula>BO4=IF(NETWORKDAYS(BL4,BO4)=15, BO4, 0)</formula>
    </cfRule>
    <cfRule type="expression" dxfId="458" priority="20" stopIfTrue="1">
      <formula>BO4=IF(NETWORKDAYS(BL4,BO4)&lt;15, BO4, 0)</formula>
    </cfRule>
  </conditionalFormatting>
  <conditionalFormatting sqref="BR4:BR55">
    <cfRule type="expression" dxfId="457" priority="13" stopIfTrue="1">
      <formula>BR4=IF(LEN(BR4)=0,BR4,0)</formula>
    </cfRule>
    <cfRule type="expression" dxfId="456" priority="14" stopIfTrue="1">
      <formula>BR4=IF(NETWORKDAYS(BO4,BR4)&gt;15, BR4, 0)</formula>
    </cfRule>
    <cfRule type="expression" dxfId="455" priority="15" stopIfTrue="1">
      <formula>BR4=IF(NETWORKDAYS(BO4,BR4)=15, BR4, 0)</formula>
    </cfRule>
    <cfRule type="expression" dxfId="454" priority="16" stopIfTrue="1">
      <formula>BR4=IF(NETWORKDAYS(BO4,BR4)&lt;15, BR4, 0)</formula>
    </cfRule>
  </conditionalFormatting>
  <conditionalFormatting sqref="R4:R55">
    <cfRule type="expression" dxfId="453" priority="9" stopIfTrue="1">
      <formula>R4=IF(LEN(R4)=0, R4, 0)</formula>
    </cfRule>
    <cfRule type="expression" dxfId="452" priority="10" stopIfTrue="1">
      <formula>R4=IF(NETWORKDAYS(O4,R4)&gt;10, R4, 0)</formula>
    </cfRule>
    <cfRule type="expression" dxfId="451" priority="11" stopIfTrue="1">
      <formula>R4=IF(NETWORKDAYS(O4,R4)=10, R4, 0)</formula>
    </cfRule>
    <cfRule type="expression" dxfId="450" priority="12" stopIfTrue="1">
      <formula>R4=IF(NETWORKDAYS(O4,R4)&lt;10, R4, 0)</formula>
    </cfRule>
  </conditionalFormatting>
  <conditionalFormatting sqref="L4:L55">
    <cfRule type="expression" dxfId="449" priority="5" stopIfTrue="1">
      <formula>L4=IF(LEN(L4)=0, L4, 0)</formula>
    </cfRule>
    <cfRule type="expression" dxfId="448" priority="6" stopIfTrue="1">
      <formula>L4=IF(NETWORKDAYS(M4,AO4)=20,L4,0)</formula>
    </cfRule>
    <cfRule type="expression" dxfId="447" priority="7" stopIfTrue="1">
      <formula>L4=IF(NETWORKDAYS(M4,AO4)&gt;20,L4,0)</formula>
    </cfRule>
    <cfRule type="expression" dxfId="446" priority="8" stopIfTrue="1">
      <formula>L4=IF(NETWORKDAYS(M4,AO4)&lt;20,L4,0)</formula>
    </cfRule>
  </conditionalFormatting>
  <conditionalFormatting sqref="K4:K55">
    <cfRule type="expression" dxfId="445" priority="1" stopIfTrue="1">
      <formula>K4=IF(LEN(K4)=0, K4, 0)</formula>
    </cfRule>
    <cfRule type="expression" dxfId="444" priority="2" stopIfTrue="1">
      <formula>K4=IF(NETWORKDAYS(L4,AN4)=20,K4,0)</formula>
    </cfRule>
    <cfRule type="expression" dxfId="443" priority="3" stopIfTrue="1">
      <formula>K4=IF(NETWORKDAYS(L4,AN4)&gt;20,K4,0)</formula>
    </cfRule>
    <cfRule type="expression" dxfId="442" priority="4" stopIfTrue="1">
      <formula>K4=IF(NETWORKDAYS(L4,AN4)&lt;20,K4,0)</formula>
    </cfRule>
  </conditionalFormatting>
  <dataValidations count="17">
    <dataValidation allowBlank="1" showInputMessage="1" showErrorMessage="1" sqref="H16:H44 H6 H48" xr:uid="{F7AA5653-DC07-4720-A661-4FEB68D1BE67}"/>
    <dataValidation type="list" allowBlank="1" showInputMessage="1" showErrorMessage="1" sqref="G6:G42" xr:uid="{265AA335-036F-4BBF-89DE-45ABFB308E5D}">
      <formula1>"Prel Review, In Design, In FM, Review FM, On Hold, Proposal Out, Dead"</formula1>
    </dataValidation>
    <dataValidation type="list" allowBlank="1" showInputMessage="1" showErrorMessage="1" sqref="CF57:CF1048576 CE1:CE54" xr:uid="{09FD5CFC-D78B-48C3-B4F1-BD319066DE00}">
      <formula1>"C. Design, C. In progress, Intergration, Customer Acceptance, FNE"</formula1>
    </dataValidation>
    <dataValidation type="list" allowBlank="1" showInputMessage="1" showErrorMessage="1" sqref="B57:B1048576 B2:B3 B4:B55" xr:uid="{9B364208-736E-4E45-8BB0-67F147C05961}">
      <formula1>"Gathering Requirement, In Design, FM Request, Completed, On Hold"</formula1>
    </dataValidation>
    <dataValidation type="date" allowBlank="1" showInputMessage="1" showErrorMessage="1" sqref="K57:K1048576 O57:AK1048576 AN57:AP1048576 X2:X3 U2:U3 AD2:AD3 M2:N2 L2:L3 O2:O3 AB2:AC2 P2:Q2 AH2:AI2 AM2:AM3 S2:T2 R2:R3 T4:T54 V2:W2 AA2:AA3 AE2:AF2 Y2:Z2 AG2:AG3 J2" xr:uid="{DCD2A19E-08D5-42BA-BA1B-B805E716A573}">
      <formula1>1</formula1>
      <formula2>64284</formula2>
    </dataValidation>
    <dataValidation type="whole" allowBlank="1" showInputMessage="1" showErrorMessage="1" errorTitle="Invalid Entry" error="Unit number must be in between 0 and 100,000" promptTitle="Numeric" prompt="Unit number must be in between 0 and 100,000" sqref="I4:I55" xr:uid="{14496834-1F4B-4803-A3A6-AE43285B5E0B}">
      <formula1>0</formula1>
      <formula2>100000</formula2>
    </dataValidation>
    <dataValidation type="date" allowBlank="1" showInputMessage="1" showErrorMessage="1" errorTitle="Invalid Date " error="Entries in this column must be in short date format mm/dd/yyyy" promptTitle="Date " sqref="J4:J55" xr:uid="{EC3531E7-7155-4AAD-83E9-CB134AE5DC73}">
      <formula1>43831</formula1>
      <formula2>64284</formula2>
    </dataValidation>
    <dataValidation type="date" allowBlank="1" showInputMessage="1" showErrorMessage="1" errorTitle="Invalid Date " error="Cell value must be a short date in the format mm/dd/yyyy" sqref="K4" xr:uid="{35EAE5D1-7843-4604-B5F8-6986791B5E3D}">
      <formula1>43831</formula1>
      <formula2>64284</formula2>
    </dataValidation>
    <dataValidation type="date" allowBlank="1" showInputMessage="1" showErrorMessage="1" errorTitle="Invalid Date " error="Cell value must contain a short date with format mm/dd/yyyy" sqref="L4:M55" xr:uid="{9B11DC99-A06B-4D73-844E-B602431BC136}">
      <formula1>43831</formula1>
      <formula2>64284</formula2>
    </dataValidation>
    <dataValidation type="whole" allowBlank="1" showInputMessage="1" showErrorMessage="1" errorTitle="Invalid Entry " error="Must be a whole number greater than zero" sqref="N4:N55" xr:uid="{8E910729-B57B-4DA3-88A9-DB5FB9D1AAB6}">
      <formula1>0</formula1>
      <formula2>999</formula2>
    </dataValidation>
    <dataValidation type="date" allowBlank="1" showInputMessage="1" showErrorMessage="1" errorTitle="Invalid Date" error="Cell Value must be short date in the form mm/dd/yyyy_x000a_" sqref="O4:O55" xr:uid="{6116DDFC-5C7D-4B80-A99F-EA1095D71BAD}">
      <formula1>43831</formula1>
      <formula2>64284</formula2>
    </dataValidation>
    <dataValidation type="date" allowBlank="1" showInputMessage="1" showErrorMessage="1" errorTitle="Invalid Date " error="Cell Value must contain a short date in the format mm/dd/yyyy" sqref="P4:P55" xr:uid="{7C056193-377E-4449-9BD9-07E36C09C4B9}">
      <formula1>43831</formula1>
      <formula2>64284</formula2>
    </dataValidation>
    <dataValidation type="whole" allowBlank="1" showInputMessage="1" showErrorMessage="1" sqref="Q4:Q55 W4:W55 AS4:AS55 AV4:AV55 AY4:AY55 BB4:BB55 BE4:BE55 BH4:BH55 BK4:BK55 BN4:BN55 BQ4:BQ55 BU4:BU55 BX4:BX55 CA4:CA55 CD4:CD55 CJ4:CJ55 CM4:CM55 CP4:CP55 CS4:CS55 CW4:CW55 CZ4:CZ55 DC4:DC55 DF4:DF55 DI4:DI55 DL4:DL55 DO4:DO55 DR4:DR55 DU4:DU55 DX4:DX55 EA4:EA55 EE4:EE55 EH4:EH55 EK4:EK55 EN4:EN55 EQ4:EQ55 ET4:ET55 EW4:EW55 EZ4:EZ55" xr:uid="{ED9AD678-299B-4CFB-9DEF-01965A472E12}">
      <formula1>0</formula1>
      <formula2>999</formula2>
    </dataValidation>
    <dataValidation type="date" allowBlank="1" showInputMessage="1" showErrorMessage="1" errorTitle="Invalid Date " sqref="R4:R55 U4:U55 X4:X55 Y4:Y54 AG4:AH55 AJ4:AL55 AM4:AO55 AQ29:AR55 AT4:AU55 AW4:AX55 AZ4:BA55 BC4:BD55 BF4:BG55 BI4:BJ55 BL4:BM52 BL53:BM55 AQ4:AR28 S4:S55 V4:V55 AA4:AA55 AB4:AB55 AD4:AE55" xr:uid="{2DE30C47-432D-4B24-983B-C5B45CA239B2}">
      <formula1>43831</formula1>
      <formula2>64284</formula2>
    </dataValidation>
    <dataValidation type="whole" allowBlank="1" showInputMessage="1" showErrorMessage="1" errorTitle="Invalid Whole Number" sqref="Z4:Z55" xr:uid="{71436C03-2E17-46BF-87D7-D40254EAFA06}">
      <formula1>0</formula1>
      <formula2>999</formula2>
    </dataValidation>
    <dataValidation type="whole" allowBlank="1" showInputMessage="1" showErrorMessage="1" errorTitle="Invalid Whole Number " sqref="AC4:AC55 AF4:AF55 AI4:AI55 AP4:AP55" xr:uid="{4B9178C1-BC31-445B-BFE4-A431DC226D21}">
      <formula1>0</formula1>
      <formula2>999</formula2>
    </dataValidation>
    <dataValidation type="date" allowBlank="1" showInputMessage="1" showErrorMessage="1" sqref="BP4:BP55 BR4:BS55 BT4:BT55 BV4:BW55 BY4:BZ55 CB4:CC55 FA4:FB55 CK4:CK55 CL4:CL55 CN4:CO55 CQ4:CR55 CT4:CV55 CX4:CY55 DA4:DB55 DD4:DE55 DG4:DH55 DJ4:DK55 DM4:DN55 DP4:DQ55 DS4:DT55 DV4:DW55 DY4:DZ55 EB4:ED55 EF4:EG55 EI4:EJ55 EL4:EM55 EO4:EP55 ER4:ES55 EU4:EV54 EU55 EV55 EX4:EY55 CH4:CI55" xr:uid="{D2CEBEA7-67D5-42EA-9E35-1D3BAB9D56FA}">
      <formula1>43831</formula1>
      <formula2>64284</formula2>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76572-3343-4D8C-B0A1-54E702C4B86F}">
  <dimension ref="A1:EO44"/>
  <sheetViews>
    <sheetView tabSelected="1" zoomScale="70" zoomScaleNormal="70" workbookViewId="0">
      <selection activeCell="B4" sqref="B4"/>
    </sheetView>
  </sheetViews>
  <sheetFormatPr defaultRowHeight="15" outlineLevelCol="2" x14ac:dyDescent="0.25"/>
  <cols>
    <col min="1" max="2" width="30.42578125" customWidth="1" outlineLevel="1"/>
    <col min="3" max="3" width="37.42578125" style="3" customWidth="1" outlineLevel="1"/>
    <col min="4" max="4" width="37.42578125" style="3" customWidth="1" outlineLevel="2"/>
    <col min="5" max="5" width="37.42578125" style="153" customWidth="1" outlineLevel="2"/>
    <col min="6" max="6" width="31" customWidth="1" outlineLevel="1"/>
    <col min="7" max="7" width="37.42578125" style="3" customWidth="1" outlineLevel="2"/>
    <col min="8" max="8" width="37.42578125" style="104" customWidth="1" outlineLevel="2"/>
    <col min="9" max="9" width="37.42578125" style="3" customWidth="1" outlineLevel="1"/>
    <col min="10" max="10" width="37.42578125" style="3" customWidth="1" outlineLevel="2"/>
    <col min="11" max="11" width="37.42578125" customWidth="1" outlineLevel="2"/>
    <col min="12" max="12" width="37.42578125" style="3" customWidth="1" outlineLevel="1"/>
    <col min="13" max="13" width="37.42578125" style="3" customWidth="1" outlineLevel="2"/>
    <col min="14" max="14" width="37.42578125" customWidth="1" outlineLevel="2"/>
    <col min="15" max="15" width="24.42578125" customWidth="1" outlineLevel="1"/>
    <col min="16" max="16" width="31.28515625" customWidth="1" outlineLevel="1"/>
    <col min="17" max="17" width="25" customWidth="1" outlineLevel="1"/>
    <col min="18" max="18" width="28.85546875" customWidth="1" outlineLevel="1"/>
    <col min="19" max="19" width="26.140625" customWidth="1" outlineLevel="1"/>
    <col min="20" max="21" width="21" customWidth="1" outlineLevel="1"/>
    <col min="22" max="22" width="37.42578125" style="3" customWidth="1" outlineLevel="1"/>
    <col min="23" max="23" width="37.42578125" style="3" hidden="1" customWidth="1" outlineLevel="2"/>
    <col min="24" max="24" width="37.42578125" hidden="1" customWidth="1" outlineLevel="2"/>
    <col min="25" max="26" width="37.42578125" style="3" hidden="1" customWidth="1" outlineLevel="2"/>
    <col min="27" max="27" width="37.42578125" hidden="1" customWidth="1" outlineLevel="2"/>
    <col min="28" max="28" width="37.42578125" style="3" customWidth="1" outlineLevel="1" collapsed="1"/>
    <col min="29" max="29" width="37.42578125" style="3" customWidth="1" outlineLevel="2"/>
    <col min="30" max="30" width="37.42578125" customWidth="1" outlineLevel="2"/>
    <col min="31" max="31" width="37.42578125" style="3" customWidth="1" outlineLevel="1"/>
    <col min="32" max="32" width="37.42578125" style="3" customWidth="1" outlineLevel="2"/>
    <col min="33" max="33" width="37.42578125" customWidth="1" outlineLevel="2"/>
    <col min="34" max="34" width="37.42578125" style="3" customWidth="1" outlineLevel="1"/>
    <col min="35" max="35" width="37.42578125" style="3" customWidth="1" outlineLevel="2"/>
    <col min="36" max="36" width="37.42578125" customWidth="1" outlineLevel="2"/>
    <col min="37" max="37" width="37.42578125" style="3" customWidth="1" outlineLevel="1"/>
    <col min="38" max="38" width="37.42578125" style="3" customWidth="1" outlineLevel="2"/>
    <col min="39" max="39" width="37.42578125" customWidth="1" outlineLevel="2"/>
    <col min="40" max="40" width="37.42578125" style="3" customWidth="1" outlineLevel="1"/>
    <col min="41" max="41" width="37.42578125" style="3" customWidth="1" outlineLevel="2"/>
    <col min="42" max="42" width="37.42578125" customWidth="1" outlineLevel="2"/>
    <col min="43" max="43" width="37.42578125" style="3" customWidth="1" outlineLevel="1"/>
    <col min="44" max="44" width="37.42578125" style="3" customWidth="1" outlineLevel="2"/>
    <col min="45" max="45" width="37.42578125" customWidth="1" outlineLevel="2"/>
    <col min="46" max="46" width="37.42578125" style="3" customWidth="1" outlineLevel="1"/>
    <col min="47" max="47" width="37.42578125" style="3" customWidth="1" outlineLevel="2"/>
    <col min="48" max="48" width="37.42578125" customWidth="1" outlineLevel="2"/>
    <col min="49" max="49" width="37.42578125" style="3" customWidth="1" outlineLevel="1"/>
    <col min="50" max="50" width="37.42578125" style="3" customWidth="1" outlineLevel="2"/>
    <col min="51" max="51" width="37.42578125" customWidth="1" outlineLevel="2"/>
    <col min="52" max="52" width="37.42578125" style="3" customWidth="1" outlineLevel="1"/>
    <col min="53" max="53" width="37.42578125" style="3" customWidth="1" outlineLevel="2"/>
    <col min="54" max="54" width="37.42578125" customWidth="1" outlineLevel="2"/>
    <col min="55" max="55" width="37.42578125" style="3" customWidth="1" outlineLevel="1"/>
    <col min="56" max="56" width="37.42578125" style="3" customWidth="1" outlineLevel="2"/>
    <col min="57" max="57" width="37.42578125" customWidth="1" outlineLevel="2"/>
    <col min="58" max="58" width="37.42578125" style="3" customWidth="1" outlineLevel="1"/>
    <col min="59" max="59" width="37.42578125" style="3" customWidth="1" outlineLevel="2"/>
    <col min="60" max="60" width="37.42578125" customWidth="1" outlineLevel="2"/>
    <col min="61" max="61" width="37.42578125" style="3" customWidth="1" outlineLevel="1"/>
    <col min="62" max="62" width="37.42578125" style="3" hidden="1" customWidth="1" outlineLevel="2"/>
    <col min="63" max="63" width="37.42578125" hidden="1" customWidth="1" outlineLevel="2"/>
    <col min="64" max="64" width="37.42578125" style="3" customWidth="1" outlineLevel="1" collapsed="1"/>
    <col min="65" max="65" width="37.42578125" style="3" customWidth="1" outlineLevel="2"/>
    <col min="66" max="66" width="37.42578125" customWidth="1" outlineLevel="2"/>
    <col min="67" max="67" width="37.42578125" style="3" customWidth="1" outlineLevel="1"/>
    <col min="68" max="68" width="37.42578125" style="3" customWidth="1" outlineLevel="2"/>
    <col min="69" max="69" width="37.42578125" customWidth="1" outlineLevel="2"/>
    <col min="70" max="70" width="37.42578125" style="3" customWidth="1" outlineLevel="1"/>
    <col min="71" max="71" width="37.42578125" style="3" customWidth="1" outlineLevel="2"/>
    <col min="72" max="72" width="37.42578125" customWidth="1" outlineLevel="2"/>
    <col min="73" max="73" width="37.42578125" style="3" customWidth="1" outlineLevel="1"/>
    <col min="74" max="74" width="37.42578125" style="3" customWidth="1" outlineLevel="2"/>
    <col min="75" max="75" width="37.42578125" customWidth="1" outlineLevel="2"/>
    <col min="76" max="76" width="37.42578125" style="3" customWidth="1" outlineLevel="1"/>
    <col min="77" max="77" width="37.42578125" style="3" customWidth="1" outlineLevel="2"/>
    <col min="78" max="78" width="37.42578125" customWidth="1" outlineLevel="2"/>
    <col min="79" max="79" width="37.42578125" style="3" customWidth="1" outlineLevel="1"/>
    <col min="80" max="80" width="37.42578125" style="3" customWidth="1" outlineLevel="2"/>
    <col min="81" max="81" width="37.42578125" customWidth="1" outlineLevel="2"/>
    <col min="82" max="82" width="37.42578125" style="3" customWidth="1" outlineLevel="1"/>
    <col min="83" max="83" width="37.42578125" style="3" customWidth="1" outlineLevel="2"/>
    <col min="84" max="84" width="37.42578125" customWidth="1" outlineLevel="2"/>
    <col min="85" max="85" width="37.42578125" style="3" customWidth="1" outlineLevel="1"/>
    <col min="86" max="86" width="37.42578125" style="3" customWidth="1" outlineLevel="2"/>
    <col min="87" max="87" width="37.42578125" customWidth="1" outlineLevel="2"/>
    <col min="88" max="89" width="37.42578125" style="3" customWidth="1"/>
    <col min="90" max="90" width="37.42578125" customWidth="1"/>
    <col min="91" max="91" width="37.42578125" style="3" customWidth="1" outlineLevel="1"/>
    <col min="92" max="92" width="37.42578125" style="3" customWidth="1" outlineLevel="2"/>
    <col min="93" max="93" width="37.42578125" customWidth="1" outlineLevel="2"/>
    <col min="94" max="94" width="37.42578125" style="3" customWidth="1" outlineLevel="1"/>
    <col min="95" max="95" width="37.42578125" style="3" customWidth="1" outlineLevel="2"/>
    <col min="96" max="96" width="37.42578125" customWidth="1" outlineLevel="2"/>
    <col min="97" max="97" width="37.42578125" style="3" customWidth="1" outlineLevel="1"/>
    <col min="98" max="98" width="37.42578125" style="3" customWidth="1" outlineLevel="2"/>
    <col min="99" max="99" width="37.42578125" customWidth="1" outlineLevel="2"/>
    <col min="100" max="100" width="37.42578125" style="3" customWidth="1" outlineLevel="1"/>
    <col min="101" max="101" width="37.42578125" style="3" customWidth="1" outlineLevel="2"/>
    <col min="102" max="102" width="37.42578125" customWidth="1" outlineLevel="2"/>
    <col min="103" max="103" width="37.42578125" style="3" customWidth="1" outlineLevel="1"/>
    <col min="104" max="104" width="37.42578125" style="3" customWidth="1" outlineLevel="2"/>
    <col min="105" max="105" width="37.42578125" customWidth="1" outlineLevel="2"/>
    <col min="106" max="106" width="37.42578125" style="3" customWidth="1" outlineLevel="1"/>
    <col min="107" max="107" width="37.42578125" style="3" customWidth="1" outlineLevel="2"/>
    <col min="108" max="108" width="37.42578125" customWidth="1" outlineLevel="2"/>
    <col min="109" max="109" width="37.42578125" style="3" customWidth="1" outlineLevel="1"/>
    <col min="110" max="110" width="37.42578125" style="3" customWidth="1"/>
    <col min="111" max="111" width="37.42578125" customWidth="1"/>
    <col min="112" max="112" width="37.42578125" style="3" customWidth="1" outlineLevel="1"/>
    <col min="113" max="113" width="37.42578125" style="3" customWidth="1" outlineLevel="2"/>
    <col min="114" max="114" width="37.42578125" customWidth="1" outlineLevel="2"/>
    <col min="115" max="115" width="37.42578125" style="3" customWidth="1" outlineLevel="1"/>
    <col min="116" max="116" width="37.42578125" style="3" customWidth="1" outlineLevel="2"/>
    <col min="117" max="117" width="37.42578125" customWidth="1" outlineLevel="2"/>
    <col min="118" max="118" width="37.42578125" style="3" customWidth="1" outlineLevel="1"/>
    <col min="119" max="119" width="37.42578125" style="3" customWidth="1" outlineLevel="2"/>
    <col min="120" max="120" width="37.42578125" customWidth="1" outlineLevel="2"/>
    <col min="121" max="121" width="37.42578125" style="3" customWidth="1" outlineLevel="1"/>
    <col min="122" max="122" width="37.42578125" style="3" customWidth="1" outlineLevel="2"/>
    <col min="123" max="123" width="37.42578125" customWidth="1" outlineLevel="2"/>
    <col min="124" max="124" width="37.42578125" style="3" customWidth="1" outlineLevel="1"/>
    <col min="125" max="125" width="37.42578125" style="3" customWidth="1" outlineLevel="2"/>
    <col min="126" max="126" width="37.42578125" customWidth="1" outlineLevel="1"/>
    <col min="127" max="128" width="37.42578125" style="3" customWidth="1" outlineLevel="1"/>
    <col min="129" max="129" width="37.42578125" customWidth="1"/>
    <col min="130" max="130" width="73.85546875" customWidth="1"/>
    <col min="131" max="131" width="37.42578125" style="3" customWidth="1" outlineLevel="1"/>
    <col min="132" max="132" width="37.42578125" style="3" customWidth="1" outlineLevel="2"/>
    <col min="133" max="133" width="37.42578125" customWidth="1" outlineLevel="2"/>
    <col min="134" max="134" width="37.42578125" style="3" customWidth="1" outlineLevel="1"/>
    <col min="135" max="135" width="37.42578125" style="3" customWidth="1" outlineLevel="2"/>
    <col min="136" max="136" width="37.42578125" customWidth="1" outlineLevel="2"/>
    <col min="137" max="137" width="37.42578125" style="3" customWidth="1" outlineLevel="1"/>
    <col min="138" max="138" width="37.42578125" style="3" customWidth="1" outlineLevel="2"/>
    <col min="139" max="139" width="37.42578125" customWidth="1" outlineLevel="2"/>
    <col min="140" max="141" width="37.42578125" style="3" customWidth="1" outlineLevel="1"/>
    <col min="142" max="142" width="37.42578125" customWidth="1"/>
    <col min="143" max="143" width="37.42578125" style="3" customWidth="1"/>
    <col min="144" max="144" width="37.42578125" style="3" customWidth="1" outlineLevel="1"/>
    <col min="145" max="145" width="14.140625" style="104" bestFit="1" customWidth="1"/>
  </cols>
  <sheetData>
    <row r="1" spans="1:145" x14ac:dyDescent="0.25">
      <c r="A1" s="119" t="s">
        <v>541</v>
      </c>
      <c r="B1" s="119"/>
      <c r="C1" s="127"/>
      <c r="D1" s="127"/>
      <c r="E1" s="149"/>
      <c r="F1" s="119"/>
      <c r="G1" s="127"/>
      <c r="H1" s="145"/>
      <c r="I1" s="127"/>
      <c r="J1" s="127"/>
      <c r="K1" s="119"/>
      <c r="L1" s="127"/>
      <c r="M1" s="127"/>
      <c r="N1" s="119"/>
      <c r="O1" s="119"/>
      <c r="P1" s="119"/>
      <c r="Q1" s="119"/>
      <c r="R1" s="119"/>
      <c r="S1" s="119"/>
      <c r="T1" s="119"/>
      <c r="U1" s="119"/>
      <c r="V1" s="127"/>
      <c r="W1" s="127"/>
      <c r="X1" s="119"/>
      <c r="Y1" s="127"/>
      <c r="Z1" s="127"/>
      <c r="AA1" s="119"/>
      <c r="AB1" s="127"/>
      <c r="AC1" s="127"/>
      <c r="AD1" s="119"/>
      <c r="AE1" s="127"/>
      <c r="AF1" s="127"/>
      <c r="AG1" s="119"/>
      <c r="AH1" s="127"/>
      <c r="AI1" s="127"/>
      <c r="AJ1" s="119"/>
      <c r="AK1" s="127"/>
      <c r="AL1" s="127"/>
      <c r="AM1" s="119"/>
      <c r="AN1" s="127"/>
      <c r="AO1" s="127"/>
      <c r="AP1" s="119"/>
      <c r="AQ1" s="127"/>
      <c r="AR1" s="127"/>
      <c r="AS1" s="119"/>
      <c r="AT1" s="127"/>
      <c r="AU1" s="127"/>
      <c r="AV1" s="119"/>
      <c r="AW1" s="127"/>
      <c r="AX1" s="127"/>
      <c r="AY1" s="119"/>
      <c r="AZ1" s="127"/>
      <c r="BA1" s="127"/>
      <c r="BB1" s="119"/>
      <c r="BC1" s="127"/>
      <c r="BD1" s="127"/>
      <c r="BE1" s="119"/>
      <c r="BF1" s="127"/>
      <c r="BG1" s="127"/>
      <c r="BH1" s="119"/>
      <c r="BI1" s="127"/>
      <c r="BJ1" s="127"/>
      <c r="BK1" s="119"/>
      <c r="BL1" s="127"/>
      <c r="BM1" s="127"/>
      <c r="BN1" s="119"/>
      <c r="BO1" s="127"/>
      <c r="BP1" s="127"/>
      <c r="BQ1" s="119"/>
      <c r="BR1" s="127"/>
      <c r="BS1" s="127"/>
      <c r="BT1" s="119"/>
      <c r="BU1" s="127"/>
      <c r="BV1" s="127"/>
      <c r="BW1" s="119"/>
      <c r="BX1" s="127"/>
      <c r="BY1" s="127"/>
      <c r="BZ1" s="119"/>
      <c r="CA1" s="127"/>
      <c r="CB1" s="127"/>
      <c r="CC1" s="119"/>
      <c r="CD1" s="127"/>
      <c r="CE1" s="127"/>
      <c r="CF1" s="119"/>
      <c r="CG1" s="127"/>
      <c r="CH1" s="127"/>
      <c r="CI1" s="119"/>
      <c r="CJ1" s="127"/>
      <c r="CK1" s="127"/>
      <c r="CL1" s="119"/>
      <c r="CM1" s="137" t="s">
        <v>558</v>
      </c>
      <c r="CN1" s="137"/>
      <c r="CO1" s="138"/>
      <c r="CP1" s="137"/>
      <c r="CQ1" s="137"/>
      <c r="CR1" s="138"/>
      <c r="CS1" s="137"/>
      <c r="CT1" s="137"/>
      <c r="CU1" s="138"/>
      <c r="CV1" s="137"/>
      <c r="CW1" s="137"/>
      <c r="CX1" s="138"/>
      <c r="CY1" s="137"/>
      <c r="CZ1" s="137"/>
      <c r="DA1" s="138"/>
      <c r="DB1" s="137"/>
      <c r="DC1" s="137"/>
      <c r="DD1" s="138"/>
      <c r="DE1" s="137"/>
      <c r="DF1" s="137"/>
      <c r="DG1" s="138"/>
      <c r="DH1" s="160" t="s">
        <v>205</v>
      </c>
      <c r="DI1" s="160"/>
      <c r="DJ1" s="161"/>
      <c r="DK1" s="160"/>
      <c r="DL1" s="160"/>
      <c r="DM1" s="161"/>
      <c r="DN1" s="160"/>
      <c r="DO1" s="160"/>
      <c r="DP1" s="161"/>
      <c r="DQ1" s="160"/>
      <c r="DR1" s="160"/>
      <c r="DS1" s="161"/>
      <c r="DT1" s="160"/>
      <c r="DU1" s="160"/>
      <c r="DV1" s="161"/>
      <c r="DW1" s="160"/>
      <c r="DX1" s="160"/>
      <c r="DY1" s="161"/>
      <c r="DZ1" s="162"/>
      <c r="EA1" s="160"/>
      <c r="EB1" s="160"/>
      <c r="EC1" s="161"/>
      <c r="ED1" s="160"/>
      <c r="EE1" s="160"/>
      <c r="EF1" s="161"/>
      <c r="EG1" s="160"/>
      <c r="EH1" s="160"/>
      <c r="EI1" s="161"/>
      <c r="EJ1" s="160"/>
      <c r="EK1" s="160"/>
      <c r="EL1" s="161"/>
      <c r="EM1" s="160"/>
      <c r="EN1" s="160"/>
      <c r="EO1" s="162"/>
    </row>
    <row r="2" spans="1:145" s="113" customFormat="1" x14ac:dyDescent="0.25">
      <c r="A2" s="164" t="s">
        <v>550</v>
      </c>
      <c r="B2" s="164"/>
      <c r="C2" s="165"/>
      <c r="D2" s="165"/>
      <c r="E2" s="166"/>
      <c r="F2" s="164"/>
      <c r="G2" s="165"/>
      <c r="H2" s="167"/>
      <c r="I2" s="165"/>
      <c r="J2" s="165"/>
      <c r="K2" s="164"/>
      <c r="L2" s="165"/>
      <c r="M2" s="165"/>
      <c r="N2" s="164"/>
      <c r="O2" s="164"/>
      <c r="P2" s="164"/>
      <c r="Q2" s="164"/>
      <c r="R2" s="164"/>
      <c r="S2" s="164"/>
      <c r="T2" s="164"/>
      <c r="U2" s="164"/>
      <c r="V2" s="165"/>
      <c r="W2" s="165"/>
      <c r="X2" s="164"/>
      <c r="Y2" s="165"/>
      <c r="Z2" s="165"/>
      <c r="AA2" s="164"/>
      <c r="AB2" s="165"/>
      <c r="AC2" s="165"/>
      <c r="AD2" s="164"/>
      <c r="AE2" s="165"/>
      <c r="AF2" s="165"/>
      <c r="AG2" s="164"/>
      <c r="AH2" s="165"/>
      <c r="AI2" s="165"/>
      <c r="AJ2" s="164"/>
      <c r="AK2" s="165"/>
      <c r="AL2" s="165"/>
      <c r="AM2" s="164"/>
      <c r="AN2" s="165"/>
      <c r="AO2" s="165"/>
      <c r="AP2" s="164"/>
      <c r="AQ2" s="165"/>
      <c r="AR2" s="165"/>
      <c r="AS2" s="164"/>
      <c r="AT2" s="165"/>
      <c r="AU2" s="165"/>
      <c r="AV2" s="164"/>
      <c r="AW2" s="165"/>
      <c r="AX2" s="165"/>
      <c r="AY2" s="164"/>
      <c r="AZ2" s="165"/>
      <c r="BA2" s="165"/>
      <c r="BB2" s="164"/>
      <c r="BC2" s="165"/>
      <c r="BD2" s="165"/>
      <c r="BE2" s="164"/>
      <c r="BF2" s="165"/>
      <c r="BG2" s="165"/>
      <c r="BH2" s="164"/>
      <c r="BI2" s="165"/>
      <c r="BJ2" s="165"/>
      <c r="BK2" s="164"/>
      <c r="BL2" s="139" t="s">
        <v>551</v>
      </c>
      <c r="BM2" s="139"/>
      <c r="BN2" s="140"/>
      <c r="BO2" s="139"/>
      <c r="BP2" s="139"/>
      <c r="BQ2" s="140"/>
      <c r="BR2" s="139"/>
      <c r="BS2" s="139"/>
      <c r="BT2" s="140"/>
      <c r="BU2" s="139"/>
      <c r="BV2" s="139"/>
      <c r="BW2" s="140"/>
      <c r="BX2" s="139"/>
      <c r="BY2" s="139"/>
      <c r="BZ2" s="140"/>
      <c r="CA2" s="139"/>
      <c r="CB2" s="139"/>
      <c r="CC2" s="140"/>
      <c r="CD2" s="141" t="s">
        <v>552</v>
      </c>
      <c r="CE2" s="141"/>
      <c r="CF2" s="142"/>
      <c r="CG2" s="141"/>
      <c r="CH2" s="141"/>
      <c r="CI2" s="142"/>
      <c r="CJ2" s="141"/>
      <c r="CK2" s="141"/>
      <c r="CL2" s="142"/>
      <c r="CM2" s="135" t="s">
        <v>557</v>
      </c>
      <c r="CN2" s="135"/>
      <c r="CO2" s="136"/>
      <c r="CP2" s="135"/>
      <c r="CQ2" s="135"/>
      <c r="CR2" s="136"/>
      <c r="CS2" s="135"/>
      <c r="CT2" s="135"/>
      <c r="CU2" s="136"/>
      <c r="CV2" s="135"/>
      <c r="CW2" s="135"/>
      <c r="CX2" s="136"/>
      <c r="CY2" s="135"/>
      <c r="CZ2" s="135"/>
      <c r="DA2" s="136"/>
      <c r="DB2" s="135"/>
      <c r="DC2" s="135"/>
      <c r="DD2" s="136"/>
      <c r="DE2" s="135"/>
      <c r="DF2" s="135"/>
      <c r="DG2" s="136"/>
      <c r="DH2" s="130" t="s">
        <v>553</v>
      </c>
      <c r="DI2" s="130"/>
      <c r="DJ2" s="117"/>
      <c r="DK2" s="130"/>
      <c r="DL2" s="130"/>
      <c r="DM2" s="117"/>
      <c r="DN2" s="130"/>
      <c r="DO2" s="130"/>
      <c r="DP2" s="117"/>
      <c r="DQ2" s="130"/>
      <c r="DR2" s="130"/>
      <c r="DS2" s="117"/>
      <c r="DT2" s="130"/>
      <c r="DU2" s="130"/>
      <c r="DV2" s="117"/>
      <c r="DW2" s="130"/>
      <c r="DX2" s="130"/>
      <c r="DY2" s="117"/>
      <c r="DZ2" s="118"/>
      <c r="EA2" s="131" t="s">
        <v>554</v>
      </c>
      <c r="EB2" s="131"/>
      <c r="EC2" s="133"/>
      <c r="ED2" s="131"/>
      <c r="EE2" s="131"/>
      <c r="EF2" s="133"/>
      <c r="EG2" s="131"/>
      <c r="EH2" s="131"/>
      <c r="EI2" s="133"/>
      <c r="EJ2" s="131"/>
      <c r="EK2" s="131"/>
      <c r="EL2" s="133"/>
      <c r="EM2" s="131"/>
      <c r="EN2" s="131"/>
      <c r="EO2" s="163"/>
    </row>
    <row r="3" spans="1:145" x14ac:dyDescent="0.25">
      <c r="A3" s="116" t="s">
        <v>485</v>
      </c>
      <c r="B3" s="116" t="s">
        <v>544</v>
      </c>
      <c r="C3" s="128" t="s">
        <v>544</v>
      </c>
      <c r="D3" s="128"/>
      <c r="E3" s="150"/>
      <c r="F3" s="116" t="s">
        <v>544</v>
      </c>
      <c r="G3" s="128"/>
      <c r="H3" s="146"/>
      <c r="I3" s="128" t="s">
        <v>544</v>
      </c>
      <c r="J3" s="128"/>
      <c r="K3" s="116"/>
      <c r="L3" s="128" t="s">
        <v>492</v>
      </c>
      <c r="M3" s="128"/>
      <c r="N3" s="116"/>
      <c r="O3" s="116" t="s">
        <v>492</v>
      </c>
      <c r="P3" s="116" t="s">
        <v>492</v>
      </c>
      <c r="Q3" s="116" t="s">
        <v>492</v>
      </c>
      <c r="R3" s="116" t="s">
        <v>492</v>
      </c>
      <c r="S3" s="116" t="s">
        <v>492</v>
      </c>
      <c r="T3" s="116" t="s">
        <v>492</v>
      </c>
      <c r="U3" s="116"/>
      <c r="V3" s="128" t="s">
        <v>492</v>
      </c>
      <c r="W3" s="128"/>
      <c r="X3" s="116"/>
      <c r="Y3" s="128" t="s">
        <v>492</v>
      </c>
      <c r="Z3" s="128"/>
      <c r="AA3" s="116"/>
      <c r="AB3" s="128" t="s">
        <v>546</v>
      </c>
      <c r="AC3" s="128"/>
      <c r="AD3" s="116"/>
      <c r="AE3" s="128" t="s">
        <v>495</v>
      </c>
      <c r="AF3" s="128"/>
      <c r="AG3" s="116"/>
      <c r="AH3" s="128" t="s">
        <v>495</v>
      </c>
      <c r="AI3" s="128"/>
      <c r="AJ3" s="116"/>
      <c r="AK3" s="128" t="s">
        <v>205</v>
      </c>
      <c r="AL3" s="128"/>
      <c r="AM3" s="116"/>
      <c r="AN3" s="128" t="s">
        <v>546</v>
      </c>
      <c r="AO3" s="128"/>
      <c r="AP3" s="116"/>
      <c r="AQ3" s="128" t="s">
        <v>492</v>
      </c>
      <c r="AR3" s="128"/>
      <c r="AS3" s="116"/>
      <c r="AT3" s="128" t="s">
        <v>496</v>
      </c>
      <c r="AU3" s="128"/>
      <c r="AV3" s="116"/>
      <c r="AW3" s="128" t="s">
        <v>497</v>
      </c>
      <c r="AX3" s="128"/>
      <c r="AY3" s="116"/>
      <c r="AZ3" s="128" t="s">
        <v>492</v>
      </c>
      <c r="BA3" s="128"/>
      <c r="BB3" s="116"/>
      <c r="BC3" s="128" t="s">
        <v>544</v>
      </c>
      <c r="BD3" s="128"/>
      <c r="BE3" s="116"/>
      <c r="BF3" s="128" t="s">
        <v>544</v>
      </c>
      <c r="BG3" s="128"/>
      <c r="BH3" s="116"/>
      <c r="BI3" s="128" t="s">
        <v>492</v>
      </c>
      <c r="BJ3" s="128"/>
      <c r="BK3" s="116"/>
      <c r="BL3" s="128" t="s">
        <v>492</v>
      </c>
      <c r="BM3" s="128"/>
      <c r="BN3" s="116"/>
      <c r="BO3" s="128" t="s">
        <v>492</v>
      </c>
      <c r="BP3" s="128"/>
      <c r="BQ3" s="116"/>
      <c r="BR3" s="128" t="s">
        <v>544</v>
      </c>
      <c r="BS3" s="128"/>
      <c r="BT3" s="116"/>
      <c r="BU3" s="128" t="s">
        <v>492</v>
      </c>
      <c r="BV3" s="128"/>
      <c r="BW3" s="116"/>
      <c r="BX3" s="128" t="s">
        <v>544</v>
      </c>
      <c r="BY3" s="128"/>
      <c r="BZ3" s="116"/>
      <c r="CA3" s="128" t="s">
        <v>544</v>
      </c>
      <c r="CB3" s="128"/>
      <c r="CC3" s="116"/>
      <c r="CD3" s="128" t="s">
        <v>544</v>
      </c>
      <c r="CE3" s="128"/>
      <c r="CF3" s="116"/>
      <c r="CG3" s="128" t="s">
        <v>498</v>
      </c>
      <c r="CH3" s="128"/>
      <c r="CI3" s="116"/>
      <c r="CJ3" s="128" t="s">
        <v>498</v>
      </c>
      <c r="CK3" s="128"/>
      <c r="CL3" s="116"/>
      <c r="CM3" s="128" t="s">
        <v>492</v>
      </c>
      <c r="CN3" s="128"/>
      <c r="CO3" s="116"/>
      <c r="CP3" s="128" t="s">
        <v>549</v>
      </c>
      <c r="CQ3" s="128"/>
      <c r="CR3" s="116"/>
      <c r="CS3" s="128" t="s">
        <v>205</v>
      </c>
      <c r="CT3" s="128"/>
      <c r="CU3" s="116"/>
      <c r="CV3" s="128" t="s">
        <v>205</v>
      </c>
      <c r="CW3" s="128"/>
      <c r="CX3" s="116"/>
      <c r="CY3" s="128" t="s">
        <v>205</v>
      </c>
      <c r="CZ3" s="128"/>
      <c r="DA3" s="116"/>
      <c r="DB3" s="128" t="s">
        <v>205</v>
      </c>
      <c r="DC3" s="128"/>
      <c r="DD3" s="116"/>
      <c r="DE3" s="128" t="s">
        <v>205</v>
      </c>
      <c r="DF3" s="128"/>
      <c r="DG3" s="116"/>
      <c r="DH3" s="128" t="s">
        <v>205</v>
      </c>
      <c r="DI3" s="128"/>
      <c r="DJ3" s="116"/>
      <c r="DK3" s="128" t="s">
        <v>205</v>
      </c>
      <c r="DL3" s="128"/>
      <c r="DM3" s="116"/>
      <c r="DN3" s="128" t="s">
        <v>495</v>
      </c>
      <c r="DO3" s="128"/>
      <c r="DP3" s="116"/>
      <c r="DQ3" s="128" t="s">
        <v>495</v>
      </c>
      <c r="DR3" s="128"/>
      <c r="DS3" s="116"/>
      <c r="DT3" s="128" t="s">
        <v>495</v>
      </c>
      <c r="DU3" s="128"/>
      <c r="DV3" s="116"/>
      <c r="DW3" s="128" t="s">
        <v>205</v>
      </c>
      <c r="DX3" s="128"/>
      <c r="DY3" s="116"/>
      <c r="DZ3" s="116" t="s">
        <v>205</v>
      </c>
      <c r="EA3" s="128" t="s">
        <v>499</v>
      </c>
      <c r="EB3" s="128"/>
      <c r="EC3" s="116"/>
      <c r="ED3" s="128" t="s">
        <v>495</v>
      </c>
      <c r="EE3" s="128"/>
      <c r="EF3" s="116"/>
      <c r="EG3" s="128" t="s">
        <v>205</v>
      </c>
      <c r="EH3" s="128"/>
      <c r="EI3" s="116"/>
      <c r="EJ3" s="128" t="s">
        <v>542</v>
      </c>
      <c r="EK3" s="128"/>
      <c r="EL3" s="116"/>
      <c r="EM3" s="128" t="s">
        <v>205</v>
      </c>
      <c r="EN3" s="128"/>
      <c r="EO3"/>
    </row>
    <row r="4" spans="1:145" s="115" customFormat="1" ht="45" x14ac:dyDescent="0.25">
      <c r="A4" s="120" t="s">
        <v>486</v>
      </c>
      <c r="B4" s="120" t="s">
        <v>15</v>
      </c>
      <c r="C4" s="129" t="s">
        <v>487</v>
      </c>
      <c r="D4" s="129" t="s">
        <v>559</v>
      </c>
      <c r="E4" s="151" t="s">
        <v>561</v>
      </c>
      <c r="F4" s="143" t="s">
        <v>488</v>
      </c>
      <c r="G4" s="129" t="s">
        <v>560</v>
      </c>
      <c r="H4" s="147" t="s">
        <v>562</v>
      </c>
      <c r="I4" s="129" t="s">
        <v>543</v>
      </c>
      <c r="J4" s="129" t="s">
        <v>645</v>
      </c>
      <c r="K4" s="120" t="s">
        <v>641</v>
      </c>
      <c r="L4" s="129" t="s">
        <v>493</v>
      </c>
      <c r="M4" s="129" t="s">
        <v>563</v>
      </c>
      <c r="N4" s="120" t="s">
        <v>564</v>
      </c>
      <c r="O4" s="143" t="s">
        <v>547</v>
      </c>
      <c r="P4" s="121" t="s">
        <v>10</v>
      </c>
      <c r="Q4" s="121" t="s">
        <v>11</v>
      </c>
      <c r="R4" s="121" t="s">
        <v>12</v>
      </c>
      <c r="S4" s="122" t="s">
        <v>13</v>
      </c>
      <c r="T4" s="121" t="s">
        <v>17</v>
      </c>
      <c r="U4" s="121" t="s">
        <v>648</v>
      </c>
      <c r="V4" s="129" t="s">
        <v>548</v>
      </c>
      <c r="W4" s="129" t="s">
        <v>571</v>
      </c>
      <c r="X4" s="120" t="s">
        <v>572</v>
      </c>
      <c r="Y4" s="129" t="s">
        <v>504</v>
      </c>
      <c r="Z4" s="129" t="s">
        <v>573</v>
      </c>
      <c r="AA4" s="120" t="s">
        <v>574</v>
      </c>
      <c r="AB4" s="129" t="s">
        <v>519</v>
      </c>
      <c r="AC4" s="129" t="s">
        <v>575</v>
      </c>
      <c r="AD4" s="120" t="s">
        <v>576</v>
      </c>
      <c r="AE4" s="129" t="s">
        <v>520</v>
      </c>
      <c r="AF4" s="129" t="s">
        <v>565</v>
      </c>
      <c r="AG4" s="120" t="s">
        <v>566</v>
      </c>
      <c r="AH4" s="129" t="s">
        <v>510</v>
      </c>
      <c r="AI4" s="129" t="s">
        <v>567</v>
      </c>
      <c r="AJ4" s="120" t="s">
        <v>568</v>
      </c>
      <c r="AK4" s="129" t="s">
        <v>511</v>
      </c>
      <c r="AL4" s="129" t="s">
        <v>569</v>
      </c>
      <c r="AM4" s="120" t="s">
        <v>570</v>
      </c>
      <c r="AN4" s="129" t="s">
        <v>513</v>
      </c>
      <c r="AO4" s="129" t="s">
        <v>577</v>
      </c>
      <c r="AP4" s="120" t="s">
        <v>578</v>
      </c>
      <c r="AQ4" s="129" t="s">
        <v>514</v>
      </c>
      <c r="AR4" s="129" t="s">
        <v>579</v>
      </c>
      <c r="AS4" s="120" t="s">
        <v>580</v>
      </c>
      <c r="AT4" s="129" t="s">
        <v>515</v>
      </c>
      <c r="AU4" s="129" t="s">
        <v>581</v>
      </c>
      <c r="AV4" s="120" t="s">
        <v>582</v>
      </c>
      <c r="AW4" s="129" t="s">
        <v>516</v>
      </c>
      <c r="AX4" s="129" t="s">
        <v>583</v>
      </c>
      <c r="AY4" s="120" t="s">
        <v>584</v>
      </c>
      <c r="AZ4" s="129" t="s">
        <v>588</v>
      </c>
      <c r="BA4" s="129" t="s">
        <v>589</v>
      </c>
      <c r="BB4" s="120" t="s">
        <v>585</v>
      </c>
      <c r="BC4" s="129" t="s">
        <v>590</v>
      </c>
      <c r="BD4" s="129" t="s">
        <v>586</v>
      </c>
      <c r="BE4" s="120" t="s">
        <v>587</v>
      </c>
      <c r="BF4" s="129" t="s">
        <v>591</v>
      </c>
      <c r="BG4" s="129" t="s">
        <v>592</v>
      </c>
      <c r="BH4" s="120" t="s">
        <v>593</v>
      </c>
      <c r="BI4" s="129" t="s">
        <v>506</v>
      </c>
      <c r="BJ4" s="129" t="s">
        <v>594</v>
      </c>
      <c r="BK4" s="120" t="s">
        <v>595</v>
      </c>
      <c r="BL4" s="129" t="s">
        <v>507</v>
      </c>
      <c r="BM4" s="129" t="s">
        <v>597</v>
      </c>
      <c r="BN4" s="120" t="s">
        <v>596</v>
      </c>
      <c r="BO4" s="129" t="s">
        <v>508</v>
      </c>
      <c r="BP4" s="129" t="s">
        <v>598</v>
      </c>
      <c r="BQ4" s="120" t="s">
        <v>644</v>
      </c>
      <c r="BR4" s="129" t="s">
        <v>489</v>
      </c>
      <c r="BS4" s="129" t="s">
        <v>435</v>
      </c>
      <c r="BT4" s="120" t="s">
        <v>599</v>
      </c>
      <c r="BU4" s="129" t="s">
        <v>657</v>
      </c>
      <c r="BV4" s="129" t="s">
        <v>600</v>
      </c>
      <c r="BW4" s="120" t="s">
        <v>601</v>
      </c>
      <c r="BX4" s="144" t="s">
        <v>501</v>
      </c>
      <c r="BY4" s="129" t="s">
        <v>602</v>
      </c>
      <c r="BZ4" s="120" t="s">
        <v>603</v>
      </c>
      <c r="CA4" s="129" t="s">
        <v>545</v>
      </c>
      <c r="CB4" s="129" t="s">
        <v>604</v>
      </c>
      <c r="CC4" s="120" t="s">
        <v>605</v>
      </c>
      <c r="CD4" s="129" t="s">
        <v>503</v>
      </c>
      <c r="CE4" s="129" t="s">
        <v>606</v>
      </c>
      <c r="CF4" s="120" t="s">
        <v>607</v>
      </c>
      <c r="CG4" s="129" t="s">
        <v>555</v>
      </c>
      <c r="CH4" s="129" t="s">
        <v>608</v>
      </c>
      <c r="CI4" s="120" t="s">
        <v>609</v>
      </c>
      <c r="CJ4" s="129" t="s">
        <v>556</v>
      </c>
      <c r="CK4" s="129" t="s">
        <v>610</v>
      </c>
      <c r="CL4" s="120" t="s">
        <v>611</v>
      </c>
      <c r="CM4" s="129" t="s">
        <v>523</v>
      </c>
      <c r="CN4" s="129" t="s">
        <v>613</v>
      </c>
      <c r="CO4" s="120" t="s">
        <v>612</v>
      </c>
      <c r="CP4" s="129" t="s">
        <v>525</v>
      </c>
      <c r="CQ4" s="129" t="s">
        <v>448</v>
      </c>
      <c r="CR4" s="120" t="s">
        <v>614</v>
      </c>
      <c r="CS4" s="129" t="s">
        <v>531</v>
      </c>
      <c r="CT4" s="129" t="s">
        <v>615</v>
      </c>
      <c r="CU4" s="120" t="s">
        <v>616</v>
      </c>
      <c r="CV4" s="129" t="s">
        <v>526</v>
      </c>
      <c r="CW4" s="129" t="s">
        <v>617</v>
      </c>
      <c r="CX4" s="120" t="s">
        <v>618</v>
      </c>
      <c r="CY4" s="129" t="s">
        <v>532</v>
      </c>
      <c r="CZ4" s="129" t="s">
        <v>619</v>
      </c>
      <c r="DA4" s="120" t="s">
        <v>620</v>
      </c>
      <c r="DB4" s="129" t="s">
        <v>527</v>
      </c>
      <c r="DC4" s="129" t="s">
        <v>621</v>
      </c>
      <c r="DD4" s="120" t="s">
        <v>622</v>
      </c>
      <c r="DE4" s="129" t="s">
        <v>203</v>
      </c>
      <c r="DF4" s="129" t="s">
        <v>646</v>
      </c>
      <c r="DG4" s="120" t="s">
        <v>647</v>
      </c>
      <c r="DH4" s="129" t="s">
        <v>528</v>
      </c>
      <c r="DI4" s="129" t="s">
        <v>623</v>
      </c>
      <c r="DJ4" s="120" t="s">
        <v>624</v>
      </c>
      <c r="DK4" s="129" t="s">
        <v>651</v>
      </c>
      <c r="DL4" s="129" t="s">
        <v>468</v>
      </c>
      <c r="DM4" s="120" t="s">
        <v>652</v>
      </c>
      <c r="DN4" s="129" t="s">
        <v>533</v>
      </c>
      <c r="DO4" s="129" t="s">
        <v>627</v>
      </c>
      <c r="DP4" s="120" t="s">
        <v>628</v>
      </c>
      <c r="DQ4" s="129" t="s">
        <v>534</v>
      </c>
      <c r="DR4" s="129" t="s">
        <v>629</v>
      </c>
      <c r="DS4" s="120" t="s">
        <v>630</v>
      </c>
      <c r="DT4" s="129" t="s">
        <v>535</v>
      </c>
      <c r="DU4" s="129" t="s">
        <v>631</v>
      </c>
      <c r="DV4" s="120" t="s">
        <v>632</v>
      </c>
      <c r="DW4" s="129" t="s">
        <v>653</v>
      </c>
      <c r="DX4" s="129" t="s">
        <v>625</v>
      </c>
      <c r="DY4" s="120" t="s">
        <v>626</v>
      </c>
      <c r="DZ4" s="143" t="s">
        <v>658</v>
      </c>
      <c r="EA4" s="129" t="s">
        <v>540</v>
      </c>
      <c r="EB4" s="129" t="s">
        <v>633</v>
      </c>
      <c r="EC4" s="120" t="s">
        <v>634</v>
      </c>
      <c r="ED4" s="129" t="s">
        <v>536</v>
      </c>
      <c r="EE4" s="129" t="s">
        <v>635</v>
      </c>
      <c r="EF4" s="120" t="s">
        <v>636</v>
      </c>
      <c r="EG4" s="129" t="s">
        <v>530</v>
      </c>
      <c r="EH4" s="129" t="s">
        <v>638</v>
      </c>
      <c r="EI4" s="120" t="s">
        <v>637</v>
      </c>
      <c r="EJ4" s="129" t="s">
        <v>538</v>
      </c>
      <c r="EK4" s="129" t="s">
        <v>639</v>
      </c>
      <c r="EL4" s="120" t="s">
        <v>640</v>
      </c>
      <c r="EM4" s="129" t="s">
        <v>642</v>
      </c>
      <c r="EN4" s="129" t="s">
        <v>643</v>
      </c>
      <c r="EO4" s="129" t="s">
        <v>654</v>
      </c>
    </row>
    <row r="5" spans="1:145" x14ac:dyDescent="0.25">
      <c r="A5" s="134">
        <v>44997</v>
      </c>
      <c r="B5" s="114"/>
      <c r="C5" s="123">
        <v>45000</v>
      </c>
      <c r="D5" s="123">
        <f>IF(ISBLANK(Table13[[#This Row],[BD creates opportunity in CRM ]]), "", WORKDAY(Table13[[#This Row],[BD creates opportunity in CRM ]], 7))</f>
        <v>45006</v>
      </c>
      <c r="E5" s="148">
        <f ca="1">IF(ISBLANK(Table13[[#This Row],[Conduct meeting/call to explore opportunity ]]), "", IF(ISBLANK(Table13[[#This Row],[Date of Prospect Interest]]), NETWORKDAYS(Table13[[#This Row],[Conduct meeting/call to explore opportunity ]], TODAY()), NETWORKDAYS(Table13[[#This Row],[Conduct meeting/call to explore opportunity ]], Table13[[#This Row],[Date of Prospect Interest]])))</f>
        <v>3</v>
      </c>
      <c r="F5" s="123"/>
      <c r="G5" s="123">
        <v>45002</v>
      </c>
      <c r="H5" s="157">
        <f ca="1">IF(ISBLANK(Table13[[#This Row],[Date of Prospect Interest]]), "", IF(ISBLANK(Table13[[#This Row],[BD submits email to NSE Design Distro]]), NETWORKDAYS(Table13[[#This Row],[Date of Prospect Interest]], TODAY()), NETWORKDAYS(Table13[[#This Row],[Date of Prospect Interest]], Table13[[#This Row],[BD submits email to NSE Design Distro]])))</f>
        <v>6</v>
      </c>
      <c r="I5" s="123">
        <v>45009</v>
      </c>
      <c r="J5" s="123">
        <f>IF(ISBLANK(Table13[[#This Row],[Date of Prospect Interest]]), "", WORKDAY(Table13[[#This Row],[Date of Prospect Interest]], 7))</f>
        <v>45013</v>
      </c>
      <c r="K5" s="114">
        <f ca="1">IF(ISBLANK(Table13[[#This Row],[BD submits email to NSE Design Distro]]), "", IF(ISBLANK(Table13[[#This Row],[Program Manager adds request to tracker ]]), NETWORKDAYS(Table13[[#This Row],[BD submits email to NSE Design Distro]], TODAY()), NETWORKDAYS(Table13[[#This Row],[BD submits email to NSE Design Distro]], Table13[[#This Row],[Program Manager adds request to tracker ]])))</f>
        <v>6</v>
      </c>
      <c r="L5" s="123">
        <v>45017</v>
      </c>
      <c r="M5" s="123">
        <f>IF(ISBLANK(Table13[[#This Row],[BD submits email to NSE Design Distro]]), "", WORKDAY(Table13[[#This Row],[BD submits email to NSE Design Distro]], 7))</f>
        <v>45020</v>
      </c>
      <c r="N5" s="114">
        <f ca="1">IF(ISBLANK(Table13[[#This Row],[Program Manager adds request to tracker ]]), "", IF(ISBLANK(Table13[[#This Row],[Program Manager schedules kickoff call to assign action Items &amp; align timelines Est. 2 days ]]), NETWORKDAYS(Table13[[#This Row],[Program Manager adds request to tracker ]], TODAY()), NETWORKDAYS(Table13[[#This Row],[Program Manager adds request to tracker ]], Table13[[#This Row],[Program Manager schedules kickoff call to assign action Items &amp; align timelines Est. 2 days ]])))</f>
        <v>7</v>
      </c>
      <c r="O5" s="114" t="s">
        <v>655</v>
      </c>
      <c r="P5" s="114"/>
      <c r="Q5" s="114"/>
      <c r="R5" s="114"/>
      <c r="S5" s="114"/>
      <c r="T5" s="114"/>
      <c r="U5" s="114" t="s">
        <v>650</v>
      </c>
      <c r="V5" s="123">
        <v>45026</v>
      </c>
      <c r="W5" s="123">
        <f>IF(Table13[[#This Row],[SBA or Aerwave]] = "Aerwave", WORKDAY(Table13[[#This Row],[Program Manager adds request to tracker ]], 7), " ")</f>
        <v>45027</v>
      </c>
      <c r="X5" s="114">
        <f ca="1">IF(ISBLANK(Table13[[#This Row],[P.M Check with BD OK to submit Aerwave]]), "", IF(ISBLANK(Table13[[#This Row],[P.M Submit Request to Aerwave ]]), NETWORKDAYS(Table13[[#This Row],[P.M Check with BD OK to submit Aerwave]], TODAY()), NETWORKDAYS(Table13[[#This Row],[P.M Check with BD OK to submit Aerwave]], Table13[[#This Row],[P.M Submit Request to Aerwave ]])))</f>
        <v>1</v>
      </c>
      <c r="Y5" s="123">
        <v>45026</v>
      </c>
      <c r="Z5" s="123">
        <f>IF(Table13[[#This Row],[SBA or Aerwave]] = "Aerwave", WORKDAY(Table13[[#This Row],[P.M Check with BD OK to submit Aerwave]], 7), " ")</f>
        <v>45035</v>
      </c>
      <c r="AA5" s="114">
        <f ca="1">IF(ISBLANK(Table13[[#This Row],[P.M Submit Request to Aerwave ]]), "", IF(ISBLANK(Table13[[#This Row],[Program Manager schedules kickoff call to assign action Items &amp; align timelines Est. 2 days ]]), NETWORKDAYS(Table13[[#This Row],[P.M Submit Request to Aerwave ]], TODAY()), NETWORKDAYS(Table13[[#This Row],[P.M Submit Request to Aerwave ]], Table13[[#This Row],[Program Manager schedules kickoff call to assign action Items &amp; align timelines Est. 2 days ]])))</f>
        <v>2</v>
      </c>
      <c r="AB5" s="123">
        <v>45027</v>
      </c>
      <c r="AC5" s="123">
        <f>IF(Table13[[#This Row],[SBA or Aerwave]] = "Aerwave", WORKDAY(Table13[[#This Row],[P.M Submit Request to Aerwave ]], 7), IF(ISBLANK(Table13[[#This Row],[Program Manager adds request to tracker ]]), " ", WORKDAY(Table13[[#This Row],[Program Manager adds request to tracker ]], 7)))</f>
        <v>45035</v>
      </c>
      <c r="AD5" s="114">
        <f ca="1">IF(ISBLANK(Table13[[#This Row],[Program Manager schedules kickoff call to assign action Items &amp; align timelines Est. 2 days ]]), "", IF(ISBLANK(Table13[[#This Row],[Fin Analyst creates fin. model ]]), NETWORKDAYS(Table13[[#This Row],[Program Manager schedules kickoff call to assign action Items &amp; align timelines Est. 2 days ]], TODAY()), NETWORKDAYS(Table13[[#This Row],[Program Manager schedules kickoff call to assign action Items &amp; align timelines Est. 2 days ]], Table13[[#This Row],[Fin Analyst creates fin. model ]])))</f>
        <v>15</v>
      </c>
      <c r="AE5" s="123">
        <v>45047</v>
      </c>
      <c r="AF5" s="123">
        <f>IF(ISBLANK(Table13[[#This Row],[Program Manager schedules kickoff call to assign action Items &amp; align timelines Est. 2 days ]]), "", WORKDAY(Table13[[#This Row],[Program Manager schedules kickoff call to assign action Items &amp; align timelines Est. 2 days ]], 15))</f>
        <v>45048</v>
      </c>
      <c r="AG5" s="114">
        <f ca="1">IF(ISBLANK(Table13[[#This Row],[Backhaul pricing Est. 15 days ]]), "", IF(ISBLANK(Table13[[#This Row],[Fin Analyst creates fin. model ]]), NETWORKDAYS(Table13[[#This Row],[Backhaul pricing Est. 15 days ]], TODAY()), NETWORKDAYS(Table13[[#This Row],[Backhaul pricing Est. 15 days ]], Table13[[#This Row],[Fin Analyst creates fin. model ]])))</f>
        <v>1</v>
      </c>
      <c r="AH5" s="123">
        <v>45039</v>
      </c>
      <c r="AI5" s="123">
        <f>IF(ISBLANK(Table13[[#This Row],[Program Manager schedules kickoff call to assign action Items &amp; align timelines Est. 2 days ]]), "", WORKDAY(Table13[[#This Row],[Program Manager schedules kickoff call to assign action Items &amp; align timelines Est. 2 days ]], 10))</f>
        <v>45041</v>
      </c>
      <c r="AJ5" s="114">
        <f ca="1">IF(ISBLANK(Table13[[#This Row],[Design, ROM (Est. 10 days) ]]), "", IF(ISBLANK(Table13[[#This Row],[OSP Pricing (Est. 10 days) ]]), NETWORKDAYS(Table13[[#This Row],[Design, ROM (Est. 10 days) ]], TODAY()), NETWORKDAYS(Table13[[#This Row],[Design, ROM (Est. 10 days) ]], Table13[[#This Row],[OSP Pricing (Est. 10 days) ]])))</f>
        <v>5</v>
      </c>
      <c r="AK5" s="123">
        <v>45044</v>
      </c>
      <c r="AL5" s="123">
        <f>IF(ISBLANK(Table13[[#This Row],[Program Manager schedules kickoff call to assign action Items &amp; align timelines Est. 2 days ]]), "", WORKDAY(Table13[[#This Row],[Program Manager schedules kickoff call to assign action Items &amp; align timelines Est. 2 days ]], 10))</f>
        <v>45041</v>
      </c>
      <c r="AM5" s="114">
        <f ca="1">IF(ISBLANK(Table13[[#This Row],[OSP Pricing (Est. 10 days) ]]), "", IF(ISBLANK(Table13[[#This Row],[Fin Analyst creates fin. model ]]), NETWORKDAYS(Table13[[#This Row],[OSP Pricing (Est. 10 days) ]], TODAY()), NETWORKDAYS(Table13[[#This Row],[OSP Pricing (Est. 10 days) ]], Table13[[#This Row],[Fin Analyst creates fin. model ]])))</f>
        <v>2</v>
      </c>
      <c r="AN5" s="123">
        <v>45047</v>
      </c>
      <c r="AO5" s="123">
        <f>IF(ISBLANK(Table13[[#This Row],[Program Manager schedules kickoff call to assign action Items &amp; align timelines Est. 2 days ]]), "", WORKDAY(Table13[[#This Row],[Program Manager schedules kickoff call to assign action Items &amp; align timelines Est. 2 days ]], 15))</f>
        <v>45048</v>
      </c>
      <c r="AP5" s="114">
        <f ca="1">IF(ISBLANK(Table13[[#This Row],[Fin Analyst creates fin. model ]]), "", IF(ISBLANK(Table13[[#This Row],[Program Manager Submits Fin. Model to BD for Review (Est. 2 days) ]]), NETWORKDAYS(Table13[[#This Row],[Fin Analyst creates fin. model ]], TODAY()), NETWORKDAYS(Table13[[#This Row],[Fin Analyst creates fin. model ]], Table13[[#This Row],[Program Manager Submits Fin. Model to BD for Review (Est. 2 days) ]])))</f>
        <v>15</v>
      </c>
      <c r="AQ5" s="123">
        <v>45056</v>
      </c>
      <c r="AR5" s="123">
        <f>IF(ISBLANK(Table13[[#This Row],[Fin Analyst creates fin. model ]]), "", WORKDAY(Table13[[#This Row],[Fin Analyst creates fin. model ]], 7))</f>
        <v>45056</v>
      </c>
      <c r="AS5" s="114">
        <f ca="1">IF(ISBLANK(Table13[[#This Row],[Sales Ops Peer review (Est. 7 days) ]]), "", IF(ISBLANK(Table13[[#This Row],[Program Manager Submits Fin. Model to BD for Review (Est. 2 days) ]]), NETWORKDAYS(Table13[[#This Row],[Sales Ops Peer review (Est. 7 days) ]], TODAY()), NETWORKDAYS(Table13[[#This Row],[Sales Ops Peer review (Est. 7 days) ]], Table13[[#This Row],[Program Manager Submits Fin. Model to BD for Review (Est. 2 days) ]])))</f>
        <v>8</v>
      </c>
      <c r="AT5" s="123">
        <v>45051</v>
      </c>
      <c r="AU5" s="123">
        <f>IF(ISBLANK(Table13[[#This Row],[Fin Analyst creates fin. model ]]), "", WORKDAY(Table13[[#This Row],[Fin Analyst creates fin. model ]], 7))</f>
        <v>45056</v>
      </c>
      <c r="AV5" s="114">
        <f ca="1">IF(ISBLANK(Table13[[#This Row],[Finance Peer review (Est. 7 days) ]]), "", IF(ISBLANK(Table13[[#This Row],[Program Manager Submits Fin. Model to BD for Review (Est. 2 days) ]]), NETWORKDAYS(Table13[[#This Row],[Finance Peer review (Est. 7 days) ]], TODAY()), NETWORKDAYS(Table13[[#This Row],[Finance Peer review (Est. 7 days) ]], Table13[[#This Row],[Program Manager Submits Fin. Model to BD for Review (Est. 2 days) ]])))</f>
        <v>11</v>
      </c>
      <c r="AW5" s="123">
        <v>45061</v>
      </c>
      <c r="AX5" s="123">
        <f>IF(ISBLANK(Table13[[#This Row],[Fin Analyst creates fin. model ]]), "", WORKDAY(Table13[[#This Row],[Fin Analyst creates fin. model ]], 7))</f>
        <v>45056</v>
      </c>
      <c r="AY5" s="114">
        <f ca="1">IF(ISBLANK(Table13[[#This Row],[Tax fin. model review (Est. 2 days) ]]), "", IF(ISBLANK(Table13[[#This Row],[Program Manager Submits Fin. Model to BD for Review (Est. 2 days) ]]), NETWORKDAYS(Table13[[#This Row],[Tax fin. model review (Est. 2 days) ]], TODAY()), NETWORKDAYS(Table13[[#This Row],[Tax fin. model review (Est. 2 days) ]], Table13[[#This Row],[Program Manager Submits Fin. Model to BD for Review (Est. 2 days) ]])))</f>
        <v>5</v>
      </c>
      <c r="AZ5" s="123">
        <v>45066</v>
      </c>
      <c r="BA5" s="123">
        <f>IF(ISBLANK(Table13[[#This Row],[Fin Analyst creates fin. model ]]), "", WORKDAY(Table13[[#This Row],[Fin Analyst creates fin. model ]], 10))</f>
        <v>45061</v>
      </c>
      <c r="BB5" s="114">
        <f ca="1">IF(ISBLANK(Table13[[#This Row],[Program Manager Submits Fin. Model to BD for Review (Est. 2 days) ]]), "", IF(ISBLANK(Table13[[#This Row],[BD reviews Fin. Model Pricing ]]), NETWORKDAYS(Table13[[#This Row],[Program Manager Submits Fin. Model to BD for Review (Est. 2 days) ]], TODAY()), NETWORKDAYS(Table13[[#This Row],[Program Manager Submits Fin. Model to BD for Review (Est. 2 days) ]], Table13[[#This Row],[BD reviews Fin. Model Pricing ]])))</f>
        <v>4</v>
      </c>
      <c r="BC5" s="123">
        <v>45071</v>
      </c>
      <c r="BD5" s="123">
        <f>IF(ISBLANK(Table13[[#This Row],[Program Manager Submits Fin. Model to BD for Review (Est. 2 days) ]]), "", WORKDAY(Table13[[#This Row],[Program Manager Submits Fin. Model to BD for Review (Est. 2 days) ]], 5))</f>
        <v>45072</v>
      </c>
      <c r="BE5" s="114">
        <f ca="1">IF(ISBLANK(Table13[[#This Row],[BD reviews Fin. Model Pricing ]]), "", IF(ISBLANK(Table13[[#This Row],[BD Responds OK to Move Forward]]), NETWORKDAYS(Table13[[#This Row],[BD reviews Fin. Model Pricing ]], TODAY()), NETWORKDAYS(Table13[[#This Row],[BD reviews Fin. Model Pricing ]], Table13[[#This Row],[BD Responds OK to Move Forward]])))</f>
        <v>6</v>
      </c>
      <c r="BF5" s="123">
        <v>45078</v>
      </c>
      <c r="BG5" s="123">
        <f>IF(ISBLANK(Table13[[#This Row],[BD reviews Fin. Model Pricing ]]), "", WORKDAY(Table13[[#This Row],[BD reviews Fin. Model Pricing ]], 7))</f>
        <v>45082</v>
      </c>
      <c r="BH5" s="114">
        <f ca="1">IF(ISBLANK(Table13[[#This Row],[BD Responds OK to Move Forward]]), "", IF(ISBLANK(Table13[[#This Row],[Program Manager validates with appropriate teams the pricing data inputs (Est. 2 days) ]]), NETWORKDAYS(Table13[[#This Row],[BD Responds OK to Move Forward]], TODAY()), NETWORKDAYS(Table13[[#This Row],[BD Responds OK to Move Forward]], Table13[[#This Row],[Program Manager validates with appropriate teams the pricing data inputs (Est. 2 days) ]])))</f>
        <v>7</v>
      </c>
      <c r="BI5" s="123">
        <v>45087</v>
      </c>
      <c r="BJ5" s="123">
        <f>IF(ISBLANK(Table13[[#This Row],[BD Responds OK to Move Forward]]), "", WORKDAY(Table13[[#This Row],[BD Responds OK to Move Forward]], 7))</f>
        <v>45089</v>
      </c>
      <c r="BK5" s="114">
        <f ca="1">IF(ISBLANK(Table13[[#This Row],[Program Manager validates with appropriate teams the pricing data inputs (Est. 2 days) ]]), "", IF(ISBLANK(Table13[[#This Row],[Program Manager creates 1 pager proposal (Est. 2 days) ]]), NETWORKDAYS(Table13[[#This Row],[Program Manager validates with appropriate teams the pricing data inputs (Est. 2 days) ]], TODAY()), NETWORKDAYS(Table13[[#This Row],[Program Manager validates with appropriate teams the pricing data inputs (Est. 2 days) ]], Table13[[#This Row],[Program Manager creates 1 pager proposal (Est. 2 days) ]])))</f>
        <v>4</v>
      </c>
      <c r="BL5" s="123">
        <v>45092</v>
      </c>
      <c r="BM5" s="123">
        <f>IF(ISBLANK(Table13[[#This Row],[Program Manager validates with appropriate teams the pricing data inputs (Est. 2 days) ]]), "", WORKDAY(Table13[[#This Row],[Program Manager validates with appropriate teams the pricing data inputs (Est. 2 days) ]], 7))</f>
        <v>45097</v>
      </c>
      <c r="BN5" s="114">
        <f ca="1">IF(ISBLANK(Table13[[#This Row],[Program Manager creates 1 pager proposal (Est. 2 days) ]]), "", IF(ISBLANK(Table13[[#This Row],[Program Manager creates full proposal (Est. 10 days) ]]), NETWORKDAYS(Table13[[#This Row],[Program Manager creates 1 pager proposal (Est. 2 days) ]], TODAY()), NETWORKDAYS(Table13[[#This Row],[Program Manager creates 1 pager proposal (Est. 2 days) ]], Table13[[#This Row],[Program Manager creates full proposal (Est. 10 days) ]])))</f>
        <v>4</v>
      </c>
      <c r="BO5" s="123">
        <v>45097</v>
      </c>
      <c r="BP5" s="123">
        <f>IF(ISBLANK(Table13[[#This Row],[Program Manager creates 1 pager proposal (Est. 2 days) ]]), "", WORKDAY(Table13[[#This Row],[Program Manager creates 1 pager proposal (Est. 2 days) ]], 7))</f>
        <v>45103</v>
      </c>
      <c r="BQ5" s="114">
        <f ca="1">IF(ISBLANK(Table13[[#This Row],[Program Manager creates full proposal (Est. 10 days) ]]), "", IF(ISBLANK(Table13[[#This Row],[BD submits proposal ]]), NETWORKDAYS(Table13[[#This Row],[Program Manager creates full proposal (Est. 10 days) ]], TODAY()), NETWORKDAYS(Table13[[#This Row],[Program Manager creates full proposal (Est. 10 days) ]], Table13[[#This Row],[BD submits proposal ]])))</f>
        <v>7</v>
      </c>
      <c r="BR5" s="123">
        <v>45105</v>
      </c>
      <c r="BS5" s="123">
        <f>IF(ISBLANK(Table13[[#This Row],[Program Manager creates full proposal (Est. 10 days) ]]), "", WORKDAY(Table13[[#This Row],[Program Manager creates full proposal (Est. 10 days) ]], 7))</f>
        <v>45106</v>
      </c>
      <c r="BT5" s="114">
        <f ca="1">IF(ISBLANK(Table13[[#This Row],[BD submits proposal ]]), "", IF(ISBLANK(Table13[[#This Row],[M. Director Presents to CAC (Est. 10 days) ]]), NETWORKDAYS(Table13[[#This Row],[BD submits proposal ]], TODAY()), NETWORKDAYS(Table13[[#This Row],[BD submits proposal ]], Table13[[#This Row],[M. Director Presents to CAC (Est. 10 days) ]])))</f>
        <v>13</v>
      </c>
      <c r="BU5" s="123">
        <v>45121</v>
      </c>
      <c r="BV5" s="123">
        <f>IF(ISBLANK(Table13[[#This Row],[BD submits proposal ]]), "", WORKDAY(Table13[[#This Row],[BD submits proposal ]], 10))</f>
        <v>45119</v>
      </c>
      <c r="BW5" s="114">
        <f ca="1">IF(ISBLANK(Table13[[#This Row],[M. Director Presents to CAC (Est. 10 days) ]]), "", IF(ISBLANK(Table13[[#This Row],[Proposal Acceptance Date ]]), NETWORKDAYS(Table13[[#This Row],[M. Director Presents to CAC (Est. 10 days) ]], TODAY()), NETWORKDAYS(Table13[[#This Row],[M. Director Presents to CAC (Est. 10 days) ]], Table13[[#This Row],[Proposal Acceptance Date ]])))</f>
        <v>11</v>
      </c>
      <c r="BX5" s="123" t="s">
        <v>655</v>
      </c>
      <c r="BY5" s="123">
        <v>45137</v>
      </c>
      <c r="BZ5" s="114">
        <f ca="1">IF(ISBLANK(Table13[[#This Row],[Proposal Acceptance Date ]]), "", IF(ISBLANK(Table13[[#This Row],[Update record in CRM ]]), NETWORKDAYS(Table13[[#This Row],[Proposal Acceptance Date ]], TODAY()), NETWORKDAYS(Table13[[#This Row],[Proposal Acceptance Date ]], Table13[[#This Row],[Update record in CRM ]])))</f>
        <v>12</v>
      </c>
      <c r="CA5" s="123">
        <v>45153</v>
      </c>
      <c r="CB5" s="123">
        <f>IF(ISBLANK(Table13[[#This Row],[Proposal Acceptance Date ]]), "", WORKDAY(Table13[[#This Row],[Proposal Acceptance Date ]], 7))</f>
        <v>45146</v>
      </c>
      <c r="CC5" s="114">
        <f ca="1">IF(ISBLANK(Table13[[#This Row],[Update record in CRM ]]), "", IF(ISBLANK(Table13[[#This Row],[Liaison/review redlines ]]), NETWORKDAYS(Table13[[#This Row],[Update record in CRM ]], TODAY()), NETWORKDAYS(Table13[[#This Row],[Update record in CRM ]], Table13[[#This Row],[Liaison/review redlines ]])))</f>
        <v>12</v>
      </c>
      <c r="CD5" s="123">
        <v>45168</v>
      </c>
      <c r="CE5" s="123">
        <f>IF(ISBLANK(Table13[[#This Row],[Update record in CRM ]]), "", WORKDAY(Table13[[#This Row],[Update record in CRM ]], 7))</f>
        <v>45162</v>
      </c>
      <c r="CF5" s="114">
        <f ca="1">IF(ISBLANK(Table13[[#This Row],[Liaison/review redlines ]]), "", IF(ISBLANK(Table13[[#This Row],[Draft Agreement (Est. 90 days) ]]), NETWORKDAYS(Table13[[#This Row],[Liaison/review redlines ]], TODAY()), NETWORKDAYS(Table13[[#This Row],[Liaison/review redlines ]], Table13[[#This Row],[Draft Agreement (Est. 90 days) ]])))</f>
        <v>67</v>
      </c>
      <c r="CG5" s="123">
        <v>45260</v>
      </c>
      <c r="CH5" s="123">
        <f>IF(ISBLANK(Table13[[#This Row],[Liaison/review redlines ]]), "", WORKDAY(Table13[[#This Row],[Liaison/review redlines ]], 90))</f>
        <v>45294</v>
      </c>
      <c r="CI5" s="114">
        <f ca="1">IF(ISBLANK(Table13[[#This Row],[Draft Agreement (Est. 90 days) ]]), "", IF(ISBLANK(Table13[[#This Row],[Executed Agreement (10 days)]]), NETWORKDAYS(Table13[[#This Row],[Draft Agreement (Est. 90 days) ]], TODAY()), NETWORKDAYS(Table13[[#This Row],[Draft Agreement (Est. 90 days) ]], Table13[[#This Row],[Executed Agreement (10 days)]])))</f>
        <v>15</v>
      </c>
      <c r="CJ5" s="123">
        <v>45280</v>
      </c>
      <c r="CK5" s="123">
        <f>IF(ISBLANK(Table13[[#This Row],[Draft Agreement (Est. 90 days) ]]), "", WORKDAY(Table13[[#This Row],[Draft Agreement (Est. 90 days) ]], 10))</f>
        <v>45274</v>
      </c>
      <c r="CL5" s="114">
        <f ca="1">IF(ISBLANK(Table13[[#This Row],[Executed Agreement (10 days)]]), "", IF(ISBLANK(Table13[[#This Row],[Prog Manager schedules Kick-off meeting (Est. 3 days) ]]), NETWORKDAYS(Table13[[#This Row],[Executed Agreement (10 days)]], TODAY()), NETWORKDAYS(Table13[[#This Row],[Executed Agreement (10 days)]], Table13[[#This Row],[Prog Manager schedules Kick-off meeting (Est. 3 days) ]])))</f>
        <v>4</v>
      </c>
      <c r="CM5" s="123">
        <v>45285</v>
      </c>
      <c r="CN5" s="123">
        <f>IF(ISBLANK(Table13[[#This Row],[Executed Agreement (10 days)]]), "", WORKDAY(Table13[[#This Row],[Executed Agreement (10 days)]], 3))</f>
        <v>45285</v>
      </c>
      <c r="CO5" s="114">
        <f ca="1">IF(ISBLANK(Table13[[#This Row],[Prog Manager schedules Kick-off meeting (Est. 3 days) ]]), "", IF(ISBLANK(Table13[[#This Row],[Budget Approvals (Est. 7 days) ]]), NETWORKDAYS(Table13[[#This Row],[Prog Manager schedules Kick-off meeting (Est. 3 days) ]], TODAY()), NETWORKDAYS(Table13[[#This Row],[Prog Manager schedules Kick-off meeting (Est. 3 days) ]], Table13[[#This Row],[Budget Approvals (Est. 7 days) ]])))</f>
        <v>8</v>
      </c>
      <c r="CP5" s="123">
        <v>45294</v>
      </c>
      <c r="CQ5" s="123">
        <f>IF(ISBLANK(Table13[[#This Row],[Prog Manager schedules Kick-off meeting (Est. 3 days) ]]), "", WORKDAY(Table13[[#This Row],[Prog Manager schedules Kick-off meeting (Est. 3 days) ]], 7))</f>
        <v>45294</v>
      </c>
      <c r="CR5" s="114">
        <f ca="1">IF(ISBLANK(Table13[[#This Row],[Budget Approvals (Est. 7 days) ]]), "", IF(ISBLANK(Table13[[#This Row],[Order backhaul (Est. 7 days) ]]), NETWORKDAYS(Table13[[#This Row],[Budget Approvals (Est. 7 days) ]], TODAY()), NETWORKDAYS(Table13[[#This Row],[Budget Approvals (Est. 7 days) ]], Table13[[#This Row],[Order backhaul (Est. 7 days) ]])))</f>
        <v>6</v>
      </c>
      <c r="CS5" s="123">
        <v>45301</v>
      </c>
      <c r="CT5" s="123">
        <f>IF(ISBLANK(Table13[[#This Row],[Budget Approvals (Est. 7 days) ]]), "", WORKDAY(Table13[[#This Row],[Budget Approvals (Est. 7 days) ]], 7))</f>
        <v>45303</v>
      </c>
      <c r="CU5" s="114">
        <f ca="1">IF(ISBLANK(Table13[[#This Row],[Order backhaul (Est. 7 days) ]]), "", IF(ISBLANK(Table13[[#This Row],[Quotes updates if changes in BOM list (Est. 7 days) ]]), NETWORKDAYS(Table13[[#This Row],[Order backhaul (Est. 7 days) ]], TODAY()), NETWORKDAYS(Table13[[#This Row],[Order backhaul (Est. 7 days) ]], Table13[[#This Row],[Quotes updates if changes in BOM list (Est. 7 days) ]])))</f>
        <v>8</v>
      </c>
      <c r="CV5" s="123">
        <v>45311</v>
      </c>
      <c r="CW5" s="123">
        <f>IF(ISBLANK(Table13[[#This Row],[Order backhaul (Est. 7 days) ]]), "", WORKDAY(Table13[[#This Row],[Order backhaul (Est. 7 days) ]], 7))</f>
        <v>45310</v>
      </c>
      <c r="CX5" s="114">
        <f ca="1">IF(ISBLANK(Table13[[#This Row],[Quotes updates if changes in BOM list (Est. 7 days) ]]), "", IF(ISBLANK(Table13[[#This Row],[Final BOM (Est. 7 days) ]]), NETWORKDAYS(Table13[[#This Row],[Quotes updates if changes in BOM list (Est. 7 days) ]], TODAY()), NETWORKDAYS(Table13[[#This Row],[Quotes updates if changes in BOM list (Est. 7 days) ]], Table13[[#This Row],[Final BOM (Est. 7 days) ]])))</f>
        <v>15</v>
      </c>
      <c r="CY5" s="123">
        <v>45332</v>
      </c>
      <c r="CZ5" s="123">
        <f>IF(ISBLANK(Table13[[#This Row],[Quotes updates if changes in BOM list (Est. 7 days) ]]), "", WORKDAY(Table13[[#This Row],[Quotes updates if changes in BOM list (Est. 7 days) ]], 7))</f>
        <v>45321</v>
      </c>
      <c r="DA5" s="114">
        <f ca="1">IF(ISBLANK(Table13[[#This Row],[Final BOM (Est. 7 days) ]]), "", IF(ISBLANK(Table13[[#This Row],[Submit POs (Est. 7 days) ]]), NETWORKDAYS(Table13[[#This Row],[Final BOM (Est. 7 days) ]], TODAY()), NETWORKDAYS(Table13[[#This Row],[Final BOM (Est. 7 days) ]], Table13[[#This Row],[Submit POs (Est. 7 days) ]])))</f>
        <v>3</v>
      </c>
      <c r="DB5" s="123">
        <v>45336</v>
      </c>
      <c r="DC5" s="123">
        <f>IF(ISBLANK(Table13[[#This Row],[Final BOM (Est. 7 days) ]]), "", WORKDAY(Table13[[#This Row],[Final BOM (Est. 7 days) ]], 7))</f>
        <v>45342</v>
      </c>
      <c r="DD5" s="114">
        <f ca="1">IF(ISBLANK(Table13[[#This Row],[Submit POs (Est. 7 days) ]]), "", IF(ISBLANK(Table13[[#This Row],[Coordinate materials logistics (Est. 8 weeks) ]]), NETWORKDAYS(Table13[[#This Row],[Submit POs (Est. 7 days) ]], TODAY()), NETWORKDAYS(Table13[[#This Row],[Submit POs (Est. 7 days) ]], Table13[[#This Row],[Coordinate materials logistics (Est. 8 weeks) ]])))</f>
        <v>178</v>
      </c>
      <c r="DE5" s="123">
        <v>45536</v>
      </c>
      <c r="DF5" s="123">
        <f>IF(ISBLANK(Table13[[#This Row],[Executed Agreement (10 days)]]), "", WORKDAY(Table13[[#This Row],[Executed Agreement (10 days)]], 180))</f>
        <v>45532</v>
      </c>
      <c r="DG5" s="114">
        <f ca="1">IF(ISBLANK(Table13[[#This Row],[Submit POs (Est. 7 days) ]]), "", IF(ISBLANK(Table13[[#This Row],[Coordinate materials logistics (Est. 8 weeks) ]]), NETWORKDAYS(Table13[[#This Row],[Submit POs (Est. 7 days) ]], TODAY()), NETWORKDAYS(Table13[[#This Row],[Submit POs (Est. 7 days) ]], Table13[[#This Row],[Coordinate materials logistics (Est. 8 weeks) ]])))</f>
        <v>178</v>
      </c>
      <c r="DH5" s="123">
        <v>45585</v>
      </c>
      <c r="DI5" s="123">
        <f>IF(ISBLANK(Table13[[#This Row],[RTP]]), "", WORKDAY(Table13[[#This Row],[RTP]], 40))</f>
        <v>45590</v>
      </c>
      <c r="DJ5" s="114">
        <f ca="1">IF(ISBLANK(Table13[[#This Row],[Coordinate materials logistics (Est. 8 weeks) ]]), "", IF(ISBLANK(Table13[[#This Row],[Monitor Construction Start (Est. 6 months) ]]), NETWORKDAYS(Table13[[#This Row],[Coordinate materials logistics (Est. 8 weeks) ]], TODAY()), NETWORKDAYS(Table13[[#This Row],[Coordinate materials logistics (Est. 8 weeks) ]], Table13[[#This Row],[Monitor Construction Start (Est. 6 months) ]])))</f>
        <v>12</v>
      </c>
      <c r="DK5" s="123">
        <v>45601</v>
      </c>
      <c r="DL5" s="123">
        <f>IF(ISBLANK(Table13[[#This Row],[Coordinate materials logistics (Est. 8 weeks) ]]), "", WORKDAY(Table13[[#This Row],[Coordinate materials logistics (Est. 8 weeks) ]], 7))</f>
        <v>45594</v>
      </c>
      <c r="DM5" s="114">
        <f ca="1">IF(ISBLANK(Table13[[#This Row],[Monitor Construction Start (Est. 6 months) ]]), "", IF(ISBLANK(Table13[[#This Row],[Construction Completion]]), NETWORKDAYS(Table13[[#This Row],[Monitor Construction Start (Est. 6 months) ]], TODAY()), NETWORKDAYS(Table13[[#This Row],[Monitor Construction Start (Est. 6 months) ]], Table13[[#This Row],[Construction Completion]])))</f>
        <v>176</v>
      </c>
      <c r="DN5" s="123">
        <v>45611</v>
      </c>
      <c r="DO5" s="123">
        <f>IF(ISBLANK(Table13[[#This Row],[Monitor Construction Start (Est. 6 months) ]]), "", WORKDAY(Table13[[#This Row],[Monitor Construction Start (Est. 6 months) ]], 15))</f>
        <v>45622</v>
      </c>
      <c r="DP5" s="114">
        <f ca="1">IF(ISBLANK(Table13[[#This Row],[Core switches configuration (Est. 2 weeks) ]]), "", IF(ISBLANK(Table13[[#This Row],[Integration (Est. 2 weeks) ]]), NETWORKDAYS(Table13[[#This Row],[Core switches configuration (Est. 2 weeks) ]], TODAY()), NETWORKDAYS(Table13[[#This Row],[Core switches configuration (Est. 2 weeks) ]], Table13[[#This Row],[Integration (Est. 2 weeks) ]])))</f>
        <v>93</v>
      </c>
      <c r="DQ5" s="123">
        <v>45726</v>
      </c>
      <c r="DR5" s="123">
        <f>IF(ISBLANK(Table13[[#This Row],[Monitor Construction Start (Est. 6 months) ]]), "", WORKDAY(Table13[[#This Row],[Monitor Construction Start (Est. 6 months) ]], 90))</f>
        <v>45727</v>
      </c>
      <c r="DS5" s="114">
        <f ca="1">IF(ISBLANK(Table13[[#This Row],[Backhaul Delivery coordination (Est. 3 months) ]]), "", IF(ISBLANK(Table13[[#This Row],[Integration (Est. 2 weeks) ]]), NETWORKDAYS(Table13[[#This Row],[Backhaul Delivery coordination (Est. 3 months) ]], TODAY()), NETWORKDAYS(Table13[[#This Row],[Backhaul Delivery coordination (Est. 3 months) ]], Table13[[#This Row],[Integration (Est. 2 weeks) ]])))</f>
        <v>12</v>
      </c>
      <c r="DT5" s="123">
        <v>45741</v>
      </c>
      <c r="DU5" s="132">
        <f>IF(ISBLANK(Table13[[#This Row],[Backhaul Delivery coordination (Est. 3 months) ]]), "", WORKDAY(Table13[[#This Row],[Backhaul Delivery coordination (Est. 3 months) ]], 10))</f>
        <v>45740</v>
      </c>
      <c r="DV5" s="114">
        <f ca="1">IF(ISBLANK(Table13[[#This Row],[Integration (Est. 2 weeks) ]]), "", IF(ISBLANK(Table13[[#This Row],[Construction Completion]]), NETWORKDAYS(Table13[[#This Row],[Integration (Est. 2 weeks) ]], TODAY()), NETWORKDAYS(Table13[[#This Row],[Integration (Est. 2 weeks) ]], Table13[[#This Row],[Construction Completion]])))</f>
        <v>76</v>
      </c>
      <c r="DW5" s="123">
        <v>45846</v>
      </c>
      <c r="DX5" s="132">
        <f>IF(ISBLANK(Table13[[#This Row],[Monitor Construction Start (Est. 6 months) ]]), "", WORKDAY(Table13[[#This Row],[Monitor Construction Start (Est. 6 months) ]], 180))</f>
        <v>45853</v>
      </c>
      <c r="DY5" s="114">
        <f ca="1">IF(ISBLANK(Table13[[#This Row],[Construction Completion]]), "", IF(ISBLANK(Table13[[#This Row],[QC site review (Est. 7 days) ]]), NETWORKDAYS(Table13[[#This Row],[Construction Completion]], TODAY()), NETWORKDAYS(Table13[[#This Row],[Construction Completion]], Table13[[#This Row],[QC site review (Est. 7 days) ]])))</f>
        <v>11</v>
      </c>
      <c r="EA5" s="123">
        <v>45860</v>
      </c>
      <c r="EB5" s="123">
        <f>IF(ISBLANK(Table13[[#This Row],[Construction Completion]]), "", WORKDAY(Table13[[#This Row],[Construction Completion]], 7))</f>
        <v>45855</v>
      </c>
      <c r="EC5" s="114">
        <f ca="1">IF(ISBLANK(Table13[[#This Row],[QC site review (Est. 7 days) ]]), "", IF(ISBLANK(Table13[[#This Row],[Site Walk (Est. 2 weeks) ]]), NETWORKDAYS(Table13[[#This Row],[QC site review (Est. 7 days) ]], TODAY()), NETWORKDAYS(Table13[[#This Row],[QC site review (Est. 7 days) ]], Table13[[#This Row],[Site Walk (Est. 2 weeks) ]])))</f>
        <v>18</v>
      </c>
      <c r="ED5" s="123">
        <v>45883</v>
      </c>
      <c r="EE5" s="123">
        <f>IF(ISBLANK(Table13[[#This Row],[QC site review (Est. 7 days) ]]), "", WORKDAY(Table13[[#This Row],[QC site review (Est. 7 days) ]], 10))</f>
        <v>45874</v>
      </c>
      <c r="EF5" s="114">
        <f ca="1">IF(ISBLANK(Table13[[#This Row],[Site Walk (Est. 2 weeks) ]]), "", IF(ISBLANK(Table13[[#This Row],[FNE Closeout Package (Est. 2 weeks) ]]), NETWORKDAYS(Table13[[#This Row],[Site Walk (Est. 2 weeks) ]], TODAY()), NETWORKDAYS(Table13[[#This Row],[Site Walk (Est. 2 weeks) ]], Table13[[#This Row],[FNE Closeout Package (Est. 2 weeks) ]])))</f>
        <v>13</v>
      </c>
      <c r="EG5" s="123">
        <v>45901</v>
      </c>
      <c r="EH5" s="123">
        <f>IF(ISBLANK(Table13[[#This Row],[Site Walk (Est. 2 weeks) ]]), "", WORKDAY(Table13[[#This Row],[Site Walk (Est. 2 weeks) ]], 10))</f>
        <v>45897</v>
      </c>
      <c r="EI5" s="114">
        <f ca="1">IF(ISBLANK(Table13[[#This Row],[FNE Closeout Package (Est. 2 weeks) ]]), "", IF(ISBLANK(Table13[[#This Row],[Accepts Network (Est. 1 week) ]]), NETWORKDAYS(Table13[[#This Row],[FNE Closeout Package (Est. 2 weeks) ]], TODAY()), NETWORKDAYS(Table13[[#This Row],[FNE Closeout Package (Est. 2 weeks) ]], Table13[[#This Row],[Accepts Network (Est. 1 week) ]])))</f>
        <v>8</v>
      </c>
      <c r="EJ5" s="123">
        <v>45910</v>
      </c>
      <c r="EK5" s="123">
        <f>IF(ISBLANK(Table13[[#This Row],[FNE Closeout Package (Est. 2 weeks) ]]), "", WORKDAY(Table13[[#This Row],[FNE Closeout Package (Est. 2 weeks) ]], 7))</f>
        <v>45910</v>
      </c>
      <c r="EL5" s="114">
        <f ca="1">IF(ISBLANK(Table13[[#This Row],[Accepts Network (Est. 1 week) ]]), "", IF(ISBLANK(Table13[[#This Row],[Project Completion]]), NETWORKDAYS(Table13[[#This Row],[Accepts Network (Est. 1 week) ]], TODAY()), NETWORKDAYS(Table13[[#This Row],[Accepts Network (Est. 1 week) ]], Table13[[#This Row],[Project Completion]])))</f>
        <v>8</v>
      </c>
      <c r="EM5" s="123">
        <v>45920</v>
      </c>
      <c r="EN5" s="123">
        <f>IF(ISBLANK(Table13[[#This Row],[Accepts Network (Est. 1 week) ]]), "", WORKDAY(Table13[[#This Row],[Accepts Network (Est. 1 week) ]], 10))</f>
        <v>45924</v>
      </c>
      <c r="EO5" s="155">
        <f ca="1">IF(ISBLANK(Table13[[#This Row],[Project Completion]]), " ", NETWORKDAYS(Table13[[#This Row],[Project Completion]], TODAY()))</f>
        <v>-50</v>
      </c>
    </row>
    <row r="6" spans="1:145" x14ac:dyDescent="0.25">
      <c r="A6" s="154">
        <v>43831</v>
      </c>
      <c r="B6" s="124"/>
      <c r="C6" s="123"/>
      <c r="D6" s="123">
        <f>IF(ISBLANK(Table13[[#This Row],[BD creates opportunity in CRM ]]), "", WORKDAY(Table13[[#This Row],[BD creates opportunity in CRM ]], 7))</f>
        <v>43840</v>
      </c>
      <c r="E6" s="152" t="str">
        <f ca="1">IF(ISBLANK(Table13[[#This Row],[Conduct meeting/call to explore opportunity ]]), "", IF(ISBLANK(Table13[[#This Row],[Date of Prospect Interest]]), NETWORKDAYS(Table13[[#This Row],[Conduct meeting/call to explore opportunity ]], TODAY()), NETWORKDAYS(Table13[[#This Row],[Conduct meeting/call to explore opportunity ]], Table13[[#This Row],[Date of Prospect Interest]])))</f>
        <v/>
      </c>
      <c r="F6" s="124" t="s">
        <v>656</v>
      </c>
      <c r="G6" s="125"/>
      <c r="H6" s="157" t="str">
        <f ca="1">IF(ISBLANK(Table13[[#This Row],[Date of Prospect Interest]]), "", IF(ISBLANK(Table13[[#This Row],[BD submits email to NSE Design Distro]]), NETWORKDAYS(Table13[[#This Row],[Date of Prospect Interest]], TODAY()), NETWORKDAYS(Table13[[#This Row],[Date of Prospect Interest]], Table13[[#This Row],[BD submits email to NSE Design Distro]])))</f>
        <v/>
      </c>
      <c r="I6" s="125"/>
      <c r="J6" s="123" t="str">
        <f>IF(ISBLANK(Table13[[#This Row],[Date of Prospect Interest]]), "", WORKDAY(Table13[[#This Row],[Date of Prospect Interest]], 7))</f>
        <v/>
      </c>
      <c r="K6" s="114" t="str">
        <f ca="1">IF(ISBLANK(Table13[[#This Row],[BD submits email to NSE Design Distro]]), "", IF(ISBLANK(Table13[[#This Row],[Program Manager adds request to tracker ]]), NETWORKDAYS(Table13[[#This Row],[BD submits email to NSE Design Distro]], TODAY()), NETWORKDAYS(Table13[[#This Row],[BD submits email to NSE Design Distro]], Table13[[#This Row],[Program Manager adds request to tracker ]])))</f>
        <v/>
      </c>
      <c r="L6" s="123"/>
      <c r="M6" s="123" t="str">
        <f>IF(ISBLANK(Table13[[#This Row],[BD submits email to NSE Design Distro]]), "", WORKDAY(Table13[[#This Row],[BD submits email to NSE Design Distro]], 7))</f>
        <v/>
      </c>
      <c r="N6" s="114" t="str">
        <f ca="1">IF(ISBLANK(Table13[[#This Row],[Program Manager adds request to tracker ]]), "", IF(ISBLANK(Table13[[#This Row],[Program Manager schedules kickoff call to assign action Items &amp; align timelines Est. 2 days ]]), NETWORKDAYS(Table13[[#This Row],[Program Manager adds request to tracker ]], TODAY()), NETWORKDAYS(Table13[[#This Row],[Program Manager adds request to tracker ]], Table13[[#This Row],[Program Manager schedules kickoff call to assign action Items &amp; align timelines Est. 2 days ]])))</f>
        <v/>
      </c>
      <c r="O6" s="124"/>
      <c r="P6" s="124"/>
      <c r="Q6" s="124"/>
      <c r="R6" s="124"/>
      <c r="S6" s="124"/>
      <c r="T6" s="124"/>
      <c r="U6" s="124"/>
      <c r="V6" s="123"/>
      <c r="W6" s="123" t="str">
        <f>IF(Table13[[#This Row],[SBA or Aerwave]] = "Aerwave", WORKDAY(Table13[[#This Row],[Program Manager adds request to tracker ]], 7), " ")</f>
        <v xml:space="preserve"> </v>
      </c>
      <c r="X6" s="114" t="str">
        <f ca="1">IF(ISBLANK(Table13[[#This Row],[P.M Check with BD OK to submit Aerwave]]), "", IF(ISBLANK(Table13[[#This Row],[P.M Submit Request to Aerwave ]]), NETWORKDAYS(Table13[[#This Row],[P.M Check with BD OK to submit Aerwave]], TODAY()), NETWORKDAYS(Table13[[#This Row],[P.M Check with BD OK to submit Aerwave]], Table13[[#This Row],[P.M Submit Request to Aerwave ]])))</f>
        <v/>
      </c>
      <c r="Y6" s="123"/>
      <c r="Z6" s="123" t="str">
        <f>IF(Table13[[#This Row],[SBA or Aerwave]] = "Aerwave", WORKDAY(Table13[[#This Row],[P.M Check with BD OK to submit Aerwave]], 7), " ")</f>
        <v xml:space="preserve"> </v>
      </c>
      <c r="AA6" s="114" t="str">
        <f ca="1">IF(ISBLANK(Table13[[#This Row],[P.M Submit Request to Aerwave ]]), "", IF(ISBLANK(Table13[[#This Row],[Program Manager schedules kickoff call to assign action Items &amp; align timelines Est. 2 days ]]), NETWORKDAYS(Table13[[#This Row],[P.M Submit Request to Aerwave ]], TODAY()), NETWORKDAYS(Table13[[#This Row],[P.M Submit Request to Aerwave ]], Table13[[#This Row],[Program Manager schedules kickoff call to assign action Items &amp; align timelines Est. 2 days ]])))</f>
        <v/>
      </c>
      <c r="AB6" s="123"/>
      <c r="AC6" s="123" t="str">
        <f>IF(Table13[[#This Row],[SBA or Aerwave]] = "Aerwave", WORKDAY(Table13[[#This Row],[P.M Submit Request to Aerwave ]], 7), IF(ISBLANK(Table13[[#This Row],[Program Manager adds request to tracker ]]), " ", WORKDAY(Table13[[#This Row],[Program Manager adds request to tracker ]], 7)))</f>
        <v xml:space="preserve"> </v>
      </c>
      <c r="AD6" s="114" t="str">
        <f ca="1">IF(ISBLANK(Table13[[#This Row],[Program Manager schedules kickoff call to assign action Items &amp; align timelines Est. 2 days ]]), "", IF(ISBLANK(Table13[[#This Row],[Fin Analyst creates fin. model ]]), NETWORKDAYS(Table13[[#This Row],[Program Manager schedules kickoff call to assign action Items &amp; align timelines Est. 2 days ]], TODAY()), NETWORKDAYS(Table13[[#This Row],[Program Manager schedules kickoff call to assign action Items &amp; align timelines Est. 2 days ]], Table13[[#This Row],[Fin Analyst creates fin. model ]])))</f>
        <v/>
      </c>
      <c r="AE6" s="123"/>
      <c r="AF6" s="123" t="str">
        <f>IF(ISBLANK(Table13[[#This Row],[Program Manager schedules kickoff call to assign action Items &amp; align timelines Est. 2 days ]]), "", WORKDAY(Table13[[#This Row],[Program Manager schedules kickoff call to assign action Items &amp; align timelines Est. 2 days ]], 15))</f>
        <v/>
      </c>
      <c r="AG6" s="114" t="str">
        <f ca="1">IF(ISBLANK(Table13[[#This Row],[Backhaul pricing Est. 15 days ]]), "", IF(ISBLANK(Table13[[#This Row],[Fin Analyst creates fin. model ]]), NETWORKDAYS(Table13[[#This Row],[Backhaul pricing Est. 15 days ]], TODAY()), NETWORKDAYS(Table13[[#This Row],[Backhaul pricing Est. 15 days ]], Table13[[#This Row],[Fin Analyst creates fin. model ]])))</f>
        <v/>
      </c>
      <c r="AH6" s="123"/>
      <c r="AI6" s="123" t="str">
        <f>IF(ISBLANK(Table13[[#This Row],[Program Manager schedules kickoff call to assign action Items &amp; align timelines Est. 2 days ]]), "", WORKDAY(Table13[[#This Row],[Program Manager schedules kickoff call to assign action Items &amp; align timelines Est. 2 days ]], 10))</f>
        <v/>
      </c>
      <c r="AJ6" s="114" t="str">
        <f ca="1">IF(ISBLANK(Table13[[#This Row],[Design, ROM (Est. 10 days) ]]), "", IF(ISBLANK(Table13[[#This Row],[OSP Pricing (Est. 10 days) ]]), NETWORKDAYS(Table13[[#This Row],[Design, ROM (Est. 10 days) ]], TODAY()), NETWORKDAYS(Table13[[#This Row],[Design, ROM (Est. 10 days) ]], Table13[[#This Row],[OSP Pricing (Est. 10 days) ]])))</f>
        <v/>
      </c>
      <c r="AK6" s="123"/>
      <c r="AL6" s="123" t="str">
        <f>IF(ISBLANK(Table13[[#This Row],[Program Manager schedules kickoff call to assign action Items &amp; align timelines Est. 2 days ]]), "", WORKDAY(Table13[[#This Row],[Program Manager schedules kickoff call to assign action Items &amp; align timelines Est. 2 days ]], 10))</f>
        <v/>
      </c>
      <c r="AM6" s="114" t="str">
        <f ca="1">IF(ISBLANK(Table13[[#This Row],[OSP Pricing (Est. 10 days) ]]), "", IF(ISBLANK(Table13[[#This Row],[Fin Analyst creates fin. model ]]), NETWORKDAYS(Table13[[#This Row],[OSP Pricing (Est. 10 days) ]], TODAY()), NETWORKDAYS(Table13[[#This Row],[OSP Pricing (Est. 10 days) ]], Table13[[#This Row],[Fin Analyst creates fin. model ]])))</f>
        <v/>
      </c>
      <c r="AN6" s="123"/>
      <c r="AO6" s="125" t="str">
        <f>IF(ISBLANK(Table13[[#This Row],[Program Manager schedules kickoff call to assign action Items &amp; align timelines Est. 2 days ]]), "", WORKDAY(Table13[[#This Row],[Program Manager schedules kickoff call to assign action Items &amp; align timelines Est. 2 days ]], 15))</f>
        <v/>
      </c>
      <c r="AP6" s="114" t="str">
        <f ca="1">IF(ISBLANK(Table13[[#This Row],[Fin Analyst creates fin. model ]]), "", IF(ISBLANK(Table13[[#This Row],[Program Manager Submits Fin. Model to BD for Review (Est. 2 days) ]]), NETWORKDAYS(Table13[[#This Row],[Fin Analyst creates fin. model ]], TODAY()), NETWORKDAYS(Table13[[#This Row],[Fin Analyst creates fin. model ]], Table13[[#This Row],[Program Manager Submits Fin. Model to BD for Review (Est. 2 days) ]])))</f>
        <v/>
      </c>
      <c r="AQ6" s="123"/>
      <c r="AR6" s="123" t="str">
        <f>IF(ISBLANK(Table13[[#This Row],[Fin Analyst creates fin. model ]]), "", WORKDAY(Table13[[#This Row],[Fin Analyst creates fin. model ]], 7))</f>
        <v/>
      </c>
      <c r="AS6" s="114" t="str">
        <f ca="1">IF(ISBLANK(Table13[[#This Row],[Sales Ops Peer review (Est. 7 days) ]]), "", IF(ISBLANK(Table13[[#This Row],[Program Manager Submits Fin. Model to BD for Review (Est. 2 days) ]]), NETWORKDAYS(Table13[[#This Row],[Sales Ops Peer review (Est. 7 days) ]], TODAY()), NETWORKDAYS(Table13[[#This Row],[Sales Ops Peer review (Est. 7 days) ]], Table13[[#This Row],[Program Manager Submits Fin. Model to BD for Review (Est. 2 days) ]])))</f>
        <v/>
      </c>
      <c r="AT6" s="123"/>
      <c r="AU6" s="123" t="str">
        <f>IF(ISBLANK(Table13[[#This Row],[Fin Analyst creates fin. model ]]), "", WORKDAY(Table13[[#This Row],[Fin Analyst creates fin. model ]], 7))</f>
        <v/>
      </c>
      <c r="AV6" s="114" t="str">
        <f ca="1">IF(ISBLANK(Table13[[#This Row],[Finance Peer review (Est. 7 days) ]]), "", IF(ISBLANK(Table13[[#This Row],[Program Manager Submits Fin. Model to BD for Review (Est. 2 days) ]]), NETWORKDAYS(Table13[[#This Row],[Finance Peer review (Est. 7 days) ]], TODAY()), NETWORKDAYS(Table13[[#This Row],[Finance Peer review (Est. 7 days) ]], Table13[[#This Row],[Program Manager Submits Fin. Model to BD for Review (Est. 2 days) ]])))</f>
        <v/>
      </c>
      <c r="AW6" s="123"/>
      <c r="AX6" s="123" t="str">
        <f>IF(ISBLANK(Table13[[#This Row],[Fin Analyst creates fin. model ]]), "", WORKDAY(Table13[[#This Row],[Fin Analyst creates fin. model ]], 7))</f>
        <v/>
      </c>
      <c r="AY6" s="114" t="str">
        <f ca="1">IF(ISBLANK(Table13[[#This Row],[Tax fin. model review (Est. 2 days) ]]), "", IF(ISBLANK(Table13[[#This Row],[Program Manager Submits Fin. Model to BD for Review (Est. 2 days) ]]), NETWORKDAYS(Table13[[#This Row],[Tax fin. model review (Est. 2 days) ]], TODAY()), NETWORKDAYS(Table13[[#This Row],[Tax fin. model review (Est. 2 days) ]], Table13[[#This Row],[Program Manager Submits Fin. Model to BD for Review (Est. 2 days) ]])))</f>
        <v/>
      </c>
      <c r="AZ6" s="123"/>
      <c r="BA6" s="123" t="str">
        <f>IF(ISBLANK(Table13[[#This Row],[Fin Analyst creates fin. model ]]), "", WORKDAY(Table13[[#This Row],[Fin Analyst creates fin. model ]], 10))</f>
        <v/>
      </c>
      <c r="BB6" s="114" t="str">
        <f ca="1">IF(ISBLANK(Table13[[#This Row],[Program Manager Submits Fin. Model to BD for Review (Est. 2 days) ]]), "", IF(ISBLANK(Table13[[#This Row],[BD reviews Fin. Model Pricing ]]), NETWORKDAYS(Table13[[#This Row],[Program Manager Submits Fin. Model to BD for Review (Est. 2 days) ]], TODAY()), NETWORKDAYS(Table13[[#This Row],[Program Manager Submits Fin. Model to BD for Review (Est. 2 days) ]], Table13[[#This Row],[BD reviews Fin. Model Pricing ]])))</f>
        <v/>
      </c>
      <c r="BC6" s="123"/>
      <c r="BD6" s="123" t="str">
        <f>IF(ISBLANK(Table13[[#This Row],[Program Manager Submits Fin. Model to BD for Review (Est. 2 days) ]]), "", WORKDAY(Table13[[#This Row],[Program Manager Submits Fin. Model to BD for Review (Est. 2 days) ]], 5))</f>
        <v/>
      </c>
      <c r="BE6" s="114" t="str">
        <f ca="1">IF(ISBLANK(Table13[[#This Row],[BD reviews Fin. Model Pricing ]]), "", IF(ISBLANK(Table13[[#This Row],[BD Responds OK to Move Forward]]), NETWORKDAYS(Table13[[#This Row],[BD reviews Fin. Model Pricing ]], TODAY()), NETWORKDAYS(Table13[[#This Row],[BD reviews Fin. Model Pricing ]], Table13[[#This Row],[BD Responds OK to Move Forward]])))</f>
        <v/>
      </c>
      <c r="BF6" s="123"/>
      <c r="BG6" s="123" t="str">
        <f>IF(ISBLANK(Table13[[#This Row],[BD reviews Fin. Model Pricing ]]), "", WORKDAY(Table13[[#This Row],[BD reviews Fin. Model Pricing ]], 7))</f>
        <v/>
      </c>
      <c r="BH6" s="114" t="str">
        <f ca="1">IF(ISBLANK(Table13[[#This Row],[BD Responds OK to Move Forward]]), "", IF(ISBLANK(Table13[[#This Row],[Program Manager validates with appropriate teams the pricing data inputs (Est. 2 days) ]]), NETWORKDAYS(Table13[[#This Row],[BD Responds OK to Move Forward]], TODAY()), NETWORKDAYS(Table13[[#This Row],[BD Responds OK to Move Forward]], Table13[[#This Row],[Program Manager validates with appropriate teams the pricing data inputs (Est. 2 days) ]])))</f>
        <v/>
      </c>
      <c r="BI6" s="123"/>
      <c r="BJ6" s="125" t="str">
        <f>IF(ISBLANK(Table13[[#This Row],[BD Responds OK to Move Forward]]), "", WORKDAY(Table13[[#This Row],[BD Responds OK to Move Forward]], 7))</f>
        <v/>
      </c>
      <c r="BK6" s="114" t="str">
        <f ca="1">IF(ISBLANK(Table13[[#This Row],[Program Manager validates with appropriate teams the pricing data inputs (Est. 2 days) ]]), "", IF(ISBLANK(Table13[[#This Row],[Program Manager creates 1 pager proposal (Est. 2 days) ]]), NETWORKDAYS(Table13[[#This Row],[Program Manager validates with appropriate teams the pricing data inputs (Est. 2 days) ]], TODAY()), NETWORKDAYS(Table13[[#This Row],[Program Manager validates with appropriate teams the pricing data inputs (Est. 2 days) ]], Table13[[#This Row],[Program Manager creates 1 pager proposal (Est. 2 days) ]])))</f>
        <v/>
      </c>
      <c r="BL6" s="123"/>
      <c r="BM6" s="125" t="str">
        <f>IF(ISBLANK(Table13[[#This Row],[Program Manager validates with appropriate teams the pricing data inputs (Est. 2 days) ]]), "", WORKDAY(Table13[[#This Row],[Program Manager validates with appropriate teams the pricing data inputs (Est. 2 days) ]], 7))</f>
        <v/>
      </c>
      <c r="BN6" s="114" t="str">
        <f ca="1">IF(ISBLANK(Table13[[#This Row],[Program Manager creates 1 pager proposal (Est. 2 days) ]]), "", IF(ISBLANK(Table13[[#This Row],[Program Manager creates full proposal (Est. 10 days) ]]), NETWORKDAYS(Table13[[#This Row],[Program Manager creates 1 pager proposal (Est. 2 days) ]], TODAY()), NETWORKDAYS(Table13[[#This Row],[Program Manager creates 1 pager proposal (Est. 2 days) ]], Table13[[#This Row],[Program Manager creates full proposal (Est. 10 days) ]])))</f>
        <v/>
      </c>
      <c r="BO6" s="123"/>
      <c r="BP6" s="125" t="str">
        <f>IF(ISBLANK(Table13[[#This Row],[Program Manager creates 1 pager proposal (Est. 2 days) ]]), "", WORKDAY(Table13[[#This Row],[Program Manager creates 1 pager proposal (Est. 2 days) ]], 7))</f>
        <v/>
      </c>
      <c r="BQ6" s="114" t="str">
        <f ca="1">IF(ISBLANK(Table13[[#This Row],[Program Manager creates full proposal (Est. 10 days) ]]), "", IF(ISBLANK(Table13[[#This Row],[BD submits proposal ]]), NETWORKDAYS(Table13[[#This Row],[Program Manager creates full proposal (Est. 10 days) ]], TODAY()), NETWORKDAYS(Table13[[#This Row],[Program Manager creates full proposal (Est. 10 days) ]], Table13[[#This Row],[BD submits proposal ]])))</f>
        <v/>
      </c>
      <c r="BR6" s="123"/>
      <c r="BS6" s="125" t="str">
        <f>IF(ISBLANK(Table13[[#This Row],[Program Manager creates full proposal (Est. 10 days) ]]), "", WORKDAY(Table13[[#This Row],[Program Manager creates full proposal (Est. 10 days) ]], 7))</f>
        <v/>
      </c>
      <c r="BT6" s="114" t="str">
        <f ca="1">IF(ISBLANK(Table13[[#This Row],[BD submits proposal ]]), "", IF(ISBLANK(Table13[[#This Row],[M. Director Presents to CAC (Est. 10 days) ]]), NETWORKDAYS(Table13[[#This Row],[BD submits proposal ]], TODAY()), NETWORKDAYS(Table13[[#This Row],[BD submits proposal ]], Table13[[#This Row],[M. Director Presents to CAC (Est. 10 days) ]])))</f>
        <v/>
      </c>
      <c r="BU6" s="123"/>
      <c r="BV6" s="125" t="str">
        <f>IF(ISBLANK(Table13[[#This Row],[BD submits proposal ]]), "", WORKDAY(Table13[[#This Row],[BD submits proposal ]], 10))</f>
        <v/>
      </c>
      <c r="BW6" s="114" t="str">
        <f ca="1">IF(ISBLANK(Table13[[#This Row],[M. Director Presents to CAC (Est. 10 days) ]]), "", IF(ISBLANK(Table13[[#This Row],[Proposal Acceptance Date ]]), NETWORKDAYS(Table13[[#This Row],[M. Director Presents to CAC (Est. 10 days) ]], TODAY()), NETWORKDAYS(Table13[[#This Row],[M. Director Presents to CAC (Est. 10 days) ]], Table13[[#This Row],[Proposal Acceptance Date ]])))</f>
        <v/>
      </c>
      <c r="BX6" s="125"/>
      <c r="BY6" s="125"/>
      <c r="BZ6" s="114" t="str">
        <f ca="1">IF(ISBLANK(Table13[[#This Row],[Proposal Acceptance Date ]]), "", IF(ISBLANK(Table13[[#This Row],[Update record in CRM ]]), NETWORKDAYS(Table13[[#This Row],[Proposal Acceptance Date ]], TODAY()), NETWORKDAYS(Table13[[#This Row],[Proposal Acceptance Date ]], Table13[[#This Row],[Update record in CRM ]])))</f>
        <v/>
      </c>
      <c r="CA6" s="123"/>
      <c r="CB6" s="125" t="str">
        <f>IF(ISBLANK(Table13[[#This Row],[Proposal Acceptance Date ]]), "", WORKDAY(Table13[[#This Row],[Proposal Acceptance Date ]], 7))</f>
        <v/>
      </c>
      <c r="CC6" s="114" t="str">
        <f ca="1">IF(ISBLANK(Table13[[#This Row],[Update record in CRM ]]), "", IF(ISBLANK(Table13[[#This Row],[Liaison/review redlines ]]), NETWORKDAYS(Table13[[#This Row],[Update record in CRM ]], TODAY()), NETWORKDAYS(Table13[[#This Row],[Update record in CRM ]], Table13[[#This Row],[Liaison/review redlines ]])))</f>
        <v/>
      </c>
      <c r="CD6" s="123"/>
      <c r="CE6" s="123" t="str">
        <f>IF(ISBLANK(Table13[[#This Row],[Update record in CRM ]]), "", WORKDAY(Table13[[#This Row],[Update record in CRM ]], 7))</f>
        <v/>
      </c>
      <c r="CF6" s="114" t="str">
        <f ca="1">IF(ISBLANK(Table13[[#This Row],[Liaison/review redlines ]]), "", IF(ISBLANK(Table13[[#This Row],[Draft Agreement (Est. 90 days) ]]), NETWORKDAYS(Table13[[#This Row],[Liaison/review redlines ]], TODAY()), NETWORKDAYS(Table13[[#This Row],[Liaison/review redlines ]], Table13[[#This Row],[Draft Agreement (Est. 90 days) ]])))</f>
        <v/>
      </c>
      <c r="CG6" s="123"/>
      <c r="CH6" s="125" t="str">
        <f>IF(ISBLANK(Table13[[#This Row],[Liaison/review redlines ]]), "", WORKDAY(Table13[[#This Row],[Liaison/review redlines ]], 90))</f>
        <v/>
      </c>
      <c r="CI6" s="114" t="str">
        <f ca="1">IF(ISBLANK(Table13[[#This Row],[Draft Agreement (Est. 90 days) ]]), "", IF(ISBLANK(Table13[[#This Row],[Executed Agreement (10 days)]]), NETWORKDAYS(Table13[[#This Row],[Draft Agreement (Est. 90 days) ]], TODAY()), NETWORKDAYS(Table13[[#This Row],[Draft Agreement (Est. 90 days) ]], Table13[[#This Row],[Executed Agreement (10 days)]])))</f>
        <v/>
      </c>
      <c r="CJ6" s="123"/>
      <c r="CK6" s="125" t="str">
        <f>IF(ISBLANK(Table13[[#This Row],[Draft Agreement (Est. 90 days) ]]), "", WORKDAY(Table13[[#This Row],[Draft Agreement (Est. 90 days) ]], 10))</f>
        <v/>
      </c>
      <c r="CL6" s="114" t="str">
        <f ca="1">IF(ISBLANK(Table13[[#This Row],[Executed Agreement (10 days)]]), "", IF(ISBLANK(Table13[[#This Row],[Prog Manager schedules Kick-off meeting (Est. 3 days) ]]), NETWORKDAYS(Table13[[#This Row],[Executed Agreement (10 days)]], TODAY()), NETWORKDAYS(Table13[[#This Row],[Executed Agreement (10 days)]], Table13[[#This Row],[Prog Manager schedules Kick-off meeting (Est. 3 days) ]])))</f>
        <v/>
      </c>
      <c r="CM6" s="123"/>
      <c r="CN6" s="125" t="str">
        <f>IF(ISBLANK(Table13[[#This Row],[Executed Agreement (10 days)]]), "", WORKDAY(Table13[[#This Row],[Executed Agreement (10 days)]], 3))</f>
        <v/>
      </c>
      <c r="CO6" s="114" t="str">
        <f ca="1">IF(ISBLANK(Table13[[#This Row],[Prog Manager schedules Kick-off meeting (Est. 3 days) ]]), "", IF(ISBLANK(Table13[[#This Row],[Budget Approvals (Est. 7 days) ]]), NETWORKDAYS(Table13[[#This Row],[Prog Manager schedules Kick-off meeting (Est. 3 days) ]], TODAY()), NETWORKDAYS(Table13[[#This Row],[Prog Manager schedules Kick-off meeting (Est. 3 days) ]], Table13[[#This Row],[Budget Approvals (Est. 7 days) ]])))</f>
        <v/>
      </c>
      <c r="CP6" s="123"/>
      <c r="CQ6" s="125" t="str">
        <f>IF(ISBLANK(Table13[[#This Row],[Prog Manager schedules Kick-off meeting (Est. 3 days) ]]), "", WORKDAY(Table13[[#This Row],[Prog Manager schedules Kick-off meeting (Est. 3 days) ]], 7))</f>
        <v/>
      </c>
      <c r="CR6" s="114" t="str">
        <f ca="1">IF(ISBLANK(Table13[[#This Row],[Budget Approvals (Est. 7 days) ]]), "", IF(ISBLANK(Table13[[#This Row],[Order backhaul (Est. 7 days) ]]), NETWORKDAYS(Table13[[#This Row],[Budget Approvals (Est. 7 days) ]], TODAY()), NETWORKDAYS(Table13[[#This Row],[Budget Approvals (Est. 7 days) ]], Table13[[#This Row],[Order backhaul (Est. 7 days) ]])))</f>
        <v/>
      </c>
      <c r="CS6" s="123"/>
      <c r="CT6" s="125" t="str">
        <f>IF(ISBLANK(Table13[[#This Row],[Budget Approvals (Est. 7 days) ]]), "", WORKDAY(Table13[[#This Row],[Budget Approvals (Est. 7 days) ]], 7))</f>
        <v/>
      </c>
      <c r="CU6" s="114" t="str">
        <f ca="1">IF(ISBLANK(Table13[[#This Row],[Order backhaul (Est. 7 days) ]]), "", IF(ISBLANK(Table13[[#This Row],[Quotes updates if changes in BOM list (Est. 7 days) ]]), NETWORKDAYS(Table13[[#This Row],[Order backhaul (Est. 7 days) ]], TODAY()), NETWORKDAYS(Table13[[#This Row],[Order backhaul (Est. 7 days) ]], Table13[[#This Row],[Quotes updates if changes in BOM list (Est. 7 days) ]])))</f>
        <v/>
      </c>
      <c r="CV6" s="123"/>
      <c r="CW6" s="125" t="str">
        <f>IF(ISBLANK(Table13[[#This Row],[Order backhaul (Est. 7 days) ]]), "", WORKDAY(Table13[[#This Row],[Order backhaul (Est. 7 days) ]], 7))</f>
        <v/>
      </c>
      <c r="CX6" s="114" t="str">
        <f ca="1">IF(ISBLANK(Table13[[#This Row],[Quotes updates if changes in BOM list (Est. 7 days) ]]), "", IF(ISBLANK(Table13[[#This Row],[Final BOM (Est. 7 days) ]]), NETWORKDAYS(Table13[[#This Row],[Quotes updates if changes in BOM list (Est. 7 days) ]], TODAY()), NETWORKDAYS(Table13[[#This Row],[Quotes updates if changes in BOM list (Est. 7 days) ]], Table13[[#This Row],[Final BOM (Est. 7 days) ]])))</f>
        <v/>
      </c>
      <c r="CY6" s="123"/>
      <c r="CZ6" s="125" t="str">
        <f>IF(ISBLANK(Table13[[#This Row],[Quotes updates if changes in BOM list (Est. 7 days) ]]), "", WORKDAY(Table13[[#This Row],[Quotes updates if changes in BOM list (Est. 7 days) ]], 7))</f>
        <v/>
      </c>
      <c r="DA6" s="114" t="str">
        <f ca="1">IF(ISBLANK(Table13[[#This Row],[Final BOM (Est. 7 days) ]]), "", IF(ISBLANK(Table13[[#This Row],[Submit POs (Est. 7 days) ]]), NETWORKDAYS(Table13[[#This Row],[Final BOM (Est. 7 days) ]], TODAY()), NETWORKDAYS(Table13[[#This Row],[Final BOM (Est. 7 days) ]], Table13[[#This Row],[Submit POs (Est. 7 days) ]])))</f>
        <v/>
      </c>
      <c r="DB6" s="123"/>
      <c r="DC6" s="125" t="str">
        <f>IF(ISBLANK(Table13[[#This Row],[Final BOM (Est. 7 days) ]]), "", WORKDAY(Table13[[#This Row],[Final BOM (Est. 7 days) ]], 7))</f>
        <v/>
      </c>
      <c r="DD6" s="114" t="str">
        <f ca="1">IF(ISBLANK(Table13[[#This Row],[Submit POs (Est. 7 days) ]]), "", IF(ISBLANK(Table13[[#This Row],[Coordinate materials logistics (Est. 8 weeks) ]]), NETWORKDAYS(Table13[[#This Row],[Submit POs (Est. 7 days) ]], TODAY()), NETWORKDAYS(Table13[[#This Row],[Submit POs (Est. 7 days) ]], Table13[[#This Row],[Coordinate materials logistics (Est. 8 weeks) ]])))</f>
        <v/>
      </c>
      <c r="DE6" s="123"/>
      <c r="DF6" s="125" t="str">
        <f>IF(ISBLANK(Table13[[#This Row],[Executed Agreement (10 days)]]), "", WORKDAY(Table13[[#This Row],[Executed Agreement (10 days)]], 180))</f>
        <v/>
      </c>
      <c r="DG6" s="114" t="str">
        <f ca="1">IF(ISBLANK(Table13[[#This Row],[Submit POs (Est. 7 days) ]]), "", IF(ISBLANK(Table13[[#This Row],[Coordinate materials logistics (Est. 8 weeks) ]]), NETWORKDAYS(Table13[[#This Row],[Submit POs (Est. 7 days) ]], TODAY()), NETWORKDAYS(Table13[[#This Row],[Submit POs (Est. 7 days) ]], Table13[[#This Row],[Coordinate materials logistics (Est. 8 weeks) ]])))</f>
        <v/>
      </c>
      <c r="DH6" s="123"/>
      <c r="DI6" s="125" t="str">
        <f>IF(ISBLANK(Table13[[#This Row],[RTP]]), "", WORKDAY(Table13[[#This Row],[RTP]], 40))</f>
        <v/>
      </c>
      <c r="DJ6" s="114" t="str">
        <f ca="1">IF(ISBLANK(Table13[[#This Row],[Coordinate materials logistics (Est. 8 weeks) ]]), "", IF(ISBLANK(Table13[[#This Row],[Monitor Construction Start (Est. 6 months) ]]), NETWORKDAYS(Table13[[#This Row],[Coordinate materials logistics (Est. 8 weeks) ]], TODAY()), NETWORKDAYS(Table13[[#This Row],[Coordinate materials logistics (Est. 8 weeks) ]], Table13[[#This Row],[Monitor Construction Start (Est. 6 months) ]])))</f>
        <v/>
      </c>
      <c r="DK6" s="123"/>
      <c r="DL6" s="125" t="str">
        <f>IF(ISBLANK(Table13[[#This Row],[Coordinate materials logistics (Est. 8 weeks) ]]), "", WORKDAY(Table13[[#This Row],[Coordinate materials logistics (Est. 8 weeks) ]], 7))</f>
        <v/>
      </c>
      <c r="DM6" s="114" t="str">
        <f ca="1">IF(ISBLANK(Table13[[#This Row],[Monitor Construction Start (Est. 6 months) ]]), "", IF(ISBLANK(Table13[[#This Row],[Construction Completion]]), NETWORKDAYS(Table13[[#This Row],[Monitor Construction Start (Est. 6 months) ]], TODAY()), NETWORKDAYS(Table13[[#This Row],[Monitor Construction Start (Est. 6 months) ]], Table13[[#This Row],[Construction Completion]])))</f>
        <v/>
      </c>
      <c r="DN6" s="123"/>
      <c r="DO6" s="125" t="str">
        <f>IF(ISBLANK(Table13[[#This Row],[Monitor Construction Start (Est. 6 months) ]]), "", WORKDAY(Table13[[#This Row],[Monitor Construction Start (Est. 6 months) ]], 15))</f>
        <v/>
      </c>
      <c r="DP6" s="114" t="str">
        <f ca="1">IF(ISBLANK(Table13[[#This Row],[Core switches configuration (Est. 2 weeks) ]]), "", IF(ISBLANK(Table13[[#This Row],[Integration (Est. 2 weeks) ]]), NETWORKDAYS(Table13[[#This Row],[Core switches configuration (Est. 2 weeks) ]], TODAY()), NETWORKDAYS(Table13[[#This Row],[Core switches configuration (Est. 2 weeks) ]], Table13[[#This Row],[Integration (Est. 2 weeks) ]])))</f>
        <v/>
      </c>
      <c r="DQ6" s="123"/>
      <c r="DR6" s="125" t="str">
        <f>IF(ISBLANK(Table13[[#This Row],[Monitor Construction Start (Est. 6 months) ]]), "", WORKDAY(Table13[[#This Row],[Monitor Construction Start (Est. 6 months) ]], 90))</f>
        <v/>
      </c>
      <c r="DS6" s="114" t="str">
        <f ca="1">IF(ISBLANK(Table13[[#This Row],[Backhaul Delivery coordination (Est. 3 months) ]]), "", IF(ISBLANK(Table13[[#This Row],[Integration (Est. 2 weeks) ]]), NETWORKDAYS(Table13[[#This Row],[Backhaul Delivery coordination (Est. 3 months) ]], TODAY()), NETWORKDAYS(Table13[[#This Row],[Backhaul Delivery coordination (Est. 3 months) ]], Table13[[#This Row],[Integration (Est. 2 weeks) ]])))</f>
        <v/>
      </c>
      <c r="DT6" s="123"/>
      <c r="DU6" s="132" t="str">
        <f>IF(ISBLANK(Table13[[#This Row],[Backhaul Delivery coordination (Est. 3 months) ]]), "", WORKDAY(Table13[[#This Row],[Backhaul Delivery coordination (Est. 3 months) ]], 10))</f>
        <v/>
      </c>
      <c r="DV6" s="114" t="str">
        <f ca="1">IF(ISBLANK(Table13[[#This Row],[Integration (Est. 2 weeks) ]]), "", IF(ISBLANK(Table13[[#This Row],[Construction Completion]]), NETWORKDAYS(Table13[[#This Row],[Integration (Est. 2 weeks) ]], TODAY()), NETWORKDAYS(Table13[[#This Row],[Integration (Est. 2 weeks) ]], Table13[[#This Row],[Construction Completion]])))</f>
        <v/>
      </c>
      <c r="DW6" s="123"/>
      <c r="DX6" s="132" t="str">
        <f>IF(ISBLANK(Table13[[#This Row],[Monitor Construction Start (Est. 6 months) ]]), "", WORKDAY(Table13[[#This Row],[Monitor Construction Start (Est. 6 months) ]], 180))</f>
        <v/>
      </c>
      <c r="DY6" s="114" t="str">
        <f ca="1">IF(ISBLANK(Table13[[#This Row],[Construction Completion]]), "", IF(ISBLANK(Table13[[#This Row],[QC site review (Est. 7 days) ]]), NETWORKDAYS(Table13[[#This Row],[Construction Completion]], TODAY()), NETWORKDAYS(Table13[[#This Row],[Construction Completion]], Table13[[#This Row],[QC site review (Est. 7 days) ]])))</f>
        <v/>
      </c>
      <c r="DZ6" s="126"/>
      <c r="EA6" s="123"/>
      <c r="EB6" s="123" t="str">
        <f>IF(ISBLANK(Table13[[#This Row],[Construction Completion]]), "", WORKDAY(Table13[[#This Row],[Construction Completion]], 7))</f>
        <v/>
      </c>
      <c r="EC6" s="114" t="str">
        <f ca="1">IF(ISBLANK(Table13[[#This Row],[QC site review (Est. 7 days) ]]), "", IF(ISBLANK(Table13[[#This Row],[Site Walk (Est. 2 weeks) ]]), NETWORKDAYS(Table13[[#This Row],[QC site review (Est. 7 days) ]], TODAY()), NETWORKDAYS(Table13[[#This Row],[QC site review (Est. 7 days) ]], Table13[[#This Row],[Site Walk (Est. 2 weeks) ]])))</f>
        <v/>
      </c>
      <c r="ED6" s="123"/>
      <c r="EE6" s="125" t="str">
        <f>IF(ISBLANK(Table13[[#This Row],[QC site review (Est. 7 days) ]]), "", WORKDAY(Table13[[#This Row],[QC site review (Est. 7 days) ]], 10))</f>
        <v/>
      </c>
      <c r="EF6" s="114" t="str">
        <f ca="1">IF(ISBLANK(Table13[[#This Row],[Site Walk (Est. 2 weeks) ]]), "", IF(ISBLANK(Table13[[#This Row],[FNE Closeout Package (Est. 2 weeks) ]]), NETWORKDAYS(Table13[[#This Row],[Site Walk (Est. 2 weeks) ]], TODAY()), NETWORKDAYS(Table13[[#This Row],[Site Walk (Est. 2 weeks) ]], Table13[[#This Row],[FNE Closeout Package (Est. 2 weeks) ]])))</f>
        <v/>
      </c>
      <c r="EG6" s="123"/>
      <c r="EH6" s="125" t="str">
        <f>IF(ISBLANK(Table13[[#This Row],[Site Walk (Est. 2 weeks) ]]), "", WORKDAY(Table13[[#This Row],[Site Walk (Est. 2 weeks) ]], 10))</f>
        <v/>
      </c>
      <c r="EI6" s="114" t="str">
        <f ca="1">IF(ISBLANK(Table13[[#This Row],[FNE Closeout Package (Est. 2 weeks) ]]), "", IF(ISBLANK(Table13[[#This Row],[Accepts Network (Est. 1 week) ]]), NETWORKDAYS(Table13[[#This Row],[FNE Closeout Package (Est. 2 weeks) ]], TODAY()), NETWORKDAYS(Table13[[#This Row],[FNE Closeout Package (Est. 2 weeks) ]], Table13[[#This Row],[Accepts Network (Est. 1 week) ]])))</f>
        <v/>
      </c>
      <c r="EJ6" s="123"/>
      <c r="EK6" s="125" t="str">
        <f>IF(ISBLANK(Table13[[#This Row],[FNE Closeout Package (Est. 2 weeks) ]]), "", WORKDAY(Table13[[#This Row],[FNE Closeout Package (Est. 2 weeks) ]], 7))</f>
        <v/>
      </c>
      <c r="EL6" s="114" t="str">
        <f ca="1">IF(ISBLANK(Table13[[#This Row],[Accepts Network (Est. 1 week) ]]), "", IF(ISBLANK(Table13[[#This Row],[Project Completion]]), NETWORKDAYS(Table13[[#This Row],[Accepts Network (Est. 1 week) ]], TODAY()), NETWORKDAYS(Table13[[#This Row],[Accepts Network (Est. 1 week) ]], Table13[[#This Row],[Project Completion]])))</f>
        <v/>
      </c>
      <c r="EM6" s="123"/>
      <c r="EN6" s="123" t="str">
        <f>IF(ISBLANK(Table13[[#This Row],[Accepts Network (Est. 1 week) ]]), "", WORKDAY(Table13[[#This Row],[Accepts Network (Est. 1 week) ]], 10))</f>
        <v/>
      </c>
      <c r="EO6" s="156" t="str">
        <f ca="1">IF(ISBLANK(Table13[[#This Row],[Project Completion]]), " ", NETWORKDAYS(Table13[[#This Row],[Project Completion]], TODAY()))</f>
        <v xml:space="preserve"> </v>
      </c>
    </row>
    <row r="7" spans="1:145" x14ac:dyDescent="0.25">
      <c r="A7" s="154">
        <v>44197</v>
      </c>
      <c r="B7" s="124"/>
      <c r="C7" s="125">
        <v>44202</v>
      </c>
      <c r="D7" s="125">
        <f>IF(ISBLANK(Table13[[#This Row],[BD creates opportunity in CRM ]]), "", WORKDAY(Table13[[#This Row],[BD creates opportunity in CRM ]], 7))</f>
        <v>44208</v>
      </c>
      <c r="E7" s="158">
        <f ca="1">IF(ISBLANK(Table13[[#This Row],[Conduct meeting/call to explore opportunity ]]), "", IF(ISBLANK(Table13[[#This Row],[Date of Prospect Interest]]), NETWORKDAYS(Table13[[#This Row],[Conduct meeting/call to explore opportunity ]], TODAY()), NETWORKDAYS(Table13[[#This Row],[Conduct meeting/call to explore opportunity ]], Table13[[#This Row],[Date of Prospect Interest]])))</f>
        <v>4</v>
      </c>
      <c r="F7" s="124" t="s">
        <v>655</v>
      </c>
      <c r="G7" s="125">
        <v>44207</v>
      </c>
      <c r="H7" s="156">
        <f ca="1">IF(ISBLANK(Table13[[#This Row],[Date of Prospect Interest]]), "", IF(ISBLANK(Table13[[#This Row],[BD submits email to NSE Design Distro]]), NETWORKDAYS(Table13[[#This Row],[Date of Prospect Interest]], TODAY()), NETWORKDAYS(Table13[[#This Row],[Date of Prospect Interest]], Table13[[#This Row],[BD submits email to NSE Design Distro]])))</f>
        <v>5</v>
      </c>
      <c r="I7" s="125">
        <v>44211</v>
      </c>
      <c r="J7" s="125">
        <f>IF(ISBLANK(Table13[[#This Row],[Date of Prospect Interest]]), "", WORKDAY(Table13[[#This Row],[Date of Prospect Interest]], 7))</f>
        <v>44216</v>
      </c>
      <c r="K7" s="159">
        <f ca="1">IF(ISBLANK(Table13[[#This Row],[BD submits email to NSE Design Distro]]), "", IF(ISBLANK(Table13[[#This Row],[Program Manager adds request to tracker ]]), NETWORKDAYS(Table13[[#This Row],[BD submits email to NSE Design Distro]], TODAY()), NETWORKDAYS(Table13[[#This Row],[BD submits email to NSE Design Distro]], Table13[[#This Row],[Program Manager adds request to tracker ]])))</f>
        <v>4</v>
      </c>
      <c r="L7" s="125">
        <v>44216</v>
      </c>
      <c r="M7" s="125">
        <f>IF(ISBLANK(Table13[[#This Row],[BD submits email to NSE Design Distro]]), "", WORKDAY(Table13[[#This Row],[BD submits email to NSE Design Distro]], 7))</f>
        <v>44222</v>
      </c>
      <c r="N7" s="159">
        <f ca="1">IF(ISBLANK(Table13[[#This Row],[Program Manager adds request to tracker ]]), "", IF(ISBLANK(Table13[[#This Row],[Program Manager schedules kickoff call to assign action Items &amp; align timelines Est. 2 days ]]), NETWORKDAYS(Table13[[#This Row],[Program Manager adds request to tracker ]], TODAY()), NETWORKDAYS(Table13[[#This Row],[Program Manager adds request to tracker ]], Table13[[#This Row],[Program Manager schedules kickoff call to assign action Items &amp; align timelines Est. 2 days ]])))</f>
        <v>4</v>
      </c>
      <c r="O7" s="124" t="s">
        <v>656</v>
      </c>
      <c r="P7" s="124"/>
      <c r="Q7" s="124"/>
      <c r="R7" s="124"/>
      <c r="S7" s="124"/>
      <c r="T7" s="124"/>
      <c r="U7" s="124" t="s">
        <v>649</v>
      </c>
      <c r="V7" s="125"/>
      <c r="W7" s="125" t="str">
        <f>IF(Table13[[#This Row],[SBA or Aerwave]] = "Aerwave", WORKDAY(Table13[[#This Row],[Program Manager adds request to tracker ]], 7), " ")</f>
        <v xml:space="preserve"> </v>
      </c>
      <c r="X7" s="159" t="str">
        <f ca="1">IF(ISBLANK(Table13[[#This Row],[P.M Check with BD OK to submit Aerwave]]), "", IF(ISBLANK(Table13[[#This Row],[P.M Submit Request to Aerwave ]]), NETWORKDAYS(Table13[[#This Row],[P.M Check with BD OK to submit Aerwave]], TODAY()), NETWORKDAYS(Table13[[#This Row],[P.M Check with BD OK to submit Aerwave]], Table13[[#This Row],[P.M Submit Request to Aerwave ]])))</f>
        <v/>
      </c>
      <c r="Y7" s="125"/>
      <c r="Z7" s="125" t="str">
        <f>IF(Table13[[#This Row],[SBA or Aerwave]] = "Aerwave", WORKDAY(Table13[[#This Row],[P.M Check with BD OK to submit Aerwave]], 7), " ")</f>
        <v xml:space="preserve"> </v>
      </c>
      <c r="AA7" s="159" t="str">
        <f ca="1">IF(ISBLANK(Table13[[#This Row],[P.M Submit Request to Aerwave ]]), "", IF(ISBLANK(Table13[[#This Row],[Program Manager schedules kickoff call to assign action Items &amp; align timelines Est. 2 days ]]), NETWORKDAYS(Table13[[#This Row],[P.M Submit Request to Aerwave ]], TODAY()), NETWORKDAYS(Table13[[#This Row],[P.M Submit Request to Aerwave ]], Table13[[#This Row],[Program Manager schedules kickoff call to assign action Items &amp; align timelines Est. 2 days ]])))</f>
        <v/>
      </c>
      <c r="AB7" s="125">
        <v>44221</v>
      </c>
      <c r="AC7" s="125">
        <f>IF(Table13[[#This Row],[SBA or Aerwave]] = "Aerwave", WORKDAY(Table13[[#This Row],[P.M Submit Request to Aerwave ]], 7), IF(ISBLANK(Table13[[#This Row],[Program Manager adds request to tracker ]]), " ", WORKDAY(Table13[[#This Row],[Program Manager adds request to tracker ]], 7)))</f>
        <v>44225</v>
      </c>
      <c r="AD7" s="159">
        <f ca="1">IF(ISBLANK(Table13[[#This Row],[Program Manager schedules kickoff call to assign action Items &amp; align timelines Est. 2 days ]]), "", IF(ISBLANK(Table13[[#This Row],[Fin Analyst creates fin. model ]]), NETWORKDAYS(Table13[[#This Row],[Program Manager schedules kickoff call to assign action Items &amp; align timelines Est. 2 days ]], TODAY()), NETWORKDAYS(Table13[[#This Row],[Program Manager schedules kickoff call to assign action Items &amp; align timelines Est. 2 days ]], Table13[[#This Row],[Fin Analyst creates fin. model ]])))</f>
        <v>18</v>
      </c>
      <c r="AE7" s="125">
        <v>44226</v>
      </c>
      <c r="AF7" s="125">
        <f>IF(ISBLANK(Table13[[#This Row],[Program Manager schedules kickoff call to assign action Items &amp; align timelines Est. 2 days ]]), "", WORKDAY(Table13[[#This Row],[Program Manager schedules kickoff call to assign action Items &amp; align timelines Est. 2 days ]], 15))</f>
        <v>44242</v>
      </c>
      <c r="AG7" s="159">
        <f ca="1">IF(ISBLANK(Table13[[#This Row],[Backhaul pricing Est. 15 days ]]), "", IF(ISBLANK(Table13[[#This Row],[Fin Analyst creates fin. model ]]), NETWORKDAYS(Table13[[#This Row],[Backhaul pricing Est. 15 days ]], TODAY()), NETWORKDAYS(Table13[[#This Row],[Backhaul pricing Est. 15 days ]], Table13[[#This Row],[Fin Analyst creates fin. model ]])))</f>
        <v>13</v>
      </c>
      <c r="AH7" s="125">
        <v>44234</v>
      </c>
      <c r="AI7" s="125">
        <f>IF(ISBLANK(Table13[[#This Row],[Program Manager schedules kickoff call to assign action Items &amp; align timelines Est. 2 days ]]), "", WORKDAY(Table13[[#This Row],[Program Manager schedules kickoff call to assign action Items &amp; align timelines Est. 2 days ]], 10))</f>
        <v>44235</v>
      </c>
      <c r="AJ7" s="159">
        <f ca="1">IF(ISBLANK(Table13[[#This Row],[Design, ROM (Est. 10 days) ]]), "", IF(ISBLANK(Table13[[#This Row],[OSP Pricing (Est. 10 days) ]]), NETWORKDAYS(Table13[[#This Row],[Design, ROM (Est. 10 days) ]], TODAY()), NETWORKDAYS(Table13[[#This Row],[Design, ROM (Est. 10 days) ]], Table13[[#This Row],[OSP Pricing (Est. 10 days) ]])))</f>
        <v>2</v>
      </c>
      <c r="AK7" s="125">
        <v>44236</v>
      </c>
      <c r="AL7" s="125">
        <f>IF(ISBLANK(Table13[[#This Row],[Program Manager schedules kickoff call to assign action Items &amp; align timelines Est. 2 days ]]), "", WORKDAY(Table13[[#This Row],[Program Manager schedules kickoff call to assign action Items &amp; align timelines Est. 2 days ]], 10))</f>
        <v>44235</v>
      </c>
      <c r="AM7" s="159">
        <f ca="1">IF(ISBLANK(Table13[[#This Row],[OSP Pricing (Est. 10 days) ]]), "", IF(ISBLANK(Table13[[#This Row],[Fin Analyst creates fin. model ]]), NETWORKDAYS(Table13[[#This Row],[OSP Pricing (Est. 10 days) ]], TODAY()), NETWORKDAYS(Table13[[#This Row],[OSP Pricing (Est. 10 days) ]], Table13[[#This Row],[Fin Analyst creates fin. model ]])))</f>
        <v>7</v>
      </c>
      <c r="AN7" s="125">
        <v>44244</v>
      </c>
      <c r="AO7" s="125">
        <f>IF(ISBLANK(Table13[[#This Row],[Program Manager schedules kickoff call to assign action Items &amp; align timelines Est. 2 days ]]), "", WORKDAY(Table13[[#This Row],[Program Manager schedules kickoff call to assign action Items &amp; align timelines Est. 2 days ]], 15))</f>
        <v>44242</v>
      </c>
      <c r="AP7" s="159">
        <f ca="1">IF(ISBLANK(Table13[[#This Row],[Fin Analyst creates fin. model ]]), "", IF(ISBLANK(Table13[[#This Row],[Program Manager Submits Fin. Model to BD for Review (Est. 2 days) ]]), NETWORKDAYS(Table13[[#This Row],[Fin Analyst creates fin. model ]], TODAY()), NETWORKDAYS(Table13[[#This Row],[Fin Analyst creates fin. model ]], Table13[[#This Row],[Program Manager Submits Fin. Model to BD for Review (Est. 2 days) ]])))</f>
        <v>13</v>
      </c>
      <c r="AQ7" s="125">
        <v>44255</v>
      </c>
      <c r="AR7" s="125">
        <f>IF(ISBLANK(Table13[[#This Row],[Fin Analyst creates fin. model ]]), "", WORKDAY(Table13[[#This Row],[Fin Analyst creates fin. model ]], 7))</f>
        <v>44253</v>
      </c>
      <c r="AS7" s="159">
        <f ca="1">IF(ISBLANK(Table13[[#This Row],[Sales Ops Peer review (Est. 7 days) ]]), "", IF(ISBLANK(Table13[[#This Row],[Program Manager Submits Fin. Model to BD for Review (Est. 2 days) ]]), NETWORKDAYS(Table13[[#This Row],[Sales Ops Peer review (Est. 7 days) ]], TODAY()), NETWORKDAYS(Table13[[#This Row],[Sales Ops Peer review (Est. 7 days) ]], Table13[[#This Row],[Program Manager Submits Fin. Model to BD for Review (Est. 2 days) ]])))</f>
        <v>5</v>
      </c>
      <c r="AT7" s="125">
        <v>44259</v>
      </c>
      <c r="AU7" s="125">
        <f>IF(ISBLANK(Table13[[#This Row],[Fin Analyst creates fin. model ]]), "", WORKDAY(Table13[[#This Row],[Fin Analyst creates fin. model ]], 7))</f>
        <v>44253</v>
      </c>
      <c r="AV7" s="159">
        <f ca="1">IF(ISBLANK(Table13[[#This Row],[Finance Peer review (Est. 7 days) ]]), "", IF(ISBLANK(Table13[[#This Row],[Program Manager Submits Fin. Model to BD for Review (Est. 2 days) ]]), NETWORKDAYS(Table13[[#This Row],[Finance Peer review (Est. 7 days) ]], TODAY()), NETWORKDAYS(Table13[[#This Row],[Finance Peer review (Est. 7 days) ]], Table13[[#This Row],[Program Manager Submits Fin. Model to BD for Review (Est. 2 days) ]])))</f>
        <v>2</v>
      </c>
      <c r="AW7" s="125">
        <v>44260</v>
      </c>
      <c r="AX7" s="125">
        <f>IF(ISBLANK(Table13[[#This Row],[Fin Analyst creates fin. model ]]), "", WORKDAY(Table13[[#This Row],[Fin Analyst creates fin. model ]], 7))</f>
        <v>44253</v>
      </c>
      <c r="AY7" s="159">
        <f ca="1">IF(ISBLANK(Table13[[#This Row],[Tax fin. model review (Est. 2 days) ]]), "", IF(ISBLANK(Table13[[#This Row],[Program Manager Submits Fin. Model to BD for Review (Est. 2 days) ]]), NETWORKDAYS(Table13[[#This Row],[Tax fin. model review (Est. 2 days) ]], TODAY()), NETWORKDAYS(Table13[[#This Row],[Tax fin. model review (Est. 2 days) ]], Table13[[#This Row],[Program Manager Submits Fin. Model to BD for Review (Est. 2 days) ]])))</f>
        <v>1</v>
      </c>
      <c r="AZ7" s="125">
        <v>44260</v>
      </c>
      <c r="BA7" s="125">
        <f>IF(ISBLANK(Table13[[#This Row],[Fin Analyst creates fin. model ]]), "", WORKDAY(Table13[[#This Row],[Fin Analyst creates fin. model ]], 10))</f>
        <v>44258</v>
      </c>
      <c r="BB7" s="159">
        <f ca="1">IF(ISBLANK(Table13[[#This Row],[Program Manager Submits Fin. Model to BD for Review (Est. 2 days) ]]), "", IF(ISBLANK(Table13[[#This Row],[BD reviews Fin. Model Pricing ]]), NETWORKDAYS(Table13[[#This Row],[Program Manager Submits Fin. Model to BD for Review (Est. 2 days) ]], TODAY()), NETWORKDAYS(Table13[[#This Row],[Program Manager Submits Fin. Model to BD for Review (Est. 2 days) ]], Table13[[#This Row],[BD reviews Fin. Model Pricing ]])))</f>
        <v>4</v>
      </c>
      <c r="BC7" s="125">
        <v>44265</v>
      </c>
      <c r="BD7" s="125">
        <f>IF(ISBLANK(Table13[[#This Row],[Program Manager Submits Fin. Model to BD for Review (Est. 2 days) ]]), "", WORKDAY(Table13[[#This Row],[Program Manager Submits Fin. Model to BD for Review (Est. 2 days) ]], 5))</f>
        <v>44267</v>
      </c>
      <c r="BE7" s="159">
        <f ca="1">IF(ISBLANK(Table13[[#This Row],[BD reviews Fin. Model Pricing ]]), "", IF(ISBLANK(Table13[[#This Row],[BD Responds OK to Move Forward]]), NETWORKDAYS(Table13[[#This Row],[BD reviews Fin. Model Pricing ]], TODAY()), NETWORKDAYS(Table13[[#This Row],[BD reviews Fin. Model Pricing ]], Table13[[#This Row],[BD Responds OK to Move Forward]])))</f>
        <v>3</v>
      </c>
      <c r="BF7" s="125">
        <v>44269</v>
      </c>
      <c r="BG7" s="125">
        <f>IF(ISBLANK(Table13[[#This Row],[BD reviews Fin. Model Pricing ]]), "", WORKDAY(Table13[[#This Row],[BD reviews Fin. Model Pricing ]], 7))</f>
        <v>44274</v>
      </c>
      <c r="BH7" s="159">
        <f ca="1">IF(ISBLANK(Table13[[#This Row],[BD Responds OK to Move Forward]]), "", IF(ISBLANK(Table13[[#This Row],[Program Manager validates with appropriate teams the pricing data inputs (Est. 2 days) ]]), NETWORKDAYS(Table13[[#This Row],[BD Responds OK to Move Forward]], TODAY()), NETWORKDAYS(Table13[[#This Row],[BD Responds OK to Move Forward]], Table13[[#This Row],[Program Manager validates with appropriate teams the pricing data inputs (Est. 2 days) ]])))</f>
        <v>3</v>
      </c>
      <c r="BI7" s="125">
        <v>44272</v>
      </c>
      <c r="BJ7" s="125">
        <f>IF(ISBLANK(Table13[[#This Row],[BD Responds OK to Move Forward]]), "", WORKDAY(Table13[[#This Row],[BD Responds OK to Move Forward]], 7))</f>
        <v>44278</v>
      </c>
      <c r="BK7" s="159">
        <f ca="1">IF(ISBLANK(Table13[[#This Row],[Program Manager validates with appropriate teams the pricing data inputs (Est. 2 days) ]]), "", IF(ISBLANK(Table13[[#This Row],[Program Manager creates 1 pager proposal (Est. 2 days) ]]), NETWORKDAYS(Table13[[#This Row],[Program Manager validates with appropriate teams the pricing data inputs (Est. 2 days) ]], TODAY()), NETWORKDAYS(Table13[[#This Row],[Program Manager validates with appropriate teams the pricing data inputs (Est. 2 days) ]], Table13[[#This Row],[Program Manager creates 1 pager proposal (Est. 2 days) ]])))</f>
        <v>3</v>
      </c>
      <c r="BL7" s="125">
        <v>44275</v>
      </c>
      <c r="BM7" s="125">
        <f>IF(ISBLANK(Table13[[#This Row],[Program Manager validates with appropriate teams the pricing data inputs (Est. 2 days) ]]), "", WORKDAY(Table13[[#This Row],[Program Manager validates with appropriate teams the pricing data inputs (Est. 2 days) ]], 7))</f>
        <v>44281</v>
      </c>
      <c r="BN7" s="159">
        <f ca="1">IF(ISBLANK(Table13[[#This Row],[Program Manager creates 1 pager proposal (Est. 2 days) ]]), "", IF(ISBLANK(Table13[[#This Row],[Program Manager creates full proposal (Est. 10 days) ]]), NETWORKDAYS(Table13[[#This Row],[Program Manager creates 1 pager proposal (Est. 2 days) ]], TODAY()), NETWORKDAYS(Table13[[#This Row],[Program Manager creates 1 pager proposal (Est. 2 days) ]], Table13[[#This Row],[Program Manager creates full proposal (Est. 10 days) ]])))</f>
        <v>9</v>
      </c>
      <c r="BO7" s="125">
        <v>44287</v>
      </c>
      <c r="BP7" s="125">
        <f>IF(ISBLANK(Table13[[#This Row],[Program Manager creates 1 pager proposal (Est. 2 days) ]]), "", WORKDAY(Table13[[#This Row],[Program Manager creates 1 pager proposal (Est. 2 days) ]], 7))</f>
        <v>44285</v>
      </c>
      <c r="BQ7" s="159">
        <f ca="1">IF(ISBLANK(Table13[[#This Row],[Program Manager creates full proposal (Est. 10 days) ]]), "", IF(ISBLANK(Table13[[#This Row],[BD submits proposal ]]), NETWORKDAYS(Table13[[#This Row],[Program Manager creates full proposal (Est. 10 days) ]], TODAY()), NETWORKDAYS(Table13[[#This Row],[Program Manager creates full proposal (Est. 10 days) ]], Table13[[#This Row],[BD submits proposal ]])))</f>
        <v>3</v>
      </c>
      <c r="BR7" s="125">
        <v>44291</v>
      </c>
      <c r="BS7" s="125">
        <f>IF(ISBLANK(Table13[[#This Row],[Program Manager creates full proposal (Est. 10 days) ]]), "", WORKDAY(Table13[[#This Row],[Program Manager creates full proposal (Est. 10 days) ]], 7))</f>
        <v>44298</v>
      </c>
      <c r="BT7" s="159">
        <f ca="1">IF(ISBLANK(Table13[[#This Row],[BD submits proposal ]]), "", IF(ISBLANK(Table13[[#This Row],[M. Director Presents to CAC (Est. 10 days) ]]), NETWORKDAYS(Table13[[#This Row],[BD submits proposal ]], TODAY()), NETWORKDAYS(Table13[[#This Row],[BD submits proposal ]], Table13[[#This Row],[M. Director Presents to CAC (Est. 10 days) ]])))</f>
        <v>9</v>
      </c>
      <c r="BU7" s="125">
        <v>44301</v>
      </c>
      <c r="BV7" s="125">
        <f>IF(ISBLANK(Table13[[#This Row],[BD submits proposal ]]), "", WORKDAY(Table13[[#This Row],[BD submits proposal ]], 10))</f>
        <v>44305</v>
      </c>
      <c r="BW7" s="159">
        <f ca="1">IF(ISBLANK(Table13[[#This Row],[M. Director Presents to CAC (Est. 10 days) ]]), "", IF(ISBLANK(Table13[[#This Row],[Proposal Acceptance Date ]]), NETWORKDAYS(Table13[[#This Row],[M. Director Presents to CAC (Est. 10 days) ]], TODAY()), NETWORKDAYS(Table13[[#This Row],[M. Director Presents to CAC (Est. 10 days) ]], Table13[[#This Row],[Proposal Acceptance Date ]])))</f>
        <v>4</v>
      </c>
      <c r="BX7" s="125" t="s">
        <v>656</v>
      </c>
      <c r="BY7" s="125">
        <v>44306</v>
      </c>
      <c r="BZ7" s="159">
        <f ca="1">IF(ISBLANK(Table13[[#This Row],[Proposal Acceptance Date ]]), "", IF(ISBLANK(Table13[[#This Row],[Update record in CRM ]]), NETWORKDAYS(Table13[[#This Row],[Proposal Acceptance Date ]], TODAY()), NETWORKDAYS(Table13[[#This Row],[Proposal Acceptance Date ]], Table13[[#This Row],[Update record in CRM ]])))</f>
        <v>4</v>
      </c>
      <c r="CA7" s="125">
        <v>44311</v>
      </c>
      <c r="CB7" s="125">
        <f>IF(ISBLANK(Table13[[#This Row],[Proposal Acceptance Date ]]), "", WORKDAY(Table13[[#This Row],[Proposal Acceptance Date ]], 7))</f>
        <v>44315</v>
      </c>
      <c r="CC7" s="159">
        <f ca="1">IF(ISBLANK(Table13[[#This Row],[Update record in CRM ]]), "", IF(ISBLANK(Table13[[#This Row],[Liaison/review redlines ]]), NETWORKDAYS(Table13[[#This Row],[Update record in CRM ]], TODAY()), NETWORKDAYS(Table13[[#This Row],[Update record in CRM ]], Table13[[#This Row],[Liaison/review redlines ]])))</f>
        <v>5</v>
      </c>
      <c r="CD7" s="125">
        <v>44317</v>
      </c>
      <c r="CE7" s="125">
        <f>IF(ISBLANK(Table13[[#This Row],[Update record in CRM ]]), "", WORKDAY(Table13[[#This Row],[Update record in CRM ]], 7))</f>
        <v>44320</v>
      </c>
      <c r="CF7" s="159">
        <f ca="1">IF(ISBLANK(Table13[[#This Row],[Liaison/review redlines ]]), "", IF(ISBLANK(Table13[[#This Row],[Draft Agreement (Est. 90 days) ]]), NETWORKDAYS(Table13[[#This Row],[Liaison/review redlines ]], TODAY()), NETWORKDAYS(Table13[[#This Row],[Liaison/review redlines ]], Table13[[#This Row],[Draft Agreement (Est. 90 days) ]])))</f>
        <v>65</v>
      </c>
      <c r="CG7" s="125">
        <v>44409</v>
      </c>
      <c r="CH7" s="125">
        <f>IF(ISBLANK(Table13[[#This Row],[Liaison/review redlines ]]), "", WORKDAY(Table13[[#This Row],[Liaison/review redlines ]], 90))</f>
        <v>44442</v>
      </c>
      <c r="CI7" s="159">
        <f ca="1">IF(ISBLANK(Table13[[#This Row],[Draft Agreement (Est. 90 days) ]]), "", IF(ISBLANK(Table13[[#This Row],[Executed Agreement (10 days)]]), NETWORKDAYS(Table13[[#This Row],[Draft Agreement (Est. 90 days) ]], TODAY()), NETWORKDAYS(Table13[[#This Row],[Draft Agreement (Est. 90 days) ]], Table13[[#This Row],[Executed Agreement (10 days)]])))</f>
        <v>10</v>
      </c>
      <c r="CJ7" s="125">
        <v>44423</v>
      </c>
      <c r="CK7" s="125">
        <f>IF(ISBLANK(Table13[[#This Row],[Draft Agreement (Est. 90 days) ]]), "", WORKDAY(Table13[[#This Row],[Draft Agreement (Est. 90 days) ]], 10))</f>
        <v>44421</v>
      </c>
      <c r="CL7" s="159">
        <f ca="1">IF(ISBLANK(Table13[[#This Row],[Executed Agreement (10 days)]]), "", IF(ISBLANK(Table13[[#This Row],[Prog Manager schedules Kick-off meeting (Est. 3 days) ]]), NETWORKDAYS(Table13[[#This Row],[Executed Agreement (10 days)]], TODAY()), NETWORKDAYS(Table13[[#This Row],[Executed Agreement (10 days)]], Table13[[#This Row],[Prog Manager schedules Kick-off meeting (Est. 3 days) ]])))</f>
        <v>5</v>
      </c>
      <c r="CM7" s="125">
        <v>44429</v>
      </c>
      <c r="CN7" s="125">
        <f>IF(ISBLANK(Table13[[#This Row],[Executed Agreement (10 days)]]), "", WORKDAY(Table13[[#This Row],[Executed Agreement (10 days)]], 3))</f>
        <v>44426</v>
      </c>
      <c r="CO7" s="159">
        <f ca="1">IF(ISBLANK(Table13[[#This Row],[Prog Manager schedules Kick-off meeting (Est. 3 days) ]]), "", IF(ISBLANK(Table13[[#This Row],[Budget Approvals (Est. 7 days) ]]), NETWORKDAYS(Table13[[#This Row],[Prog Manager schedules Kick-off meeting (Est. 3 days) ]], TODAY()), NETWORKDAYS(Table13[[#This Row],[Prog Manager schedules Kick-off meeting (Est. 3 days) ]], Table13[[#This Row],[Budget Approvals (Est. 7 days) ]])))</f>
        <v>6</v>
      </c>
      <c r="CP7" s="125">
        <v>44438</v>
      </c>
      <c r="CQ7" s="125">
        <f>IF(ISBLANK(Table13[[#This Row],[Prog Manager schedules Kick-off meeting (Est. 3 days) ]]), "", WORKDAY(Table13[[#This Row],[Prog Manager schedules Kick-off meeting (Est. 3 days) ]], 7))</f>
        <v>44439</v>
      </c>
      <c r="CR7" s="159">
        <f ca="1">IF(ISBLANK(Table13[[#This Row],[Budget Approvals (Est. 7 days) ]]), "", IF(ISBLANK(Table13[[#This Row],[Order backhaul (Est. 7 days) ]]), NETWORKDAYS(Table13[[#This Row],[Budget Approvals (Est. 7 days) ]], TODAY()), NETWORKDAYS(Table13[[#This Row],[Budget Approvals (Est. 7 days) ]], Table13[[#This Row],[Order backhaul (Est. 7 days) ]])))</f>
        <v>7</v>
      </c>
      <c r="CS7" s="125">
        <v>44446</v>
      </c>
      <c r="CT7" s="125">
        <f>IF(ISBLANK(Table13[[#This Row],[Budget Approvals (Est. 7 days) ]]), "", WORKDAY(Table13[[#This Row],[Budget Approvals (Est. 7 days) ]], 7))</f>
        <v>44447</v>
      </c>
      <c r="CU7" s="159">
        <f ca="1">IF(ISBLANK(Table13[[#This Row],[Order backhaul (Est. 7 days) ]]), "", IF(ISBLANK(Table13[[#This Row],[Quotes updates if changes in BOM list (Est. 7 days) ]]), NETWORKDAYS(Table13[[#This Row],[Order backhaul (Est. 7 days) ]], TODAY()), NETWORKDAYS(Table13[[#This Row],[Order backhaul (Est. 7 days) ]], Table13[[#This Row],[Quotes updates if changes in BOM list (Est. 7 days) ]])))</f>
        <v>7</v>
      </c>
      <c r="CV7" s="125">
        <v>44454</v>
      </c>
      <c r="CW7" s="125">
        <f>IF(ISBLANK(Table13[[#This Row],[Order backhaul (Est. 7 days) ]]), "", WORKDAY(Table13[[#This Row],[Order backhaul (Est. 7 days) ]], 7))</f>
        <v>44455</v>
      </c>
      <c r="CX7" s="159">
        <f ca="1">IF(ISBLANK(Table13[[#This Row],[Quotes updates if changes in BOM list (Est. 7 days) ]]), "", IF(ISBLANK(Table13[[#This Row],[Final BOM (Est. 7 days) ]]), NETWORKDAYS(Table13[[#This Row],[Quotes updates if changes in BOM list (Est. 7 days) ]], TODAY()), NETWORKDAYS(Table13[[#This Row],[Quotes updates if changes in BOM list (Est. 7 days) ]], Table13[[#This Row],[Final BOM (Est. 7 days) ]])))</f>
        <v>4</v>
      </c>
      <c r="CY7" s="125">
        <v>44459</v>
      </c>
      <c r="CZ7" s="125">
        <f>IF(ISBLANK(Table13[[#This Row],[Quotes updates if changes in BOM list (Est. 7 days) ]]), "", WORKDAY(Table13[[#This Row],[Quotes updates if changes in BOM list (Est. 7 days) ]], 7))</f>
        <v>44463</v>
      </c>
      <c r="DA7" s="159">
        <f ca="1">IF(ISBLANK(Table13[[#This Row],[Final BOM (Est. 7 days) ]]), "", IF(ISBLANK(Table13[[#This Row],[Submit POs (Est. 7 days) ]]), NETWORKDAYS(Table13[[#This Row],[Final BOM (Est. 7 days) ]], TODAY()), NETWORKDAYS(Table13[[#This Row],[Final BOM (Est. 7 days) ]], Table13[[#This Row],[Submit POs (Est. 7 days) ]])))</f>
        <v>9</v>
      </c>
      <c r="DB7" s="125">
        <v>44469</v>
      </c>
      <c r="DC7" s="125">
        <f>IF(ISBLANK(Table13[[#This Row],[Final BOM (Est. 7 days) ]]), "", WORKDAY(Table13[[#This Row],[Final BOM (Est. 7 days) ]], 7))</f>
        <v>44468</v>
      </c>
      <c r="DD7" s="159">
        <f ca="1">IF(ISBLANK(Table13[[#This Row],[Submit POs (Est. 7 days) ]]), "", IF(ISBLANK(Table13[[#This Row],[Coordinate materials logistics (Est. 8 weeks) ]]), NETWORKDAYS(Table13[[#This Row],[Submit POs (Est. 7 days) ]], TODAY()), NETWORKDAYS(Table13[[#This Row],[Submit POs (Est. 7 days) ]], Table13[[#This Row],[Coordinate materials logistics (Est. 8 weeks) ]])))</f>
        <v>188</v>
      </c>
      <c r="DE7" s="125">
        <v>44682</v>
      </c>
      <c r="DF7" s="125">
        <f>IF(ISBLANK(Table13[[#This Row],[Executed Agreement (10 days)]]), "", WORKDAY(Table13[[#This Row],[Executed Agreement (10 days)]], 180))</f>
        <v>44673</v>
      </c>
      <c r="DG7" s="159">
        <f ca="1">IF(ISBLANK(Table13[[#This Row],[Submit POs (Est. 7 days) ]]), "", IF(ISBLANK(Table13[[#This Row],[Coordinate materials logistics (Est. 8 weeks) ]]), NETWORKDAYS(Table13[[#This Row],[Submit POs (Est. 7 days) ]], TODAY()), NETWORKDAYS(Table13[[#This Row],[Submit POs (Est. 7 days) ]], Table13[[#This Row],[Coordinate materials logistics (Est. 8 weeks) ]])))</f>
        <v>188</v>
      </c>
      <c r="DH7" s="125">
        <v>44732</v>
      </c>
      <c r="DI7" s="125">
        <f>IF(ISBLANK(Table13[[#This Row],[RTP]]), "", WORKDAY(Table13[[#This Row],[RTP]], 40))</f>
        <v>44736</v>
      </c>
      <c r="DJ7" s="159">
        <f ca="1">IF(ISBLANK(Table13[[#This Row],[Coordinate materials logistics (Est. 8 weeks) ]]), "", IF(ISBLANK(Table13[[#This Row],[Monitor Construction Start (Est. 6 months) ]]), NETWORKDAYS(Table13[[#This Row],[Coordinate materials logistics (Est. 8 weeks) ]], TODAY()), NETWORKDAYS(Table13[[#This Row],[Coordinate materials logistics (Est. 8 weeks) ]], Table13[[#This Row],[Monitor Construction Start (Est. 6 months) ]])))</f>
        <v>10</v>
      </c>
      <c r="DK7" s="125">
        <v>44743</v>
      </c>
      <c r="DL7" s="125">
        <f>IF(ISBLANK(Table13[[#This Row],[Coordinate materials logistics (Est. 8 weeks) ]]), "", WORKDAY(Table13[[#This Row],[Coordinate materials logistics (Est. 8 weeks) ]], 7))</f>
        <v>44741</v>
      </c>
      <c r="DM7" s="159">
        <f ca="1">IF(ISBLANK(Table13[[#This Row],[Monitor Construction Start (Est. 6 months) ]]), "", IF(ISBLANK(Table13[[#This Row],[Construction Completion]]), NETWORKDAYS(Table13[[#This Row],[Monitor Construction Start (Est. 6 months) ]], TODAY()), NETWORKDAYS(Table13[[#This Row],[Monitor Construction Start (Est. 6 months) ]], Table13[[#This Row],[Construction Completion]])))</f>
        <v>184</v>
      </c>
      <c r="DN7" s="125">
        <v>44757</v>
      </c>
      <c r="DO7" s="125">
        <f>IF(ISBLANK(Table13[[#This Row],[Monitor Construction Start (Est. 6 months) ]]), "", WORKDAY(Table13[[#This Row],[Monitor Construction Start (Est. 6 months) ]], 15))</f>
        <v>44764</v>
      </c>
      <c r="DP7" s="159">
        <f ca="1">IF(ISBLANK(Table13[[#This Row],[Core switches configuration (Est. 2 weeks) ]]), "", IF(ISBLANK(Table13[[#This Row],[Integration (Est. 2 weeks) ]]), NETWORKDAYS(Table13[[#This Row],[Core switches configuration (Est. 2 weeks) ]], TODAY()), NETWORKDAYS(Table13[[#This Row],[Core switches configuration (Est. 2 weeks) ]], Table13[[#This Row],[Integration (Est. 2 weeks) ]])))</f>
        <v>70</v>
      </c>
      <c r="DQ7" s="125">
        <v>44835</v>
      </c>
      <c r="DR7" s="125">
        <f>IF(ISBLANK(Table13[[#This Row],[Monitor Construction Start (Est. 6 months) ]]), "", WORKDAY(Table13[[#This Row],[Monitor Construction Start (Est. 6 months) ]], 90))</f>
        <v>44869</v>
      </c>
      <c r="DS7" s="159">
        <f ca="1">IF(ISBLANK(Table13[[#This Row],[Backhaul Delivery coordination (Est. 3 months) ]]), "", IF(ISBLANK(Table13[[#This Row],[Integration (Est. 2 weeks) ]]), NETWORKDAYS(Table13[[#This Row],[Backhaul Delivery coordination (Est. 3 months) ]], TODAY()), NETWORKDAYS(Table13[[#This Row],[Backhaul Delivery coordination (Est. 3 months) ]], Table13[[#This Row],[Integration (Est. 2 weeks) ]])))</f>
        <v>14</v>
      </c>
      <c r="DT7" s="125">
        <v>44854</v>
      </c>
      <c r="DU7" s="132">
        <f>IF(ISBLANK(Table13[[#This Row],[Backhaul Delivery coordination (Est. 3 months) ]]), "", WORKDAY(Table13[[#This Row],[Backhaul Delivery coordination (Est. 3 months) ]], 10))</f>
        <v>44848</v>
      </c>
      <c r="DV7" s="159">
        <f ca="1">IF(ISBLANK(Table13[[#This Row],[Integration (Est. 2 weeks) ]]), "", IF(ISBLANK(Table13[[#This Row],[Construction Completion]]), NETWORKDAYS(Table13[[#This Row],[Integration (Est. 2 weeks) ]], TODAY()), NETWORKDAYS(Table13[[#This Row],[Integration (Est. 2 weeks) ]], Table13[[#This Row],[Construction Completion]])))</f>
        <v>105</v>
      </c>
      <c r="DW7" s="125">
        <v>45000</v>
      </c>
      <c r="DX7" s="132">
        <f>IF(ISBLANK(Table13[[#This Row],[Monitor Construction Start (Est. 6 months) ]]), "", WORKDAY(Table13[[#This Row],[Monitor Construction Start (Est. 6 months) ]], 180))</f>
        <v>44995</v>
      </c>
      <c r="DY7" s="159">
        <f ca="1">IF(ISBLANK(Table13[[#This Row],[Construction Completion]]), "", IF(ISBLANK(Table13[[#This Row],[QC site review (Est. 7 days) ]]), NETWORKDAYS(Table13[[#This Row],[Construction Completion]], TODAY()), NETWORKDAYS(Table13[[#This Row],[Construction Completion]], Table13[[#This Row],[QC site review (Est. 7 days) ]])))</f>
        <v>4</v>
      </c>
      <c r="DZ7" s="126"/>
      <c r="EA7" s="125">
        <v>45005</v>
      </c>
      <c r="EB7" s="125">
        <f>IF(ISBLANK(Table13[[#This Row],[Construction Completion]]), "", WORKDAY(Table13[[#This Row],[Construction Completion]], 7))</f>
        <v>45009</v>
      </c>
      <c r="EC7" s="159">
        <f ca="1">IF(ISBLANK(Table13[[#This Row],[QC site review (Est. 7 days) ]]), "", IF(ISBLANK(Table13[[#This Row],[Site Walk (Est. 2 weeks) ]]), NETWORKDAYS(Table13[[#This Row],[QC site review (Est. 7 days) ]], TODAY()), NETWORKDAYS(Table13[[#This Row],[QC site review (Est. 7 days) ]], Table13[[#This Row],[Site Walk (Est. 2 weeks) ]])))</f>
        <v>19</v>
      </c>
      <c r="ED7" s="125">
        <v>45029</v>
      </c>
      <c r="EE7" s="125">
        <f>IF(ISBLANK(Table13[[#This Row],[QC site review (Est. 7 days) ]]), "", WORKDAY(Table13[[#This Row],[QC site review (Est. 7 days) ]], 10))</f>
        <v>45019</v>
      </c>
      <c r="EF7" s="159">
        <f ca="1">IF(ISBLANK(Table13[[#This Row],[Site Walk (Est. 2 weeks) ]]), "", IF(ISBLANK(Table13[[#This Row],[FNE Closeout Package (Est. 2 weeks) ]]), NETWORKDAYS(Table13[[#This Row],[Site Walk (Est. 2 weeks) ]], TODAY()), NETWORKDAYS(Table13[[#This Row],[Site Walk (Est. 2 weeks) ]], Table13[[#This Row],[FNE Closeout Package (Est. 2 weeks) ]])))</f>
        <v>12</v>
      </c>
      <c r="EG7" s="125">
        <v>45044</v>
      </c>
      <c r="EH7" s="125">
        <f>IF(ISBLANK(Table13[[#This Row],[Site Walk (Est. 2 weeks) ]]), "", WORKDAY(Table13[[#This Row],[Site Walk (Est. 2 weeks) ]], 10))</f>
        <v>45043</v>
      </c>
      <c r="EI7" s="159">
        <f ca="1">IF(ISBLANK(Table13[[#This Row],[FNE Closeout Package (Est. 2 weeks) ]]), "", IF(ISBLANK(Table13[[#This Row],[Accepts Network (Est. 1 week) ]]), NETWORKDAYS(Table13[[#This Row],[FNE Closeout Package (Est. 2 weeks) ]], TODAY()), NETWORKDAYS(Table13[[#This Row],[FNE Closeout Package (Est. 2 weeks) ]], Table13[[#This Row],[Accepts Network (Est. 1 week) ]])))</f>
        <v>6</v>
      </c>
      <c r="EJ7" s="125">
        <v>45051</v>
      </c>
      <c r="EK7" s="125">
        <f>IF(ISBLANK(Table13[[#This Row],[FNE Closeout Package (Est. 2 weeks) ]]), "", WORKDAY(Table13[[#This Row],[FNE Closeout Package (Est. 2 weeks) ]], 7))</f>
        <v>45055</v>
      </c>
      <c r="EL7" s="159">
        <f ca="1">IF(ISBLANK(Table13[[#This Row],[Accepts Network (Est. 1 week) ]]), "", IF(ISBLANK(Table13[[#This Row],[Project Completion]]), NETWORKDAYS(Table13[[#This Row],[Accepts Network (Est. 1 week) ]], TODAY()), NETWORKDAYS(Table13[[#This Row],[Accepts Network (Est. 1 week) ]], Table13[[#This Row],[Project Completion]])))</f>
        <v>7</v>
      </c>
      <c r="EM7" s="125">
        <v>45061</v>
      </c>
      <c r="EN7" s="125">
        <f>IF(ISBLANK(Table13[[#This Row],[Accepts Network (Est. 1 week) ]]), "", WORKDAY(Table13[[#This Row],[Accepts Network (Est. 1 week) ]], 10))</f>
        <v>45065</v>
      </c>
      <c r="EO7" s="156">
        <f ca="1">IF(ISBLANK(Table13[[#This Row],[Project Completion]]), " ", NETWORKDAYS(Table13[[#This Row],[Project Completion]], TODAY()))</f>
        <v>566</v>
      </c>
    </row>
    <row r="8" spans="1:145" x14ac:dyDescent="0.25">
      <c r="A8" s="154">
        <v>43891</v>
      </c>
      <c r="B8" s="124"/>
      <c r="C8" s="125">
        <v>43896</v>
      </c>
      <c r="D8" s="125">
        <f>IF(ISBLANK(Table13[[#This Row],[BD creates opportunity in CRM ]]), "", WORKDAY(Table13[[#This Row],[BD creates opportunity in CRM ]], 7))</f>
        <v>43900</v>
      </c>
      <c r="E8" s="158">
        <f ca="1">IF(ISBLANK(Table13[[#This Row],[Conduct meeting/call to explore opportunity ]]), "", IF(ISBLANK(Table13[[#This Row],[Date of Prospect Interest]]), NETWORKDAYS(Table13[[#This Row],[Conduct meeting/call to explore opportunity ]], TODAY()), NETWORKDAYS(Table13[[#This Row],[Conduct meeting/call to explore opportunity ]], Table13[[#This Row],[Date of Prospect Interest]])))</f>
        <v>6</v>
      </c>
      <c r="F8" s="124" t="s">
        <v>655</v>
      </c>
      <c r="G8" s="125">
        <v>43904</v>
      </c>
      <c r="H8" s="156">
        <f ca="1">IF(ISBLANK(Table13[[#This Row],[Date of Prospect Interest]]), "", IF(ISBLANK(Table13[[#This Row],[BD submits email to NSE Design Distro]]), NETWORKDAYS(Table13[[#This Row],[Date of Prospect Interest]], TODAY()), NETWORKDAYS(Table13[[#This Row],[Date of Prospect Interest]], Table13[[#This Row],[BD submits email to NSE Design Distro]])))</f>
        <v>9</v>
      </c>
      <c r="I8" s="125">
        <v>43916</v>
      </c>
      <c r="J8" s="125">
        <f>IF(ISBLANK(Table13[[#This Row],[Date of Prospect Interest]]), "", WORKDAY(Table13[[#This Row],[Date of Prospect Interest]], 7))</f>
        <v>43914</v>
      </c>
      <c r="K8" s="159">
        <f ca="1">IF(ISBLANK(Table13[[#This Row],[BD submits email to NSE Design Distro]]), "", IF(ISBLANK(Table13[[#This Row],[Program Manager adds request to tracker ]]), NETWORKDAYS(Table13[[#This Row],[BD submits email to NSE Design Distro]], TODAY()), NETWORKDAYS(Table13[[#This Row],[BD submits email to NSE Design Distro]], Table13[[#This Row],[Program Manager adds request to tracker ]])))</f>
        <v>7</v>
      </c>
      <c r="L8" s="125">
        <v>43926</v>
      </c>
      <c r="M8" s="125">
        <f>IF(ISBLANK(Table13[[#This Row],[BD submits email to NSE Design Distro]]), "", WORKDAY(Table13[[#This Row],[BD submits email to NSE Design Distro]], 7))</f>
        <v>43927</v>
      </c>
      <c r="N8" s="159">
        <f ca="1">IF(ISBLANK(Table13[[#This Row],[Program Manager adds request to tracker ]]), "", IF(ISBLANK(Table13[[#This Row],[Program Manager schedules kickoff call to assign action Items &amp; align timelines Est. 2 days ]]), NETWORKDAYS(Table13[[#This Row],[Program Manager adds request to tracker ]], TODAY()), NETWORKDAYS(Table13[[#This Row],[Program Manager adds request to tracker ]], Table13[[#This Row],[Program Manager schedules kickoff call to assign action Items &amp; align timelines Est. 2 days ]])))</f>
        <v>5</v>
      </c>
      <c r="O8" s="124" t="s">
        <v>655</v>
      </c>
      <c r="P8" s="124"/>
      <c r="Q8" s="124"/>
      <c r="R8" s="124"/>
      <c r="S8" s="124"/>
      <c r="T8" s="124"/>
      <c r="U8" s="124"/>
      <c r="V8" s="125"/>
      <c r="W8" s="125" t="str">
        <f>IF(Table13[[#This Row],[SBA or Aerwave]] = "Aerwave", WORKDAY(Table13[[#This Row],[Program Manager adds request to tracker ]], 7), " ")</f>
        <v xml:space="preserve"> </v>
      </c>
      <c r="X8" s="159" t="str">
        <f ca="1">IF(ISBLANK(Table13[[#This Row],[P.M Check with BD OK to submit Aerwave]]), "", IF(ISBLANK(Table13[[#This Row],[P.M Submit Request to Aerwave ]]), NETWORKDAYS(Table13[[#This Row],[P.M Check with BD OK to submit Aerwave]], TODAY()), NETWORKDAYS(Table13[[#This Row],[P.M Check with BD OK to submit Aerwave]], Table13[[#This Row],[P.M Submit Request to Aerwave ]])))</f>
        <v/>
      </c>
      <c r="Y8" s="125"/>
      <c r="Z8" s="125" t="str">
        <f>IF(Table13[[#This Row],[SBA or Aerwave]] = "Aerwave", WORKDAY(Table13[[#This Row],[P.M Check with BD OK to submit Aerwave]], 7), " ")</f>
        <v xml:space="preserve"> </v>
      </c>
      <c r="AA8" s="159" t="str">
        <f ca="1">IF(ISBLANK(Table13[[#This Row],[P.M Submit Request to Aerwave ]]), "", IF(ISBLANK(Table13[[#This Row],[Program Manager schedules kickoff call to assign action Items &amp; align timelines Est. 2 days ]]), NETWORKDAYS(Table13[[#This Row],[P.M Submit Request to Aerwave ]], TODAY()), NETWORKDAYS(Table13[[#This Row],[P.M Submit Request to Aerwave ]], Table13[[#This Row],[Program Manager schedules kickoff call to assign action Items &amp; align timelines Est. 2 days ]])))</f>
        <v/>
      </c>
      <c r="AB8" s="125">
        <v>43931</v>
      </c>
      <c r="AC8" s="125">
        <f>IF(Table13[[#This Row],[SBA or Aerwave]] = "Aerwave", WORKDAY(Table13[[#This Row],[P.M Submit Request to Aerwave ]], 7), IF(ISBLANK(Table13[[#This Row],[Program Manager adds request to tracker ]]), " ", WORKDAY(Table13[[#This Row],[Program Manager adds request to tracker ]], 7)))</f>
        <v>43935</v>
      </c>
      <c r="AD8" s="159">
        <f ca="1">IF(ISBLANK(Table13[[#This Row],[Program Manager schedules kickoff call to assign action Items &amp; align timelines Est. 2 days ]]), "", IF(ISBLANK(Table13[[#This Row],[Fin Analyst creates fin. model ]]), NETWORKDAYS(Table13[[#This Row],[Program Manager schedules kickoff call to assign action Items &amp; align timelines Est. 2 days ]], TODAY()), NETWORKDAYS(Table13[[#This Row],[Program Manager schedules kickoff call to assign action Items &amp; align timelines Est. 2 days ]], Table13[[#This Row],[Fin Analyst creates fin. model ]])))</f>
        <v>16</v>
      </c>
      <c r="AE8" s="125">
        <v>43951</v>
      </c>
      <c r="AF8" s="125">
        <f>IF(ISBLANK(Table13[[#This Row],[Program Manager schedules kickoff call to assign action Items &amp; align timelines Est. 2 days ]]), "", WORKDAY(Table13[[#This Row],[Program Manager schedules kickoff call to assign action Items &amp; align timelines Est. 2 days ]], 15))</f>
        <v>43952</v>
      </c>
      <c r="AG8" s="159">
        <f ca="1">IF(ISBLANK(Table13[[#This Row],[Backhaul pricing Est. 15 days ]]), "", IF(ISBLANK(Table13[[#This Row],[Fin Analyst creates fin. model ]]), NETWORKDAYS(Table13[[#This Row],[Backhaul pricing Est. 15 days ]], TODAY()), NETWORKDAYS(Table13[[#This Row],[Backhaul pricing Est. 15 days ]], Table13[[#This Row],[Fin Analyst creates fin. model ]])))</f>
        <v>2</v>
      </c>
      <c r="AH8" s="125">
        <v>43941</v>
      </c>
      <c r="AI8" s="125">
        <f>IF(ISBLANK(Table13[[#This Row],[Program Manager schedules kickoff call to assign action Items &amp; align timelines Est. 2 days ]]), "", WORKDAY(Table13[[#This Row],[Program Manager schedules kickoff call to assign action Items &amp; align timelines Est. 2 days ]], 10))</f>
        <v>43945</v>
      </c>
      <c r="AJ8" s="159">
        <f ca="1">IF(ISBLANK(Table13[[#This Row],[Design, ROM (Est. 10 days) ]]), "", IF(ISBLANK(Table13[[#This Row],[OSP Pricing (Est. 10 days) ]]), NETWORKDAYS(Table13[[#This Row],[Design, ROM (Est. 10 days) ]], TODAY()), NETWORKDAYS(Table13[[#This Row],[Design, ROM (Est. 10 days) ]], Table13[[#This Row],[OSP Pricing (Est. 10 days) ]])))</f>
        <v>9</v>
      </c>
      <c r="AK8" s="125">
        <v>43951</v>
      </c>
      <c r="AL8" s="125">
        <f>IF(ISBLANK(Table13[[#This Row],[Program Manager schedules kickoff call to assign action Items &amp; align timelines Est. 2 days ]]), "", WORKDAY(Table13[[#This Row],[Program Manager schedules kickoff call to assign action Items &amp; align timelines Est. 2 days ]], 10))</f>
        <v>43945</v>
      </c>
      <c r="AM8" s="159">
        <f ca="1">IF(ISBLANK(Table13[[#This Row],[OSP Pricing (Est. 10 days) ]]), "", IF(ISBLANK(Table13[[#This Row],[Fin Analyst creates fin. model ]]), NETWORKDAYS(Table13[[#This Row],[OSP Pricing (Est. 10 days) ]], TODAY()), NETWORKDAYS(Table13[[#This Row],[OSP Pricing (Est. 10 days) ]], Table13[[#This Row],[Fin Analyst creates fin. model ]])))</f>
        <v>2</v>
      </c>
      <c r="AN8" s="125">
        <v>43952</v>
      </c>
      <c r="AO8" s="125">
        <f>IF(ISBLANK(Table13[[#This Row],[Program Manager schedules kickoff call to assign action Items &amp; align timelines Est. 2 days ]]), "", WORKDAY(Table13[[#This Row],[Program Manager schedules kickoff call to assign action Items &amp; align timelines Est. 2 days ]], 15))</f>
        <v>43952</v>
      </c>
      <c r="AP8" s="159">
        <f ca="1">IF(ISBLANK(Table13[[#This Row],[Fin Analyst creates fin. model ]]), "", IF(ISBLANK(Table13[[#This Row],[Program Manager Submits Fin. Model to BD for Review (Est. 2 days) ]]), NETWORKDAYS(Table13[[#This Row],[Fin Analyst creates fin. model ]], TODAY()), NETWORKDAYS(Table13[[#This Row],[Fin Analyst creates fin. model ]], Table13[[#This Row],[Program Manager Submits Fin. Model to BD for Review (Est. 2 days) ]])))</f>
        <v>11</v>
      </c>
      <c r="AQ8" s="125">
        <v>43960</v>
      </c>
      <c r="AR8" s="125">
        <f>IF(ISBLANK(Table13[[#This Row],[Fin Analyst creates fin. model ]]), "", WORKDAY(Table13[[#This Row],[Fin Analyst creates fin. model ]], 7))</f>
        <v>43963</v>
      </c>
      <c r="AS8" s="159">
        <f ca="1">IF(ISBLANK(Table13[[#This Row],[Sales Ops Peer review (Est. 7 days) ]]), "", IF(ISBLANK(Table13[[#This Row],[Program Manager Submits Fin. Model to BD for Review (Est. 2 days) ]]), NETWORKDAYS(Table13[[#This Row],[Sales Ops Peer review (Est. 7 days) ]], TODAY()), NETWORKDAYS(Table13[[#This Row],[Sales Ops Peer review (Est. 7 days) ]], Table13[[#This Row],[Program Manager Submits Fin. Model to BD for Review (Est. 2 days) ]])))</f>
        <v>5</v>
      </c>
      <c r="AT8" s="125">
        <v>43964</v>
      </c>
      <c r="AU8" s="125">
        <f>IF(ISBLANK(Table13[[#This Row],[Fin Analyst creates fin. model ]]), "", WORKDAY(Table13[[#This Row],[Fin Analyst creates fin. model ]], 7))</f>
        <v>43963</v>
      </c>
      <c r="AV8" s="159">
        <f ca="1">IF(ISBLANK(Table13[[#This Row],[Finance Peer review (Est. 7 days) ]]), "", IF(ISBLANK(Table13[[#This Row],[Program Manager Submits Fin. Model to BD for Review (Est. 2 days) ]]), NETWORKDAYS(Table13[[#This Row],[Finance Peer review (Est. 7 days) ]], TODAY()), NETWORKDAYS(Table13[[#This Row],[Finance Peer review (Est. 7 days) ]], Table13[[#This Row],[Program Manager Submits Fin. Model to BD for Review (Est. 2 days) ]])))</f>
        <v>3</v>
      </c>
      <c r="AW8" s="125">
        <v>43956</v>
      </c>
      <c r="AX8" s="125">
        <f>IF(ISBLANK(Table13[[#This Row],[Fin Analyst creates fin. model ]]), "", WORKDAY(Table13[[#This Row],[Fin Analyst creates fin. model ]], 7))</f>
        <v>43963</v>
      </c>
      <c r="AY8" s="159">
        <f ca="1">IF(ISBLANK(Table13[[#This Row],[Tax fin. model review (Est. 2 days) ]]), "", IF(ISBLANK(Table13[[#This Row],[Program Manager Submits Fin. Model to BD for Review (Est. 2 days) ]]), NETWORKDAYS(Table13[[#This Row],[Tax fin. model review (Est. 2 days) ]], TODAY()), NETWORKDAYS(Table13[[#This Row],[Tax fin. model review (Est. 2 days) ]], Table13[[#This Row],[Program Manager Submits Fin. Model to BD for Review (Est. 2 days) ]])))</f>
        <v>9</v>
      </c>
      <c r="AZ8" s="125">
        <v>43967</v>
      </c>
      <c r="BA8" s="125">
        <f>IF(ISBLANK(Table13[[#This Row],[Fin Analyst creates fin. model ]]), "", WORKDAY(Table13[[#This Row],[Fin Analyst creates fin. model ]], 10))</f>
        <v>43966</v>
      </c>
      <c r="BB8" s="159">
        <f ca="1">IF(ISBLANK(Table13[[#This Row],[Program Manager Submits Fin. Model to BD for Review (Est. 2 days) ]]), "", IF(ISBLANK(Table13[[#This Row],[BD reviews Fin. Model Pricing ]]), NETWORKDAYS(Table13[[#This Row],[Program Manager Submits Fin. Model to BD for Review (Est. 2 days) ]], TODAY()), NETWORKDAYS(Table13[[#This Row],[Program Manager Submits Fin. Model to BD for Review (Est. 2 days) ]], Table13[[#This Row],[BD reviews Fin. Model Pricing ]])))</f>
        <v>2</v>
      </c>
      <c r="BC8" s="125">
        <v>43970</v>
      </c>
      <c r="BD8" s="125">
        <f>IF(ISBLANK(Table13[[#This Row],[Program Manager Submits Fin. Model to BD for Review (Est. 2 days) ]]), "", WORKDAY(Table13[[#This Row],[Program Manager Submits Fin. Model to BD for Review (Est. 2 days) ]], 5))</f>
        <v>43973</v>
      </c>
      <c r="BE8" s="159">
        <f ca="1">IF(ISBLANK(Table13[[#This Row],[BD reviews Fin. Model Pricing ]]), "", IF(ISBLANK(Table13[[#This Row],[BD Responds OK to Move Forward]]), NETWORKDAYS(Table13[[#This Row],[BD reviews Fin. Model Pricing ]], TODAY()), NETWORKDAYS(Table13[[#This Row],[BD reviews Fin. Model Pricing ]], Table13[[#This Row],[BD Responds OK to Move Forward]])))</f>
        <v>10</v>
      </c>
      <c r="BF8" s="125">
        <v>43983</v>
      </c>
      <c r="BG8" s="125">
        <f>IF(ISBLANK(Table13[[#This Row],[BD reviews Fin. Model Pricing ]]), "", WORKDAY(Table13[[#This Row],[BD reviews Fin. Model Pricing ]], 7))</f>
        <v>43979</v>
      </c>
      <c r="BH8" s="159">
        <f ca="1">IF(ISBLANK(Table13[[#This Row],[BD Responds OK to Move Forward]]), "", IF(ISBLANK(Table13[[#This Row],[Program Manager validates with appropriate teams the pricing data inputs (Est. 2 days) ]]), NETWORKDAYS(Table13[[#This Row],[BD Responds OK to Move Forward]], TODAY()), NETWORKDAYS(Table13[[#This Row],[BD Responds OK to Move Forward]], Table13[[#This Row],[Program Manager validates with appropriate teams the pricing data inputs (Est. 2 days) ]])))</f>
        <v>1336</v>
      </c>
      <c r="BI8" s="125"/>
      <c r="BJ8" s="125">
        <f>IF(ISBLANK(Table13[[#This Row],[BD Responds OK to Move Forward]]), "", WORKDAY(Table13[[#This Row],[BD Responds OK to Move Forward]], 7))</f>
        <v>43992</v>
      </c>
      <c r="BK8" s="159" t="str">
        <f ca="1">IF(ISBLANK(Table13[[#This Row],[Program Manager validates with appropriate teams the pricing data inputs (Est. 2 days) ]]), "", IF(ISBLANK(Table13[[#This Row],[Program Manager creates 1 pager proposal (Est. 2 days) ]]), NETWORKDAYS(Table13[[#This Row],[Program Manager validates with appropriate teams the pricing data inputs (Est. 2 days) ]], TODAY()), NETWORKDAYS(Table13[[#This Row],[Program Manager validates with appropriate teams the pricing data inputs (Est. 2 days) ]], Table13[[#This Row],[Program Manager creates 1 pager proposal (Est. 2 days) ]])))</f>
        <v/>
      </c>
      <c r="BL8" s="125"/>
      <c r="BM8" s="125" t="str">
        <f>IF(ISBLANK(Table13[[#This Row],[Program Manager validates with appropriate teams the pricing data inputs (Est. 2 days) ]]), "", WORKDAY(Table13[[#This Row],[Program Manager validates with appropriate teams the pricing data inputs (Est. 2 days) ]], 7))</f>
        <v/>
      </c>
      <c r="BN8" s="159" t="str">
        <f ca="1">IF(ISBLANK(Table13[[#This Row],[Program Manager creates 1 pager proposal (Est. 2 days) ]]), "", IF(ISBLANK(Table13[[#This Row],[Program Manager creates full proposal (Est. 10 days) ]]), NETWORKDAYS(Table13[[#This Row],[Program Manager creates 1 pager proposal (Est. 2 days) ]], TODAY()), NETWORKDAYS(Table13[[#This Row],[Program Manager creates 1 pager proposal (Est. 2 days) ]], Table13[[#This Row],[Program Manager creates full proposal (Est. 10 days) ]])))</f>
        <v/>
      </c>
      <c r="BO8" s="125"/>
      <c r="BP8" s="125" t="str">
        <f>IF(ISBLANK(Table13[[#This Row],[Program Manager creates 1 pager proposal (Est. 2 days) ]]), "", WORKDAY(Table13[[#This Row],[Program Manager creates 1 pager proposal (Est. 2 days) ]], 7))</f>
        <v/>
      </c>
      <c r="BQ8" s="159" t="str">
        <f ca="1">IF(ISBLANK(Table13[[#This Row],[Program Manager creates full proposal (Est. 10 days) ]]), "", IF(ISBLANK(Table13[[#This Row],[BD submits proposal ]]), NETWORKDAYS(Table13[[#This Row],[Program Manager creates full proposal (Est. 10 days) ]], TODAY()), NETWORKDAYS(Table13[[#This Row],[Program Manager creates full proposal (Est. 10 days) ]], Table13[[#This Row],[BD submits proposal ]])))</f>
        <v/>
      </c>
      <c r="BR8" s="125"/>
      <c r="BS8" s="125" t="str">
        <f>IF(ISBLANK(Table13[[#This Row],[Program Manager creates full proposal (Est. 10 days) ]]), "", WORKDAY(Table13[[#This Row],[Program Manager creates full proposal (Est. 10 days) ]], 7))</f>
        <v/>
      </c>
      <c r="BT8" s="159" t="str">
        <f ca="1">IF(ISBLANK(Table13[[#This Row],[BD submits proposal ]]), "", IF(ISBLANK(Table13[[#This Row],[M. Director Presents to CAC (Est. 10 days) ]]), NETWORKDAYS(Table13[[#This Row],[BD submits proposal ]], TODAY()), NETWORKDAYS(Table13[[#This Row],[BD submits proposal ]], Table13[[#This Row],[M. Director Presents to CAC (Est. 10 days) ]])))</f>
        <v/>
      </c>
      <c r="BU8" s="125"/>
      <c r="BV8" s="125" t="str">
        <f>IF(ISBLANK(Table13[[#This Row],[BD submits proposal ]]), "", WORKDAY(Table13[[#This Row],[BD submits proposal ]], 10))</f>
        <v/>
      </c>
      <c r="BW8" s="159" t="str">
        <f ca="1">IF(ISBLANK(Table13[[#This Row],[M. Director Presents to CAC (Est. 10 days) ]]), "", IF(ISBLANK(Table13[[#This Row],[Proposal Acceptance Date ]]), NETWORKDAYS(Table13[[#This Row],[M. Director Presents to CAC (Est. 10 days) ]], TODAY()), NETWORKDAYS(Table13[[#This Row],[M. Director Presents to CAC (Est. 10 days) ]], Table13[[#This Row],[Proposal Acceptance Date ]])))</f>
        <v/>
      </c>
      <c r="BX8" s="125"/>
      <c r="BY8" s="125"/>
      <c r="BZ8" s="159" t="str">
        <f ca="1">IF(ISBLANK(Table13[[#This Row],[Proposal Acceptance Date ]]), "", IF(ISBLANK(Table13[[#This Row],[Update record in CRM ]]), NETWORKDAYS(Table13[[#This Row],[Proposal Acceptance Date ]], TODAY()), NETWORKDAYS(Table13[[#This Row],[Proposal Acceptance Date ]], Table13[[#This Row],[Update record in CRM ]])))</f>
        <v/>
      </c>
      <c r="CA8" s="125"/>
      <c r="CB8" s="125" t="str">
        <f>IF(ISBLANK(Table13[[#This Row],[Proposal Acceptance Date ]]), "", WORKDAY(Table13[[#This Row],[Proposal Acceptance Date ]], 7))</f>
        <v/>
      </c>
      <c r="CC8" s="159" t="str">
        <f ca="1">IF(ISBLANK(Table13[[#This Row],[Update record in CRM ]]), "", IF(ISBLANK(Table13[[#This Row],[Liaison/review redlines ]]), NETWORKDAYS(Table13[[#This Row],[Update record in CRM ]], TODAY()), NETWORKDAYS(Table13[[#This Row],[Update record in CRM ]], Table13[[#This Row],[Liaison/review redlines ]])))</f>
        <v/>
      </c>
      <c r="CD8" s="125"/>
      <c r="CE8" s="125" t="str">
        <f>IF(ISBLANK(Table13[[#This Row],[Update record in CRM ]]), "", WORKDAY(Table13[[#This Row],[Update record in CRM ]], 7))</f>
        <v/>
      </c>
      <c r="CF8" s="159" t="str">
        <f ca="1">IF(ISBLANK(Table13[[#This Row],[Liaison/review redlines ]]), "", IF(ISBLANK(Table13[[#This Row],[Draft Agreement (Est. 90 days) ]]), NETWORKDAYS(Table13[[#This Row],[Liaison/review redlines ]], TODAY()), NETWORKDAYS(Table13[[#This Row],[Liaison/review redlines ]], Table13[[#This Row],[Draft Agreement (Est. 90 days) ]])))</f>
        <v/>
      </c>
      <c r="CG8" s="125"/>
      <c r="CH8" s="125" t="str">
        <f>IF(ISBLANK(Table13[[#This Row],[Liaison/review redlines ]]), "", WORKDAY(Table13[[#This Row],[Liaison/review redlines ]], 90))</f>
        <v/>
      </c>
      <c r="CI8" s="159" t="str">
        <f ca="1">IF(ISBLANK(Table13[[#This Row],[Draft Agreement (Est. 90 days) ]]), "", IF(ISBLANK(Table13[[#This Row],[Executed Agreement (10 days)]]), NETWORKDAYS(Table13[[#This Row],[Draft Agreement (Est. 90 days) ]], TODAY()), NETWORKDAYS(Table13[[#This Row],[Draft Agreement (Est. 90 days) ]], Table13[[#This Row],[Executed Agreement (10 days)]])))</f>
        <v/>
      </c>
      <c r="CJ8" s="125"/>
      <c r="CK8" s="125" t="str">
        <f>IF(ISBLANK(Table13[[#This Row],[Draft Agreement (Est. 90 days) ]]), "", WORKDAY(Table13[[#This Row],[Draft Agreement (Est. 90 days) ]], 10))</f>
        <v/>
      </c>
      <c r="CL8" s="159" t="str">
        <f ca="1">IF(ISBLANK(Table13[[#This Row],[Executed Agreement (10 days)]]), "", IF(ISBLANK(Table13[[#This Row],[Prog Manager schedules Kick-off meeting (Est. 3 days) ]]), NETWORKDAYS(Table13[[#This Row],[Executed Agreement (10 days)]], TODAY()), NETWORKDAYS(Table13[[#This Row],[Executed Agreement (10 days)]], Table13[[#This Row],[Prog Manager schedules Kick-off meeting (Est. 3 days) ]])))</f>
        <v/>
      </c>
      <c r="CM8" s="125"/>
      <c r="CN8" s="125" t="str">
        <f>IF(ISBLANK(Table13[[#This Row],[Executed Agreement (10 days)]]), "", WORKDAY(Table13[[#This Row],[Executed Agreement (10 days)]], 3))</f>
        <v/>
      </c>
      <c r="CO8" s="159" t="str">
        <f ca="1">IF(ISBLANK(Table13[[#This Row],[Prog Manager schedules Kick-off meeting (Est. 3 days) ]]), "", IF(ISBLANK(Table13[[#This Row],[Budget Approvals (Est. 7 days) ]]), NETWORKDAYS(Table13[[#This Row],[Prog Manager schedules Kick-off meeting (Est. 3 days) ]], TODAY()), NETWORKDAYS(Table13[[#This Row],[Prog Manager schedules Kick-off meeting (Est. 3 days) ]], Table13[[#This Row],[Budget Approvals (Est. 7 days) ]])))</f>
        <v/>
      </c>
      <c r="CP8" s="125"/>
      <c r="CQ8" s="125" t="str">
        <f>IF(ISBLANK(Table13[[#This Row],[Prog Manager schedules Kick-off meeting (Est. 3 days) ]]), "", WORKDAY(Table13[[#This Row],[Prog Manager schedules Kick-off meeting (Est. 3 days) ]], 7))</f>
        <v/>
      </c>
      <c r="CR8" s="159" t="str">
        <f ca="1">IF(ISBLANK(Table13[[#This Row],[Budget Approvals (Est. 7 days) ]]), "", IF(ISBLANK(Table13[[#This Row],[Order backhaul (Est. 7 days) ]]), NETWORKDAYS(Table13[[#This Row],[Budget Approvals (Est. 7 days) ]], TODAY()), NETWORKDAYS(Table13[[#This Row],[Budget Approvals (Est. 7 days) ]], Table13[[#This Row],[Order backhaul (Est. 7 days) ]])))</f>
        <v/>
      </c>
      <c r="CS8" s="125"/>
      <c r="CT8" s="125" t="str">
        <f>IF(ISBLANK(Table13[[#This Row],[Budget Approvals (Est. 7 days) ]]), "", WORKDAY(Table13[[#This Row],[Budget Approvals (Est. 7 days) ]], 7))</f>
        <v/>
      </c>
      <c r="CU8" s="159" t="str">
        <f ca="1">IF(ISBLANK(Table13[[#This Row],[Order backhaul (Est. 7 days) ]]), "", IF(ISBLANK(Table13[[#This Row],[Quotes updates if changes in BOM list (Est. 7 days) ]]), NETWORKDAYS(Table13[[#This Row],[Order backhaul (Est. 7 days) ]], TODAY()), NETWORKDAYS(Table13[[#This Row],[Order backhaul (Est. 7 days) ]], Table13[[#This Row],[Quotes updates if changes in BOM list (Est. 7 days) ]])))</f>
        <v/>
      </c>
      <c r="CV8" s="125"/>
      <c r="CW8" s="125" t="str">
        <f>IF(ISBLANK(Table13[[#This Row],[Order backhaul (Est. 7 days) ]]), "", WORKDAY(Table13[[#This Row],[Order backhaul (Est. 7 days) ]], 7))</f>
        <v/>
      </c>
      <c r="CX8" s="159" t="str">
        <f ca="1">IF(ISBLANK(Table13[[#This Row],[Quotes updates if changes in BOM list (Est. 7 days) ]]), "", IF(ISBLANK(Table13[[#This Row],[Final BOM (Est. 7 days) ]]), NETWORKDAYS(Table13[[#This Row],[Quotes updates if changes in BOM list (Est. 7 days) ]], TODAY()), NETWORKDAYS(Table13[[#This Row],[Quotes updates if changes in BOM list (Est. 7 days) ]], Table13[[#This Row],[Final BOM (Est. 7 days) ]])))</f>
        <v/>
      </c>
      <c r="CY8" s="125"/>
      <c r="CZ8" s="125" t="str">
        <f>IF(ISBLANK(Table13[[#This Row],[Quotes updates if changes in BOM list (Est. 7 days) ]]), "", WORKDAY(Table13[[#This Row],[Quotes updates if changes in BOM list (Est. 7 days) ]], 7))</f>
        <v/>
      </c>
      <c r="DA8" s="159" t="str">
        <f ca="1">IF(ISBLANK(Table13[[#This Row],[Final BOM (Est. 7 days) ]]), "", IF(ISBLANK(Table13[[#This Row],[Submit POs (Est. 7 days) ]]), NETWORKDAYS(Table13[[#This Row],[Final BOM (Est. 7 days) ]], TODAY()), NETWORKDAYS(Table13[[#This Row],[Final BOM (Est. 7 days) ]], Table13[[#This Row],[Submit POs (Est. 7 days) ]])))</f>
        <v/>
      </c>
      <c r="DB8" s="125"/>
      <c r="DC8" s="125" t="str">
        <f>IF(ISBLANK(Table13[[#This Row],[Final BOM (Est. 7 days) ]]), "", WORKDAY(Table13[[#This Row],[Final BOM (Est. 7 days) ]], 7))</f>
        <v/>
      </c>
      <c r="DD8" s="159" t="str">
        <f ca="1">IF(ISBLANK(Table13[[#This Row],[Submit POs (Est. 7 days) ]]), "", IF(ISBLANK(Table13[[#This Row],[Coordinate materials logistics (Est. 8 weeks) ]]), NETWORKDAYS(Table13[[#This Row],[Submit POs (Est. 7 days) ]], TODAY()), NETWORKDAYS(Table13[[#This Row],[Submit POs (Est. 7 days) ]], Table13[[#This Row],[Coordinate materials logistics (Est. 8 weeks) ]])))</f>
        <v/>
      </c>
      <c r="DE8" s="125"/>
      <c r="DF8" s="125" t="str">
        <f>IF(ISBLANK(Table13[[#This Row],[Executed Agreement (10 days)]]), "", WORKDAY(Table13[[#This Row],[Executed Agreement (10 days)]], 180))</f>
        <v/>
      </c>
      <c r="DG8" s="159" t="str">
        <f ca="1">IF(ISBLANK(Table13[[#This Row],[Submit POs (Est. 7 days) ]]), "", IF(ISBLANK(Table13[[#This Row],[Coordinate materials logistics (Est. 8 weeks) ]]), NETWORKDAYS(Table13[[#This Row],[Submit POs (Est. 7 days) ]], TODAY()), NETWORKDAYS(Table13[[#This Row],[Submit POs (Est. 7 days) ]], Table13[[#This Row],[Coordinate materials logistics (Est. 8 weeks) ]])))</f>
        <v/>
      </c>
      <c r="DH8" s="125"/>
      <c r="DI8" s="125" t="str">
        <f>IF(ISBLANK(Table13[[#This Row],[RTP]]), "", WORKDAY(Table13[[#This Row],[RTP]], 40))</f>
        <v/>
      </c>
      <c r="DJ8" s="159" t="str">
        <f ca="1">IF(ISBLANK(Table13[[#This Row],[Coordinate materials logistics (Est. 8 weeks) ]]), "", IF(ISBLANK(Table13[[#This Row],[Monitor Construction Start (Est. 6 months) ]]), NETWORKDAYS(Table13[[#This Row],[Coordinate materials logistics (Est. 8 weeks) ]], TODAY()), NETWORKDAYS(Table13[[#This Row],[Coordinate materials logistics (Est. 8 weeks) ]], Table13[[#This Row],[Monitor Construction Start (Est. 6 months) ]])))</f>
        <v/>
      </c>
      <c r="DK8" s="125"/>
      <c r="DL8" s="125" t="str">
        <f>IF(ISBLANK(Table13[[#This Row],[Coordinate materials logistics (Est. 8 weeks) ]]), "", WORKDAY(Table13[[#This Row],[Coordinate materials logistics (Est. 8 weeks) ]], 7))</f>
        <v/>
      </c>
      <c r="DM8" s="159" t="str">
        <f ca="1">IF(ISBLANK(Table13[[#This Row],[Monitor Construction Start (Est. 6 months) ]]), "", IF(ISBLANK(Table13[[#This Row],[Construction Completion]]), NETWORKDAYS(Table13[[#This Row],[Monitor Construction Start (Est. 6 months) ]], TODAY()), NETWORKDAYS(Table13[[#This Row],[Monitor Construction Start (Est. 6 months) ]], Table13[[#This Row],[Construction Completion]])))</f>
        <v/>
      </c>
      <c r="DN8" s="125"/>
      <c r="DO8" s="125" t="str">
        <f>IF(ISBLANK(Table13[[#This Row],[Monitor Construction Start (Est. 6 months) ]]), "", WORKDAY(Table13[[#This Row],[Monitor Construction Start (Est. 6 months) ]], 15))</f>
        <v/>
      </c>
      <c r="DP8" s="159" t="str">
        <f ca="1">IF(ISBLANK(Table13[[#This Row],[Core switches configuration (Est. 2 weeks) ]]), "", IF(ISBLANK(Table13[[#This Row],[Integration (Est. 2 weeks) ]]), NETWORKDAYS(Table13[[#This Row],[Core switches configuration (Est. 2 weeks) ]], TODAY()), NETWORKDAYS(Table13[[#This Row],[Core switches configuration (Est. 2 weeks) ]], Table13[[#This Row],[Integration (Est. 2 weeks) ]])))</f>
        <v/>
      </c>
      <c r="DQ8" s="125"/>
      <c r="DR8" s="125" t="str">
        <f>IF(ISBLANK(Table13[[#This Row],[Monitor Construction Start (Est. 6 months) ]]), "", WORKDAY(Table13[[#This Row],[Monitor Construction Start (Est. 6 months) ]], 90))</f>
        <v/>
      </c>
      <c r="DS8" s="159" t="str">
        <f ca="1">IF(ISBLANK(Table13[[#This Row],[Backhaul Delivery coordination (Est. 3 months) ]]), "", IF(ISBLANK(Table13[[#This Row],[Integration (Est. 2 weeks) ]]), NETWORKDAYS(Table13[[#This Row],[Backhaul Delivery coordination (Est. 3 months) ]], TODAY()), NETWORKDAYS(Table13[[#This Row],[Backhaul Delivery coordination (Est. 3 months) ]], Table13[[#This Row],[Integration (Est. 2 weeks) ]])))</f>
        <v/>
      </c>
      <c r="DT8" s="125"/>
      <c r="DU8" s="132" t="str">
        <f>IF(ISBLANK(Table13[[#This Row],[Backhaul Delivery coordination (Est. 3 months) ]]), "", WORKDAY(Table13[[#This Row],[Backhaul Delivery coordination (Est. 3 months) ]], 10))</f>
        <v/>
      </c>
      <c r="DV8" s="159" t="str">
        <f ca="1">IF(ISBLANK(Table13[[#This Row],[Integration (Est. 2 weeks) ]]), "", IF(ISBLANK(Table13[[#This Row],[Construction Completion]]), NETWORKDAYS(Table13[[#This Row],[Integration (Est. 2 weeks) ]], TODAY()), NETWORKDAYS(Table13[[#This Row],[Integration (Est. 2 weeks) ]], Table13[[#This Row],[Construction Completion]])))</f>
        <v/>
      </c>
      <c r="DW8" s="125"/>
      <c r="DX8" s="132" t="str">
        <f>IF(ISBLANK(Table13[[#This Row],[Monitor Construction Start (Est. 6 months) ]]), "", WORKDAY(Table13[[#This Row],[Monitor Construction Start (Est. 6 months) ]], 180))</f>
        <v/>
      </c>
      <c r="DY8" s="159" t="str">
        <f ca="1">IF(ISBLANK(Table13[[#This Row],[Construction Completion]]), "", IF(ISBLANK(Table13[[#This Row],[QC site review (Est. 7 days) ]]), NETWORKDAYS(Table13[[#This Row],[Construction Completion]], TODAY()), NETWORKDAYS(Table13[[#This Row],[Construction Completion]], Table13[[#This Row],[QC site review (Est. 7 days) ]])))</f>
        <v/>
      </c>
      <c r="DZ8" s="126"/>
      <c r="EA8" s="125"/>
      <c r="EB8" s="125" t="str">
        <f>IF(ISBLANK(Table13[[#This Row],[Construction Completion]]), "", WORKDAY(Table13[[#This Row],[Construction Completion]], 7))</f>
        <v/>
      </c>
      <c r="EC8" s="159" t="str">
        <f ca="1">IF(ISBLANK(Table13[[#This Row],[QC site review (Est. 7 days) ]]), "", IF(ISBLANK(Table13[[#This Row],[Site Walk (Est. 2 weeks) ]]), NETWORKDAYS(Table13[[#This Row],[QC site review (Est. 7 days) ]], TODAY()), NETWORKDAYS(Table13[[#This Row],[QC site review (Est. 7 days) ]], Table13[[#This Row],[Site Walk (Est. 2 weeks) ]])))</f>
        <v/>
      </c>
      <c r="ED8" s="125"/>
      <c r="EE8" s="125" t="str">
        <f>IF(ISBLANK(Table13[[#This Row],[QC site review (Est. 7 days) ]]), "", WORKDAY(Table13[[#This Row],[QC site review (Est. 7 days) ]], 10))</f>
        <v/>
      </c>
      <c r="EF8" s="159" t="str">
        <f ca="1">IF(ISBLANK(Table13[[#This Row],[Site Walk (Est. 2 weeks) ]]), "", IF(ISBLANK(Table13[[#This Row],[FNE Closeout Package (Est. 2 weeks) ]]), NETWORKDAYS(Table13[[#This Row],[Site Walk (Est. 2 weeks) ]], TODAY()), NETWORKDAYS(Table13[[#This Row],[Site Walk (Est. 2 weeks) ]], Table13[[#This Row],[FNE Closeout Package (Est. 2 weeks) ]])))</f>
        <v/>
      </c>
      <c r="EG8" s="125"/>
      <c r="EH8" s="125" t="str">
        <f>IF(ISBLANK(Table13[[#This Row],[Site Walk (Est. 2 weeks) ]]), "", WORKDAY(Table13[[#This Row],[Site Walk (Est. 2 weeks) ]], 10))</f>
        <v/>
      </c>
      <c r="EI8" s="159" t="str">
        <f ca="1">IF(ISBLANK(Table13[[#This Row],[FNE Closeout Package (Est. 2 weeks) ]]), "", IF(ISBLANK(Table13[[#This Row],[Accepts Network (Est. 1 week) ]]), NETWORKDAYS(Table13[[#This Row],[FNE Closeout Package (Est. 2 weeks) ]], TODAY()), NETWORKDAYS(Table13[[#This Row],[FNE Closeout Package (Est. 2 weeks) ]], Table13[[#This Row],[Accepts Network (Est. 1 week) ]])))</f>
        <v/>
      </c>
      <c r="EJ8" s="125"/>
      <c r="EK8" s="125" t="str">
        <f>IF(ISBLANK(Table13[[#This Row],[FNE Closeout Package (Est. 2 weeks) ]]), "", WORKDAY(Table13[[#This Row],[FNE Closeout Package (Est. 2 weeks) ]], 7))</f>
        <v/>
      </c>
      <c r="EL8" s="159" t="str">
        <f ca="1">IF(ISBLANK(Table13[[#This Row],[Accepts Network (Est. 1 week) ]]), "", IF(ISBLANK(Table13[[#This Row],[Project Completion]]), NETWORKDAYS(Table13[[#This Row],[Accepts Network (Est. 1 week) ]], TODAY()), NETWORKDAYS(Table13[[#This Row],[Accepts Network (Est. 1 week) ]], Table13[[#This Row],[Project Completion]])))</f>
        <v/>
      </c>
      <c r="EM8" s="125"/>
      <c r="EN8" s="125" t="str">
        <f>IF(ISBLANK(Table13[[#This Row],[Accepts Network (Est. 1 week) ]]), "", WORKDAY(Table13[[#This Row],[Accepts Network (Est. 1 week) ]], 10))</f>
        <v/>
      </c>
      <c r="EO8" s="156" t="str">
        <f ca="1">IF(ISBLANK(Table13[[#This Row],[Project Completion]]), " ", NETWORKDAYS(Table13[[#This Row],[Project Completion]], TODAY()))</f>
        <v xml:space="preserve"> </v>
      </c>
    </row>
    <row r="17" spans="1:2" x14ac:dyDescent="0.25">
      <c r="A17" s="81"/>
      <c r="B17" s="81"/>
    </row>
    <row r="31" spans="1:2" x14ac:dyDescent="0.25">
      <c r="A31" s="81"/>
      <c r="B31" s="81"/>
    </row>
    <row r="35" spans="1:2" x14ac:dyDescent="0.25">
      <c r="A35" s="81"/>
      <c r="B35" s="81"/>
    </row>
    <row r="38" spans="1:2" x14ac:dyDescent="0.25">
      <c r="A38" s="81"/>
      <c r="B38" s="81"/>
    </row>
    <row r="41" spans="1:2" x14ac:dyDescent="0.25">
      <c r="A41" s="81"/>
      <c r="B41" s="81"/>
    </row>
    <row r="44" spans="1:2" x14ac:dyDescent="0.25">
      <c r="A44" s="81"/>
      <c r="B44" s="81"/>
    </row>
  </sheetData>
  <phoneticPr fontId="37" type="noConversion"/>
  <conditionalFormatting sqref="E5:E1048576">
    <cfRule type="expression" dxfId="441" priority="842" stopIfTrue="1">
      <formula>E5=IF(NETWORKDAYS(C5, TODAY())&lt;6, E5, 0)</formula>
    </cfRule>
  </conditionalFormatting>
  <conditionalFormatting sqref="I5:I1048576">
    <cfRule type="expression" dxfId="440" priority="834" stopIfTrue="1">
      <formula>I5=IF(ISBLANK(L5), 0, I5)</formula>
    </cfRule>
    <cfRule type="expression" dxfId="439" priority="1093" stopIfTrue="1">
      <formula>I5=IF(NETWORKDAYS(G5,I5)&gt;7, I5, 0)</formula>
    </cfRule>
    <cfRule type="expression" dxfId="438" priority="1094" stopIfTrue="1">
      <formula>I5=IF(OR(NETWORKDAYS(G5,I5)=6, NETWORKDAYS(G5,I5)=7), I5, 0)</formula>
    </cfRule>
    <cfRule type="expression" dxfId="437" priority="1095" stopIfTrue="1">
      <formula>I5=IF(NETWORKDAYS(G5,I5)&lt;6, I5, 0)</formula>
    </cfRule>
  </conditionalFormatting>
  <conditionalFormatting sqref="H5:H1048576">
    <cfRule type="expression" dxfId="436" priority="378" stopIfTrue="1">
      <formula>H5=IF(NETWORKDAYS(F5, TODAY())&gt;7, H5, 0)</formula>
    </cfRule>
    <cfRule type="expression" dxfId="435" priority="379" stopIfTrue="1">
      <formula>H5=IF(OR(NETWORKDAYS(F5, TODAY())=6, NETWORKDAYS(F5, TODAY())=7), H5, 0)</formula>
    </cfRule>
  </conditionalFormatting>
  <conditionalFormatting sqref="H5:H1048576">
    <cfRule type="expression" dxfId="434" priority="377" stopIfTrue="1">
      <formula>H5=IF(NETWORKDAYS(F5, TODAY())&lt;6, H5, 0)</formula>
    </cfRule>
  </conditionalFormatting>
  <conditionalFormatting sqref="H5:H1048576">
    <cfRule type="expression" dxfId="433" priority="376" stopIfTrue="1">
      <formula>H5=IF(ISBLANK(I5), 0, H5)</formula>
    </cfRule>
  </conditionalFormatting>
  <conditionalFormatting sqref="K5:K1048576">
    <cfRule type="expression" dxfId="432" priority="374" stopIfTrue="1">
      <formula>K5=IF(NETWORKDAYS(I5, TODAY())&gt;11, K5, 0)</formula>
    </cfRule>
    <cfRule type="expression" dxfId="431" priority="375" stopIfTrue="1">
      <formula>K5=IF(OR(NETWORKDAYS(I5, TODAY())=8, NETWORKDAYS(I5, TODAY())=9), K5, 0)</formula>
    </cfRule>
  </conditionalFormatting>
  <conditionalFormatting sqref="K5:K1048576">
    <cfRule type="expression" dxfId="430" priority="373" stopIfTrue="1">
      <formula>K5=IF(NETWORKDAYS(I5, TODAY())&lt;11, K5, 0)</formula>
    </cfRule>
  </conditionalFormatting>
  <conditionalFormatting sqref="K5:K1048576">
    <cfRule type="expression" dxfId="429" priority="372" stopIfTrue="1">
      <formula>K5=IF(ISBLANK(L5), 0, K5)</formula>
    </cfRule>
  </conditionalFormatting>
  <conditionalFormatting sqref="N5:N1048576">
    <cfRule type="expression" dxfId="428" priority="370" stopIfTrue="1">
      <formula>N5=IF(NETWORKDAYS(L5, TODAY())&gt;8, N5, 0)</formula>
    </cfRule>
    <cfRule type="expression" dxfId="427" priority="371" stopIfTrue="1">
      <formula>N5=IF(OR(NETWORKDAYS(L5, TODAY())=6, NETWORKDAYS(L5, TODAY())=7), N5, 0)</formula>
    </cfRule>
  </conditionalFormatting>
  <conditionalFormatting sqref="N5:N1048576">
    <cfRule type="expression" dxfId="426" priority="369" stopIfTrue="1">
      <formula>N5=IF(NETWORKDAYS(L5, TODAY())&lt;6, N5, 0)</formula>
    </cfRule>
  </conditionalFormatting>
  <conditionalFormatting sqref="N5:N1048576">
    <cfRule type="expression" dxfId="425" priority="368" stopIfTrue="1">
      <formula>N5=IF(ISBLANK(O5), 0, N5)</formula>
    </cfRule>
  </conditionalFormatting>
  <conditionalFormatting sqref="AG5:AG1048576">
    <cfRule type="expression" dxfId="424" priority="366" stopIfTrue="1">
      <formula>AG5=IF(NETWORKDAYS(AE5, TODAY())&gt;14, AG5, 0)</formula>
    </cfRule>
    <cfRule type="expression" dxfId="423" priority="367" stopIfTrue="1">
      <formula>AG5=IF(OR(NETWORKDAYS(AE5, TODAY())=12, NETWORKDAYS(AE5, TODAY())=13), AG5, 0)</formula>
    </cfRule>
  </conditionalFormatting>
  <conditionalFormatting sqref="AG5:AG1048576">
    <cfRule type="expression" dxfId="422" priority="365" stopIfTrue="1">
      <formula>AG5=IF(NETWORKDAYS(AE5, TODAY())&lt;12, AG5, 0)</formula>
    </cfRule>
  </conditionalFormatting>
  <conditionalFormatting sqref="AG5:AG1048576">
    <cfRule type="expression" dxfId="421" priority="364" stopIfTrue="1">
      <formula>AG5=IF(ISBLANK(AN5), 0, AG5)</formula>
    </cfRule>
  </conditionalFormatting>
  <conditionalFormatting sqref="AJ5:AJ1048576">
    <cfRule type="expression" dxfId="420" priority="362" stopIfTrue="1">
      <formula>AJ5=IF(NETWORKDAYS(AH5, TODAY())&gt;9, AJ5, 0)</formula>
    </cfRule>
    <cfRule type="expression" dxfId="419" priority="363" stopIfTrue="1">
      <formula>AJ5=IF(OR(NETWORKDAYS(AH5, TODAY())=7, NETWORKDAYS(AH5, TODAY())=8), AJ5, 0)</formula>
    </cfRule>
  </conditionalFormatting>
  <conditionalFormatting sqref="AJ5:AJ1048576">
    <cfRule type="expression" dxfId="418" priority="361" stopIfTrue="1">
      <formula>AJ5=IF(NETWORKDAYS(AH5, TODAY())&lt;6, AJ5, 0)</formula>
    </cfRule>
  </conditionalFormatting>
  <conditionalFormatting sqref="AJ5:AJ1048576">
    <cfRule type="expression" dxfId="417" priority="360" stopIfTrue="1">
      <formula>AJ5=IF(ISBLANK(AK5), 0, AJ5)</formula>
    </cfRule>
  </conditionalFormatting>
  <conditionalFormatting sqref="AM5:AM1048576">
    <cfRule type="expression" dxfId="416" priority="359" stopIfTrue="1">
      <formula>AM5=IF(NETWORKDAYS(AK5, TODAY())&gt;=9, AM5, 0)</formula>
    </cfRule>
    <cfRule type="expression" dxfId="415" priority="1110" stopIfTrue="1">
      <formula>AM5=IF(OR(NETWORKDAYS(AK5, TODAY())=7, NETWORKDAYS(AK5, TODAY())=8), AM5, 0)</formula>
    </cfRule>
  </conditionalFormatting>
  <conditionalFormatting sqref="AM5:AM1048576">
    <cfRule type="expression" dxfId="414" priority="358" stopIfTrue="1">
      <formula>AM5=IF(NETWORKDAYS(AK5, TODAY())&lt;=6, AM5, 0)</formula>
    </cfRule>
  </conditionalFormatting>
  <conditionalFormatting sqref="X5:X1048576">
    <cfRule type="expression" dxfId="413" priority="354" stopIfTrue="1">
      <formula>X5=IF(NETWORKDAYS(V5, TODAY())&gt;=8, X5, 0)</formula>
    </cfRule>
    <cfRule type="expression" dxfId="412" priority="355" stopIfTrue="1">
      <formula>X5=IF(OR(NETWORKDAYS(V5, TODAY())=6, NETWORKDAYS(V5, TODAY())=7), X5, 0)</formula>
    </cfRule>
  </conditionalFormatting>
  <conditionalFormatting sqref="X5:X1048576">
    <cfRule type="expression" dxfId="411" priority="353" stopIfTrue="1">
      <formula>X5=IF(NETWORKDAYS(V5, TODAY())&lt;6, X5, 0)</formula>
    </cfRule>
  </conditionalFormatting>
  <conditionalFormatting sqref="X5:X1048576">
    <cfRule type="expression" dxfId="410" priority="352" stopIfTrue="1">
      <formula>X5=IF(ISBLANK(Y5), 0, X5)</formula>
    </cfRule>
  </conditionalFormatting>
  <conditionalFormatting sqref="AA5:AA1048576">
    <cfRule type="expression" dxfId="409" priority="350" stopIfTrue="1">
      <formula>AA5=IF(NETWORKDAYS(Y5, TODAY())&gt;7, AA5, 0)</formula>
    </cfRule>
    <cfRule type="expression" dxfId="408" priority="351" stopIfTrue="1">
      <formula>AA5=IF(OR(NETWORKDAYS(Y5, TODAY())=6, NETWORKDAYS(Y5, TODAY())=7), AA5, 0)</formula>
    </cfRule>
  </conditionalFormatting>
  <conditionalFormatting sqref="AA5:AA1048576">
    <cfRule type="expression" dxfId="407" priority="349" stopIfTrue="1">
      <formula>AA5=IF(NETWORKDAYS(Y5, TODAY())&lt;6, AA5, 0)</formula>
    </cfRule>
  </conditionalFormatting>
  <conditionalFormatting sqref="AA5:AA1048576">
    <cfRule type="expression" dxfId="406" priority="348" stopIfTrue="1">
      <formula>AA5=IF(ISBLANK(AB5), 0, AA5)</formula>
    </cfRule>
  </conditionalFormatting>
  <conditionalFormatting sqref="AD5:AD1048576">
    <cfRule type="expression" dxfId="405" priority="346" stopIfTrue="1">
      <formula>AD5=IF(NETWORKDAYS(AB5, TODAY())&gt;4, AD5, 0)</formula>
    </cfRule>
    <cfRule type="expression" dxfId="404" priority="347" stopIfTrue="1">
      <formula>AD5=IF(OR(NETWORKDAYS(AB5, TODAY())=3, NETWORKDAYS(AB5, TODAY())=4), AD5, 0)</formula>
    </cfRule>
  </conditionalFormatting>
  <conditionalFormatting sqref="AD5:AD1048576">
    <cfRule type="expression" dxfId="403" priority="345" stopIfTrue="1">
      <formula>AD5=IF(NETWORKDAYS(AB5, TODAY())&lt;3, AD5, 0)</formula>
    </cfRule>
  </conditionalFormatting>
  <conditionalFormatting sqref="AD5:AD1048576">
    <cfRule type="expression" dxfId="402" priority="344" stopIfTrue="1">
      <formula>AD5=IF(ISBLANK(AN5), 0, AD5)</formula>
    </cfRule>
  </conditionalFormatting>
  <conditionalFormatting sqref="AP5:AP1048576">
    <cfRule type="expression" dxfId="401" priority="342" stopIfTrue="1">
      <formula>AP5=IF(NETWORKDAYS(AN5, TODAY())&gt;4, AP5, 0)</formula>
    </cfRule>
    <cfRule type="expression" dxfId="400" priority="343" stopIfTrue="1">
      <formula>AP5=IF(OR(NETWORKDAYS(AN5, TODAY())=3, NETWORKDAYS(AN5, TODAY())=4), AP5, 0)</formula>
    </cfRule>
  </conditionalFormatting>
  <conditionalFormatting sqref="AP5:AP1048576">
    <cfRule type="expression" dxfId="399" priority="341" stopIfTrue="1">
      <formula>AP5=IF(NETWORKDAYS(AN5, TODAY())&lt;3, AP5, 0)</formula>
    </cfRule>
  </conditionalFormatting>
  <conditionalFormatting sqref="AP5:AP1048576">
    <cfRule type="expression" dxfId="398" priority="340" stopIfTrue="1">
      <formula>AP5=IF(ISBLANK(AQ5), 0, AP5)</formula>
    </cfRule>
  </conditionalFormatting>
  <conditionalFormatting sqref="AS5:AS1048576">
    <cfRule type="expression" dxfId="397" priority="338" stopIfTrue="1">
      <formula>AS5=IF(NETWORKDAYS(AQ5, TODAY())&gt;7, AS5, 0)</formula>
    </cfRule>
    <cfRule type="expression" dxfId="396" priority="339" stopIfTrue="1">
      <formula>AS5=IF(OR(NETWORKDAYS(AQ5, TODAY())=6, NETWORKDAYS(AQ5, TODAY())=7), AS5, 0)</formula>
    </cfRule>
  </conditionalFormatting>
  <conditionalFormatting sqref="AS5:AS1048576">
    <cfRule type="expression" dxfId="395" priority="337" stopIfTrue="1">
      <formula>AS5=IF(NETWORKDAYS(AQ5, TODAY())&lt;=5, AS5, 0)</formula>
    </cfRule>
  </conditionalFormatting>
  <conditionalFormatting sqref="AS5:AS1048576">
    <cfRule type="expression" dxfId="394" priority="336" stopIfTrue="1">
      <formula>AS5=IF(ISBLANK(AZ5), 0, AS5)</formula>
    </cfRule>
  </conditionalFormatting>
  <conditionalFormatting sqref="AV5:AV1048576">
    <cfRule type="expression" dxfId="393" priority="334" stopIfTrue="1">
      <formula>AV5=IF(NETWORKDAYS(AT5, TODAY())&gt;7, AV5, 0)</formula>
    </cfRule>
    <cfRule type="expression" dxfId="392" priority="335" stopIfTrue="1">
      <formula>AV5=IF(OR(NETWORKDAYS(AT5, TODAY())=6, NETWORKDAYS(AT5, TODAY())=7), AV5, 0)</formula>
    </cfRule>
  </conditionalFormatting>
  <conditionalFormatting sqref="AV5:AV1048576">
    <cfRule type="expression" dxfId="391" priority="333" stopIfTrue="1">
      <formula>AV5=IF(NETWORKDAYS(AT5, TODAY())&lt;6, AV5, 0)</formula>
    </cfRule>
  </conditionalFormatting>
  <conditionalFormatting sqref="AV5:AV1048576">
    <cfRule type="expression" dxfId="390" priority="332" stopIfTrue="1">
      <formula>AV5=IF(ISBLANK(AW5), 0, AV5)</formula>
    </cfRule>
  </conditionalFormatting>
  <conditionalFormatting sqref="AY5:AY1048576">
    <cfRule type="expression" dxfId="389" priority="330" stopIfTrue="1">
      <formula>AY5=IF(NETWORKDAYS(AW5, TODAY())&gt;3, AY5, 0)</formula>
    </cfRule>
    <cfRule type="expression" dxfId="388" priority="331" stopIfTrue="1">
      <formula>AY5=IF(NETWORKDAYS(AW5, TODAY())=3, AY5, 0)</formula>
    </cfRule>
  </conditionalFormatting>
  <conditionalFormatting sqref="AY5:AY1048576">
    <cfRule type="expression" dxfId="387" priority="329" stopIfTrue="1">
      <formula>AY5=IF(NETWORKDAYS(AW5, TODAY())&lt;3, AY5, 0)</formula>
    </cfRule>
  </conditionalFormatting>
  <conditionalFormatting sqref="AY5:AY1048576">
    <cfRule type="expression" dxfId="386" priority="328" stopIfTrue="1">
      <formula>AY5=IF(ISBLANK(AZ5), 0, AY5)</formula>
    </cfRule>
  </conditionalFormatting>
  <conditionalFormatting sqref="BB5:BB1048576">
    <cfRule type="expression" dxfId="385" priority="326" stopIfTrue="1">
      <formula>BB5=IF(NETWORKDAYS(AZ5, TODAY())&gt;3, BB5, 0)</formula>
    </cfRule>
    <cfRule type="expression" dxfId="384" priority="327" stopIfTrue="1">
      <formula>BB5=IF(NETWORKDAYS(AZ5, TODAY())=3, BB5, 0)</formula>
    </cfRule>
  </conditionalFormatting>
  <conditionalFormatting sqref="BB5:BB1048576">
    <cfRule type="expression" dxfId="383" priority="325" stopIfTrue="1">
      <formula>BB5=IF(NETWORKDAYS(AZ5, TODAY())&lt;3, BB5, 0)</formula>
    </cfRule>
  </conditionalFormatting>
  <conditionalFormatting sqref="BB5:BB1048576">
    <cfRule type="expression" dxfId="382" priority="324" stopIfTrue="1">
      <formula>BB5=IF(ISBLANK(BC5), 0, BB5)</formula>
    </cfRule>
  </conditionalFormatting>
  <conditionalFormatting sqref="BE5:BE1048576">
    <cfRule type="expression" dxfId="381" priority="322" stopIfTrue="1">
      <formula>BE5=IF(NETWORKDAYS(BC5, TODAY())&gt;7, BE5, 0)</formula>
    </cfRule>
    <cfRule type="expression" dxfId="380" priority="323" stopIfTrue="1">
      <formula>BE5=IF(OR(NETWORKDAYS(BC5, TODAY())=6, NETWORKDAYS(BC5, TODAY())=7), BE5, 0)</formula>
    </cfRule>
  </conditionalFormatting>
  <conditionalFormatting sqref="BE5:BE1048576">
    <cfRule type="expression" dxfId="379" priority="321" stopIfTrue="1">
      <formula>BE5=IF(NETWORKDAYS(BC5, TODAY())&lt;6, BE5, 0)</formula>
    </cfRule>
  </conditionalFormatting>
  <conditionalFormatting sqref="BE5:BE1048576">
    <cfRule type="expression" dxfId="378" priority="320" stopIfTrue="1">
      <formula>BE5=IF(ISBLANK(BF5), 0, BE5)</formula>
    </cfRule>
  </conditionalFormatting>
  <conditionalFormatting sqref="BH5:BH1048576">
    <cfRule type="expression" dxfId="377" priority="318" stopIfTrue="1">
      <formula>BH5=IF(NETWORKDAYS(BF5, TODAY())&gt;7, BH5, 0)</formula>
    </cfRule>
    <cfRule type="expression" dxfId="376" priority="319" stopIfTrue="1">
      <formula>BH5=IF(OR(NETWORKDAYS(BF5, TODAY())=6, NETWORKDAYS(BF5, TODAY())=7), BH5, 0)</formula>
    </cfRule>
  </conditionalFormatting>
  <conditionalFormatting sqref="BH5:BH1048576">
    <cfRule type="expression" dxfId="375" priority="317" stopIfTrue="1">
      <formula>BH5=IF(NETWORKDAYS(BF5, TODAY())&lt;6, BH5, 0)</formula>
    </cfRule>
  </conditionalFormatting>
  <conditionalFormatting sqref="BH5:BH1048576">
    <cfRule type="expression" dxfId="374" priority="316" stopIfTrue="1">
      <formula>BH5=IF(ISBLANK(BI5), 0, BH5)</formula>
    </cfRule>
  </conditionalFormatting>
  <conditionalFormatting sqref="BK5:BK1048576">
    <cfRule type="expression" dxfId="373" priority="314" stopIfTrue="1">
      <formula>BK5=IF(NETWORKDAYS(BI5, TODAY())&gt;3, BK5, 0)</formula>
    </cfRule>
    <cfRule type="expression" dxfId="372" priority="315" stopIfTrue="1">
      <formula>BK5=IF(NETWORKDAYS(BK5, TODAY()) = 3, BK5, 0)</formula>
    </cfRule>
  </conditionalFormatting>
  <conditionalFormatting sqref="BK5:BK1048576">
    <cfRule type="expression" dxfId="371" priority="313" stopIfTrue="1">
      <formula>BK5=IF(NETWORKDAYS(BI5, TODAY())&lt;3, BK5, 0)</formula>
    </cfRule>
  </conditionalFormatting>
  <conditionalFormatting sqref="BK5:BK1048576">
    <cfRule type="expression" dxfId="370" priority="312" stopIfTrue="1">
      <formula>BK5=IF(ISBLANK(BL5), 0, BK5)</formula>
    </cfRule>
  </conditionalFormatting>
  <conditionalFormatting sqref="BN5:BN1048576">
    <cfRule type="expression" dxfId="369" priority="310" stopIfTrue="1">
      <formula>BN5=IF(NETWORKDAYS(BL5, TODAY())&gt;3, BN5, 0)</formula>
    </cfRule>
    <cfRule type="expression" dxfId="368" priority="311" stopIfTrue="1">
      <formula>BN5=IF(NETWORKDAYS(BL5, TODAY()) = 3, BN5, 0)</formula>
    </cfRule>
  </conditionalFormatting>
  <conditionalFormatting sqref="BN5:BN1048576">
    <cfRule type="expression" dxfId="367" priority="309" stopIfTrue="1">
      <formula>BN5=IF(NETWORKDAYS(BL5, TODAY())&lt;3, BN5, 0)</formula>
    </cfRule>
  </conditionalFormatting>
  <conditionalFormatting sqref="BN5:BN1048576">
    <cfRule type="expression" dxfId="366" priority="308" stopIfTrue="1">
      <formula>BN5=IF(ISBLANK(BO5), 0, BN5)</formula>
    </cfRule>
  </conditionalFormatting>
  <conditionalFormatting sqref="BQ5:BQ1048576">
    <cfRule type="expression" dxfId="365" priority="306" stopIfTrue="1">
      <formula>BQ5=IF(NETWORKDAYS(BO5, TODAY())&gt;7, BQ5, 0)</formula>
    </cfRule>
    <cfRule type="expression" dxfId="364" priority="307" stopIfTrue="1">
      <formula>BQ5=IF(OR(NETWORKDAYS(BO5, TODAY())=6, NETWORKDAYS(BO5, TODAY())=7), BQ5, 0)</formula>
    </cfRule>
  </conditionalFormatting>
  <conditionalFormatting sqref="BQ5:BQ1048576">
    <cfRule type="expression" dxfId="363" priority="305" stopIfTrue="1">
      <formula>BQ5=IF(NETWORKDAYS(BO5, TODAY())&lt;6, BQ5, 0)</formula>
    </cfRule>
  </conditionalFormatting>
  <conditionalFormatting sqref="BQ5:BQ1048576">
    <cfRule type="expression" dxfId="362" priority="304" stopIfTrue="1">
      <formula>BQ5=IF(ISBLANK(BR5), 0, BQ5)</formula>
    </cfRule>
  </conditionalFormatting>
  <conditionalFormatting sqref="BT5:BT1048576">
    <cfRule type="expression" dxfId="361" priority="302" stopIfTrue="1">
      <formula>BT5=IF(NETWORKDAYS(BR5, TODAY())&gt;7, BT5, 0)</formula>
    </cfRule>
    <cfRule type="expression" dxfId="360" priority="303" stopIfTrue="1">
      <formula>BT5=IF(OR(NETWORKDAYS(BR5, TODAY())=6, NETWORKDAYS(BR5, TODAY())=7), BT5, 0)</formula>
    </cfRule>
  </conditionalFormatting>
  <conditionalFormatting sqref="BT5:BT1048576">
    <cfRule type="expression" dxfId="359" priority="301" stopIfTrue="1">
      <formula>BT5=IF(NETWORKDAYS(BR5, TODAY())&lt;6, BT5, 0)</formula>
    </cfRule>
  </conditionalFormatting>
  <conditionalFormatting sqref="BT5:BT1048576">
    <cfRule type="expression" dxfId="358" priority="300" stopIfTrue="1">
      <formula>BT5=IF(ISBLANK(BU5), 0, BT5)</formula>
    </cfRule>
  </conditionalFormatting>
  <conditionalFormatting sqref="BW5:BW1048576">
    <cfRule type="expression" dxfId="357" priority="298" stopIfTrue="1">
      <formula>BW5=IF(NETWORKDAYS(BU5, TODAY())&gt;7, BW5, 0)</formula>
    </cfRule>
    <cfRule type="expression" dxfId="356" priority="299" stopIfTrue="1">
      <formula>BW5=IF(OR(NETWORKDAYS(BU5, TODAY())=6, NETWORKDAYS(BU5, TODAY())=7), BW5, 0)</formula>
    </cfRule>
  </conditionalFormatting>
  <conditionalFormatting sqref="BW5:BW1048576">
    <cfRule type="expression" dxfId="355" priority="297" stopIfTrue="1">
      <formula>BW5=IF(NETWORKDAYS(BU5, TODAY())&lt;6, BW5, 0)</formula>
    </cfRule>
  </conditionalFormatting>
  <conditionalFormatting sqref="BW5:BW1048576">
    <cfRule type="expression" dxfId="354" priority="296" stopIfTrue="1">
      <formula>BW5=IF(ISBLANK(BY5), 0, BW5)</formula>
    </cfRule>
  </conditionalFormatting>
  <conditionalFormatting sqref="BZ5:BZ1048576">
    <cfRule type="expression" dxfId="353" priority="294" stopIfTrue="1">
      <formula>BZ5=IF(NETWORKDAYS(BY5, TODAY()) &gt;7, BZ5, 0)</formula>
    </cfRule>
    <cfRule type="expression" dxfId="352" priority="295" stopIfTrue="1">
      <formula>BZ5=IF(OR(NETWORKDAYS(BY5, TODAY())=6, NETWORKDAYS(BY5, TODAY())=7), BZ5, 0)</formula>
    </cfRule>
  </conditionalFormatting>
  <conditionalFormatting sqref="BZ5:BZ1048576">
    <cfRule type="expression" dxfId="351" priority="293" stopIfTrue="1">
      <formula>BZ5=IF(NETWORKDAYS(BY5, TODAY()) &lt; 6, BZ5, 0)</formula>
    </cfRule>
  </conditionalFormatting>
  <conditionalFormatting sqref="BZ5:BZ1048576">
    <cfRule type="expression" dxfId="350" priority="292" stopIfTrue="1">
      <formula>BZ5=IF(ISBLANK(CA5), 0, BZ5)</formula>
    </cfRule>
  </conditionalFormatting>
  <conditionalFormatting sqref="CC5:CC1048576">
    <cfRule type="expression" dxfId="349" priority="290" stopIfTrue="1">
      <formula>CC5=IF(NETWORKDAYS(CA5, TODAY())&gt;7, CC5, 0)</formula>
    </cfRule>
    <cfRule type="expression" dxfId="348" priority="291" stopIfTrue="1">
      <formula>CC5=IF(OR(NETWORKDAYS(CA5, TODAY())=6, NETWORKDAYS(CA5, TODAY())=7), CC5, 0)</formula>
    </cfRule>
  </conditionalFormatting>
  <conditionalFormatting sqref="CC5:CC1048576">
    <cfRule type="expression" dxfId="347" priority="289" stopIfTrue="1">
      <formula>CC5=IF(NETWORKDAYS(CA5, TODAY())&lt;6, CC5, 0)</formula>
    </cfRule>
  </conditionalFormatting>
  <conditionalFormatting sqref="CC5:CC1048576">
    <cfRule type="expression" dxfId="346" priority="288" stopIfTrue="1">
      <formula>CC5=IF(ISBLANK(CD5), 0, CC5)</formula>
    </cfRule>
  </conditionalFormatting>
  <conditionalFormatting sqref="CF5:CF1048576">
    <cfRule type="expression" dxfId="345" priority="286" stopIfTrue="1">
      <formula>CF5=IF(NETWORKDAYS(CD5, TODAY())&gt;7, CF5, 0)</formula>
    </cfRule>
    <cfRule type="expression" dxfId="344" priority="287" stopIfTrue="1">
      <formula>CF5=IF(OR(NETWORKDAYS(CD5, TODAY())=6, NETWORKDAYS(CD5, TODAY())=7), CF5, 0)</formula>
    </cfRule>
  </conditionalFormatting>
  <conditionalFormatting sqref="CF5:CF1048576">
    <cfRule type="expression" dxfId="343" priority="285" stopIfTrue="1">
      <formula>CF5=IF(NETWORKDAYS(CD5, TODAY())&lt;6, CF5, 0)</formula>
    </cfRule>
  </conditionalFormatting>
  <conditionalFormatting sqref="CF5:CF1048576">
    <cfRule type="expression" dxfId="342" priority="284" stopIfTrue="1">
      <formula>CF5=IF(ISBLANK(CG5), 0, CF5)</formula>
    </cfRule>
  </conditionalFormatting>
  <conditionalFormatting sqref="CI5:CI1048576">
    <cfRule type="expression" dxfId="341" priority="282" stopIfTrue="1">
      <formula>CI5=IF(NETWORKDAYS(CG5, TODAY())&gt;=80, CI5, 0)</formula>
    </cfRule>
    <cfRule type="expression" dxfId="340" priority="283" stopIfTrue="1">
      <formula>CI5=IF(OR(NETWORKDAYS(CG5, TODAY())&gt;=70, NETWORKDAYS(CG5, TODAY())&lt;=79), CI5, 0)</formula>
    </cfRule>
  </conditionalFormatting>
  <conditionalFormatting sqref="CI5:CI1048576">
    <cfRule type="expression" dxfId="339" priority="281" stopIfTrue="1">
      <formula>CI5=IF(NETWORKDAYS(CG5, TODAY())&lt;70, CI5, 0)</formula>
    </cfRule>
  </conditionalFormatting>
  <conditionalFormatting sqref="CI5:CI1048576">
    <cfRule type="expression" dxfId="338" priority="280" stopIfTrue="1">
      <formula>CI5=IF(ISBLANK(CJ5), 0, CI5)</formula>
    </cfRule>
  </conditionalFormatting>
  <conditionalFormatting sqref="CL5:CL1048576">
    <cfRule type="expression" dxfId="337" priority="278" stopIfTrue="1">
      <formula>CL5=IF(NETWORKDAYS(CJ5, TODAY())&gt;7, CL5, 0)</formula>
    </cfRule>
    <cfRule type="expression" dxfId="336" priority="279" stopIfTrue="1">
      <formula>CL5=IF(OR(NETWORKDAYS(CJ5, TODAY())=6, NETWORKDAYS(CJ5, TODAY())=7), CL5, 0)</formula>
    </cfRule>
  </conditionalFormatting>
  <conditionalFormatting sqref="CL5:CL1048576">
    <cfRule type="expression" dxfId="335" priority="277" stopIfTrue="1">
      <formula>CL5=IF(NETWORKDAYS(CJ5, TODAY())&lt;6, CL5, 0)</formula>
    </cfRule>
  </conditionalFormatting>
  <conditionalFormatting sqref="CL5:CL1048576">
    <cfRule type="expression" dxfId="334" priority="276" stopIfTrue="1">
      <formula>CL5=IF(ISBLANK(CM5), 0, CL5)</formula>
    </cfRule>
  </conditionalFormatting>
  <conditionalFormatting sqref="CO5:CO1048576">
    <cfRule type="expression" dxfId="333" priority="275" stopIfTrue="1">
      <formula>CO5=IF(NETWORKDAYS(CM5, TODAY())&gt;3, CO5, 0)</formula>
    </cfRule>
    <cfRule type="expression" dxfId="332" priority="1114" stopIfTrue="1">
      <formula>CO5=IF(NETWORKDAYS(CM5, TODAY()) =3, CO5, 0)</formula>
    </cfRule>
  </conditionalFormatting>
  <conditionalFormatting sqref="CO5:CO1048576">
    <cfRule type="expression" dxfId="331" priority="274" stopIfTrue="1">
      <formula>CO5=IF(NETWORKDAYS(CM5, TODAY())&lt;3, CO5, 0)</formula>
    </cfRule>
  </conditionalFormatting>
  <conditionalFormatting sqref="CR5:CR1048576">
    <cfRule type="expression" dxfId="330" priority="270" stopIfTrue="1">
      <formula>CR5=IF(NETWORKDAYS(CP5, TODAY())&gt;7, CR5, 0)</formula>
    </cfRule>
    <cfRule type="expression" dxfId="329" priority="271" stopIfTrue="1">
      <formula>CR5=IF(OR(NETWORKDAYS(CP5, TODAY())=6, NETWORKDAYS(CP5, TODAY())=7), CR5, 0)</formula>
    </cfRule>
  </conditionalFormatting>
  <conditionalFormatting sqref="CR5:CR1048576">
    <cfRule type="expression" dxfId="328" priority="269" stopIfTrue="1">
      <formula>CR5=IF(NETWORKDAYS(CP5, TODAY())&lt;6, CR5, 0)</formula>
    </cfRule>
  </conditionalFormatting>
  <conditionalFormatting sqref="CR5:CR1048576">
    <cfRule type="expression" dxfId="327" priority="268" stopIfTrue="1">
      <formula>CR5=IF(ISBLANK(CS5), 0, CR5)</formula>
    </cfRule>
  </conditionalFormatting>
  <conditionalFormatting sqref="CU5:CU1048576">
    <cfRule type="expression" dxfId="326" priority="266" stopIfTrue="1">
      <formula>CU5=IF(NETWORKDAYS(CS5, TODAY())&gt;7, CU5, 0)</formula>
    </cfRule>
    <cfRule type="expression" dxfId="325" priority="267" stopIfTrue="1">
      <formula>CU5=IF(OR(NETWORKDAYS(CS5, TODAY())=6, NETWORKDAYS(CS5, TODAY())=7), CU5, 0)</formula>
    </cfRule>
  </conditionalFormatting>
  <conditionalFormatting sqref="CU5:CU1048576">
    <cfRule type="expression" dxfId="324" priority="265" stopIfTrue="1">
      <formula>CU5=IF(NETWORKDAYS(CS5, TODAY())&lt;6, CU5, 0)</formula>
    </cfRule>
  </conditionalFormatting>
  <conditionalFormatting sqref="CU5:CU1048576">
    <cfRule type="expression" dxfId="323" priority="264" stopIfTrue="1">
      <formula>CU5=IF(ISBLANK(CV5), 0, CU5)</formula>
    </cfRule>
  </conditionalFormatting>
  <conditionalFormatting sqref="CX5:CX1048576">
    <cfRule type="expression" dxfId="322" priority="262" stopIfTrue="1">
      <formula>CX5=IF(NETWORKDAYS(CV5, TODAY())&gt;7, CX5, 0)</formula>
    </cfRule>
    <cfRule type="expression" dxfId="321" priority="263" stopIfTrue="1">
      <formula>CX5=IF(OR(NETWORKDAYS(CV5, TODAY())=6, NETWORKDAYS(CV5, TODAY())=7), CX5, 0)</formula>
    </cfRule>
  </conditionalFormatting>
  <conditionalFormatting sqref="CX5:CX1048576">
    <cfRule type="expression" dxfId="320" priority="261" stopIfTrue="1">
      <formula>CX5=IF(NETWORKDAYS(CV5, TODAY())&lt;6, CX5, 0)</formula>
    </cfRule>
  </conditionalFormatting>
  <conditionalFormatting sqref="CX5:CX1048576">
    <cfRule type="expression" dxfId="319" priority="260" stopIfTrue="1">
      <formula>CX5=IF(ISBLANK(CY5), 0, CX5)</formula>
    </cfRule>
  </conditionalFormatting>
  <conditionalFormatting sqref="DA5:DA1048576">
    <cfRule type="expression" dxfId="318" priority="258" stopIfTrue="1">
      <formula>DA5=IF(NETWORKDAYS(CY5, TODAY())&gt;7, DA5, 0)</formula>
    </cfRule>
    <cfRule type="expression" dxfId="317" priority="259" stopIfTrue="1">
      <formula>DA5=IF(OR(NETWORKDAYS(CY5, TODAY())=6, NETWORKDAYS(CY5, TODAY())=7), DA5, 0)</formula>
    </cfRule>
  </conditionalFormatting>
  <conditionalFormatting sqref="DA5:DA1048576">
    <cfRule type="expression" dxfId="316" priority="257" stopIfTrue="1">
      <formula>DA5=IF(NETWORKDAYS(CY5, TODAY())&lt;6, DA5, 0)</formula>
    </cfRule>
  </conditionalFormatting>
  <conditionalFormatting sqref="DA5:DA1048576">
    <cfRule type="expression" dxfId="315" priority="256" stopIfTrue="1">
      <formula>DA5=IF(ISBLANK(DB5), 0, DA5)</formula>
    </cfRule>
  </conditionalFormatting>
  <conditionalFormatting sqref="DD5:DD1048576">
    <cfRule type="expression" dxfId="314" priority="254" stopIfTrue="1">
      <formula>DD5=IF(NETWORKDAYS(DB5, TODAY())&gt;7, DD5, 0)</formula>
    </cfRule>
    <cfRule type="expression" dxfId="313" priority="255" stopIfTrue="1">
      <formula>DD5=IF(OR(NETWORKDAYS(DB5, TODAY())=6, NETWORKDAYS(DB5, TODAY())=7), DD5, 0)</formula>
    </cfRule>
  </conditionalFormatting>
  <conditionalFormatting sqref="DD5:DD1048576">
    <cfRule type="expression" dxfId="312" priority="253" stopIfTrue="1">
      <formula>DD5=IF(NETWORKDAYS(DB5, TODAY())&lt;6, DD5, 0)</formula>
    </cfRule>
  </conditionalFormatting>
  <conditionalFormatting sqref="DD5:DD1048576">
    <cfRule type="expression" dxfId="311" priority="252" stopIfTrue="1">
      <formula>DD5=IF(ISBLANK(DH5), 0, DD5)</formula>
    </cfRule>
  </conditionalFormatting>
  <conditionalFormatting sqref="DJ5:DJ1048576">
    <cfRule type="expression" dxfId="310" priority="250" stopIfTrue="1">
      <formula>DJ5=IF(NETWORKDAYS(DH5, TODAY())&gt;38, DJ5, 0)</formula>
    </cfRule>
    <cfRule type="expression" dxfId="309" priority="251" stopIfTrue="1">
      <formula>DJ5=IF(OR(NETWORKDAYS(DH5, TODAY())&gt;=36, NETWORKDAYS(DH5, TODAY())&lt;=38), DJ5, 0)</formula>
    </cfRule>
  </conditionalFormatting>
  <conditionalFormatting sqref="DJ5:DJ1048576">
    <cfRule type="expression" dxfId="308" priority="249" stopIfTrue="1">
      <formula>DJ5=IF(NETWORKDAYS(DH5, TODAY())&lt;=35, DJ5, 0)</formula>
    </cfRule>
  </conditionalFormatting>
  <conditionalFormatting sqref="DJ5:DJ1048576">
    <cfRule type="expression" dxfId="307" priority="248" stopIfTrue="1">
      <formula>DJ5=IF(ISBLANK(DK5), 0, DJ5)</formula>
    </cfRule>
  </conditionalFormatting>
  <conditionalFormatting sqref="DM5:DM1048576">
    <cfRule type="expression" dxfId="306" priority="246" stopIfTrue="1">
      <formula>DM5=IF(NETWORKDAYS(DK5, TODAY())&gt;=100, DM5, 0)</formula>
    </cfRule>
    <cfRule type="expression" dxfId="305" priority="247" stopIfTrue="1">
      <formula>DM5=IF(OR(NETWORKDAYS(DK5, TODAY())&gt;=85, NETWORKDAYS(DK5, TODAY())&lt;=99), DM5, 0)</formula>
    </cfRule>
  </conditionalFormatting>
  <conditionalFormatting sqref="DM5:DM1048576">
    <cfRule type="expression" dxfId="304" priority="245" stopIfTrue="1">
      <formula>DM5=IF(NETWORKDAYS(DK5, TODAY())&lt;85, DM5, 0)</formula>
    </cfRule>
  </conditionalFormatting>
  <conditionalFormatting sqref="DM5:DM1048576">
    <cfRule type="expression" dxfId="303" priority="244" stopIfTrue="1">
      <formula>DM5=IF(ISBLANK(DN5), 0, DM5)</formula>
    </cfRule>
  </conditionalFormatting>
  <conditionalFormatting sqref="DP5:DP1048576">
    <cfRule type="expression" dxfId="302" priority="242" stopIfTrue="1">
      <formula>DP5=IF(NETWORKDAYS(DN5, TODAY())&gt;7, DP5, 0)</formula>
    </cfRule>
    <cfRule type="expression" dxfId="301" priority="243" stopIfTrue="1">
      <formula>DP5=IF(OR(NETWORKDAYS(DN5, TODAY())=6, NETWORKDAYS(DN5, TODAY())=7), DP5, 0)</formula>
    </cfRule>
  </conditionalFormatting>
  <conditionalFormatting sqref="DP5:DP1048576">
    <cfRule type="expression" dxfId="300" priority="241" stopIfTrue="1">
      <formula>DP5=IF(NETWORKDAYS(DN5, TODAY())&lt;6, DP5, 0)</formula>
    </cfRule>
  </conditionalFormatting>
  <conditionalFormatting sqref="DP5:DP1048576">
    <cfRule type="expression" dxfId="299" priority="240" stopIfTrue="1">
      <formula>DP5=IF(ISBLANK(DQ5), 0, DP5)</formula>
    </cfRule>
  </conditionalFormatting>
  <conditionalFormatting sqref="DS5:DS1048576">
    <cfRule type="expression" dxfId="298" priority="238" stopIfTrue="1">
      <formula>DS5=IF(NETWORKDAYS(DQ5, TODAY())&gt;55, DS5, 0)</formula>
    </cfRule>
    <cfRule type="expression" dxfId="297" priority="239" stopIfTrue="1">
      <formula>DS5=IF(OR(NETWORKDAYS(DQ5, TODAY())&gt;=51, NETWORKDAYS(DQ5, TODAY())&lt;=55), DS5, 0)</formula>
    </cfRule>
  </conditionalFormatting>
  <conditionalFormatting sqref="DS5:DS1048576">
    <cfRule type="expression" dxfId="296" priority="237" stopIfTrue="1">
      <formula>DS5=IF(NETWORKDAYS(DQ5, TODAY())&lt;=50, DS5, 0)</formula>
    </cfRule>
  </conditionalFormatting>
  <conditionalFormatting sqref="DS5:DS1048576">
    <cfRule type="expression" dxfId="295" priority="236" stopIfTrue="1">
      <formula>DS5=IF(ISBLANK(DT5), 0, DS5)</formula>
    </cfRule>
  </conditionalFormatting>
  <conditionalFormatting sqref="DX5:DX1048576">
    <cfRule type="expression" dxfId="294" priority="232" stopIfTrue="1">
      <formula>DX5=IF(ISBLANK(EB5), 0, DX5)</formula>
    </cfRule>
    <cfRule type="expression" dxfId="293" priority="233" stopIfTrue="1">
      <formula>DX5=IF(NETWORKDAYS(DV5, TODAY())&lt;=7, DX5, 0)</formula>
    </cfRule>
    <cfRule type="expression" dxfId="292" priority="234" stopIfTrue="1">
      <formula>DX5=IF(NETWORKDAYS(DV5, TODAY())&gt;9, DX5, 0)</formula>
    </cfRule>
    <cfRule type="expression" dxfId="291" priority="235" stopIfTrue="1">
      <formula>DX5=IF(OR(NETWORKDAYS(DV5, TODAY())=8, NETWORKDAYS(DV5, TODAY())=9), DX5, 0)</formula>
    </cfRule>
  </conditionalFormatting>
  <conditionalFormatting sqref="EC5:EC1048576">
    <cfRule type="expression" dxfId="290" priority="230" stopIfTrue="1">
      <formula>EC5=IF(NETWORKDAYS(EA5, TODAY())&gt;7, EC5, 0)</formula>
    </cfRule>
    <cfRule type="expression" dxfId="289" priority="231" stopIfTrue="1">
      <formula>EC5=IF(OR(NETWORKDAYS(EA5, TODAY())=6, NETWORKDAYS(EA5, TODAY())=7), EC5, 0)</formula>
    </cfRule>
  </conditionalFormatting>
  <conditionalFormatting sqref="EC5:EC1048576">
    <cfRule type="expression" dxfId="288" priority="229" stopIfTrue="1">
      <formula>EC5=IF(NETWORKDAYS(EA5, TODAY())&lt;6, EC5, 0)</formula>
    </cfRule>
  </conditionalFormatting>
  <conditionalFormatting sqref="EC5:EC1048576">
    <cfRule type="expression" dxfId="287" priority="228" stopIfTrue="1">
      <formula>EC5=IF(ISBLANK(ED5), 0, EC5)</formula>
    </cfRule>
  </conditionalFormatting>
  <conditionalFormatting sqref="EF5:EF1048576">
    <cfRule type="expression" dxfId="286" priority="226" stopIfTrue="1">
      <formula>EF5=IF(NETWORKDAYS(ED5, TODAY())&gt;8, EF5, 0)</formula>
    </cfRule>
    <cfRule type="expression" dxfId="285" priority="227" stopIfTrue="1">
      <formula>EF5=IF(OR(NETWORKDAYS(ED5, TODAY())=7, NETWORKDAYS(ED5, TODAY())=8), EF5, 0)</formula>
    </cfRule>
  </conditionalFormatting>
  <conditionalFormatting sqref="EF5:EF1048576">
    <cfRule type="expression" dxfId="284" priority="225" stopIfTrue="1">
      <formula>EF5=IF(NETWORKDAYS(ED5, TODAY())&lt;7, EF5, 0)</formula>
    </cfRule>
  </conditionalFormatting>
  <conditionalFormatting sqref="EF5:EF1048576">
    <cfRule type="expression" dxfId="283" priority="224" stopIfTrue="1">
      <formula>EF5=IF(ISBLANK(EG5), 0, EF5)</formula>
    </cfRule>
  </conditionalFormatting>
  <conditionalFormatting sqref="EI5:EI1048576">
    <cfRule type="expression" dxfId="282" priority="222" stopIfTrue="1">
      <formula>EI5=IF(NETWORKDAYS(EG5, TODAY())&gt;8, EI5, 0)</formula>
    </cfRule>
    <cfRule type="expression" dxfId="281" priority="223" stopIfTrue="1">
      <formula>EI5=IF(OR(NETWORKDAYS(EG5, TODAY())=7, NETWORKDAYS(EG5, TODAY())=8), EI5, 0)</formula>
    </cfRule>
  </conditionalFormatting>
  <conditionalFormatting sqref="EI5:EI1048576">
    <cfRule type="expression" dxfId="280" priority="221" stopIfTrue="1">
      <formula>EI5=IF(NETWORKDAYS(EG5, TODAY())&lt;7, EI5, 0)</formula>
    </cfRule>
  </conditionalFormatting>
  <conditionalFormatting sqref="EI5:EI1048576">
    <cfRule type="expression" dxfId="279" priority="220" stopIfTrue="1">
      <formula>EI5=IF(ISBLANK(EJ5), 0, EI5)</formula>
    </cfRule>
  </conditionalFormatting>
  <conditionalFormatting sqref="EL5:EL1048576">
    <cfRule type="expression" dxfId="278" priority="219" stopIfTrue="1">
      <formula>EL5=IF(NETWORKDAYS(EJ5, TODAY())&gt;7, EL5, 0)</formula>
    </cfRule>
    <cfRule type="expression" dxfId="277" priority="1100" stopIfTrue="1">
      <formula>EL5=IF(OR(NETWORKDAYS(EJ5, TODAY())=6, NETWORKDAYS(EJ5, TODAY())=7), EL5, 0)</formula>
    </cfRule>
  </conditionalFormatting>
  <conditionalFormatting sqref="EL5:EL1048576">
    <cfRule type="expression" dxfId="276" priority="218" stopIfTrue="1">
      <formula>EL5=IF(NETWORKDAYS(EJ5, TODAY())&lt;6, EL5, 0)</formula>
    </cfRule>
  </conditionalFormatting>
  <conditionalFormatting sqref="EL5:EL1048576">
    <cfRule type="expression" dxfId="275" priority="217" stopIfTrue="1">
      <formula>EL5=IF(ISBLANK(EM5), 0, EL5)</formula>
    </cfRule>
  </conditionalFormatting>
  <conditionalFormatting sqref="AM5:AM1048576">
    <cfRule type="expression" dxfId="274" priority="357" stopIfTrue="1">
      <formula>AM5=IF(ISBLANK(AN5), 0, AM5)</formula>
    </cfRule>
  </conditionalFormatting>
  <conditionalFormatting sqref="DG5:DG1048576">
    <cfRule type="expression" dxfId="273" priority="194" stopIfTrue="1">
      <formula>DG5=IF(NETWORKDAYS(DE5, TODAY())&gt;7, DG5, 0)</formula>
    </cfRule>
    <cfRule type="expression" dxfId="272" priority="195" stopIfTrue="1">
      <formula>DG5=IF(OR(NETWORKDAYS(DE5, TODAY())=6, NETWORKDAYS(DE5, TODAY())=7), DG5, 0)</formula>
    </cfRule>
  </conditionalFormatting>
  <conditionalFormatting sqref="DG5:DG1048576">
    <cfRule type="expression" dxfId="271" priority="193" stopIfTrue="1">
      <formula>DG5=IF(NETWORKDAYS(DE5, TODAY())&lt;6, DG5, 0)</formula>
    </cfRule>
  </conditionalFormatting>
  <conditionalFormatting sqref="DG5:DG1048576">
    <cfRule type="expression" dxfId="270" priority="192" stopIfTrue="1">
      <formula>DG5=IF(ISBLANK(DH5), 0, DG5)</formula>
    </cfRule>
  </conditionalFormatting>
  <conditionalFormatting sqref="C5:C1048576">
    <cfRule type="expression" dxfId="269" priority="186" stopIfTrue="1">
      <formula>C5=IF(ISBLANK(G5), 0, C5)</formula>
    </cfRule>
  </conditionalFormatting>
  <conditionalFormatting sqref="L5:L1048576">
    <cfRule type="expression" dxfId="268" priority="24" stopIfTrue="1">
      <formula>L5=IF(ISBLANK(AB5), 0, L5)</formula>
    </cfRule>
    <cfRule type="expression" dxfId="267" priority="184" stopIfTrue="1">
      <formula>L5=IF(NETWORKDAYS(I5, L5)&gt;7, L5, 0)</formula>
    </cfRule>
    <cfRule type="expression" dxfId="266" priority="185" stopIfTrue="1">
      <formula>L5=IF(OR(NETWORKDAYS(I5, L5)=6, NETWORKDAYS(I5, L5)=7), L5, 0)</formula>
    </cfRule>
  </conditionalFormatting>
  <conditionalFormatting sqref="L5:L1048576">
    <cfRule type="expression" dxfId="265" priority="183" stopIfTrue="1">
      <formula>L5=IF(NETWORKDAYS(I5, L5)&lt;6, L5, 0)</formula>
    </cfRule>
  </conditionalFormatting>
  <conditionalFormatting sqref="L5:L1048576">
    <cfRule type="expression" dxfId="264" priority="182" stopIfTrue="1">
      <formula>L5=IF(ISBLANK(V5), 0, L5)</formula>
    </cfRule>
  </conditionalFormatting>
  <conditionalFormatting sqref="V5:V1048576">
    <cfRule type="expression" dxfId="263" priority="180" stopIfTrue="1">
      <formula>V5=IF(NETWORKDAYS(L5, V5)&gt;7, V5, 0)</formula>
    </cfRule>
    <cfRule type="expression" dxfId="262" priority="181" stopIfTrue="1">
      <formula>V5=IF(OR(NETWORKDAYS(L5, V5)=6, NETWORKDAYS(L5, V5)=7), V5, 0)</formula>
    </cfRule>
  </conditionalFormatting>
  <conditionalFormatting sqref="V5:V1048576">
    <cfRule type="expression" dxfId="261" priority="179" stopIfTrue="1">
      <formula>V5=IF(NETWORKDAYS(L5, V5)&lt;6, V5, 0)</formula>
    </cfRule>
  </conditionalFormatting>
  <conditionalFormatting sqref="V5:V1048576">
    <cfRule type="expression" dxfId="260" priority="178" stopIfTrue="1">
      <formula>V5=IF(ISBLANK(Y5), 0, V5)</formula>
    </cfRule>
  </conditionalFormatting>
  <conditionalFormatting sqref="Y5:Y1048576">
    <cfRule type="expression" dxfId="259" priority="176" stopIfTrue="1">
      <formula>Y5=IF(NETWORKDAYS(V5, Y5)&gt;7, Y5, 0)</formula>
    </cfRule>
    <cfRule type="expression" dxfId="258" priority="177" stopIfTrue="1">
      <formula>Y5=IF(OR(NETWORKDAYS(V5, Y5)=6, NETWORKDAYS(V5, Y5)=7), Y5, 0)</formula>
    </cfRule>
  </conditionalFormatting>
  <conditionalFormatting sqref="Y5:Y1048576">
    <cfRule type="expression" dxfId="257" priority="175" stopIfTrue="1">
      <formula>Y5=IF(NETWORKDAYS(V5, Y5)&lt;6, Y5, 0)</formula>
    </cfRule>
  </conditionalFormatting>
  <conditionalFormatting sqref="Y5:Y1048576">
    <cfRule type="expression" dxfId="256" priority="174" stopIfTrue="1">
      <formula>Y5=IF(ISBLANK(AB5), 0, Y5)</formula>
    </cfRule>
  </conditionalFormatting>
  <conditionalFormatting sqref="AB5:AB1048576">
    <cfRule type="expression" dxfId="255" priority="172" stopIfTrue="1">
      <formula>AB5=IF(NETWORKDAYS(Y5, AB5)&gt;7, AB5, 0)</formula>
    </cfRule>
    <cfRule type="expression" dxfId="254" priority="173" stopIfTrue="1">
      <formula>AB5=IF(OR(NETWORKDAYS(Y5, AB5)=6, NETWORKDAYS(Y5, AB5)=7), AB5, 0)</formula>
    </cfRule>
  </conditionalFormatting>
  <conditionalFormatting sqref="AB5:AB1048576">
    <cfRule type="expression" dxfId="253" priority="171" stopIfTrue="1">
      <formula>AB5=IF(NETWORKDAYS(Y5, AB5)&lt;6, AB5, 0)</formula>
    </cfRule>
  </conditionalFormatting>
  <conditionalFormatting sqref="AB5:AB1048576">
    <cfRule type="expression" dxfId="252" priority="170" stopIfTrue="1">
      <formula>AB5=IF(ISBLANK(AE5), 0, AB5)</formula>
    </cfRule>
  </conditionalFormatting>
  <conditionalFormatting sqref="AE5:AE1048576">
    <cfRule type="expression" dxfId="251" priority="168" stopIfTrue="1">
      <formula>AE5=IF(NETWORKDAYS(AB5, AE5)&gt;13, AE5, 0)</formula>
    </cfRule>
    <cfRule type="expression" dxfId="250" priority="169" stopIfTrue="1">
      <formula>AE5=IF(OR(NETWORKDAYS(AB5, AE5)=12, NETWORKDAYS(AB5, AE5)=13), AE5, 0)</formula>
    </cfRule>
  </conditionalFormatting>
  <conditionalFormatting sqref="AE5:AE1048576">
    <cfRule type="expression" dxfId="249" priority="167" stopIfTrue="1">
      <formula>AE5=IF(NETWORKDAYS(AB5, AE5)&lt;12, AE5, 0)</formula>
    </cfRule>
  </conditionalFormatting>
  <conditionalFormatting sqref="AE5:AE1048576">
    <cfRule type="expression" dxfId="248" priority="166" stopIfTrue="1">
      <formula>AE5=IF(ISBLANK(AN5), 0, AE5)</formula>
    </cfRule>
  </conditionalFormatting>
  <conditionalFormatting sqref="AH5:AH1048576">
    <cfRule type="expression" dxfId="247" priority="164" stopIfTrue="1">
      <formula>AH5=IF(NETWORKDAYS(AE5, AG5)&gt;7, AH5, 0)</formula>
    </cfRule>
    <cfRule type="expression" dxfId="246" priority="165" stopIfTrue="1">
      <formula>AH5=IF(OR(NETWORKDAYS(AE5, AG5)=6, NETWORKDAYS(AE5, AG5)=7), AH5, 0)</formula>
    </cfRule>
  </conditionalFormatting>
  <conditionalFormatting sqref="AH5:AH1048576">
    <cfRule type="expression" dxfId="245" priority="163" stopIfTrue="1">
      <formula>AH5=IF(NETWORKDAYS(AE5, AG5)&lt;6, AH5, 0)</formula>
    </cfRule>
  </conditionalFormatting>
  <conditionalFormatting sqref="AH5:AH1048576">
    <cfRule type="expression" dxfId="244" priority="162" stopIfTrue="1">
      <formula>AH5=IF(ISBLANK(AN5), 0, AH5)</formula>
    </cfRule>
  </conditionalFormatting>
  <conditionalFormatting sqref="AK5:AK1048576">
    <cfRule type="expression" dxfId="243" priority="160" stopIfTrue="1">
      <formula>AK5=IF(NETWORKDAYS(AB5, AK5)&gt;7, AK5, 0)</formula>
    </cfRule>
    <cfRule type="expression" dxfId="242" priority="161" stopIfTrue="1">
      <formula>AK5=IF(OR(NETWORKDAYS(AB5, AK5)=6, NETWORKDAYS(AB5, AK5)=7), AK5, 0)</formula>
    </cfRule>
  </conditionalFormatting>
  <conditionalFormatting sqref="AK5:AK1048576">
    <cfRule type="expression" dxfId="241" priority="159" stopIfTrue="1">
      <formula>AK5=IF(NETWORKDAYS(AB5, AK5)&lt;6, AK5, 0)</formula>
    </cfRule>
  </conditionalFormatting>
  <conditionalFormatting sqref="AK5:AK1048576">
    <cfRule type="expression" dxfId="240" priority="158" stopIfTrue="1">
      <formula>AK5=IF(ISBLANK(AN5), 0, AK5)</formula>
    </cfRule>
  </conditionalFormatting>
  <conditionalFormatting sqref="AN5:AN1048576">
    <cfRule type="expression" dxfId="239" priority="156" stopIfTrue="1">
      <formula>AN5=IF(NETWORKDAYS(AB5, AN5)&gt;20, AN5, 0)</formula>
    </cfRule>
    <cfRule type="expression" dxfId="238" priority="157" stopIfTrue="1">
      <formula>AN5=IF(OR(NETWORKDAYS(AB5, AN5)&gt;=15, NETWORKDAYS(AB5, AN5)&lt;=19), AN5, 0)</formula>
    </cfRule>
  </conditionalFormatting>
  <conditionalFormatting sqref="AN5:AN1048576">
    <cfRule type="expression" dxfId="237" priority="155" stopIfTrue="1">
      <formula>AN5=IF(NETWORKDAYS(AB5, AN5)&lt;15, AN5, 0)</formula>
    </cfRule>
  </conditionalFormatting>
  <conditionalFormatting sqref="AN5:AN1048576">
    <cfRule type="expression" dxfId="236" priority="154" stopIfTrue="1">
      <formula>AN5=IF(ISBLANK(AQ5), 0, AN5)</formula>
    </cfRule>
  </conditionalFormatting>
  <conditionalFormatting sqref="AQ5:AQ1048576">
    <cfRule type="expression" dxfId="235" priority="152" stopIfTrue="1">
      <formula>AQ5=IF(NETWORKDAYS(AN5, AQ5)&gt;7, AQ5, 0)</formula>
    </cfRule>
    <cfRule type="expression" dxfId="234" priority="153" stopIfTrue="1">
      <formula>AQ5=IF(OR(NETWORKDAYS(AN5, AQ5)=6, NETWORKDAYS(AN5, AQ5)=7), AQ5, 0)</formula>
    </cfRule>
  </conditionalFormatting>
  <conditionalFormatting sqref="AQ5:AQ1048576">
    <cfRule type="expression" dxfId="233" priority="151" stopIfTrue="1">
      <formula>AQ5=IF(NETWORKDAYS(AN5, AQ5)&lt;6, AQ5, 0)</formula>
    </cfRule>
  </conditionalFormatting>
  <conditionalFormatting sqref="AQ5:AQ1048576">
    <cfRule type="expression" dxfId="232" priority="150" stopIfTrue="1">
      <formula>AQ5=IF(ISBLANK(AZ5), 0, AQ5)</formula>
    </cfRule>
  </conditionalFormatting>
  <conditionalFormatting sqref="AT5:AT1048576">
    <cfRule type="expression" dxfId="231" priority="148" stopIfTrue="1">
      <formula>AT5=IF(NETWORKDAYS(AN5, AT5)&gt;7, AT5, 0)</formula>
    </cfRule>
    <cfRule type="expression" dxfId="230" priority="149" stopIfTrue="1">
      <formula>AT5=IF(OR(NETWORKDAYS(AN5, AT5)=6, NETWORKDAYS(AN5, AT5)=7), AT5, 0)</formula>
    </cfRule>
  </conditionalFormatting>
  <conditionalFormatting sqref="AT5:AT1048576">
    <cfRule type="expression" dxfId="229" priority="147" stopIfTrue="1">
      <formula>AT5=IF(NETWORKDAYS(AN5, AT5)&lt;6, AT5, 0)</formula>
    </cfRule>
  </conditionalFormatting>
  <conditionalFormatting sqref="AT5:AT1048576">
    <cfRule type="expression" dxfId="228" priority="146" stopIfTrue="1">
      <formula>AT5=IF(ISBLANK(AZ5), 0, AT5)</formula>
    </cfRule>
  </conditionalFormatting>
  <conditionalFormatting sqref="AW5:AW1048576">
    <cfRule type="expression" dxfId="227" priority="144" stopIfTrue="1">
      <formula>AW5=IF(NETWORKDAYS(AN5, AW5)&gt;7, AW5, 0)</formula>
    </cfRule>
    <cfRule type="expression" dxfId="226" priority="145" stopIfTrue="1">
      <formula>AW5=IF(OR(NETWORKDAYS(AN5, AW5)=6, NETWORKDAYS(AN5, AW5)=7), AW5, 0)</formula>
    </cfRule>
  </conditionalFormatting>
  <conditionalFormatting sqref="AW5:AW1048576">
    <cfRule type="expression" dxfId="225" priority="143" stopIfTrue="1">
      <formula>AW5=IF(NETWORKDAYS(AN5, AW5)&lt;6, AW5, 0)</formula>
    </cfRule>
  </conditionalFormatting>
  <conditionalFormatting sqref="AW5:AW1048576">
    <cfRule type="expression" dxfId="224" priority="142" stopIfTrue="1">
      <formula>AW5=IF(ISBLANK(AZ5), 0, AW5)</formula>
    </cfRule>
  </conditionalFormatting>
  <conditionalFormatting sqref="AZ5:AZ1048576">
    <cfRule type="expression" dxfId="223" priority="140" stopIfTrue="1">
      <formula>AZ5=IF(NETWORKDAYS(AN5, AZ5)&gt;9, AZ5, 0)</formula>
    </cfRule>
    <cfRule type="expression" dxfId="222" priority="141" stopIfTrue="1">
      <formula>AZ5=IF(OR(NETWORKDAYS(AN5, AZ5)=8, NETWORKDAYS(AN5, AZ5)=9), AZ5, 0)</formula>
    </cfRule>
  </conditionalFormatting>
  <conditionalFormatting sqref="AZ5:AZ1048576">
    <cfRule type="expression" dxfId="221" priority="139" stopIfTrue="1">
      <formula>AZ5=IF(NETWORKDAYS(AN5, AZ5)&lt;8, AZ5, 0)</formula>
    </cfRule>
  </conditionalFormatting>
  <conditionalFormatting sqref="AZ5:AZ1048576">
    <cfRule type="expression" dxfId="220" priority="138" stopIfTrue="1">
      <formula>AZ5=IF(ISBLANK(BC5), 0, AZ5)</formula>
    </cfRule>
  </conditionalFormatting>
  <conditionalFormatting sqref="BC5:BC1048576">
    <cfRule type="expression" dxfId="219" priority="136" stopIfTrue="1">
      <formula>BC5=IF(NETWORKDAYS(AZ5, BC5)&gt;7, BC5, 0)</formula>
    </cfRule>
    <cfRule type="expression" dxfId="218" priority="137" stopIfTrue="1">
      <formula>BC5=IF(OR(NETWORKDAYS(AZ5, BC5)=6, NETWORKDAYS(AZ5, BC5)=7), BC5, 0)</formula>
    </cfRule>
  </conditionalFormatting>
  <conditionalFormatting sqref="BC5:BC1048576">
    <cfRule type="expression" dxfId="217" priority="135" stopIfTrue="1">
      <formula>BC5=IF(NETWORKDAYS(AZ5, BC5)&lt;6, BC5, 0)</formula>
    </cfRule>
  </conditionalFormatting>
  <conditionalFormatting sqref="BC5:BC1048576">
    <cfRule type="expression" dxfId="216" priority="134" stopIfTrue="1">
      <formula>BC5=IF(ISBLANK(BF5), 0, BC5)</formula>
    </cfRule>
  </conditionalFormatting>
  <conditionalFormatting sqref="BF5:BF1048576">
    <cfRule type="expression" dxfId="215" priority="132" stopIfTrue="1">
      <formula>BF5=IF(NETWORKDAYS(BC5, BF5)&gt;7, BF5, 0)</formula>
    </cfRule>
    <cfRule type="expression" dxfId="214" priority="133" stopIfTrue="1">
      <formula>BF5=IF(OR(NETWORKDAYS(BC5, BF5)=6, NETWORKDAYS(BC5, BF5)=7), BF5, 0)</formula>
    </cfRule>
  </conditionalFormatting>
  <conditionalFormatting sqref="BF5:BF1048576">
    <cfRule type="expression" dxfId="213" priority="131" stopIfTrue="1">
      <formula>BF5=IF(NETWORKDAYS(BC5, BF5)&lt;6, BF5, 0)</formula>
    </cfRule>
  </conditionalFormatting>
  <conditionalFormatting sqref="BF5:BF1048576">
    <cfRule type="expression" dxfId="212" priority="130" stopIfTrue="1">
      <formula>BF5=IF(ISBLANK(BI5), 0, BF5)</formula>
    </cfRule>
  </conditionalFormatting>
  <conditionalFormatting sqref="BI5:BI1048576">
    <cfRule type="expression" dxfId="211" priority="128" stopIfTrue="1">
      <formula>BI5=IF(NETWORKDAYS(BF5, BH5)&gt;7, BI5, 0)</formula>
    </cfRule>
    <cfRule type="expression" dxfId="210" priority="129" stopIfTrue="1">
      <formula>BI5=IF(OR(NETWORKDAYS(BF5, BH5)=6, NETWORKDAYS(BF5, BH5)=7), BI5, 0)</formula>
    </cfRule>
  </conditionalFormatting>
  <conditionalFormatting sqref="BI5:BI1048576">
    <cfRule type="expression" dxfId="209" priority="127" stopIfTrue="1">
      <formula>BI5=IF(NETWORKDAYS(BF5, BH5)&lt;6, BI5, 0)</formula>
    </cfRule>
  </conditionalFormatting>
  <conditionalFormatting sqref="BI5:BI1048576">
    <cfRule type="expression" dxfId="208" priority="126" stopIfTrue="1">
      <formula>BI5=IF(ISBLANK(BL5), 0, BI5)</formula>
    </cfRule>
  </conditionalFormatting>
  <conditionalFormatting sqref="BL5:BL1048576">
    <cfRule type="expression" dxfId="207" priority="124" stopIfTrue="1">
      <formula>BL5=IF(NETWORKDAYS(BI5, BL5)&gt;3, BL5, 0)</formula>
    </cfRule>
    <cfRule type="expression" dxfId="206" priority="125" stopIfTrue="1">
      <formula>BL5=IF(NETWORKDAYS(BI5,BL5)=3, BL5, 0)</formula>
    </cfRule>
  </conditionalFormatting>
  <conditionalFormatting sqref="BL5:BL1048576">
    <cfRule type="expression" dxfId="205" priority="123" stopIfTrue="1">
      <formula>BL5=IF(NETWORKDAYS(BI5, BL5)&lt;3, BL5, 0)</formula>
    </cfRule>
  </conditionalFormatting>
  <conditionalFormatting sqref="BL5:BL1048576">
    <cfRule type="expression" dxfId="204" priority="122" stopIfTrue="1">
      <formula>BL5=IF(ISBLANK(BO5), 0, BL5)</formula>
    </cfRule>
  </conditionalFormatting>
  <conditionalFormatting sqref="BO5:BO1048576">
    <cfRule type="expression" dxfId="203" priority="120" stopIfTrue="1">
      <formula>BO5=IF(NETWORKDAYS(BL5, BO5)&gt;7, BO5, 0)</formula>
    </cfRule>
    <cfRule type="expression" dxfId="202" priority="121" stopIfTrue="1">
      <formula>BO5=IF(OR(NETWORKDAYS(BL5, BO5)=6, NETWORKDAYS(BL5, BO5)=7), BO5, 0)</formula>
    </cfRule>
  </conditionalFormatting>
  <conditionalFormatting sqref="BO5:BO1048576">
    <cfRule type="expression" dxfId="201" priority="119" stopIfTrue="1">
      <formula>BO5=IF(NETWORKDAYS(BL5, BO5)&lt;6, BO5, 0)</formula>
    </cfRule>
  </conditionalFormatting>
  <conditionalFormatting sqref="BO5:BO1048576">
    <cfRule type="expression" dxfId="200" priority="118" stopIfTrue="1">
      <formula>BO5=IF(ISBLANK(BR5), 0, BO5)</formula>
    </cfRule>
  </conditionalFormatting>
  <conditionalFormatting sqref="BR5:BR1048576">
    <cfRule type="expression" dxfId="199" priority="116" stopIfTrue="1">
      <formula>BR5=IF(NETWORKDAYS(BO5, BR5)&gt;7, BR5, 0)</formula>
    </cfRule>
    <cfRule type="expression" dxfId="198" priority="117" stopIfTrue="1">
      <formula>BR5=IF(OR(NETWORKDAYS(BO5, BR5)=6, NETWORKDAYS(BO5, BR5)=7), BR5, 0)</formula>
    </cfRule>
  </conditionalFormatting>
  <conditionalFormatting sqref="BR5:BR1048576">
    <cfRule type="expression" dxfId="197" priority="115" stopIfTrue="1">
      <formula>BR5=IF(NETWORKDAYS(BO5, BR5)&lt;6, BR5, 0)</formula>
    </cfRule>
  </conditionalFormatting>
  <conditionalFormatting sqref="BR5:BR1048576">
    <cfRule type="expression" dxfId="196" priority="114" stopIfTrue="1">
      <formula>BR5=IF(ISBLANK(BU5), 0, BR5)</formula>
    </cfRule>
  </conditionalFormatting>
  <conditionalFormatting sqref="BU5:BU1048576">
    <cfRule type="expression" dxfId="195" priority="112" stopIfTrue="1">
      <formula>BU5=IF(NETWORKDAYS(BR5, BU5)&gt;7, BU5, 0)</formula>
    </cfRule>
    <cfRule type="expression" dxfId="194" priority="113" stopIfTrue="1">
      <formula>BU5=IF(OR(NETWORKDAYS(BR5, BU5)=6, NETWORKDAYS(BR5, BU5)=7), BU5, 0)</formula>
    </cfRule>
  </conditionalFormatting>
  <conditionalFormatting sqref="BU5:BU1048576">
    <cfRule type="expression" dxfId="193" priority="111" stopIfTrue="1">
      <formula>BU5=IF(NETWORKDAYS(BR5, BU5)&lt;6, BU5, 0)</formula>
    </cfRule>
  </conditionalFormatting>
  <conditionalFormatting sqref="BU5:BU1048576">
    <cfRule type="expression" dxfId="192" priority="110" stopIfTrue="1">
      <formula>BU5=IF(ISBLANK(BY5), 0, BU5)</formula>
    </cfRule>
  </conditionalFormatting>
  <conditionalFormatting sqref="CA5:CA1048576">
    <cfRule type="expression" dxfId="191" priority="108" stopIfTrue="1">
      <formula>CA5=IF(NETWORKDAYS(BY5, CA5)&gt;7, CA5, 0)</formula>
    </cfRule>
    <cfRule type="expression" dxfId="190" priority="109" stopIfTrue="1">
      <formula>CA5=IF(OR(NETWORKDAYS(BY5, CA5)=6, NETWORKDAYS(BY5, CA5)=7), CA5, 0)</formula>
    </cfRule>
  </conditionalFormatting>
  <conditionalFormatting sqref="CA5:CA1048576">
    <cfRule type="expression" dxfId="189" priority="107" stopIfTrue="1">
      <formula>CA5=IF(NETWORKDAYS(BY5, CA5)&lt;6, CA5, 0)</formula>
    </cfRule>
  </conditionalFormatting>
  <conditionalFormatting sqref="CA5:CA1048576">
    <cfRule type="expression" dxfId="188" priority="106" stopIfTrue="1">
      <formula>CA5=IF(ISBLANK(CD5), 0, CA5)</formula>
    </cfRule>
  </conditionalFormatting>
  <conditionalFormatting sqref="CD5:CD1048576">
    <cfRule type="expression" dxfId="187" priority="104" stopIfTrue="1">
      <formula>CD5=IF(NETWORKDAYS(CA5, CD5)&gt;7, CD5, 0)</formula>
    </cfRule>
    <cfRule type="expression" dxfId="186" priority="105" stopIfTrue="1">
      <formula>CD5=IF(OR(NETWORKDAYS(CA5, CD5)=6, NETWORKDAYS(CA5, CD5)=7), CD5, 0)</formula>
    </cfRule>
  </conditionalFormatting>
  <conditionalFormatting sqref="CD5:CD1048576">
    <cfRule type="expression" dxfId="185" priority="103" stopIfTrue="1">
      <formula>CD5=IF(NETWORKDAYS(CA5, CD5)&lt;6, CD5, 0)</formula>
    </cfRule>
  </conditionalFormatting>
  <conditionalFormatting sqref="CD5:CD1048576">
    <cfRule type="expression" dxfId="184" priority="102" stopIfTrue="1">
      <formula>CD5=IF(ISBLANK(CG5), 0, CD5)</formula>
    </cfRule>
  </conditionalFormatting>
  <conditionalFormatting sqref="CG5:CG1048576">
    <cfRule type="expression" dxfId="183" priority="100" stopIfTrue="1">
      <formula>CG5=IF(NETWORKDAYS(CD5, CF5)&gt;85, CG5, 0)</formula>
    </cfRule>
    <cfRule type="expression" dxfId="182" priority="101" stopIfTrue="1">
      <formula>CG5=IF(OR(NETWORKDAYS(CD5, CG5)&gt;=75, NETWORKDAYS(CD5, CG5)&lt;=85), CG5, 0)</formula>
    </cfRule>
  </conditionalFormatting>
  <conditionalFormatting sqref="CG5:CG1048576">
    <cfRule type="expression" dxfId="181" priority="99" stopIfTrue="1">
      <formula>CG5=IF(NETWORKDAYS(CD5, CG5)&lt;75, CG5, 0)</formula>
    </cfRule>
  </conditionalFormatting>
  <conditionalFormatting sqref="CG5:CG1048576">
    <cfRule type="expression" dxfId="180" priority="98" stopIfTrue="1">
      <formula>CG5=IF(ISBLANK(CJ5), 0, CG5)</formula>
    </cfRule>
  </conditionalFormatting>
  <conditionalFormatting sqref="CJ5:CJ1048576">
    <cfRule type="expression" dxfId="179" priority="96" stopIfTrue="1">
      <formula>CJ5=IF(NETWORKDAYS(CG5, CJ5)&gt;7, CJ5, 0)</formula>
    </cfRule>
    <cfRule type="expression" dxfId="178" priority="97" stopIfTrue="1">
      <formula>CJ5=IF(OR(NETWORKDAYS(CG5, CJ5)=6, NETWORKDAYS(CG5, CJ5)=7), CJ5, 0)</formula>
    </cfRule>
  </conditionalFormatting>
  <conditionalFormatting sqref="CJ5:CJ1048576">
    <cfRule type="expression" dxfId="177" priority="95" stopIfTrue="1">
      <formula>CJ5=IF(NETWORKDAYS(CG5, CJ5)&lt;6, CJ5, 0)</formula>
    </cfRule>
  </conditionalFormatting>
  <conditionalFormatting sqref="CJ5:CJ1048576">
    <cfRule type="expression" dxfId="176" priority="94" stopIfTrue="1">
      <formula>CJ5=IF(ISBLANK(CM5), 0, CJ5)</formula>
    </cfRule>
  </conditionalFormatting>
  <conditionalFormatting sqref="CM5:CM1048576">
    <cfRule type="expression" dxfId="175" priority="92" stopIfTrue="1">
      <formula>CM5=IF(NETWORKDAYS(CJ5, CM5)&gt;3, CM5, 0)</formula>
    </cfRule>
    <cfRule type="expression" dxfId="174" priority="93" stopIfTrue="1">
      <formula>CM5=IF(NETWORKDAYS(CJ5,CM5)=3, CM5, 0)</formula>
    </cfRule>
  </conditionalFormatting>
  <conditionalFormatting sqref="CM5:CM1048576">
    <cfRule type="expression" dxfId="173" priority="91" stopIfTrue="1">
      <formula>CM5=IF(NETWORKDAYS(CJ5, CM5)&lt;3, CM5, 0)</formula>
    </cfRule>
  </conditionalFormatting>
  <conditionalFormatting sqref="CM5:CM1048576">
    <cfRule type="expression" dxfId="172" priority="90" stopIfTrue="1">
      <formula>CM5=IF(ISBLANK(CP5), 0, CM5)</formula>
    </cfRule>
  </conditionalFormatting>
  <conditionalFormatting sqref="CP5:CP1048576">
    <cfRule type="expression" dxfId="171" priority="88" stopIfTrue="1">
      <formula>CP5=IF(NETWORKDAYS(CM5, CP5)&gt;7, CP5, 0)</formula>
    </cfRule>
    <cfRule type="expression" dxfId="170" priority="89" stopIfTrue="1">
      <formula>CP5=IF(OR(NETWORKDAYS(CM5, CP5)=6, NETWORKDAYS(CM5, CP5)=7), CP5, 0)</formula>
    </cfRule>
  </conditionalFormatting>
  <conditionalFormatting sqref="CP5:CP1048576">
    <cfRule type="expression" dxfId="169" priority="87" stopIfTrue="1">
      <formula>CP5=IF(NETWORKDAYS(CM5, CP5)&lt;6, CP5, 0)</formula>
    </cfRule>
  </conditionalFormatting>
  <conditionalFormatting sqref="CP5:CP1048576">
    <cfRule type="expression" dxfId="168" priority="86" stopIfTrue="1">
      <formula>CP5=IF(ISBLANK(CS5), 0, CP5)</formula>
    </cfRule>
  </conditionalFormatting>
  <conditionalFormatting sqref="CS5:CS1048576">
    <cfRule type="expression" dxfId="167" priority="84" stopIfTrue="1">
      <formula>CS5=IF(NETWORKDAYS(CP5, CS5)&gt;7, CS5, 0)</formula>
    </cfRule>
    <cfRule type="expression" dxfId="166" priority="85" stopIfTrue="1">
      <formula>CS5=IF(OR(NETWORKDAYS(CP5, CS5)=6, NETWORKDAYS(CP5, CS5)=7), CS5, 0)</formula>
    </cfRule>
  </conditionalFormatting>
  <conditionalFormatting sqref="CS5:CS1048576">
    <cfRule type="expression" dxfId="165" priority="83" stopIfTrue="1">
      <formula>CS5=IF(NETWORKDAYS(CP5, CS5)&lt;6, CS5, 0)</formula>
    </cfRule>
  </conditionalFormatting>
  <conditionalFormatting sqref="CS5:CS1048576">
    <cfRule type="expression" dxfId="164" priority="82" stopIfTrue="1">
      <formula>CS5=IF(ISBLANK(CV5), 0, CS5)</formula>
    </cfRule>
  </conditionalFormatting>
  <conditionalFormatting sqref="CV5:CV1048576">
    <cfRule type="expression" dxfId="163" priority="80" stopIfTrue="1">
      <formula>CV5=IF(NETWORKDAYS(CS5, CV5)&gt;7, CV5, 0)</formula>
    </cfRule>
    <cfRule type="expression" dxfId="162" priority="81" stopIfTrue="1">
      <formula>CV5=IF(OR(NETWORKDAYS(CS5, CV5)=6, NETWORKDAYS(CS5, CV5)=7), CV5, 0)</formula>
    </cfRule>
  </conditionalFormatting>
  <conditionalFormatting sqref="CV5:CV1048576">
    <cfRule type="expression" dxfId="161" priority="79" stopIfTrue="1">
      <formula>CV5=IF(NETWORKDAYS(CS5, CV5)&lt;6, CV5, 0)</formula>
    </cfRule>
  </conditionalFormatting>
  <conditionalFormatting sqref="CV5:CV1048576">
    <cfRule type="expression" dxfId="160" priority="78" stopIfTrue="1">
      <formula>CV5=IF(ISBLANK(CY5), 0, CV5)</formula>
    </cfRule>
  </conditionalFormatting>
  <conditionalFormatting sqref="CY5:CY1048576">
    <cfRule type="expression" dxfId="159" priority="76" stopIfTrue="1">
      <formula>CY5=IF(NETWORKDAYS(CV5, CY5)&gt;7, CY5, 0)</formula>
    </cfRule>
    <cfRule type="expression" dxfId="158" priority="77" stopIfTrue="1">
      <formula>CY5=IF(OR(NETWORKDAYS(CV5, CY5)=6, NETWORKDAYS(CV5, CY5)=7), CY5, 0)</formula>
    </cfRule>
  </conditionalFormatting>
  <conditionalFormatting sqref="CY5:CY1048576">
    <cfRule type="expression" dxfId="157" priority="75" stopIfTrue="1">
      <formula>CY5=IF(NETWORKDAYS(CV5, CY5)&lt;6, CY5, 0)</formula>
    </cfRule>
  </conditionalFormatting>
  <conditionalFormatting sqref="CY5:CY1048576">
    <cfRule type="expression" dxfId="156" priority="74" stopIfTrue="1">
      <formula>CY5=IF(ISBLANK(DB5), 0, CY5)</formula>
    </cfRule>
  </conditionalFormatting>
  <conditionalFormatting sqref="DB5:DB1048576">
    <cfRule type="expression" dxfId="155" priority="72" stopIfTrue="1">
      <formula>DB5=IF(NETWORKDAYS(CY5, DB5)&gt;7, DB5, 0)</formula>
    </cfRule>
    <cfRule type="expression" dxfId="154" priority="73" stopIfTrue="1">
      <formula>DB5=IF(OR(NETWORKDAYS(CY5, DB5)=6, NETWORKDAYS(CY5, DB5)=7), DB5, 0)</formula>
    </cfRule>
  </conditionalFormatting>
  <conditionalFormatting sqref="DB5:DB1048576">
    <cfRule type="expression" dxfId="153" priority="71" stopIfTrue="1">
      <formula>DB5=IF(NETWORKDAYS(CY5, DB5)&lt;6, DB5, 0)</formula>
    </cfRule>
  </conditionalFormatting>
  <conditionalFormatting sqref="DB5:DB1048576">
    <cfRule type="expression" dxfId="152" priority="70" stopIfTrue="1">
      <formula>DB5=IF(ISBLANK(DE5), 0, DB5)</formula>
    </cfRule>
  </conditionalFormatting>
  <conditionalFormatting sqref="DE5:DE1048576">
    <cfRule type="expression" dxfId="151" priority="68" stopIfTrue="1">
      <formula>DE5=IF(NETWORKDAYS(CJ5, DE5)&gt;170, DE5, 0)</formula>
    </cfRule>
    <cfRule type="expression" dxfId="150" priority="69" stopIfTrue="1">
      <formula>DE5=IF(OR(NETWORKDAYS(CJ5, DE5)&gt;=160, NETWORKDAYS(CJ5, DE5)&lt;=170), DE5, 0)</formula>
    </cfRule>
  </conditionalFormatting>
  <conditionalFormatting sqref="DE5:DE1048576">
    <cfRule type="expression" dxfId="149" priority="67" stopIfTrue="1">
      <formula>DE5=IF(NETWORKDAYS(CJ5, DE5)&lt;160, DE5, 0)</formula>
    </cfRule>
  </conditionalFormatting>
  <conditionalFormatting sqref="DE5:DE1048576">
    <cfRule type="expression" dxfId="148" priority="66" stopIfTrue="1">
      <formula>DE5=IF(ISBLANK(DH5), 0, DE5)</formula>
    </cfRule>
  </conditionalFormatting>
  <conditionalFormatting sqref="DH5:DH1048576">
    <cfRule type="expression" dxfId="147" priority="64" stopIfTrue="1">
      <formula>DH5=IF(NETWORKDAYS(DE5, DH5)&gt;35, DH5, 0)</formula>
    </cfRule>
    <cfRule type="expression" dxfId="146" priority="65" stopIfTrue="1">
      <formula>DH5=IF(OR(NETWORKDAYS(DE5, DH5)&gt;=30, NETWORKDAYS(DE5, DH5)&lt;=35), DH5, 0)</formula>
    </cfRule>
  </conditionalFormatting>
  <conditionalFormatting sqref="DH5:DH1048576">
    <cfRule type="expression" dxfId="145" priority="63" stopIfTrue="1">
      <formula>DH5=IF(NETWORKDAYS(DE5, DH5)&lt;30, DH5, 0)</formula>
    </cfRule>
  </conditionalFormatting>
  <conditionalFormatting sqref="DH5:DH1048576">
    <cfRule type="expression" dxfId="144" priority="62" stopIfTrue="1">
      <formula>DH5=IF(ISBLANK(DK5), 0, DH5)</formula>
    </cfRule>
  </conditionalFormatting>
  <conditionalFormatting sqref="DK5:DK1048576">
    <cfRule type="expression" dxfId="143" priority="60" stopIfTrue="1">
      <formula>DK5=IF(NETWORKDAYS(DH5, DK5)&gt;7, DK5, 0)</formula>
    </cfRule>
    <cfRule type="expression" dxfId="142" priority="61" stopIfTrue="1">
      <formula>DK5=IF(OR(NETWORKDAYS(DH5, DK5)=6, NETWORKDAYS(DH5, DK5)=7), DK5, 0)</formula>
    </cfRule>
  </conditionalFormatting>
  <conditionalFormatting sqref="DK5:DK1048576">
    <cfRule type="expression" dxfId="141" priority="59" stopIfTrue="1">
      <formula>DK5=IF(NETWORKDAYS(DH5, DK5)&lt;6, DK5, 0)</formula>
    </cfRule>
  </conditionalFormatting>
  <conditionalFormatting sqref="DK5:DK1048576">
    <cfRule type="expression" dxfId="140" priority="58" stopIfTrue="1">
      <formula>DK5=IF(ISBLANK(DN5), 0, DK5)</formula>
    </cfRule>
  </conditionalFormatting>
  <conditionalFormatting sqref="DN5:DN1048576">
    <cfRule type="expression" dxfId="139" priority="56" stopIfTrue="1">
      <formula>DN5=IF(NETWORKDAYS(DK5, DN5)&gt;13, DN5, 0)</formula>
    </cfRule>
    <cfRule type="expression" dxfId="138" priority="57" stopIfTrue="1">
      <formula>DN5=IF(OR(NETWORKDAYS(DK5, DN5)=12, NETWORKDAYS(DK5, DN5)=13), DN5, 0)</formula>
    </cfRule>
  </conditionalFormatting>
  <conditionalFormatting sqref="DN5:DN1048576">
    <cfRule type="expression" dxfId="137" priority="55" stopIfTrue="1">
      <formula>DN5=IF(NETWORKDAYS(DK5, DN5)&lt;12, DN5, 0)</formula>
    </cfRule>
  </conditionalFormatting>
  <conditionalFormatting sqref="DN5:DN1048576">
    <cfRule type="expression" dxfId="136" priority="54" stopIfTrue="1">
      <formula>DN5=IF(ISBLANK(DQ5), 0, DN5)</formula>
    </cfRule>
  </conditionalFormatting>
  <conditionalFormatting sqref="DQ5:DQ1048576">
    <cfRule type="expression" dxfId="135" priority="52" stopIfTrue="1">
      <formula>DQ5=IF(NETWORKDAYS(DN5, DQ5)&gt;85, DQ5, 0)</formula>
    </cfRule>
    <cfRule type="expression" dxfId="134" priority="53" stopIfTrue="1">
      <formula>DQ5=IF(OR(NETWORKDAYS(DN5, DQ5)&gt;=70, NETWORKDAYS(DN5, DQ5)&lt;=85), DQ5, 0)</formula>
    </cfRule>
  </conditionalFormatting>
  <conditionalFormatting sqref="DQ5:DQ1048576">
    <cfRule type="expression" dxfId="133" priority="51" stopIfTrue="1">
      <formula>DQ5=IF(NETWORKDAYS(DN5, DQ5)&lt;70, DQ5, 0)</formula>
    </cfRule>
  </conditionalFormatting>
  <conditionalFormatting sqref="DQ5:DQ1048576">
    <cfRule type="expression" dxfId="132" priority="50" stopIfTrue="1">
      <formula>DQ5=IF(ISBLANK(DT5), 0, DQ5)</formula>
    </cfRule>
  </conditionalFormatting>
  <conditionalFormatting sqref="DT5:DT1048576">
    <cfRule type="expression" dxfId="131" priority="48" stopIfTrue="1">
      <formula>DT5=IF(NETWORKDAYS(DQ5, DT5)&gt;=8, DT5, 0)</formula>
    </cfRule>
    <cfRule type="expression" dxfId="130" priority="49" stopIfTrue="1">
      <formula>DT5=IF(OR(NETWORKDAYS(DQ5, DT5)=6, NETWORKDAYS(DQ5, DT5)=7), DT5, 0)</formula>
    </cfRule>
  </conditionalFormatting>
  <conditionalFormatting sqref="DT5:DT1048576">
    <cfRule type="expression" dxfId="129" priority="47" stopIfTrue="1">
      <formula>DT5=IF(NETWORKDAYS(DQ5, DT5)&lt;6, DT5, 0)</formula>
    </cfRule>
  </conditionalFormatting>
  <conditionalFormatting sqref="DT5:DT1048576">
    <cfRule type="expression" dxfId="128" priority="46" stopIfTrue="1">
      <formula>DT5=IF(ISBLANK(DW5), 0, DT5)</formula>
    </cfRule>
  </conditionalFormatting>
  <conditionalFormatting sqref="EA5:EA1048576">
    <cfRule type="expression" dxfId="127" priority="44" stopIfTrue="1">
      <formula>EA5=IF(NETWORKDAYS(DU5, EA5)&gt;7, EA5, 0)</formula>
    </cfRule>
    <cfRule type="expression" dxfId="126" priority="45" stopIfTrue="1">
      <formula>EA5=IF(OR(NETWORKDAYS(DU5, EA5)=6, NETWORKDAYS(DU5, EA5)=7), EA5, 0)</formula>
    </cfRule>
  </conditionalFormatting>
  <conditionalFormatting sqref="EA5:EA1048576">
    <cfRule type="expression" dxfId="125" priority="43" stopIfTrue="1">
      <formula>EA5=IF(NETWORKDAYS(DU5, EA5)&lt;6, EA5, 0)</formula>
    </cfRule>
  </conditionalFormatting>
  <conditionalFormatting sqref="EA5:EA1048576">
    <cfRule type="expression" dxfId="124" priority="42" stopIfTrue="1">
      <formula>EA5=IF(ISBLANK(ED5), 0, EA5)</formula>
    </cfRule>
  </conditionalFormatting>
  <conditionalFormatting sqref="ED5:ED1048576">
    <cfRule type="expression" dxfId="123" priority="40" stopIfTrue="1">
      <formula>ED5=IF(NETWORKDAYS(EA5, ED5)&gt;8, ED5, 0)</formula>
    </cfRule>
    <cfRule type="expression" dxfId="122" priority="41" stopIfTrue="1">
      <formula>ED5=IF(OR(NETWORKDAYS(EA5, ED5)=7, NETWORKDAYS(EA5, ED5)=8), ED5, 0)</formula>
    </cfRule>
  </conditionalFormatting>
  <conditionalFormatting sqref="ED5:ED1048576">
    <cfRule type="expression" dxfId="121" priority="39" stopIfTrue="1">
      <formula>ED5=IF(NETWORKDAYS(EA5, ED5)&lt;7, ED5, 0)</formula>
    </cfRule>
  </conditionalFormatting>
  <conditionalFormatting sqref="ED5:ED1048576">
    <cfRule type="expression" dxfId="120" priority="38" stopIfTrue="1">
      <formula>ED5=IF(ISBLANK(EG5), 0, ED5)</formula>
    </cfRule>
  </conditionalFormatting>
  <conditionalFormatting sqref="EG5:EG1048576">
    <cfRule type="expression" dxfId="119" priority="36" stopIfTrue="1">
      <formula>EG5=IF(NETWORKDAYS(ED5, EG5)&gt;8, EG5, 0)</formula>
    </cfRule>
    <cfRule type="expression" dxfId="118" priority="37" stopIfTrue="1">
      <formula>EG5=IF(OR(NETWORKDAYS(ED5, EG5)=7, NETWORKDAYS(ED5, EG5)=8), EG5, 0)</formula>
    </cfRule>
  </conditionalFormatting>
  <conditionalFormatting sqref="EG5:EG1048576">
    <cfRule type="expression" dxfId="117" priority="35" stopIfTrue="1">
      <formula>EG5=IF(NETWORKDAYS(ED5, EG5)&lt;7, EG5, 0)</formula>
    </cfRule>
  </conditionalFormatting>
  <conditionalFormatting sqref="EG5:EG1048576">
    <cfRule type="expression" dxfId="116" priority="34" stopIfTrue="1">
      <formula>EG5=IF(ISBLANK(EJ5), 0, EG5)</formula>
    </cfRule>
  </conditionalFormatting>
  <conditionalFormatting sqref="EJ5:EJ1048576">
    <cfRule type="expression" dxfId="115" priority="32" stopIfTrue="1">
      <formula>EJ5=IF(NETWORKDAYS(EG5, EJ5)&gt;4, EJ5, 0)</formula>
    </cfRule>
    <cfRule type="expression" dxfId="114" priority="33" stopIfTrue="1">
      <formula>EJ5=IF(NETWORKDAYS(EG5,EJ5)=4, EJ5, 0)</formula>
    </cfRule>
  </conditionalFormatting>
  <conditionalFormatting sqref="EJ5:EJ1048576">
    <cfRule type="expression" dxfId="113" priority="31" stopIfTrue="1">
      <formula>EJ5=IF(NETWORKDAYS(EG5, EJ5)&lt;4, EJ5, 0)</formula>
    </cfRule>
  </conditionalFormatting>
  <conditionalFormatting sqref="EJ5:EJ1048576">
    <cfRule type="expression" dxfId="112" priority="30" stopIfTrue="1">
      <formula>EJ5=IF(ISBLANK(EM5), 0, EJ5)</formula>
    </cfRule>
  </conditionalFormatting>
  <conditionalFormatting sqref="EM5:EM1048576">
    <cfRule type="expression" dxfId="111" priority="28" stopIfTrue="1">
      <formula>EM5=IF(NETWORKDAYS(EJ5, EM5)&gt;8, EM5, 0)</formula>
    </cfRule>
    <cfRule type="expression" dxfId="110" priority="29" stopIfTrue="1">
      <formula>EM5=IF(OR(NETWORKDAYS(EJ5, EM5)=7, NETWORKDAYS(EJ5, EM5)=8), EM5, 0)</formula>
    </cfRule>
  </conditionalFormatting>
  <conditionalFormatting sqref="EM5:EM1048576">
    <cfRule type="expression" dxfId="109" priority="27" stopIfTrue="1">
      <formula>EM5=IF(NETWORKDAYS(EJ5, EM5)&lt;7, EM5, 0)</formula>
    </cfRule>
  </conditionalFormatting>
  <conditionalFormatting sqref="EM5:EM1048576">
    <cfRule type="expression" dxfId="108" priority="26" stopIfTrue="1">
      <formula>EM5=IF(LEN(EM5)=0, 0, EM5)</formula>
    </cfRule>
  </conditionalFormatting>
  <conditionalFormatting sqref="C5:C1048576">
    <cfRule type="expression" dxfId="107" priority="1111" stopIfTrue="1">
      <formula>C5=IF(NETWORKDAYS(A5, C5)&gt;7, C5, 0)</formula>
    </cfRule>
    <cfRule type="expression" dxfId="106" priority="1112" stopIfTrue="1">
      <formula>C5=IF(OR(NETWORKDAYS(A5, C5)=6, NETWORKDAYS(A5, C5)=7), C5, 0)</formula>
    </cfRule>
  </conditionalFormatting>
  <conditionalFormatting sqref="C5:C1048576">
    <cfRule type="expression" dxfId="105" priority="1113" stopIfTrue="1">
      <formula>C5=IF(NETWORKDAYS(A5, C5)&lt;6, C5, 0)</formula>
    </cfRule>
  </conditionalFormatting>
  <conditionalFormatting sqref="CO5:CO1048576">
    <cfRule type="expression" dxfId="104" priority="273" stopIfTrue="1">
      <formula>CO5=IF(ISBLANK(CP5), 0, CO5)</formula>
    </cfRule>
  </conditionalFormatting>
  <conditionalFormatting sqref="DV5:DV1048576">
    <cfRule type="expression" dxfId="103" priority="22" stopIfTrue="1">
      <formula>DV5=IF(NETWORKDAYS(DT5, TODAY())&gt;55, DV5, 0)</formula>
    </cfRule>
    <cfRule type="expression" dxfId="102" priority="23" stopIfTrue="1">
      <formula>DV5=IF(OR(NETWORKDAYS(DT5, TODAY())&gt;=51, NETWORKDAYS(DT5, TODAY())&lt;=55), DV5, 0)</formula>
    </cfRule>
  </conditionalFormatting>
  <conditionalFormatting sqref="DV5:DV1048576">
    <cfRule type="expression" dxfId="101" priority="21" stopIfTrue="1">
      <formula>DV5=IF(NETWORKDAYS(DT5, TODAY())&lt;=50, DV5, 0)</formula>
    </cfRule>
  </conditionalFormatting>
  <conditionalFormatting sqref="DV5:DV1048576">
    <cfRule type="expression" dxfId="100" priority="20" stopIfTrue="1">
      <formula>DV5=IF(ISBLANK(DW5), 0, DV5)</formula>
    </cfRule>
  </conditionalFormatting>
  <conditionalFormatting sqref="DY5:DY1048576">
    <cfRule type="expression" dxfId="99" priority="18" stopIfTrue="1">
      <formula>DY5=IF(NETWORKDAYS(DW5, TODAY())&gt;55, DY5, 0)</formula>
    </cfRule>
    <cfRule type="expression" dxfId="98" priority="19" stopIfTrue="1">
      <formula>DY5=IF(OR(NETWORKDAYS(DW5, TODAY())&gt;=51, NETWORKDAYS(DW5, TODAY())&lt;=55), DY5, 0)</formula>
    </cfRule>
  </conditionalFormatting>
  <conditionalFormatting sqref="DY5:DY1048576">
    <cfRule type="expression" dxfId="97" priority="17" stopIfTrue="1">
      <formula>DY5=IF(NETWORKDAYS(DW5, TODAY())&lt;=50, DY5, 0)</formula>
    </cfRule>
  </conditionalFormatting>
  <conditionalFormatting sqref="DY5:DY1048576">
    <cfRule type="expression" dxfId="96" priority="16" stopIfTrue="1">
      <formula>DY5=IF(ISBLANK(EA5), 0, DY5)</formula>
    </cfRule>
  </conditionalFormatting>
  <conditionalFormatting sqref="DW5:DW1048576">
    <cfRule type="expression" dxfId="95" priority="14" stopIfTrue="1">
      <formula>DW5=IF(NETWORKDAYS(DL5, DW5)&gt;170, DW5, 0)</formula>
    </cfRule>
    <cfRule type="expression" dxfId="94" priority="15" stopIfTrue="1">
      <formula>DW5=IF(OR(NETWORKDAYS(DT5, DW5)&gt;=160, NETWORKDAYS(DT5, DW5)&lt;=170), DW5, 0)</formula>
    </cfRule>
  </conditionalFormatting>
  <conditionalFormatting sqref="DW5:DW1048576">
    <cfRule type="expression" dxfId="93" priority="13" stopIfTrue="1">
      <formula>DW5=IF(NETWORKDAYS(DL5, DW5)&lt;160, DW5, 0)</formula>
    </cfRule>
  </conditionalFormatting>
  <conditionalFormatting sqref="DW5:DW1048576">
    <cfRule type="expression" dxfId="92" priority="12" stopIfTrue="1">
      <formula>DW5=IF(ISBLANK(EA5), 0, DW5)</formula>
    </cfRule>
  </conditionalFormatting>
  <conditionalFormatting sqref="G5:G1048576">
    <cfRule type="expression" dxfId="91" priority="8" stopIfTrue="1">
      <formula>G5=IF(ISBLANK(I5), 0, G5)</formula>
    </cfRule>
    <cfRule type="expression" dxfId="90" priority="11" stopIfTrue="1">
      <formula>G5=IF(ISBLANK(G5), 0, G5)</formula>
    </cfRule>
  </conditionalFormatting>
  <conditionalFormatting sqref="F5:F1048576">
    <cfRule type="containsText" dxfId="89" priority="5" operator="containsText" text="Yes">
      <formula>NOT(ISERROR(SEARCH("Yes",F5)))</formula>
    </cfRule>
    <cfRule type="containsText" dxfId="88" priority="7" operator="containsText" text="No">
      <formula>NOT(ISERROR(SEARCH("No",F5)))</formula>
    </cfRule>
  </conditionalFormatting>
  <conditionalFormatting sqref="O5:O1048576">
    <cfRule type="containsText" dxfId="87" priority="3" operator="containsText" text="No">
      <formula>NOT(ISERROR(SEARCH("No",O5)))</formula>
    </cfRule>
    <cfRule type="containsText" dxfId="86" priority="4" operator="containsText" text="Yes">
      <formula>NOT(ISERROR(SEARCH("Yes",O5)))</formula>
    </cfRule>
  </conditionalFormatting>
  <conditionalFormatting sqref="BX5:BX1048576">
    <cfRule type="containsText" dxfId="85" priority="1" operator="containsText" text="No">
      <formula>NOT(ISERROR(SEARCH("No",BX5)))</formula>
    </cfRule>
    <cfRule type="containsText" dxfId="84" priority="2" operator="containsText" text="Yes">
      <formula>NOT(ISERROR(SEARCH("Yes",BX5)))</formula>
    </cfRule>
  </conditionalFormatting>
  <conditionalFormatting sqref="E5:E1048576">
    <cfRule type="expression" dxfId="2" priority="1115" stopIfTrue="1">
      <formula>E5=IF(ISBLANK(G5), 0, E5)</formula>
    </cfRule>
    <cfRule type="expression" dxfId="1" priority="1116" stopIfTrue="1">
      <formula>E5=IF(NETWORKDAYS(C5, TODAY())&gt;7, E5, 0)</formula>
    </cfRule>
    <cfRule type="expression" dxfId="0" priority="1117" stopIfTrue="1">
      <formula>E5=IF(OR(NETWORKDAYS(C5, TODAY())=6, NETWORKDAYS(C5, TODAY())=7), E5, 0)</formula>
    </cfRule>
  </conditionalFormatting>
  <dataValidations count="5">
    <dataValidation type="date" allowBlank="1" showInputMessage="1" showErrorMessage="1" sqref="C5:D1048576" xr:uid="{6D414F84-AAE3-4B1C-909C-A66C9C262E31}">
      <formula1>43831</formula1>
      <formula2>64284</formula2>
    </dataValidation>
    <dataValidation type="list" allowBlank="1" showInputMessage="1" showErrorMessage="1" sqref="U5:U1048576" xr:uid="{29CD4665-BE68-4383-BA76-E49DC6D8BE1B}">
      <formula1>"SBA, Aerwave"</formula1>
    </dataValidation>
    <dataValidation type="list" allowBlank="1" showInputMessage="1" showErrorMessage="1" sqref="O5:O1048576 F5:F1048576 BX5:BX1048576 DZ5:DZ1048576" xr:uid="{4C71523C-B176-4175-B7A7-EA162F481866}">
      <formula1>"Yes, No"</formula1>
    </dataValidation>
    <dataValidation type="textLength" allowBlank="1" showInputMessage="1" showErrorMessage="1" sqref="EA1:XFD4 DZ1:DZ3 A1:DY4" xr:uid="{3CF7B256-F0F8-42B0-AD77-F54E94EAE052}">
      <formula1>1</formula1>
      <formula2>70</formula2>
    </dataValidation>
    <dataValidation type="textLength" allowBlank="1" showInputMessage="1" showErrorMessage="1" sqref="DZ4" xr:uid="{52A98574-8AB0-4BA8-B6F5-2952B1E28871}">
      <formula1>1</formula1>
      <formula2>100</formula2>
    </dataValidation>
  </dataValidations>
  <pageMargins left="0.7" right="0.7" top="0.75" bottom="0.75" header="0.3" footer="0.3"/>
  <pageSetup orientation="portrait" r:id="rId1"/>
  <ignoredErrors>
    <ignoredError sqref="BI4" listDataValidation="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E5F57-F718-43D6-A6B9-3865D44360B0}">
  <dimension ref="A1:AJ50"/>
  <sheetViews>
    <sheetView zoomScale="90" zoomScaleNormal="90" workbookViewId="0">
      <selection activeCell="V2" sqref="V2:X2"/>
    </sheetView>
  </sheetViews>
  <sheetFormatPr defaultRowHeight="15" outlineLevelCol="1" x14ac:dyDescent="0.25"/>
  <cols>
    <col min="1" max="1" width="17.5703125" customWidth="1"/>
    <col min="2" max="2" width="22.28515625" bestFit="1" customWidth="1"/>
    <col min="3" max="3" width="44" hidden="1" customWidth="1" outlineLevel="1"/>
    <col min="4" max="4" width="9.140625" hidden="1" customWidth="1" outlineLevel="1"/>
    <col min="5" max="5" width="23.28515625" hidden="1" customWidth="1" outlineLevel="1"/>
    <col min="6" max="6" width="15.5703125" hidden="1" customWidth="1" outlineLevel="1"/>
    <col min="7" max="7" width="12.42578125" hidden="1" customWidth="1" outlineLevel="1"/>
    <col min="8" max="8" width="11.28515625" hidden="1" customWidth="1" outlineLevel="1"/>
    <col min="9" max="9" width="14.42578125" bestFit="1" customWidth="1" collapsed="1"/>
    <col min="10" max="10" width="14.5703125" customWidth="1"/>
    <col min="11" max="11" width="10.42578125" hidden="1" customWidth="1" outlineLevel="1"/>
    <col min="12" max="12" width="15.5703125" hidden="1" customWidth="1" outlineLevel="1"/>
    <col min="13" max="13" width="15.28515625" hidden="1" customWidth="1" outlineLevel="1"/>
    <col min="14" max="14" width="15" hidden="1" customWidth="1" outlineLevel="1"/>
    <col min="15" max="15" width="23" hidden="1" customWidth="1" outlineLevel="1"/>
    <col min="16" max="16" width="22.7109375" hidden="1" customWidth="1" outlineLevel="1"/>
    <col min="17" max="17" width="14.42578125" hidden="1" customWidth="1" outlineLevel="1"/>
    <col min="18" max="18" width="14.140625" hidden="1" customWidth="1" outlineLevel="1"/>
    <col min="19" max="19" width="13.7109375" hidden="1" customWidth="1" outlineLevel="1"/>
    <col min="20" max="20" width="13" hidden="1" customWidth="1" outlineLevel="1"/>
    <col min="21" max="21" width="12.5703125" customWidth="1" collapsed="1"/>
    <col min="22" max="22" width="22.7109375" hidden="1" customWidth="1" outlineLevel="1"/>
    <col min="23" max="23" width="25.5703125" hidden="1" customWidth="1" outlineLevel="1" collapsed="1"/>
    <col min="24" max="24" width="19.5703125" hidden="1" customWidth="1" outlineLevel="1"/>
    <col min="25" max="25" width="20.85546875" customWidth="1" collapsed="1"/>
    <col min="26" max="26" width="24.140625" customWidth="1"/>
    <col min="27" max="27" width="49.5703125" customWidth="1"/>
    <col min="28" max="28" width="14.28515625" customWidth="1"/>
    <col min="29" max="29" width="14" customWidth="1"/>
    <col min="30" max="30" width="13.140625" customWidth="1"/>
    <col min="31" max="31" width="14.5703125" customWidth="1"/>
    <col min="32" max="32" width="26" customWidth="1"/>
    <col min="33" max="33" width="32.140625" bestFit="1" customWidth="1"/>
    <col min="34" max="34" width="21.140625" customWidth="1"/>
    <col min="35" max="35" width="24.28515625" customWidth="1"/>
    <col min="36" max="36" width="17.85546875" customWidth="1"/>
    <col min="37" max="37" width="21.7109375" customWidth="1"/>
  </cols>
  <sheetData>
    <row r="1" spans="1:36" x14ac:dyDescent="0.25">
      <c r="A1" s="100" t="s">
        <v>0</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85"/>
      <c r="AE1" s="85"/>
      <c r="AF1" s="85"/>
      <c r="AG1" s="85"/>
      <c r="AH1" s="85"/>
      <c r="AI1" s="85"/>
      <c r="AJ1" s="85"/>
    </row>
    <row r="2" spans="1:36" x14ac:dyDescent="0.25">
      <c r="A2" t="s">
        <v>2</v>
      </c>
      <c r="B2" t="s">
        <v>3</v>
      </c>
      <c r="C2" t="s">
        <v>4</v>
      </c>
      <c r="D2" t="s">
        <v>5</v>
      </c>
      <c r="E2" t="s">
        <v>4</v>
      </c>
      <c r="F2" t="s">
        <v>4</v>
      </c>
      <c r="G2" t="s">
        <v>4</v>
      </c>
      <c r="H2" t="s">
        <v>4</v>
      </c>
      <c r="I2" t="s">
        <v>4</v>
      </c>
      <c r="J2" t="s">
        <v>6</v>
      </c>
      <c r="K2" t="s">
        <v>7</v>
      </c>
      <c r="L2" t="s">
        <v>7</v>
      </c>
      <c r="M2" t="s">
        <v>7</v>
      </c>
      <c r="N2" t="s">
        <v>7</v>
      </c>
      <c r="O2" t="s">
        <v>7</v>
      </c>
      <c r="P2" t="s">
        <v>7</v>
      </c>
      <c r="Q2" t="s">
        <v>7</v>
      </c>
      <c r="R2" t="s">
        <v>7</v>
      </c>
      <c r="S2" t="s">
        <v>7</v>
      </c>
      <c r="T2" t="s">
        <v>7</v>
      </c>
      <c r="U2" t="s">
        <v>7</v>
      </c>
      <c r="V2" t="s">
        <v>8</v>
      </c>
      <c r="W2" t="s">
        <v>8</v>
      </c>
      <c r="X2" t="s">
        <v>8</v>
      </c>
      <c r="Y2" t="s">
        <v>8</v>
      </c>
      <c r="Z2" t="s">
        <v>187</v>
      </c>
      <c r="AG2" t="s">
        <v>8</v>
      </c>
    </row>
    <row r="3" spans="1:36" ht="45" x14ac:dyDescent="0.25">
      <c r="A3" s="88" t="s">
        <v>383</v>
      </c>
      <c r="B3" s="88" t="s">
        <v>9</v>
      </c>
      <c r="C3" s="88" t="s">
        <v>10</v>
      </c>
      <c r="D3" s="88" t="s">
        <v>11</v>
      </c>
      <c r="E3" s="88" t="s">
        <v>12</v>
      </c>
      <c r="F3" s="89" t="s">
        <v>13</v>
      </c>
      <c r="G3" s="88" t="s">
        <v>14</v>
      </c>
      <c r="H3" s="88" t="s">
        <v>15</v>
      </c>
      <c r="I3" s="88" t="s">
        <v>17</v>
      </c>
      <c r="J3" s="89" t="s">
        <v>16</v>
      </c>
      <c r="K3" s="89" t="s">
        <v>18</v>
      </c>
      <c r="L3" s="90" t="s">
        <v>19</v>
      </c>
      <c r="M3" s="90" t="s">
        <v>20</v>
      </c>
      <c r="N3" s="90" t="s">
        <v>21</v>
      </c>
      <c r="O3" s="90" t="s">
        <v>22</v>
      </c>
      <c r="P3" s="90" t="s">
        <v>23</v>
      </c>
      <c r="Q3" s="90" t="s">
        <v>24</v>
      </c>
      <c r="R3" s="90" t="s">
        <v>25</v>
      </c>
      <c r="S3" s="90" t="s">
        <v>26</v>
      </c>
      <c r="T3" s="89" t="s">
        <v>27</v>
      </c>
      <c r="U3" s="91" t="s">
        <v>28</v>
      </c>
      <c r="V3" s="89" t="s">
        <v>29</v>
      </c>
      <c r="W3" s="89" t="s">
        <v>30</v>
      </c>
      <c r="X3" s="89" t="s">
        <v>31</v>
      </c>
      <c r="Y3" s="90" t="s">
        <v>32</v>
      </c>
      <c r="Z3" s="93" t="s">
        <v>33</v>
      </c>
      <c r="AA3" s="89" t="s">
        <v>384</v>
      </c>
      <c r="AB3" s="89" t="s">
        <v>385</v>
      </c>
      <c r="AC3" s="89" t="s">
        <v>34</v>
      </c>
      <c r="AD3" s="89" t="s">
        <v>35</v>
      </c>
      <c r="AE3" s="89" t="s">
        <v>36</v>
      </c>
      <c r="AF3" s="89" t="s">
        <v>37</v>
      </c>
      <c r="AG3" s="89" t="s">
        <v>38</v>
      </c>
      <c r="AH3" s="89" t="s">
        <v>39</v>
      </c>
      <c r="AI3" s="89" t="s">
        <v>40</v>
      </c>
      <c r="AJ3" s="89" t="s">
        <v>41</v>
      </c>
    </row>
    <row r="4" spans="1:36" x14ac:dyDescent="0.25">
      <c r="B4" t="s">
        <v>72</v>
      </c>
      <c r="C4" t="s">
        <v>96</v>
      </c>
      <c r="E4" t="s">
        <v>74</v>
      </c>
      <c r="F4" s="1"/>
      <c r="H4" t="s">
        <v>84</v>
      </c>
      <c r="I4">
        <v>262</v>
      </c>
      <c r="J4" s="3">
        <v>45765</v>
      </c>
      <c r="K4" s="2">
        <f>J7+10</f>
        <v>45790</v>
      </c>
      <c r="L4" s="2">
        <v>45792</v>
      </c>
      <c r="M4" s="2">
        <f>L4+20</f>
        <v>45812</v>
      </c>
      <c r="N4" s="2">
        <v>45790</v>
      </c>
      <c r="O4" s="2">
        <v>45807</v>
      </c>
      <c r="P4" s="2"/>
      <c r="Q4" s="2"/>
      <c r="V4" s="3">
        <f>K4+23</f>
        <v>45813</v>
      </c>
      <c r="AD4" s="3">
        <v>45658</v>
      </c>
      <c r="AE4" s="3">
        <v>45662</v>
      </c>
      <c r="AF4" s="3">
        <v>45663</v>
      </c>
      <c r="AH4" s="3">
        <v>45717</v>
      </c>
      <c r="AI4" s="3">
        <f>AH4+125</f>
        <v>45842</v>
      </c>
    </row>
    <row r="5" spans="1:36" x14ac:dyDescent="0.25">
      <c r="B5" t="s">
        <v>72</v>
      </c>
      <c r="C5" s="73" t="s">
        <v>120</v>
      </c>
      <c r="E5" t="s">
        <v>115</v>
      </c>
      <c r="H5" t="s">
        <v>103</v>
      </c>
      <c r="I5">
        <v>1</v>
      </c>
      <c r="J5" s="3">
        <v>45773</v>
      </c>
      <c r="K5" s="3">
        <f>J5+10</f>
        <v>45783</v>
      </c>
      <c r="L5" s="3">
        <v>45790</v>
      </c>
      <c r="M5" s="3">
        <f>L5+16</f>
        <v>45806</v>
      </c>
      <c r="N5" s="3">
        <v>45795</v>
      </c>
      <c r="O5" s="3">
        <f>N5+17</f>
        <v>45812</v>
      </c>
      <c r="P5" s="3">
        <v>45658</v>
      </c>
      <c r="Q5" s="3">
        <v>45661</v>
      </c>
      <c r="V5" s="3">
        <f>K5+21</f>
        <v>45804</v>
      </c>
    </row>
    <row r="6" spans="1:36" x14ac:dyDescent="0.25">
      <c r="B6" t="s">
        <v>72</v>
      </c>
      <c r="C6" s="73" t="s">
        <v>129</v>
      </c>
      <c r="E6" t="s">
        <v>74</v>
      </c>
      <c r="H6" t="s">
        <v>105</v>
      </c>
      <c r="I6">
        <v>350</v>
      </c>
      <c r="J6" s="3">
        <v>45777</v>
      </c>
      <c r="K6" s="3">
        <f>J6+7</f>
        <v>45784</v>
      </c>
      <c r="L6" s="3">
        <v>45796</v>
      </c>
      <c r="M6" s="3">
        <f>L6+15</f>
        <v>45811</v>
      </c>
      <c r="N6" s="3">
        <v>45807</v>
      </c>
      <c r="O6" s="3">
        <f>N6+19</f>
        <v>45826</v>
      </c>
      <c r="P6" s="3">
        <v>45689</v>
      </c>
      <c r="Q6" s="3">
        <v>45717</v>
      </c>
      <c r="V6" s="3">
        <f>K6+17</f>
        <v>45801</v>
      </c>
    </row>
    <row r="7" spans="1:36" x14ac:dyDescent="0.25">
      <c r="A7" t="s">
        <v>124</v>
      </c>
      <c r="B7" t="s">
        <v>72</v>
      </c>
      <c r="C7" s="73" t="s">
        <v>135</v>
      </c>
      <c r="E7" t="s">
        <v>136</v>
      </c>
      <c r="H7" t="s">
        <v>103</v>
      </c>
      <c r="I7">
        <v>6955</v>
      </c>
      <c r="J7" s="3">
        <v>45780</v>
      </c>
      <c r="K7" s="3">
        <f>J7+10</f>
        <v>45790</v>
      </c>
      <c r="L7" s="3">
        <v>45734</v>
      </c>
      <c r="M7" s="3">
        <v>45749</v>
      </c>
      <c r="N7" s="3">
        <v>45792</v>
      </c>
      <c r="O7" s="3">
        <v>45771</v>
      </c>
      <c r="Q7" s="3">
        <v>45771</v>
      </c>
      <c r="V7" s="3">
        <f>K7+19</f>
        <v>45809</v>
      </c>
    </row>
    <row r="8" spans="1:36" x14ac:dyDescent="0.25">
      <c r="A8" t="s">
        <v>101</v>
      </c>
      <c r="B8" t="s">
        <v>139</v>
      </c>
      <c r="C8" s="73" t="s">
        <v>140</v>
      </c>
      <c r="E8" t="s">
        <v>115</v>
      </c>
      <c r="H8" t="s">
        <v>75</v>
      </c>
      <c r="I8">
        <v>264</v>
      </c>
      <c r="J8" s="3">
        <v>45781</v>
      </c>
      <c r="K8" s="3">
        <f>J8+15</f>
        <v>45796</v>
      </c>
      <c r="L8" s="3">
        <v>45734</v>
      </c>
      <c r="M8" s="3">
        <v>45768</v>
      </c>
      <c r="N8" s="3">
        <v>45807</v>
      </c>
      <c r="O8" s="3">
        <f>N8+22</f>
        <v>45829</v>
      </c>
      <c r="P8" s="3">
        <v>45734</v>
      </c>
      <c r="Q8" s="3">
        <v>45779</v>
      </c>
      <c r="V8" s="3">
        <f>K8+11</f>
        <v>45807</v>
      </c>
    </row>
    <row r="9" spans="1:36" x14ac:dyDescent="0.25">
      <c r="A9" t="s">
        <v>110</v>
      </c>
      <c r="B9" t="s">
        <v>72</v>
      </c>
      <c r="C9" s="77" t="s">
        <v>146</v>
      </c>
      <c r="E9" t="s">
        <v>74</v>
      </c>
      <c r="H9" t="s">
        <v>75</v>
      </c>
      <c r="I9">
        <v>210</v>
      </c>
      <c r="J9" s="3">
        <v>45785</v>
      </c>
      <c r="K9" s="3">
        <f>J9+12</f>
        <v>45797</v>
      </c>
      <c r="L9" s="3">
        <v>45761</v>
      </c>
      <c r="M9" s="3">
        <v>45779</v>
      </c>
      <c r="N9" s="3">
        <v>45761</v>
      </c>
      <c r="O9" s="3">
        <v>45790</v>
      </c>
      <c r="P9" s="3">
        <v>45761</v>
      </c>
      <c r="Q9" s="3">
        <v>45793</v>
      </c>
      <c r="S9" s="3">
        <v>45792</v>
      </c>
      <c r="V9" s="3">
        <f>K9+8</f>
        <v>45805</v>
      </c>
    </row>
    <row r="10" spans="1:36" x14ac:dyDescent="0.25">
      <c r="A10" t="s">
        <v>148</v>
      </c>
      <c r="B10" t="s">
        <v>72</v>
      </c>
      <c r="C10" t="s">
        <v>149</v>
      </c>
      <c r="E10" t="s">
        <v>115</v>
      </c>
      <c r="H10" t="s">
        <v>84</v>
      </c>
      <c r="I10">
        <v>102</v>
      </c>
      <c r="J10" s="3">
        <v>45786</v>
      </c>
      <c r="K10" s="3">
        <f>J10+15</f>
        <v>45801</v>
      </c>
      <c r="L10" s="3">
        <v>45783</v>
      </c>
      <c r="M10" s="3">
        <v>45798</v>
      </c>
      <c r="N10" s="3">
        <v>45783</v>
      </c>
      <c r="O10" s="3">
        <v>45796</v>
      </c>
      <c r="P10" s="3">
        <v>45677</v>
      </c>
      <c r="Q10" s="3">
        <v>45798</v>
      </c>
      <c r="S10" s="3">
        <v>45799</v>
      </c>
      <c r="V10" s="3">
        <f>K10+9</f>
        <v>45810</v>
      </c>
    </row>
    <row r="11" spans="1:36" x14ac:dyDescent="0.25">
      <c r="A11" t="s">
        <v>101</v>
      </c>
      <c r="B11" t="s">
        <v>139</v>
      </c>
      <c r="C11" t="s">
        <v>152</v>
      </c>
      <c r="E11" t="s">
        <v>115</v>
      </c>
      <c r="H11" t="s">
        <v>84</v>
      </c>
      <c r="I11">
        <v>151</v>
      </c>
      <c r="J11" s="3">
        <v>45787</v>
      </c>
      <c r="K11" s="3">
        <f>J11+12</f>
        <v>45799</v>
      </c>
      <c r="L11" s="3">
        <v>45679</v>
      </c>
      <c r="M11" s="3">
        <v>45798</v>
      </c>
      <c r="N11" s="3">
        <v>45807</v>
      </c>
      <c r="O11" s="3">
        <f>N11+20</f>
        <v>45827</v>
      </c>
      <c r="P11" s="3">
        <v>45679</v>
      </c>
      <c r="Q11" s="80"/>
      <c r="V11" s="3">
        <f>K11+2</f>
        <v>45801</v>
      </c>
    </row>
    <row r="12" spans="1:36" x14ac:dyDescent="0.25">
      <c r="A12" t="s">
        <v>101</v>
      </c>
      <c r="B12" t="s">
        <v>139</v>
      </c>
      <c r="C12" s="78" t="s">
        <v>156</v>
      </c>
      <c r="E12" t="s">
        <v>79</v>
      </c>
      <c r="H12" t="s">
        <v>103</v>
      </c>
      <c r="I12">
        <v>1</v>
      </c>
      <c r="J12" s="3">
        <v>45789</v>
      </c>
      <c r="K12" s="3">
        <f>J12+20</f>
        <v>45809</v>
      </c>
      <c r="L12" s="3">
        <v>45758</v>
      </c>
      <c r="M12" s="3">
        <f>L12+17</f>
        <v>45775</v>
      </c>
      <c r="N12" s="3">
        <v>45758</v>
      </c>
      <c r="O12" s="3">
        <f>N12+21</f>
        <v>45779</v>
      </c>
      <c r="P12" s="3">
        <v>45758</v>
      </c>
      <c r="V12" s="3">
        <f>K12+4</f>
        <v>45813</v>
      </c>
    </row>
    <row r="13" spans="1:36" x14ac:dyDescent="0.25">
      <c r="A13" t="s">
        <v>161</v>
      </c>
      <c r="B13" t="s">
        <v>162</v>
      </c>
      <c r="C13" t="s">
        <v>163</v>
      </c>
      <c r="E13" t="s">
        <v>79</v>
      </c>
      <c r="H13" t="s">
        <v>164</v>
      </c>
      <c r="I13" t="s">
        <v>165</v>
      </c>
      <c r="J13" s="3">
        <v>45791</v>
      </c>
      <c r="K13" s="3">
        <f>J13+10</f>
        <v>45801</v>
      </c>
      <c r="L13" s="3">
        <v>45771</v>
      </c>
      <c r="M13" s="3">
        <f>L13+16</f>
        <v>45787</v>
      </c>
      <c r="N13" s="3">
        <v>45789</v>
      </c>
      <c r="O13" s="3">
        <f>N13+20</f>
        <v>45809</v>
      </c>
      <c r="P13" s="3">
        <v>45771</v>
      </c>
      <c r="V13" s="3">
        <f>K13+11</f>
        <v>45812</v>
      </c>
    </row>
    <row r="14" spans="1:36" x14ac:dyDescent="0.25">
      <c r="A14" t="s">
        <v>101</v>
      </c>
      <c r="B14" t="s">
        <v>25</v>
      </c>
      <c r="C14" t="s">
        <v>170</v>
      </c>
      <c r="E14" t="s">
        <v>79</v>
      </c>
      <c r="H14" t="s">
        <v>164</v>
      </c>
      <c r="I14" t="s">
        <v>171</v>
      </c>
      <c r="J14" s="3">
        <v>45793</v>
      </c>
      <c r="K14" s="3">
        <f>J14+10</f>
        <v>45803</v>
      </c>
      <c r="L14" s="3">
        <v>45776</v>
      </c>
      <c r="M14" s="3">
        <v>45796</v>
      </c>
      <c r="N14" s="3">
        <v>45800</v>
      </c>
      <c r="O14" s="3">
        <f>N14+23</f>
        <v>45823</v>
      </c>
      <c r="P14" s="3">
        <v>45776</v>
      </c>
      <c r="V14" s="3">
        <f>K14+20</f>
        <v>45823</v>
      </c>
    </row>
    <row r="15" spans="1:36" x14ac:dyDescent="0.25">
      <c r="J15" s="3">
        <v>45758</v>
      </c>
      <c r="K15" s="3">
        <v>45769</v>
      </c>
      <c r="L15" s="3">
        <v>45758</v>
      </c>
      <c r="M15" s="3">
        <v>45777</v>
      </c>
      <c r="N15" s="3">
        <v>45757</v>
      </c>
      <c r="O15" s="3">
        <v>45778</v>
      </c>
      <c r="P15" s="3">
        <v>45758</v>
      </c>
      <c r="Q15" s="3">
        <v>45772</v>
      </c>
      <c r="R15" s="3">
        <v>45772</v>
      </c>
      <c r="S15" s="3">
        <v>45782</v>
      </c>
      <c r="V15" s="3">
        <v>45799</v>
      </c>
      <c r="W15" s="3"/>
      <c r="X15" s="3"/>
      <c r="Y15" s="3">
        <v>45802</v>
      </c>
      <c r="Z15" s="3">
        <v>45809</v>
      </c>
      <c r="AA15" s="3">
        <v>45689</v>
      </c>
      <c r="AB15" s="3">
        <v>45689</v>
      </c>
      <c r="AC15" s="3">
        <v>45689</v>
      </c>
      <c r="AD15" s="3">
        <v>45698</v>
      </c>
      <c r="AE15" s="3">
        <v>45701</v>
      </c>
      <c r="AF15" s="3">
        <v>45713</v>
      </c>
      <c r="AG15" s="3">
        <v>45717</v>
      </c>
      <c r="AH15" s="3">
        <v>45722</v>
      </c>
      <c r="AI15" s="3">
        <v>45828</v>
      </c>
      <c r="AJ15" s="3">
        <v>45839</v>
      </c>
    </row>
    <row r="16" spans="1:36" x14ac:dyDescent="0.25">
      <c r="J16" s="3">
        <v>45757</v>
      </c>
      <c r="K16" s="3">
        <v>45767</v>
      </c>
      <c r="L16" s="3">
        <v>45759</v>
      </c>
      <c r="M16" s="3">
        <v>45769</v>
      </c>
      <c r="N16" s="3">
        <v>45759</v>
      </c>
      <c r="O16" s="3">
        <v>45770</v>
      </c>
      <c r="P16" s="3">
        <v>45759</v>
      </c>
      <c r="Q16" s="3">
        <v>45770</v>
      </c>
      <c r="R16" s="3">
        <v>45771</v>
      </c>
      <c r="S16" s="3">
        <v>45773</v>
      </c>
      <c r="V16" s="3">
        <v>45782</v>
      </c>
      <c r="W16" s="3"/>
      <c r="X16" s="3"/>
      <c r="Y16" s="3">
        <v>45784</v>
      </c>
      <c r="Z16" s="3">
        <v>45792</v>
      </c>
      <c r="AA16" s="3">
        <v>45658</v>
      </c>
      <c r="AB16" s="3">
        <v>45660</v>
      </c>
      <c r="AC16" s="3">
        <v>45658</v>
      </c>
      <c r="AD16" s="3">
        <v>45661</v>
      </c>
      <c r="AE16" s="3">
        <v>45662</v>
      </c>
      <c r="AF16" s="3">
        <v>45663</v>
      </c>
      <c r="AG16" s="3">
        <v>45668</v>
      </c>
      <c r="AH16" s="3">
        <v>45662</v>
      </c>
      <c r="AI16" s="3">
        <v>45748</v>
      </c>
      <c r="AJ16" s="3">
        <v>45759</v>
      </c>
    </row>
    <row r="17" spans="1:36" x14ac:dyDescent="0.25">
      <c r="B17" t="s">
        <v>72</v>
      </c>
      <c r="C17" t="s">
        <v>73</v>
      </c>
      <c r="E17" t="s">
        <v>74</v>
      </c>
      <c r="F17" s="1"/>
      <c r="H17" t="s">
        <v>75</v>
      </c>
      <c r="I17">
        <v>205</v>
      </c>
      <c r="J17" s="3">
        <v>45759</v>
      </c>
      <c r="K17" s="2">
        <v>45688</v>
      </c>
      <c r="L17" s="2">
        <v>45703</v>
      </c>
      <c r="M17" s="2">
        <f>L17+3</f>
        <v>45706</v>
      </c>
      <c r="N17" s="2">
        <v>45708</v>
      </c>
      <c r="O17" s="2">
        <v>45716</v>
      </c>
      <c r="P17" s="2"/>
      <c r="Q17" s="2"/>
      <c r="R17" s="3">
        <v>45408</v>
      </c>
      <c r="S17" s="3">
        <v>45777</v>
      </c>
      <c r="V17" s="3">
        <f>K17+10</f>
        <v>45698</v>
      </c>
      <c r="Y17" s="3">
        <v>45703</v>
      </c>
      <c r="Z17" s="3">
        <v>45717</v>
      </c>
      <c r="AA17" s="3">
        <v>45717</v>
      </c>
      <c r="AB17" s="3">
        <v>45719</v>
      </c>
      <c r="AC17" s="3">
        <v>45717</v>
      </c>
      <c r="AD17" s="3">
        <v>45729</v>
      </c>
      <c r="AE17" s="3">
        <v>45731</v>
      </c>
      <c r="AF17" s="3">
        <v>45746</v>
      </c>
      <c r="AG17" s="3">
        <v>45757</v>
      </c>
      <c r="AH17" s="3">
        <v>45748</v>
      </c>
      <c r="AI17" s="3">
        <v>45870</v>
      </c>
      <c r="AJ17" s="3">
        <v>45884</v>
      </c>
    </row>
    <row r="18" spans="1:36" x14ac:dyDescent="0.25">
      <c r="B18" t="s">
        <v>72</v>
      </c>
      <c r="C18" t="s">
        <v>83</v>
      </c>
      <c r="E18" t="s">
        <v>74</v>
      </c>
      <c r="F18" s="1"/>
      <c r="H18" t="s">
        <v>84</v>
      </c>
      <c r="I18">
        <v>288</v>
      </c>
      <c r="J18" s="3">
        <v>45761</v>
      </c>
      <c r="K18" s="2">
        <f>J18+9</f>
        <v>45770</v>
      </c>
      <c r="L18" s="2">
        <v>45777</v>
      </c>
      <c r="M18" s="2">
        <f>L18+7</f>
        <v>45784</v>
      </c>
      <c r="N18" s="2">
        <v>45785</v>
      </c>
      <c r="O18" s="2">
        <v>45805</v>
      </c>
      <c r="P18" s="2"/>
      <c r="Q18" s="2"/>
      <c r="R18" s="3">
        <v>45786</v>
      </c>
      <c r="S18" s="3">
        <v>45786</v>
      </c>
      <c r="V18" s="3">
        <f>K18+11</f>
        <v>45781</v>
      </c>
      <c r="Y18" s="3">
        <v>45782</v>
      </c>
      <c r="Z18" s="3">
        <v>45809</v>
      </c>
      <c r="AA18" s="3">
        <v>45778</v>
      </c>
      <c r="AB18" s="3">
        <v>45780</v>
      </c>
      <c r="AH18" s="3">
        <v>45839</v>
      </c>
      <c r="AI18" s="3">
        <f>AH18+90</f>
        <v>45929</v>
      </c>
    </row>
    <row r="19" spans="1:36" x14ac:dyDescent="0.25">
      <c r="B19" t="s">
        <v>72</v>
      </c>
      <c r="C19" t="s">
        <v>86</v>
      </c>
      <c r="E19" t="s">
        <v>74</v>
      </c>
      <c r="F19" s="1"/>
      <c r="H19" t="s">
        <v>84</v>
      </c>
      <c r="I19">
        <v>376</v>
      </c>
      <c r="J19" s="3">
        <v>45762</v>
      </c>
      <c r="K19" s="2">
        <f>J19+14</f>
        <v>45776</v>
      </c>
      <c r="L19" s="2">
        <v>45784</v>
      </c>
      <c r="M19" s="2">
        <f>L19+3</f>
        <v>45787</v>
      </c>
      <c r="N19" s="2">
        <v>45791</v>
      </c>
      <c r="O19" s="2">
        <v>45807</v>
      </c>
      <c r="P19" s="2"/>
      <c r="Q19" s="2"/>
      <c r="V19" s="3">
        <f>K19+20</f>
        <v>45796</v>
      </c>
      <c r="Y19" s="3">
        <v>45805</v>
      </c>
      <c r="Z19" s="3">
        <v>45836</v>
      </c>
      <c r="AH19" s="3">
        <v>45870</v>
      </c>
      <c r="AI19" s="3">
        <f>AH19+70</f>
        <v>45940</v>
      </c>
    </row>
    <row r="20" spans="1:36" x14ac:dyDescent="0.25">
      <c r="B20" t="s">
        <v>72</v>
      </c>
      <c r="C20" t="s">
        <v>99</v>
      </c>
      <c r="E20" t="s">
        <v>74</v>
      </c>
      <c r="F20" s="1"/>
      <c r="H20" t="s">
        <v>84</v>
      </c>
      <c r="I20">
        <v>359</v>
      </c>
      <c r="J20" s="3">
        <v>45766</v>
      </c>
      <c r="K20" s="2">
        <f>J20+8</f>
        <v>45774</v>
      </c>
      <c r="L20" s="2">
        <v>45786</v>
      </c>
      <c r="M20" s="2">
        <f>L20+11</f>
        <v>45797</v>
      </c>
      <c r="N20" s="2">
        <v>45779</v>
      </c>
      <c r="O20" s="2">
        <v>45802</v>
      </c>
      <c r="P20" s="2"/>
      <c r="Q20" s="2"/>
      <c r="V20" s="3">
        <f>K20+14</f>
        <v>45788</v>
      </c>
    </row>
    <row r="21" spans="1:36" x14ac:dyDescent="0.25">
      <c r="A21" t="s">
        <v>101</v>
      </c>
      <c r="B21" t="s">
        <v>72</v>
      </c>
      <c r="C21" s="73" t="s">
        <v>102</v>
      </c>
      <c r="E21" s="73" t="s">
        <v>74</v>
      </c>
      <c r="F21" s="1"/>
      <c r="H21" t="s">
        <v>103</v>
      </c>
      <c r="I21">
        <v>264</v>
      </c>
      <c r="J21" s="3">
        <v>45767</v>
      </c>
      <c r="K21" s="2">
        <f>J21+6</f>
        <v>45773</v>
      </c>
      <c r="L21" s="2">
        <v>45797</v>
      </c>
      <c r="M21" s="2">
        <f>L21+10</f>
        <v>45807</v>
      </c>
      <c r="N21" s="2">
        <v>45804</v>
      </c>
      <c r="O21" s="2">
        <v>45814</v>
      </c>
      <c r="P21" s="2"/>
      <c r="Q21" s="2"/>
      <c r="V21" s="3">
        <f>K21+20</f>
        <v>45793</v>
      </c>
    </row>
    <row r="22" spans="1:36" x14ac:dyDescent="0.25">
      <c r="B22" t="s">
        <v>72</v>
      </c>
      <c r="C22" s="73" t="s">
        <v>108</v>
      </c>
      <c r="E22" s="73" t="s">
        <v>74</v>
      </c>
      <c r="F22" s="1"/>
      <c r="H22" t="s">
        <v>75</v>
      </c>
      <c r="I22">
        <v>293</v>
      </c>
      <c r="J22" s="3">
        <v>45769</v>
      </c>
      <c r="K22" s="2">
        <f>J22+3</f>
        <v>45772</v>
      </c>
      <c r="L22" s="2">
        <v>45777</v>
      </c>
      <c r="M22" s="2">
        <f>L22+7</f>
        <v>45784</v>
      </c>
      <c r="N22" s="2">
        <v>45786</v>
      </c>
      <c r="O22" s="2">
        <v>45815</v>
      </c>
      <c r="P22" s="2"/>
      <c r="Q22" s="2"/>
      <c r="V22" s="3">
        <f>K22+18</f>
        <v>45790</v>
      </c>
    </row>
    <row r="23" spans="1:36" x14ac:dyDescent="0.25">
      <c r="A23" t="s">
        <v>110</v>
      </c>
      <c r="B23" t="s">
        <v>72</v>
      </c>
      <c r="C23" s="73" t="s">
        <v>111</v>
      </c>
      <c r="E23" s="73" t="s">
        <v>112</v>
      </c>
      <c r="F23" s="1"/>
      <c r="H23" t="s">
        <v>75</v>
      </c>
      <c r="I23">
        <v>351</v>
      </c>
      <c r="J23" s="3">
        <v>45770</v>
      </c>
      <c r="K23" s="2">
        <f>J23+5</f>
        <v>45775</v>
      </c>
      <c r="L23" s="2">
        <v>45782</v>
      </c>
      <c r="M23" s="2">
        <f>L23+3</f>
        <v>45785</v>
      </c>
      <c r="N23" s="2">
        <v>45793</v>
      </c>
      <c r="O23" s="2">
        <v>45810</v>
      </c>
      <c r="P23" s="2"/>
      <c r="Q23" s="2"/>
      <c r="V23" s="3">
        <f>K23+11</f>
        <v>45786</v>
      </c>
    </row>
    <row r="24" spans="1:36" x14ac:dyDescent="0.25">
      <c r="A24" t="s">
        <v>101</v>
      </c>
      <c r="B24" t="s">
        <v>72</v>
      </c>
      <c r="C24" s="74" t="s">
        <v>118</v>
      </c>
      <c r="D24" s="73"/>
      <c r="E24" s="73" t="s">
        <v>79</v>
      </c>
      <c r="H24" t="s">
        <v>103</v>
      </c>
      <c r="I24">
        <v>1</v>
      </c>
      <c r="J24" s="3">
        <v>45772</v>
      </c>
      <c r="K24" s="3">
        <f>J24+1</f>
        <v>45773</v>
      </c>
      <c r="L24" s="3">
        <v>45791</v>
      </c>
      <c r="M24" s="3">
        <f>L24+13</f>
        <v>45804</v>
      </c>
      <c r="N24" s="3">
        <v>45794</v>
      </c>
      <c r="O24" s="3">
        <f>N24+16</f>
        <v>45810</v>
      </c>
      <c r="P24" s="3"/>
      <c r="V24" s="3">
        <f>K24+9</f>
        <v>45782</v>
      </c>
    </row>
    <row r="25" spans="1:36" x14ac:dyDescent="0.25">
      <c r="B25" t="s">
        <v>72</v>
      </c>
      <c r="C25" s="75" t="s">
        <v>122</v>
      </c>
      <c r="D25" s="76"/>
      <c r="E25" s="76" t="s">
        <v>74</v>
      </c>
      <c r="H25" s="76" t="s">
        <v>103</v>
      </c>
      <c r="I25" s="76">
        <v>1</v>
      </c>
      <c r="J25" s="3">
        <v>45774</v>
      </c>
      <c r="K25" s="3">
        <f>J25+6</f>
        <v>45780</v>
      </c>
      <c r="L25" s="3">
        <v>45787</v>
      </c>
      <c r="M25" s="84">
        <f>L25+1</f>
        <v>45788</v>
      </c>
      <c r="N25" s="3">
        <v>45794</v>
      </c>
      <c r="O25" s="84">
        <f>N25+18</f>
        <v>45812</v>
      </c>
      <c r="Q25" s="76"/>
      <c r="V25" s="3">
        <f>K25+13</f>
        <v>45793</v>
      </c>
    </row>
    <row r="26" spans="1:36" x14ac:dyDescent="0.25">
      <c r="A26" t="s">
        <v>124</v>
      </c>
      <c r="B26" t="s">
        <v>72</v>
      </c>
      <c r="C26" s="73" t="s">
        <v>125</v>
      </c>
      <c r="E26" t="s">
        <v>115</v>
      </c>
      <c r="H26" t="s">
        <v>105</v>
      </c>
      <c r="I26">
        <v>15000</v>
      </c>
      <c r="J26" s="3">
        <v>45775</v>
      </c>
      <c r="K26" s="3">
        <f>J26+8</f>
        <v>45783</v>
      </c>
      <c r="L26" s="3">
        <v>45797</v>
      </c>
      <c r="M26" s="3">
        <f>L26+10</f>
        <v>45807</v>
      </c>
      <c r="N26" s="3">
        <v>45793</v>
      </c>
      <c r="O26" s="3">
        <f>N26+18</f>
        <v>45811</v>
      </c>
      <c r="V26" s="3">
        <f>K26+17</f>
        <v>45800</v>
      </c>
    </row>
    <row r="27" spans="1:36" x14ac:dyDescent="0.25">
      <c r="A27" t="s">
        <v>124</v>
      </c>
      <c r="B27" t="s">
        <v>72</v>
      </c>
      <c r="C27" s="73" t="s">
        <v>127</v>
      </c>
      <c r="E27" t="s">
        <v>115</v>
      </c>
      <c r="H27" t="s">
        <v>105</v>
      </c>
      <c r="I27">
        <v>3041</v>
      </c>
      <c r="J27" s="3">
        <v>45776</v>
      </c>
      <c r="K27" s="3">
        <f>J27+8</f>
        <v>45784</v>
      </c>
      <c r="L27" s="3">
        <v>45794</v>
      </c>
      <c r="M27" s="3">
        <f>L27+13</f>
        <v>45807</v>
      </c>
      <c r="N27" s="3">
        <v>45717</v>
      </c>
      <c r="O27" s="3">
        <v>45755</v>
      </c>
      <c r="P27" s="3">
        <v>45737</v>
      </c>
      <c r="Q27" s="3">
        <v>45740</v>
      </c>
      <c r="V27" s="3">
        <f>K27+19</f>
        <v>45803</v>
      </c>
    </row>
    <row r="28" spans="1:36" x14ac:dyDescent="0.25">
      <c r="A28" t="s">
        <v>110</v>
      </c>
      <c r="B28" t="s">
        <v>72</v>
      </c>
      <c r="C28" s="73" t="s">
        <v>131</v>
      </c>
      <c r="E28" t="s">
        <v>74</v>
      </c>
      <c r="H28" t="s">
        <v>75</v>
      </c>
      <c r="I28">
        <v>350</v>
      </c>
      <c r="J28" s="3">
        <v>45778</v>
      </c>
      <c r="K28" s="3">
        <f>J28+8</f>
        <v>45786</v>
      </c>
      <c r="L28" s="3">
        <v>45803</v>
      </c>
      <c r="M28" s="3">
        <f>L28+10</f>
        <v>45813</v>
      </c>
      <c r="N28" s="3">
        <v>45804</v>
      </c>
      <c r="O28" s="3">
        <f>N28+20</f>
        <v>45824</v>
      </c>
      <c r="V28" s="3">
        <f>K28+20</f>
        <v>45806</v>
      </c>
    </row>
    <row r="29" spans="1:36" x14ac:dyDescent="0.25">
      <c r="B29" t="s">
        <v>72</v>
      </c>
      <c r="C29" s="73" t="s">
        <v>133</v>
      </c>
      <c r="E29" t="s">
        <v>74</v>
      </c>
      <c r="H29" t="s">
        <v>75</v>
      </c>
      <c r="I29">
        <v>371</v>
      </c>
      <c r="J29" s="3">
        <v>45779</v>
      </c>
      <c r="K29" s="3">
        <f>J29+4</f>
        <v>45783</v>
      </c>
      <c r="L29" s="3">
        <v>45734</v>
      </c>
      <c r="M29" s="3">
        <v>45740</v>
      </c>
      <c r="N29" s="3">
        <v>45746</v>
      </c>
      <c r="O29" s="3">
        <f>N29+21</f>
        <v>45767</v>
      </c>
      <c r="P29" s="3">
        <v>45734</v>
      </c>
      <c r="V29" s="3">
        <f>K29+10</f>
        <v>45793</v>
      </c>
    </row>
    <row r="30" spans="1:36" x14ac:dyDescent="0.25">
      <c r="A30" t="s">
        <v>101</v>
      </c>
      <c r="B30" t="s">
        <v>139</v>
      </c>
      <c r="C30" s="73" t="s">
        <v>142</v>
      </c>
      <c r="E30" t="s">
        <v>74</v>
      </c>
      <c r="H30" t="s">
        <v>84</v>
      </c>
      <c r="I30">
        <v>1</v>
      </c>
      <c r="J30" s="3">
        <v>45782</v>
      </c>
      <c r="L30" s="3">
        <v>45748</v>
      </c>
      <c r="M30" s="3">
        <f>L30+5</f>
        <v>45753</v>
      </c>
      <c r="N30" s="3">
        <v>45766</v>
      </c>
      <c r="O30" s="3">
        <f>N30+21</f>
        <v>45787</v>
      </c>
    </row>
    <row r="31" spans="1:36" x14ac:dyDescent="0.25">
      <c r="A31" t="s">
        <v>124</v>
      </c>
      <c r="B31" t="s">
        <v>139</v>
      </c>
      <c r="C31" t="s">
        <v>143</v>
      </c>
      <c r="E31" t="s">
        <v>115</v>
      </c>
      <c r="H31" t="s">
        <v>75</v>
      </c>
      <c r="I31">
        <v>310</v>
      </c>
      <c r="J31" s="3">
        <v>45783</v>
      </c>
      <c r="K31" s="3">
        <f>J31+7</f>
        <v>45790</v>
      </c>
      <c r="L31" s="3">
        <v>45755</v>
      </c>
      <c r="M31" s="3">
        <v>45762</v>
      </c>
      <c r="N31" s="3">
        <v>45755</v>
      </c>
      <c r="O31" s="3">
        <v>45762</v>
      </c>
      <c r="P31" s="3">
        <v>45755</v>
      </c>
      <c r="Q31" s="3">
        <v>45769</v>
      </c>
      <c r="S31" s="3">
        <v>45769</v>
      </c>
      <c r="V31" s="3">
        <f>K31+18</f>
        <v>45808</v>
      </c>
    </row>
    <row r="32" spans="1:36" x14ac:dyDescent="0.25">
      <c r="A32" t="s">
        <v>110</v>
      </c>
      <c r="B32" t="s">
        <v>72</v>
      </c>
      <c r="C32" t="s">
        <v>144</v>
      </c>
      <c r="E32" t="s">
        <v>115</v>
      </c>
      <c r="H32" t="s">
        <v>75</v>
      </c>
      <c r="I32">
        <v>500</v>
      </c>
      <c r="J32" s="3">
        <v>45784</v>
      </c>
      <c r="K32" s="3">
        <f>J32+8</f>
        <v>45792</v>
      </c>
      <c r="L32" s="3">
        <v>45754</v>
      </c>
      <c r="M32" s="3">
        <v>45762</v>
      </c>
      <c r="N32" s="3">
        <v>45762</v>
      </c>
      <c r="O32" s="3">
        <v>45763</v>
      </c>
      <c r="P32" s="3">
        <v>45754</v>
      </c>
      <c r="Q32" s="3">
        <v>45793</v>
      </c>
      <c r="S32" s="3">
        <v>45769</v>
      </c>
      <c r="V32" s="3">
        <f>K32+7</f>
        <v>45799</v>
      </c>
    </row>
    <row r="33" spans="1:36" x14ac:dyDescent="0.25">
      <c r="A33" t="s">
        <v>101</v>
      </c>
      <c r="B33" t="s">
        <v>139</v>
      </c>
      <c r="C33" s="78" t="s">
        <v>154</v>
      </c>
      <c r="E33" t="s">
        <v>79</v>
      </c>
      <c r="H33" t="s">
        <v>103</v>
      </c>
      <c r="I33">
        <v>1</v>
      </c>
      <c r="J33" s="3">
        <v>45788</v>
      </c>
      <c r="K33" s="3">
        <f>J33+16</f>
        <v>45804</v>
      </c>
      <c r="L33" s="3">
        <v>45758</v>
      </c>
      <c r="M33" s="3">
        <f>L33+11</f>
        <v>45769</v>
      </c>
      <c r="N33" s="3">
        <v>45758</v>
      </c>
      <c r="O33" s="3">
        <f>N33+23</f>
        <v>45781</v>
      </c>
      <c r="P33" s="3">
        <v>45758</v>
      </c>
      <c r="V33" s="3">
        <f>K33+6</f>
        <v>45810</v>
      </c>
    </row>
    <row r="34" spans="1:36" x14ac:dyDescent="0.25">
      <c r="A34" t="s">
        <v>148</v>
      </c>
      <c r="B34" t="s">
        <v>25</v>
      </c>
      <c r="C34" t="s">
        <v>159</v>
      </c>
      <c r="E34" t="s">
        <v>74</v>
      </c>
      <c r="H34" t="s">
        <v>75</v>
      </c>
      <c r="I34">
        <v>313</v>
      </c>
      <c r="J34" s="3">
        <v>45790</v>
      </c>
      <c r="K34" s="3">
        <f>J34+16</f>
        <v>45806</v>
      </c>
      <c r="L34" s="3">
        <v>45775</v>
      </c>
      <c r="M34" s="3">
        <v>45783</v>
      </c>
      <c r="N34" s="3">
        <v>45775</v>
      </c>
      <c r="O34" s="3">
        <v>45786</v>
      </c>
      <c r="P34" s="3">
        <v>45775</v>
      </c>
      <c r="Q34" s="3">
        <v>45783</v>
      </c>
      <c r="V34" s="3">
        <f>K34+13</f>
        <v>45819</v>
      </c>
    </row>
    <row r="35" spans="1:36" x14ac:dyDescent="0.25">
      <c r="A35" t="s">
        <v>101</v>
      </c>
      <c r="B35" t="s">
        <v>173</v>
      </c>
      <c r="C35" t="s">
        <v>174</v>
      </c>
      <c r="E35" t="s">
        <v>74</v>
      </c>
      <c r="H35" t="s">
        <v>105</v>
      </c>
      <c r="I35">
        <v>54</v>
      </c>
      <c r="J35" s="3">
        <v>45794</v>
      </c>
      <c r="K35" s="3">
        <f>J35+20</f>
        <v>45814</v>
      </c>
      <c r="L35" s="3">
        <v>45769</v>
      </c>
      <c r="M35" s="3">
        <f>L35+7</f>
        <v>45776</v>
      </c>
      <c r="N35" s="3">
        <v>45778</v>
      </c>
      <c r="O35" s="3">
        <f>N35+21</f>
        <v>45799</v>
      </c>
      <c r="P35" s="3">
        <v>45769</v>
      </c>
      <c r="Q35" s="3">
        <v>45770</v>
      </c>
      <c r="V35" s="3">
        <f>K35+19</f>
        <v>45833</v>
      </c>
    </row>
    <row r="36" spans="1:36" x14ac:dyDescent="0.25">
      <c r="A36" t="s">
        <v>161</v>
      </c>
      <c r="B36" t="s">
        <v>139</v>
      </c>
      <c r="C36" t="s">
        <v>177</v>
      </c>
      <c r="E36" t="s">
        <v>74</v>
      </c>
      <c r="H36" t="s">
        <v>84</v>
      </c>
      <c r="I36">
        <v>457</v>
      </c>
      <c r="J36" s="3">
        <v>45795</v>
      </c>
      <c r="K36" s="3">
        <f>J36+21</f>
        <v>45816</v>
      </c>
      <c r="L36" s="3">
        <v>45748</v>
      </c>
      <c r="M36" s="3">
        <f>L36+9</f>
        <v>45757</v>
      </c>
      <c r="N36" s="3">
        <v>45781</v>
      </c>
      <c r="O36" s="3">
        <f>N36+20</f>
        <v>45801</v>
      </c>
      <c r="P36" s="3">
        <v>45748</v>
      </c>
      <c r="V36" s="3">
        <f>K36+17</f>
        <v>45833</v>
      </c>
    </row>
    <row r="37" spans="1:36" x14ac:dyDescent="0.25">
      <c r="A37" t="s">
        <v>179</v>
      </c>
      <c r="B37" t="s">
        <v>162</v>
      </c>
      <c r="C37" t="s">
        <v>180</v>
      </c>
      <c r="E37" t="s">
        <v>74</v>
      </c>
      <c r="H37" t="s">
        <v>105</v>
      </c>
      <c r="I37">
        <v>888</v>
      </c>
      <c r="J37" s="3">
        <v>45796</v>
      </c>
      <c r="K37" s="3">
        <f>J37+15</f>
        <v>45811</v>
      </c>
      <c r="L37" t="s">
        <v>106</v>
      </c>
      <c r="M37" t="s">
        <v>106</v>
      </c>
      <c r="N37" t="s">
        <v>106</v>
      </c>
      <c r="O37" t="s">
        <v>106</v>
      </c>
      <c r="P37" s="3">
        <v>45798</v>
      </c>
      <c r="V37" s="3">
        <f>K37+17</f>
        <v>45828</v>
      </c>
    </row>
    <row r="38" spans="1:36" x14ac:dyDescent="0.25">
      <c r="A38" t="s">
        <v>179</v>
      </c>
      <c r="B38" t="s">
        <v>162</v>
      </c>
      <c r="C38" t="s">
        <v>182</v>
      </c>
      <c r="E38" t="s">
        <v>74</v>
      </c>
      <c r="H38" t="s">
        <v>75</v>
      </c>
      <c r="I38">
        <v>230</v>
      </c>
      <c r="J38" s="3">
        <v>45797</v>
      </c>
      <c r="K38" s="3">
        <f>J38+21</f>
        <v>45818</v>
      </c>
      <c r="L38" s="3">
        <v>45786</v>
      </c>
      <c r="M38" s="3">
        <v>45799</v>
      </c>
      <c r="N38" s="3">
        <v>45786</v>
      </c>
      <c r="O38" s="3">
        <v>45790</v>
      </c>
      <c r="P38" s="3">
        <v>45786</v>
      </c>
      <c r="V38" s="3">
        <f>K38+18</f>
        <v>45836</v>
      </c>
    </row>
    <row r="39" spans="1:36" x14ac:dyDescent="0.25">
      <c r="A39" t="s">
        <v>179</v>
      </c>
      <c r="B39" t="s">
        <v>162</v>
      </c>
      <c r="C39" t="s">
        <v>184</v>
      </c>
      <c r="E39" t="s">
        <v>74</v>
      </c>
      <c r="H39" t="s">
        <v>103</v>
      </c>
      <c r="I39">
        <v>92</v>
      </c>
      <c r="J39" s="3">
        <v>45798</v>
      </c>
      <c r="K39" s="3">
        <f>J39+11</f>
        <v>45809</v>
      </c>
      <c r="L39" s="3">
        <v>45800</v>
      </c>
      <c r="M39" s="3">
        <f>L39+8</f>
        <v>45808</v>
      </c>
      <c r="N39" t="s">
        <v>106</v>
      </c>
      <c r="O39" t="s">
        <v>106</v>
      </c>
      <c r="V39" s="3">
        <f>K39+17</f>
        <v>45826</v>
      </c>
    </row>
    <row r="40" spans="1:36" x14ac:dyDescent="0.25">
      <c r="A40" t="s">
        <v>187</v>
      </c>
      <c r="B40" t="s">
        <v>162</v>
      </c>
      <c r="C40" t="s">
        <v>188</v>
      </c>
      <c r="E40" t="s">
        <v>74</v>
      </c>
      <c r="H40" t="s">
        <v>105</v>
      </c>
      <c r="J40" s="3">
        <v>45799</v>
      </c>
      <c r="K40" s="3">
        <f>J40+21</f>
        <v>45820</v>
      </c>
      <c r="L40" s="3">
        <v>45805</v>
      </c>
      <c r="M40" s="3">
        <v>45807</v>
      </c>
      <c r="N40" s="3">
        <v>45805</v>
      </c>
      <c r="O40" s="3">
        <f>N40+20</f>
        <v>45825</v>
      </c>
      <c r="P40" s="3">
        <v>45805</v>
      </c>
      <c r="V40" s="3">
        <f>K40+20</f>
        <v>45840</v>
      </c>
    </row>
    <row r="41" spans="1:36" x14ac:dyDescent="0.25">
      <c r="A41" t="s">
        <v>179</v>
      </c>
      <c r="B41" t="s">
        <v>162</v>
      </c>
      <c r="C41" t="s">
        <v>190</v>
      </c>
      <c r="E41" t="s">
        <v>74</v>
      </c>
      <c r="H41" t="s">
        <v>75</v>
      </c>
      <c r="I41">
        <v>300</v>
      </c>
      <c r="J41" s="3">
        <v>45800</v>
      </c>
      <c r="K41" s="3">
        <f>J41+16</f>
        <v>45816</v>
      </c>
      <c r="L41" s="3">
        <v>45806</v>
      </c>
      <c r="M41" s="3">
        <v>45810</v>
      </c>
      <c r="N41" s="3">
        <v>45806</v>
      </c>
      <c r="O41" s="3">
        <f>N41+22</f>
        <v>45828</v>
      </c>
      <c r="P41" s="3">
        <v>45806</v>
      </c>
      <c r="V41" s="3">
        <f>K41+1</f>
        <v>45817</v>
      </c>
    </row>
    <row r="42" spans="1:36" x14ac:dyDescent="0.25">
      <c r="A42" t="s">
        <v>161</v>
      </c>
      <c r="B42" t="s">
        <v>162</v>
      </c>
      <c r="C42" t="s">
        <v>192</v>
      </c>
      <c r="E42" t="s">
        <v>79</v>
      </c>
      <c r="H42" t="s">
        <v>164</v>
      </c>
      <c r="I42" t="s">
        <v>193</v>
      </c>
      <c r="J42" s="3">
        <v>45801</v>
      </c>
      <c r="K42" s="3">
        <f>J42+11</f>
        <v>45812</v>
      </c>
      <c r="L42" s="3" t="s">
        <v>106</v>
      </c>
      <c r="V42" s="3">
        <f>K42+16</f>
        <v>45828</v>
      </c>
    </row>
    <row r="43" spans="1:36" x14ac:dyDescent="0.25">
      <c r="B43" t="s">
        <v>173</v>
      </c>
      <c r="C43" t="s">
        <v>195</v>
      </c>
      <c r="E43" t="s">
        <v>115</v>
      </c>
      <c r="H43" t="s">
        <v>105</v>
      </c>
      <c r="J43" s="3">
        <v>45802</v>
      </c>
      <c r="K43" s="3">
        <f>J43+21</f>
        <v>45823</v>
      </c>
      <c r="L43" s="3">
        <v>45826</v>
      </c>
      <c r="M43" s="3">
        <f>L43+11</f>
        <v>45837</v>
      </c>
      <c r="N43" s="3">
        <v>45839</v>
      </c>
      <c r="O43" s="3">
        <v>45848</v>
      </c>
      <c r="V43" s="3">
        <f>K43+16</f>
        <v>45839</v>
      </c>
    </row>
    <row r="44" spans="1:36" x14ac:dyDescent="0.25">
      <c r="B44" t="s">
        <v>72</v>
      </c>
      <c r="C44" t="s">
        <v>78</v>
      </c>
      <c r="E44" t="s">
        <v>79</v>
      </c>
      <c r="F44" s="1"/>
      <c r="H44" t="s">
        <v>80</v>
      </c>
      <c r="I44">
        <v>419</v>
      </c>
      <c r="J44" s="3">
        <v>45760</v>
      </c>
      <c r="K44" s="2">
        <f>J44+10</f>
        <v>45770</v>
      </c>
      <c r="L44" s="2">
        <v>45776</v>
      </c>
      <c r="M44" s="2">
        <f>L44+5</f>
        <v>45781</v>
      </c>
      <c r="N44" s="2">
        <v>45780</v>
      </c>
      <c r="O44" s="2">
        <v>45807</v>
      </c>
      <c r="P44" s="2"/>
      <c r="Q44" s="2"/>
      <c r="R44" s="3">
        <v>45778</v>
      </c>
      <c r="S44" s="3">
        <v>45779</v>
      </c>
      <c r="V44" s="3">
        <f>K44+30</f>
        <v>45800</v>
      </c>
      <c r="Y44" s="3">
        <v>45803</v>
      </c>
      <c r="Z44" s="3">
        <v>45828</v>
      </c>
      <c r="AA44" s="3">
        <v>45383</v>
      </c>
      <c r="AB44" s="3">
        <v>45750</v>
      </c>
      <c r="AC44" s="3">
        <v>45748</v>
      </c>
      <c r="AD44" s="3">
        <v>45756</v>
      </c>
      <c r="AE44" s="3">
        <v>45757</v>
      </c>
      <c r="AF44" s="3">
        <v>45777</v>
      </c>
      <c r="AG44" s="3">
        <v>45786</v>
      </c>
      <c r="AH44" s="3">
        <v>45787</v>
      </c>
      <c r="AI44" s="3">
        <v>45931</v>
      </c>
      <c r="AJ44" s="3">
        <v>45944</v>
      </c>
    </row>
    <row r="45" spans="1:36" x14ac:dyDescent="0.25">
      <c r="B45" t="s">
        <v>72</v>
      </c>
      <c r="C45" t="s">
        <v>90</v>
      </c>
      <c r="E45" t="s">
        <v>74</v>
      </c>
      <c r="F45" s="1"/>
      <c r="H45" t="s">
        <v>84</v>
      </c>
      <c r="I45">
        <v>273</v>
      </c>
      <c r="J45" s="3">
        <v>45763</v>
      </c>
      <c r="K45" s="2">
        <f>J45+11</f>
        <v>45774</v>
      </c>
      <c r="L45" s="2">
        <v>45785</v>
      </c>
      <c r="M45" s="2">
        <f>L45+6</f>
        <v>45791</v>
      </c>
      <c r="N45" s="2">
        <v>45790</v>
      </c>
      <c r="O45" s="2">
        <v>45809</v>
      </c>
      <c r="P45" s="2"/>
      <c r="Q45" s="2"/>
      <c r="V45" s="3">
        <f>K45+30</f>
        <v>45804</v>
      </c>
      <c r="Y45" s="3">
        <v>45839</v>
      </c>
      <c r="Z45" s="3">
        <v>45840</v>
      </c>
      <c r="AA45" s="3">
        <v>45870</v>
      </c>
      <c r="AB45" s="3">
        <v>45871</v>
      </c>
      <c r="AH45" s="3">
        <v>45748</v>
      </c>
      <c r="AI45" s="3">
        <f>AH45+110</f>
        <v>45858</v>
      </c>
    </row>
    <row r="46" spans="1:36" x14ac:dyDescent="0.25">
      <c r="B46" t="s">
        <v>72</v>
      </c>
      <c r="C46" s="73" t="s">
        <v>104</v>
      </c>
      <c r="E46" s="73" t="s">
        <v>79</v>
      </c>
      <c r="F46" s="1"/>
      <c r="H46" t="s">
        <v>105</v>
      </c>
      <c r="I46" t="s">
        <v>106</v>
      </c>
      <c r="J46" s="3">
        <v>45768</v>
      </c>
      <c r="K46" s="2">
        <f>J46+8</f>
        <v>45776</v>
      </c>
      <c r="L46" s="2">
        <v>45788</v>
      </c>
      <c r="M46" s="2">
        <f>L46+13</f>
        <v>45801</v>
      </c>
      <c r="N46" s="2">
        <v>45795</v>
      </c>
      <c r="O46" s="2">
        <v>45808</v>
      </c>
      <c r="P46" s="2"/>
      <c r="Q46" s="2"/>
      <c r="V46" s="3">
        <f>K46+30</f>
        <v>45806</v>
      </c>
    </row>
    <row r="47" spans="1:36" x14ac:dyDescent="0.25">
      <c r="A47" t="s">
        <v>101</v>
      </c>
      <c r="B47" t="s">
        <v>72</v>
      </c>
      <c r="C47" s="73" t="s">
        <v>114</v>
      </c>
      <c r="E47" t="s">
        <v>115</v>
      </c>
      <c r="F47" s="1"/>
      <c r="H47" t="s">
        <v>116</v>
      </c>
      <c r="I47">
        <v>450</v>
      </c>
      <c r="J47" s="3">
        <v>45771</v>
      </c>
      <c r="K47" s="2">
        <f>J47+8</f>
        <v>45779</v>
      </c>
      <c r="L47" s="2">
        <v>45787</v>
      </c>
      <c r="M47" s="3">
        <f>L47+12</f>
        <v>45799</v>
      </c>
      <c r="N47" s="2">
        <v>45748</v>
      </c>
      <c r="O47" s="3">
        <v>45764</v>
      </c>
      <c r="P47" s="2"/>
      <c r="V47" s="3">
        <f>K47+31</f>
        <v>45810</v>
      </c>
    </row>
    <row r="48" spans="1:36" x14ac:dyDescent="0.25">
      <c r="B48" t="s">
        <v>72</v>
      </c>
      <c r="C48" t="s">
        <v>94</v>
      </c>
      <c r="E48" t="s">
        <v>74</v>
      </c>
      <c r="F48" s="1"/>
      <c r="H48" t="s">
        <v>84</v>
      </c>
      <c r="I48">
        <v>339</v>
      </c>
      <c r="J48" s="3">
        <v>45764</v>
      </c>
      <c r="K48" s="2">
        <f>J48+17</f>
        <v>45781</v>
      </c>
      <c r="L48" s="2">
        <v>45787</v>
      </c>
      <c r="M48" s="2">
        <f>L48+11</f>
        <v>45798</v>
      </c>
      <c r="N48" s="2">
        <v>45793</v>
      </c>
      <c r="O48" s="2">
        <v>45811</v>
      </c>
      <c r="P48" s="2"/>
      <c r="Q48" s="2"/>
      <c r="V48" s="3">
        <f>K48+26</f>
        <v>45807</v>
      </c>
      <c r="AH48" s="3">
        <v>45691</v>
      </c>
      <c r="AI48" s="3">
        <f>AH48+130</f>
        <v>45821</v>
      </c>
    </row>
    <row r="49" spans="1:36" x14ac:dyDescent="0.25">
      <c r="A49" t="s">
        <v>124</v>
      </c>
      <c r="B49" t="s">
        <v>72</v>
      </c>
      <c r="C49" t="s">
        <v>168</v>
      </c>
      <c r="E49" t="s">
        <v>74</v>
      </c>
      <c r="H49" t="s">
        <v>103</v>
      </c>
      <c r="I49">
        <v>306</v>
      </c>
      <c r="J49" s="3">
        <v>45792</v>
      </c>
      <c r="K49" s="3">
        <f>J49+12</f>
        <v>45804</v>
      </c>
      <c r="L49" s="3">
        <v>45776</v>
      </c>
      <c r="M49" s="3">
        <v>45782</v>
      </c>
      <c r="N49" s="3">
        <v>45776</v>
      </c>
      <c r="O49" s="3">
        <v>45796</v>
      </c>
      <c r="P49" s="3">
        <v>45776</v>
      </c>
      <c r="Q49" s="3">
        <v>45791</v>
      </c>
      <c r="S49" s="79">
        <v>45800</v>
      </c>
      <c r="V49" s="3">
        <f>K49+27</f>
        <v>45831</v>
      </c>
    </row>
    <row r="50" spans="1:36" s="94" customFormat="1" x14ac:dyDescent="0.25">
      <c r="A50" s="94" t="s">
        <v>386</v>
      </c>
      <c r="F50" s="95"/>
      <c r="J50" s="94">
        <f>SUBTOTAL(102,Table4[Receive date])</f>
        <v>46</v>
      </c>
      <c r="K50" s="95"/>
      <c r="L50" s="95"/>
      <c r="M50" s="95">
        <f>SUBTOTAL(102,Table4[ROM Receive])</f>
        <v>44</v>
      </c>
      <c r="N50" s="95"/>
      <c r="O50" s="95">
        <f>SUBTOTAL(102,Table4[Backhaul Cost Receive])</f>
        <v>43</v>
      </c>
      <c r="P50" s="95"/>
      <c r="Q50" s="95">
        <f>SUBTOTAL(102,Table4[OSP Receive])</f>
        <v>14</v>
      </c>
      <c r="S50" s="94">
        <f>SUBTOTAL(102,Table4[FM receive])</f>
        <v>10</v>
      </c>
      <c r="Z50" s="94">
        <f>SUBTOTAL(102,Table4[Final Design &amp; BOM(20 calendar days from site walk)])</f>
        <v>7</v>
      </c>
      <c r="AB50" s="94">
        <f>SUBTOTAL(102,Table4[FM Review3])</f>
        <v>6</v>
      </c>
      <c r="AD50" s="94">
        <f>SUBTOTAL(102,Table4[Tax Approval])</f>
        <v>5</v>
      </c>
      <c r="AE50" s="94">
        <f>SUBTOTAL(102,Table4[Final proposal submission])</f>
        <v>5</v>
      </c>
      <c r="AF50" s="94">
        <f>SUBTOTAL(102,Table4[CAC Presentation (If applicable)])</f>
        <v>5</v>
      </c>
      <c r="AG50" s="94">
        <f>SUBTOTAL(102,Table4[BD submits proposal])</f>
        <v>4</v>
      </c>
      <c r="AI50" s="94">
        <f>SUBTOTAL(102,Table4[Legal agreement])</f>
        <v>9</v>
      </c>
      <c r="AJ50" s="94">
        <f>SUBTOTAL(102,Table4[Executed Agreement])</f>
        <v>4</v>
      </c>
    </row>
  </sheetData>
  <conditionalFormatting sqref="M4:M49">
    <cfRule type="expression" dxfId="83" priority="34" stopIfTrue="1">
      <formula>M4=IF(NETWORKDAYS(L4,M4)&gt;10, M4, 0)</formula>
    </cfRule>
    <cfRule type="expression" dxfId="82" priority="35" stopIfTrue="1">
      <formula>M4=IF(NETWORKDAYS(L4,M4)=10, M4, 0)</formula>
    </cfRule>
    <cfRule type="expression" dxfId="81" priority="36" stopIfTrue="1">
      <formula>M4=IF(NETWORKDAYS(L4,M4)&lt;10, M4, 0)</formula>
    </cfRule>
  </conditionalFormatting>
  <conditionalFormatting sqref="O4:O49">
    <cfRule type="expression" dxfId="80" priority="31" stopIfTrue="1">
      <formula>O4=IF(NETWORKDAYS(N4,O4)&gt;15, O4, 0)</formula>
    </cfRule>
    <cfRule type="expression" dxfId="79" priority="32" stopIfTrue="1">
      <formula>O4=IF(NETWORKDAYS(N4,O4)=15, O4, 0)</formula>
    </cfRule>
    <cfRule type="expression" dxfId="78" priority="33" stopIfTrue="1">
      <formula>O4=IF(NETWORKDAYS(N4,O4)&lt;15, O4, 0)</formula>
    </cfRule>
  </conditionalFormatting>
  <conditionalFormatting sqref="Q4:Q49">
    <cfRule type="expression" dxfId="77" priority="28" stopIfTrue="1">
      <formula>Q4=IF(NETWORKDAYS(P4,Q4)&gt;10, Q4, 0)</formula>
    </cfRule>
    <cfRule type="expression" dxfId="76" priority="29" stopIfTrue="1">
      <formula>"V5=IF(NETWORKDAYS(U5,V5)=10, V5, 0)"</formula>
    </cfRule>
    <cfRule type="expression" dxfId="75" priority="30" stopIfTrue="1">
      <formula>Q4=IF(NETWORKDAYS(P4,Q4)&lt;10, Q4, 0)</formula>
    </cfRule>
  </conditionalFormatting>
  <conditionalFormatting sqref="S4:S49">
    <cfRule type="expression" dxfId="74" priority="25" stopIfTrue="1">
      <formula>S4=IF(NETWORKDAYS(R4,S4)&gt;2, S4, 0)</formula>
    </cfRule>
    <cfRule type="expression" dxfId="73" priority="26" stopIfTrue="1">
      <formula>S4=IF(NETWORKDAYS(R4,S4)=2, S4, 0)</formula>
    </cfRule>
    <cfRule type="expression" dxfId="72" priority="27" stopIfTrue="1">
      <formula>S4=IF(NETWORKDAYS(R4,S4)&lt;2, S4, 0)</formula>
    </cfRule>
  </conditionalFormatting>
  <conditionalFormatting sqref="Z4:Z49">
    <cfRule type="expression" dxfId="71" priority="22" stopIfTrue="1">
      <formula>Z4=IF(NETWORKDAYS(Y4,Z4)&gt;20, Z4, 0)</formula>
    </cfRule>
    <cfRule type="expression" dxfId="70" priority="23" stopIfTrue="1">
      <formula>Z4=IF(NETWORKDAYS(Y4,Z4)=20, Z4, 0)</formula>
    </cfRule>
    <cfRule type="expression" dxfId="69" priority="24" stopIfTrue="1">
      <formula>Z4=IF(NETWORKDAYS(Y4,Z4)&lt;20, Z4, 0)</formula>
    </cfRule>
  </conditionalFormatting>
  <conditionalFormatting sqref="AB4:AB49">
    <cfRule type="expression" dxfId="68" priority="19" stopIfTrue="1">
      <formula>AB4=IF(NETWORKDAYS(AA4,AB4)&gt;2, AB4, 0)</formula>
    </cfRule>
    <cfRule type="expression" dxfId="67" priority="20" stopIfTrue="1">
      <formula>AB4=IF(NETWORKDAYS(AA4,AB4)=2, AB4, 0)</formula>
    </cfRule>
    <cfRule type="expression" dxfId="66" priority="21" stopIfTrue="1">
      <formula>AB4=IF(NETWORKDAYS(AA4,AB4)&lt;2, AB4, 0)</formula>
    </cfRule>
  </conditionalFormatting>
  <conditionalFormatting sqref="AD4:AD49">
    <cfRule type="expression" dxfId="65" priority="16" stopIfTrue="1">
      <formula>AD4=IF(NETWORKDAYS(AC4,AD4)&gt;7, AD4, 0)</formula>
    </cfRule>
    <cfRule type="expression" dxfId="64" priority="17" stopIfTrue="1">
      <formula>AD4=IF(NETWORKDAYS(AC4,AD4)=7, AD4, 0)</formula>
    </cfRule>
    <cfRule type="expression" dxfId="63" priority="18" stopIfTrue="1">
      <formula>AD4=IF(NETWORKDAYS(AC4,AD4)&lt;7, AD4, 0)</formula>
    </cfRule>
  </conditionalFormatting>
  <conditionalFormatting sqref="AE4:AE49">
    <cfRule type="expression" dxfId="62" priority="13" stopIfTrue="1">
      <formula>AE4=IF(NETWORKDAYS(AD4,AE4)&gt;2, AE4, 0)</formula>
    </cfRule>
    <cfRule type="expression" dxfId="61" priority="14" stopIfTrue="1">
      <formula>AE4=IF(NETWORKDAYS(AD4,AE4)=2, AE4, 0)</formula>
    </cfRule>
    <cfRule type="expression" dxfId="60" priority="15" stopIfTrue="1">
      <formula>AE4=IF(NETWORKDAYS(AD4,AE4)&lt;2, AE4, 0)</formula>
    </cfRule>
  </conditionalFormatting>
  <conditionalFormatting sqref="AF4:AF49">
    <cfRule type="expression" dxfId="59" priority="10" stopIfTrue="1">
      <formula>AF4=IF(NETWORKDAYS(AE4,AF4)&gt;10, AF4, 0)</formula>
    </cfRule>
    <cfRule type="expression" dxfId="58" priority="11" stopIfTrue="1">
      <formula>AF4=IF(NETWORKDAYS(AE4,AF4)=10, AF4, 0)</formula>
    </cfRule>
    <cfRule type="expression" dxfId="57" priority="12" stopIfTrue="1">
      <formula>AF4=IF(NETWORKDAYS(AE4,AF4)&lt;10, AF4, 0)</formula>
    </cfRule>
  </conditionalFormatting>
  <conditionalFormatting sqref="AG4:AG49">
    <cfRule type="expression" dxfId="56" priority="7" stopIfTrue="1">
      <formula>AG4=IF(NETWORKDAYS(AF4,AG4)&lt;5, AG4, 0)</formula>
    </cfRule>
    <cfRule type="expression" dxfId="55" priority="8" stopIfTrue="1">
      <formula>AG4=IF(NETWORKDAYS(AF4,AG4)=5, AG4, 0)</formula>
    </cfRule>
    <cfRule type="expression" dxfId="54" priority="9" stopIfTrue="1">
      <formula>AG4=IF(NETWORKDAYS(AF4,AG4)&gt;5, AG4, 0)</formula>
    </cfRule>
  </conditionalFormatting>
  <conditionalFormatting sqref="AI4:AI49">
    <cfRule type="expression" dxfId="53" priority="4" stopIfTrue="1">
      <formula>AI4=IF(NETWORKDAYS(AH4,AI4)&lt;90, AI4, 0)</formula>
    </cfRule>
    <cfRule type="expression" dxfId="52" priority="5" stopIfTrue="1">
      <formula>AI4=IF(NETWORKDAYS(AH4,AI4)=90, AI4, 0)</formula>
    </cfRule>
    <cfRule type="expression" dxfId="51" priority="6" stopIfTrue="1">
      <formula>AI4=IF(NETWORKDAYS(AH4,AI4)&gt;90, AI4, 0)</formula>
    </cfRule>
  </conditionalFormatting>
  <conditionalFormatting sqref="AJ4:AJ49">
    <cfRule type="expression" dxfId="50" priority="1" stopIfTrue="1">
      <formula>AJ4=IF(NETWORKDAYS(AI4,AJ4)&lt;10, AJ4, 0)</formula>
    </cfRule>
    <cfRule type="expression" dxfId="49" priority="2" stopIfTrue="1">
      <formula>AJ4=IF(NETWORKDAYS(AI4,AJ4)=10, AJ4, 0)</formula>
    </cfRule>
    <cfRule type="expression" dxfId="48" priority="3" stopIfTrue="1">
      <formula>AJ4=IF(NETWORKDAYS(AI4,AJ4)&gt;10, AJ4, 0)</formula>
    </cfRule>
  </conditionalFormatting>
  <conditionalFormatting sqref="J4:J49">
    <cfRule type="expression" dxfId="47" priority="37">
      <formula>J4=IF(NETWORKDAYS(K4,V4)=20,J4,0)</formula>
    </cfRule>
    <cfRule type="expression" dxfId="46" priority="38">
      <formula>J4=IF(NETWORKDAYS(K4,V4)&gt;20,J4,0)</formula>
    </cfRule>
    <cfRule type="expression" dxfId="45" priority="39">
      <formula>J4=IF(NETWORKDAYS(K4,V4)&lt;20,J4,0)</formula>
    </cfRule>
  </conditionalFormatting>
  <dataValidations count="4">
    <dataValidation type="list" allowBlank="1" showInputMessage="1" showErrorMessage="1" sqref="G6:G42" xr:uid="{A3BE01FC-AFA4-4DD9-B36B-CA760232F8A5}">
      <formula1>"Prel Review, In Design, In FM, Review FM, On Hold, Proposal Out, Dead"</formula1>
    </dataValidation>
    <dataValidation allowBlank="1" showInputMessage="1" showErrorMessage="1" sqref="H16:I44 H6:I6 H48:I48" xr:uid="{36E3663B-F817-4057-84AD-3A6EC79139D8}"/>
    <dataValidation type="date" allowBlank="1" showInputMessage="1" showErrorMessage="1" sqref="L1:S49 W51:W54 M51:T54 J51:J54 J1:J49 V1 V3:V49" xr:uid="{772E4638-2D61-4F1C-9AAF-363846588AEB}">
      <formula1>1</formula1>
      <formula2>64284</formula2>
    </dataValidation>
    <dataValidation type="list" allowBlank="1" showInputMessage="1" showErrorMessage="1" sqref="B1:B49 B51:B54" xr:uid="{043B508B-7173-47EF-8896-F1B4020E09C3}">
      <formula1>"Gathering Requirement, In Design, FM Request, Completed, On Hold"</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9B30C-8939-435F-B726-0E3899622C5E}">
  <dimension ref="A1:AD53"/>
  <sheetViews>
    <sheetView workbookViewId="0">
      <selection activeCell="C20" sqref="C20"/>
    </sheetView>
  </sheetViews>
  <sheetFormatPr defaultRowHeight="15" x14ac:dyDescent="0.25"/>
  <cols>
    <col min="1" max="1" width="19.7109375" customWidth="1"/>
    <col min="2" max="2" width="50.5703125" bestFit="1" customWidth="1"/>
    <col min="4" max="4" width="14.7109375" customWidth="1"/>
    <col min="5" max="5" width="14" customWidth="1"/>
    <col min="6" max="6" width="17.140625" customWidth="1"/>
    <col min="7" max="7" width="17.85546875" customWidth="1"/>
    <col min="8" max="8" width="19" customWidth="1"/>
    <col min="9" max="9" width="21.5703125" customWidth="1"/>
    <col min="10" max="10" width="14.140625" customWidth="1"/>
    <col min="11" max="11" width="18.5703125" customWidth="1"/>
    <col min="12" max="12" width="14.140625" customWidth="1"/>
    <col min="13" max="13" width="15.5703125" customWidth="1"/>
    <col min="14" max="14" width="14.140625" customWidth="1"/>
    <col min="15" max="15" width="15" customWidth="1"/>
    <col min="16" max="16" width="19.42578125" customWidth="1"/>
    <col min="17" max="17" width="20.85546875" customWidth="1"/>
    <col min="18" max="18" width="19" customWidth="1"/>
    <col min="19" max="19" width="23.5703125" customWidth="1"/>
    <col min="20" max="20" width="17.7109375" customWidth="1"/>
    <col min="21" max="21" width="17.5703125" customWidth="1"/>
    <col min="22" max="22" width="22.140625" customWidth="1"/>
    <col min="23" max="23" width="28" bestFit="1" customWidth="1"/>
    <col min="24" max="24" width="26.42578125" customWidth="1"/>
    <col min="25" max="25" width="23.42578125" customWidth="1"/>
    <col min="26" max="26" width="24.5703125" customWidth="1"/>
    <col min="27" max="27" width="67.85546875" bestFit="1" customWidth="1"/>
    <col min="28" max="28" width="12.85546875" customWidth="1"/>
    <col min="29" max="30" width="15.5703125" customWidth="1"/>
  </cols>
  <sheetData>
    <row r="1" spans="1:30" ht="20.25" customHeight="1" x14ac:dyDescent="0.25">
      <c r="A1" s="184" t="s">
        <v>1</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row>
    <row r="2" spans="1:30" ht="44.25" customHeight="1" x14ac:dyDescent="0.25">
      <c r="A2" s="96" t="s">
        <v>42</v>
      </c>
      <c r="B2" s="96" t="s">
        <v>43</v>
      </c>
      <c r="C2" s="96" t="s">
        <v>44</v>
      </c>
      <c r="D2" s="97" t="s">
        <v>45</v>
      </c>
      <c r="E2" s="97" t="s">
        <v>46</v>
      </c>
      <c r="F2" s="97" t="s">
        <v>47</v>
      </c>
      <c r="G2" s="97" t="s">
        <v>48</v>
      </c>
      <c r="H2" s="97" t="s">
        <v>49</v>
      </c>
      <c r="I2" s="97" t="s">
        <v>50</v>
      </c>
      <c r="J2" s="97" t="s">
        <v>51</v>
      </c>
      <c r="K2" s="96" t="s">
        <v>52</v>
      </c>
      <c r="L2" s="96" t="s">
        <v>53</v>
      </c>
      <c r="M2" s="96" t="s">
        <v>54</v>
      </c>
      <c r="N2" s="96" t="s">
        <v>55</v>
      </c>
      <c r="O2" s="96" t="s">
        <v>56</v>
      </c>
      <c r="P2" s="96" t="s">
        <v>57</v>
      </c>
      <c r="Q2" s="96" t="s">
        <v>58</v>
      </c>
      <c r="R2" s="96" t="s">
        <v>59</v>
      </c>
      <c r="S2" s="96" t="s">
        <v>60</v>
      </c>
      <c r="T2" s="96" t="s">
        <v>61</v>
      </c>
      <c r="U2" s="96" t="s">
        <v>62</v>
      </c>
      <c r="V2" s="96" t="s">
        <v>63</v>
      </c>
      <c r="W2" s="98" t="s">
        <v>387</v>
      </c>
      <c r="X2" s="96" t="s">
        <v>388</v>
      </c>
      <c r="Y2" s="96" t="s">
        <v>66</v>
      </c>
      <c r="Z2" s="96" t="s">
        <v>67</v>
      </c>
      <c r="AA2" s="96" t="s">
        <v>68</v>
      </c>
      <c r="AB2" s="96" t="s">
        <v>69</v>
      </c>
      <c r="AC2" s="96" t="s">
        <v>70</v>
      </c>
      <c r="AD2" s="96" t="s">
        <v>71</v>
      </c>
    </row>
    <row r="3" spans="1:30" x14ac:dyDescent="0.25">
      <c r="A3" t="s">
        <v>91</v>
      </c>
      <c r="B3" t="s">
        <v>97</v>
      </c>
      <c r="I3" s="3">
        <v>45658</v>
      </c>
      <c r="J3" s="3">
        <v>45717</v>
      </c>
      <c r="L3" s="3"/>
      <c r="M3" s="3"/>
      <c r="R3" s="3"/>
      <c r="S3" s="3"/>
      <c r="U3" s="3"/>
      <c r="V3" s="3"/>
      <c r="AA3" t="s">
        <v>98</v>
      </c>
    </row>
    <row r="4" spans="1:30" x14ac:dyDescent="0.25">
      <c r="A4" t="s">
        <v>91</v>
      </c>
      <c r="B4" t="s">
        <v>121</v>
      </c>
      <c r="L4" s="3"/>
      <c r="M4" s="3"/>
      <c r="O4" s="3"/>
      <c r="Q4" s="3">
        <v>45807</v>
      </c>
      <c r="R4" s="3"/>
      <c r="S4" s="3"/>
      <c r="U4" s="3"/>
      <c r="V4" s="3"/>
    </row>
    <row r="5" spans="1:30" x14ac:dyDescent="0.25">
      <c r="A5" t="s">
        <v>91</v>
      </c>
      <c r="B5" t="s">
        <v>130</v>
      </c>
      <c r="D5" s="3">
        <v>45706</v>
      </c>
      <c r="L5" s="3">
        <v>45736</v>
      </c>
      <c r="M5" s="3"/>
      <c r="O5" s="3">
        <v>45744</v>
      </c>
      <c r="Q5" s="3">
        <v>45807</v>
      </c>
      <c r="R5" s="3"/>
      <c r="S5" s="3"/>
      <c r="U5" s="3"/>
      <c r="V5" s="3"/>
    </row>
    <row r="6" spans="1:30" x14ac:dyDescent="0.25">
      <c r="A6" t="s">
        <v>91</v>
      </c>
      <c r="B6" t="s">
        <v>137</v>
      </c>
      <c r="L6" s="3"/>
      <c r="M6" s="3"/>
      <c r="R6" s="3"/>
      <c r="S6" s="3"/>
      <c r="U6" s="3"/>
      <c r="V6" s="3"/>
      <c r="AA6" t="s">
        <v>138</v>
      </c>
    </row>
    <row r="7" spans="1:30" x14ac:dyDescent="0.25">
      <c r="A7" t="s">
        <v>91</v>
      </c>
      <c r="B7" t="s">
        <v>141</v>
      </c>
      <c r="L7" s="3"/>
      <c r="M7" s="3"/>
      <c r="R7" s="3"/>
      <c r="S7" s="3"/>
      <c r="U7" s="3"/>
      <c r="V7" s="3"/>
      <c r="AA7" t="s">
        <v>138</v>
      </c>
    </row>
    <row r="8" spans="1:30" x14ac:dyDescent="0.25">
      <c r="A8" t="s">
        <v>76</v>
      </c>
      <c r="B8" t="s">
        <v>147</v>
      </c>
      <c r="L8" s="3"/>
      <c r="M8" s="3"/>
      <c r="R8" s="3"/>
      <c r="S8" s="3"/>
      <c r="U8" s="3"/>
      <c r="V8" s="3"/>
      <c r="AA8" t="s">
        <v>98</v>
      </c>
    </row>
    <row r="9" spans="1:30" x14ac:dyDescent="0.25">
      <c r="A9" t="s">
        <v>76</v>
      </c>
      <c r="B9" t="s">
        <v>150</v>
      </c>
      <c r="L9" s="3"/>
      <c r="M9" s="3"/>
      <c r="R9" s="3">
        <v>45194</v>
      </c>
      <c r="S9" s="3">
        <v>45364</v>
      </c>
      <c r="U9" s="3">
        <v>45364</v>
      </c>
      <c r="V9" s="3">
        <v>45364</v>
      </c>
      <c r="AA9" t="s">
        <v>151</v>
      </c>
    </row>
    <row r="10" spans="1:30" x14ac:dyDescent="0.25">
      <c r="A10" t="s">
        <v>91</v>
      </c>
      <c r="B10" t="s">
        <v>153</v>
      </c>
      <c r="L10" s="3">
        <v>45804</v>
      </c>
      <c r="M10" s="3"/>
      <c r="N10" s="3">
        <v>45804</v>
      </c>
      <c r="O10" s="3">
        <v>45819</v>
      </c>
      <c r="R10" s="3"/>
      <c r="S10" s="3"/>
      <c r="U10" s="3"/>
      <c r="V10" s="3"/>
      <c r="AA10" t="s">
        <v>93</v>
      </c>
    </row>
    <row r="11" spans="1:30" x14ac:dyDescent="0.25">
      <c r="A11" t="s">
        <v>91</v>
      </c>
      <c r="B11" t="s">
        <v>157</v>
      </c>
      <c r="L11" s="3"/>
      <c r="M11" s="3"/>
      <c r="R11" s="3"/>
      <c r="S11" s="3"/>
      <c r="U11" s="3"/>
      <c r="V11" s="3"/>
      <c r="AA11" t="s">
        <v>158</v>
      </c>
    </row>
    <row r="12" spans="1:30" x14ac:dyDescent="0.25">
      <c r="A12" t="s">
        <v>76</v>
      </c>
      <c r="B12" t="s">
        <v>166</v>
      </c>
      <c r="L12" s="3"/>
      <c r="M12" s="3"/>
      <c r="R12" s="3"/>
      <c r="S12" s="3"/>
      <c r="U12" s="3"/>
      <c r="V12" s="3"/>
      <c r="AA12" t="s">
        <v>167</v>
      </c>
    </row>
    <row r="13" spans="1:30" x14ac:dyDescent="0.25">
      <c r="A13" t="s">
        <v>91</v>
      </c>
      <c r="B13" t="s">
        <v>172</v>
      </c>
      <c r="L13" s="3"/>
      <c r="M13" s="3"/>
      <c r="R13" s="3"/>
      <c r="S13" s="3"/>
      <c r="U13" s="3"/>
      <c r="V13" s="3"/>
    </row>
    <row r="14" spans="1:30" x14ac:dyDescent="0.25">
      <c r="F14" s="3">
        <v>45778</v>
      </c>
      <c r="G14" s="3">
        <v>45784</v>
      </c>
      <c r="I14" s="3">
        <v>45689</v>
      </c>
      <c r="J14" s="3">
        <v>45694</v>
      </c>
      <c r="P14" s="3">
        <v>45662</v>
      </c>
      <c r="Q14" s="3">
        <v>45666</v>
      </c>
      <c r="U14" s="3">
        <v>45691</v>
      </c>
      <c r="V14" s="3">
        <f>U14+18</f>
        <v>45709</v>
      </c>
      <c r="W14" s="3">
        <f>V14+18</f>
        <v>45727</v>
      </c>
      <c r="X14" s="3">
        <f>W14+18</f>
        <v>45745</v>
      </c>
      <c r="Y14" s="3">
        <f>X14+30</f>
        <v>45775</v>
      </c>
      <c r="Z14" s="3">
        <f>Y14+9</f>
        <v>45784</v>
      </c>
      <c r="AA14" s="3">
        <v>45693</v>
      </c>
      <c r="AB14" s="3">
        <f>AA14+1</f>
        <v>45694</v>
      </c>
      <c r="AC14" s="3">
        <f>AB14+2</f>
        <v>45696</v>
      </c>
      <c r="AD14" s="3">
        <f>AB14+9</f>
        <v>45703</v>
      </c>
    </row>
    <row r="15" spans="1:30" x14ac:dyDescent="0.25">
      <c r="D15" s="3">
        <v>45660</v>
      </c>
      <c r="E15" s="3">
        <v>45673</v>
      </c>
      <c r="F15" s="3">
        <v>45770</v>
      </c>
      <c r="G15" s="3">
        <v>45775</v>
      </c>
      <c r="I15" s="3">
        <v>45660</v>
      </c>
      <c r="J15" s="3">
        <v>45664</v>
      </c>
      <c r="P15" s="3">
        <v>45658</v>
      </c>
      <c r="Q15" s="3">
        <v>45687</v>
      </c>
      <c r="U15" s="3">
        <v>45661</v>
      </c>
      <c r="V15" s="3">
        <f>U15+28</f>
        <v>45689</v>
      </c>
      <c r="W15" s="3">
        <f>V15+20</f>
        <v>45709</v>
      </c>
      <c r="X15" s="3">
        <v>45716</v>
      </c>
      <c r="Y15" s="3">
        <f>X15+40</f>
        <v>45756</v>
      </c>
      <c r="Z15" s="3">
        <f>Y15+20</f>
        <v>45776</v>
      </c>
      <c r="AA15" s="3">
        <v>45662</v>
      </c>
      <c r="AB15" s="3">
        <f>AA15+3</f>
        <v>45665</v>
      </c>
      <c r="AC15" s="3">
        <f>AB15+3</f>
        <v>45668</v>
      </c>
      <c r="AD15" s="3">
        <f>AB15+4</f>
        <v>45669</v>
      </c>
    </row>
    <row r="16" spans="1:30" x14ac:dyDescent="0.25">
      <c r="A16" t="s">
        <v>76</v>
      </c>
      <c r="B16" t="s">
        <v>77</v>
      </c>
      <c r="D16" s="3">
        <v>45771</v>
      </c>
      <c r="F16" s="3">
        <v>45809</v>
      </c>
      <c r="G16" s="3">
        <v>45812</v>
      </c>
      <c r="I16" s="3">
        <v>45717</v>
      </c>
      <c r="J16" s="3">
        <v>45724</v>
      </c>
      <c r="L16" s="3">
        <v>45576</v>
      </c>
      <c r="M16" s="3">
        <v>45784</v>
      </c>
      <c r="N16" s="3">
        <v>45748</v>
      </c>
      <c r="O16" s="3">
        <v>45397</v>
      </c>
      <c r="P16" s="3">
        <v>45797</v>
      </c>
      <c r="Q16" s="3">
        <v>45798</v>
      </c>
      <c r="R16" s="3"/>
      <c r="S16" s="3"/>
      <c r="U16" s="3">
        <v>45717</v>
      </c>
      <c r="V16" s="3">
        <f>U16+30</f>
        <v>45747</v>
      </c>
      <c r="W16" s="3">
        <f>V16+21</f>
        <v>45768</v>
      </c>
      <c r="X16" s="3">
        <f>W16+5</f>
        <v>45773</v>
      </c>
      <c r="Y16" s="3">
        <f>X16+50</f>
        <v>45823</v>
      </c>
      <c r="Z16" s="3">
        <f>Y16+9</f>
        <v>45832</v>
      </c>
      <c r="AA16" s="3">
        <v>45717</v>
      </c>
      <c r="AB16" s="3">
        <f>AA16+1</f>
        <v>45718</v>
      </c>
      <c r="AC16" s="3">
        <f>AB16+1</f>
        <v>45719</v>
      </c>
      <c r="AD16" s="3">
        <f>AB16+10</f>
        <v>45728</v>
      </c>
    </row>
    <row r="17" spans="1:27" x14ac:dyDescent="0.25">
      <c r="B17" t="s">
        <v>85</v>
      </c>
      <c r="L17" s="3"/>
      <c r="M17" s="3"/>
      <c r="N17" s="3">
        <v>45717</v>
      </c>
      <c r="O17" s="3">
        <f>N17+19</f>
        <v>45736</v>
      </c>
      <c r="R17" s="3"/>
      <c r="S17" s="3"/>
      <c r="U17" s="3"/>
      <c r="V17" s="3"/>
      <c r="AA17" t="s">
        <v>82</v>
      </c>
    </row>
    <row r="18" spans="1:27" x14ac:dyDescent="0.25">
      <c r="A18" t="s">
        <v>87</v>
      </c>
      <c r="B18" t="s">
        <v>88</v>
      </c>
      <c r="L18" s="3">
        <v>45383</v>
      </c>
      <c r="M18" s="3">
        <v>45575</v>
      </c>
      <c r="N18" s="3">
        <v>45778</v>
      </c>
      <c r="O18" s="3">
        <f>N18+19</f>
        <v>45797</v>
      </c>
      <c r="R18" s="3"/>
      <c r="S18" s="3"/>
      <c r="U18" s="3"/>
      <c r="V18" s="3"/>
      <c r="AA18" t="s">
        <v>89</v>
      </c>
    </row>
    <row r="19" spans="1:27" x14ac:dyDescent="0.25">
      <c r="A19" t="s">
        <v>91</v>
      </c>
      <c r="B19" t="s">
        <v>100</v>
      </c>
      <c r="L19" s="3"/>
      <c r="M19" s="3"/>
      <c r="R19" s="3"/>
      <c r="S19" s="3"/>
      <c r="U19" s="3"/>
      <c r="V19" s="3"/>
      <c r="AA19" t="s">
        <v>98</v>
      </c>
    </row>
    <row r="20" spans="1:27" x14ac:dyDescent="0.25">
      <c r="A20" t="s">
        <v>91</v>
      </c>
      <c r="B20" t="s">
        <v>100</v>
      </c>
      <c r="L20" s="3"/>
      <c r="M20" s="3"/>
      <c r="R20" s="3"/>
      <c r="S20" s="3"/>
      <c r="U20" s="3"/>
      <c r="V20" s="3"/>
      <c r="AA20" t="s">
        <v>98</v>
      </c>
    </row>
    <row r="21" spans="1:27" x14ac:dyDescent="0.25">
      <c r="A21" t="s">
        <v>91</v>
      </c>
      <c r="B21" t="s">
        <v>109</v>
      </c>
      <c r="D21" s="3">
        <v>45574</v>
      </c>
      <c r="E21" s="3">
        <v>45670</v>
      </c>
      <c r="L21" s="3">
        <v>45736</v>
      </c>
      <c r="M21" s="3">
        <f>L21+125</f>
        <v>45861</v>
      </c>
      <c r="O21" s="3">
        <v>45744</v>
      </c>
      <c r="Q21" s="3">
        <v>45807</v>
      </c>
      <c r="R21" s="3"/>
      <c r="S21" s="3"/>
      <c r="U21" s="3"/>
      <c r="V21" s="3"/>
    </row>
    <row r="22" spans="1:27" x14ac:dyDescent="0.25">
      <c r="A22" t="s">
        <v>91</v>
      </c>
      <c r="B22" t="s">
        <v>113</v>
      </c>
      <c r="D22" s="3">
        <v>45609</v>
      </c>
      <c r="E22" s="3">
        <v>45749</v>
      </c>
      <c r="L22" s="3">
        <v>45736</v>
      </c>
      <c r="M22" s="3">
        <f>L22+125</f>
        <v>45861</v>
      </c>
      <c r="O22" s="3">
        <v>45744</v>
      </c>
      <c r="Q22" s="3">
        <v>45807</v>
      </c>
      <c r="R22" s="3"/>
      <c r="S22" s="3"/>
      <c r="U22" s="3"/>
      <c r="V22" s="3"/>
    </row>
    <row r="23" spans="1:27" x14ac:dyDescent="0.25">
      <c r="A23" t="s">
        <v>91</v>
      </c>
      <c r="B23" t="s">
        <v>119</v>
      </c>
      <c r="D23" s="3">
        <v>45610</v>
      </c>
      <c r="E23" s="3">
        <v>45748</v>
      </c>
      <c r="L23" s="3">
        <v>45736</v>
      </c>
      <c r="M23" s="3"/>
      <c r="O23" s="3">
        <v>45744</v>
      </c>
      <c r="R23" s="3"/>
      <c r="S23" s="3"/>
      <c r="U23" s="3"/>
      <c r="V23" s="3"/>
    </row>
    <row r="24" spans="1:27" x14ac:dyDescent="0.25">
      <c r="A24" t="s">
        <v>91</v>
      </c>
      <c r="B24" t="s">
        <v>123</v>
      </c>
      <c r="D24" s="3">
        <v>45610</v>
      </c>
      <c r="E24" s="3">
        <v>45771</v>
      </c>
      <c r="L24" s="3">
        <v>45736</v>
      </c>
      <c r="M24" s="3"/>
      <c r="O24" s="3">
        <v>45744</v>
      </c>
      <c r="R24" s="3"/>
      <c r="S24" s="3"/>
      <c r="U24" s="3"/>
      <c r="V24" s="3"/>
    </row>
    <row r="25" spans="1:27" x14ac:dyDescent="0.25">
      <c r="A25" t="s">
        <v>91</v>
      </c>
      <c r="B25" t="s">
        <v>126</v>
      </c>
      <c r="L25" s="3"/>
      <c r="M25" s="3"/>
      <c r="O25" s="3"/>
      <c r="R25" s="3"/>
      <c r="S25" s="3"/>
      <c r="U25" s="3"/>
      <c r="V25" s="3"/>
    </row>
    <row r="26" spans="1:27" x14ac:dyDescent="0.25">
      <c r="A26" t="s">
        <v>91</v>
      </c>
      <c r="B26" t="s">
        <v>128</v>
      </c>
      <c r="L26" s="3"/>
      <c r="M26" s="3"/>
      <c r="O26" s="3"/>
      <c r="R26" s="3"/>
      <c r="S26" s="3"/>
      <c r="U26" s="3"/>
      <c r="V26" s="3"/>
    </row>
    <row r="27" spans="1:27" x14ac:dyDescent="0.25">
      <c r="A27" t="s">
        <v>91</v>
      </c>
      <c r="B27" t="s">
        <v>132</v>
      </c>
      <c r="D27" s="3">
        <v>45602</v>
      </c>
      <c r="E27" s="3">
        <v>45748</v>
      </c>
      <c r="L27" s="3">
        <v>45736</v>
      </c>
      <c r="M27" s="3"/>
      <c r="O27" s="3">
        <v>45744</v>
      </c>
      <c r="Q27" s="3">
        <v>45807</v>
      </c>
      <c r="R27" s="3"/>
      <c r="S27" s="3"/>
      <c r="U27" s="3"/>
      <c r="V27" s="3"/>
    </row>
    <row r="28" spans="1:27" x14ac:dyDescent="0.25">
      <c r="A28" t="s">
        <v>91</v>
      </c>
      <c r="B28" t="s">
        <v>134</v>
      </c>
      <c r="L28" s="3"/>
      <c r="M28" s="3"/>
      <c r="R28" s="3"/>
      <c r="S28" s="3"/>
      <c r="U28" s="3"/>
      <c r="V28" s="3"/>
    </row>
    <row r="29" spans="1:27" x14ac:dyDescent="0.25">
      <c r="A29" t="s">
        <v>91</v>
      </c>
      <c r="B29" t="s">
        <v>141</v>
      </c>
      <c r="L29" s="3"/>
      <c r="M29" s="3"/>
      <c r="R29" s="3"/>
      <c r="S29" s="3"/>
      <c r="U29" s="3"/>
      <c r="V29" s="3"/>
    </row>
    <row r="30" spans="1:27" x14ac:dyDescent="0.25">
      <c r="A30" t="s">
        <v>91</v>
      </c>
      <c r="B30" t="s">
        <v>141</v>
      </c>
      <c r="L30" s="3"/>
      <c r="M30" s="3"/>
      <c r="R30" s="3"/>
      <c r="S30" s="3"/>
      <c r="U30" s="3"/>
      <c r="V30" s="3"/>
    </row>
    <row r="31" spans="1:27" x14ac:dyDescent="0.25">
      <c r="A31" t="s">
        <v>91</v>
      </c>
      <c r="B31" t="s">
        <v>145</v>
      </c>
      <c r="L31" s="3"/>
      <c r="M31" s="3"/>
      <c r="R31" s="3"/>
      <c r="S31" s="3"/>
      <c r="U31" s="3"/>
      <c r="V31" s="3"/>
    </row>
    <row r="32" spans="1:27" x14ac:dyDescent="0.25">
      <c r="A32" t="s">
        <v>91</v>
      </c>
      <c r="B32" t="s">
        <v>155</v>
      </c>
      <c r="L32" s="3"/>
      <c r="M32" s="3"/>
      <c r="R32" s="3"/>
      <c r="S32" s="3"/>
      <c r="U32" s="3"/>
      <c r="V32" s="3"/>
    </row>
    <row r="33" spans="1:27" x14ac:dyDescent="0.25">
      <c r="A33" t="s">
        <v>91</v>
      </c>
      <c r="B33" t="s">
        <v>160</v>
      </c>
      <c r="L33" s="3"/>
      <c r="M33" s="3"/>
      <c r="R33" s="3"/>
      <c r="S33" s="3"/>
      <c r="U33" s="3"/>
      <c r="V33" s="3"/>
      <c r="AA33" t="s">
        <v>93</v>
      </c>
    </row>
    <row r="34" spans="1:27" x14ac:dyDescent="0.25">
      <c r="A34" t="s">
        <v>91</v>
      </c>
      <c r="B34" t="s">
        <v>175</v>
      </c>
      <c r="L34" s="3"/>
      <c r="M34" s="3"/>
      <c r="R34" s="3"/>
      <c r="S34" s="3"/>
      <c r="U34" s="3"/>
      <c r="V34" s="3"/>
      <c r="AA34" t="s">
        <v>176</v>
      </c>
    </row>
    <row r="35" spans="1:27" x14ac:dyDescent="0.25">
      <c r="A35" t="s">
        <v>91</v>
      </c>
      <c r="B35" t="s">
        <v>178</v>
      </c>
      <c r="L35" s="3"/>
      <c r="M35" s="3"/>
      <c r="R35" s="3"/>
      <c r="S35" s="3"/>
      <c r="U35" s="3"/>
      <c r="V35" s="3"/>
    </row>
    <row r="36" spans="1:27" x14ac:dyDescent="0.25">
      <c r="A36" t="s">
        <v>87</v>
      </c>
      <c r="B36" t="s">
        <v>181</v>
      </c>
      <c r="D36" s="3">
        <v>45365</v>
      </c>
      <c r="E36" s="3">
        <v>45457</v>
      </c>
      <c r="I36" s="3">
        <v>45583</v>
      </c>
      <c r="J36" s="3">
        <v>45663</v>
      </c>
      <c r="L36" s="3">
        <v>45413</v>
      </c>
      <c r="M36" s="3">
        <v>45597</v>
      </c>
      <c r="Q36" s="3">
        <v>45453</v>
      </c>
      <c r="R36" s="3">
        <v>45607</v>
      </c>
      <c r="S36" s="3">
        <v>45742</v>
      </c>
      <c r="U36" s="3">
        <v>45742</v>
      </c>
      <c r="V36" s="3">
        <v>45742</v>
      </c>
      <c r="AA36" s="3">
        <v>45742</v>
      </c>
    </row>
    <row r="37" spans="1:27" x14ac:dyDescent="0.25">
      <c r="A37" t="s">
        <v>91</v>
      </c>
      <c r="B37" t="s">
        <v>183</v>
      </c>
      <c r="L37" s="3">
        <v>45804</v>
      </c>
      <c r="M37" s="3"/>
      <c r="N37" s="3">
        <v>45804</v>
      </c>
      <c r="O37" s="3">
        <v>45819</v>
      </c>
      <c r="R37" s="3"/>
      <c r="S37" s="3"/>
      <c r="U37" s="3"/>
      <c r="V37" s="3"/>
      <c r="AA37" t="s">
        <v>93</v>
      </c>
    </row>
    <row r="38" spans="1:27" x14ac:dyDescent="0.25">
      <c r="A38" t="s">
        <v>76</v>
      </c>
      <c r="B38" t="s">
        <v>185</v>
      </c>
      <c r="L38" s="3">
        <v>44593</v>
      </c>
      <c r="M38" s="3">
        <v>44785</v>
      </c>
      <c r="R38" s="3"/>
      <c r="S38" s="3"/>
      <c r="U38" s="3"/>
      <c r="V38" s="3"/>
      <c r="AA38" t="s">
        <v>186</v>
      </c>
    </row>
    <row r="39" spans="1:27" x14ac:dyDescent="0.25">
      <c r="A39" t="s">
        <v>76</v>
      </c>
      <c r="B39" t="s">
        <v>189</v>
      </c>
      <c r="D39" s="3">
        <v>44621</v>
      </c>
      <c r="E39" s="3">
        <v>44992</v>
      </c>
      <c r="I39" s="3">
        <v>45020</v>
      </c>
      <c r="J39" s="3">
        <v>45055</v>
      </c>
      <c r="L39" s="3">
        <v>45536</v>
      </c>
      <c r="M39" s="3">
        <v>45349</v>
      </c>
      <c r="Q39" s="3">
        <v>45548</v>
      </c>
      <c r="R39" s="3">
        <v>45211</v>
      </c>
      <c r="S39" s="3"/>
      <c r="U39" s="3"/>
      <c r="V39" s="3"/>
    </row>
    <row r="40" spans="1:27" x14ac:dyDescent="0.25">
      <c r="A40" t="s">
        <v>76</v>
      </c>
      <c r="B40" t="s">
        <v>191</v>
      </c>
      <c r="D40" s="3">
        <v>45553</v>
      </c>
      <c r="E40" s="3">
        <v>45670</v>
      </c>
      <c r="I40" s="3">
        <v>45562</v>
      </c>
      <c r="J40" s="3">
        <v>45631</v>
      </c>
      <c r="L40" s="3">
        <v>45536</v>
      </c>
      <c r="M40" s="3">
        <v>45705</v>
      </c>
      <c r="Q40" s="3">
        <v>45566</v>
      </c>
      <c r="R40" s="3">
        <v>45544</v>
      </c>
      <c r="S40" s="3"/>
      <c r="U40" s="3"/>
      <c r="V40" s="3"/>
    </row>
    <row r="41" spans="1:27" x14ac:dyDescent="0.25">
      <c r="A41" t="s">
        <v>91</v>
      </c>
      <c r="B41" t="s">
        <v>194</v>
      </c>
      <c r="L41" s="3"/>
      <c r="M41" s="3"/>
      <c r="R41" s="3"/>
      <c r="S41" s="3"/>
      <c r="U41" s="3"/>
      <c r="V41" s="3"/>
    </row>
    <row r="42" spans="1:27" x14ac:dyDescent="0.25">
      <c r="A42" t="s">
        <v>76</v>
      </c>
      <c r="B42" t="s">
        <v>196</v>
      </c>
      <c r="L42" s="3">
        <v>44166</v>
      </c>
      <c r="M42" s="3"/>
      <c r="R42" s="3">
        <v>44410</v>
      </c>
      <c r="S42" s="3">
        <v>44734</v>
      </c>
      <c r="U42" s="3">
        <v>44734</v>
      </c>
      <c r="V42" s="3">
        <v>44734</v>
      </c>
      <c r="AA42" t="s">
        <v>151</v>
      </c>
    </row>
    <row r="43" spans="1:27" x14ac:dyDescent="0.25">
      <c r="B43" t="s">
        <v>81</v>
      </c>
      <c r="L43" s="3"/>
      <c r="M43" s="3"/>
      <c r="N43" s="3">
        <v>45660</v>
      </c>
      <c r="O43" s="3">
        <v>45689</v>
      </c>
      <c r="R43" s="3"/>
      <c r="S43" s="3"/>
      <c r="U43" s="3">
        <v>45749</v>
      </c>
      <c r="V43" s="3">
        <f>U43+30</f>
        <v>45779</v>
      </c>
      <c r="W43" s="3">
        <f>V43+19</f>
        <v>45798</v>
      </c>
      <c r="X43" s="3">
        <f>W43+30</f>
        <v>45828</v>
      </c>
      <c r="Y43" s="3">
        <f>X43+41</f>
        <v>45869</v>
      </c>
      <c r="Z43" s="3">
        <f>Y43+3</f>
        <v>45872</v>
      </c>
      <c r="AA43" t="s">
        <v>82</v>
      </c>
    </row>
    <row r="44" spans="1:27" x14ac:dyDescent="0.25">
      <c r="A44" t="s">
        <v>91</v>
      </c>
      <c r="B44" t="s">
        <v>92</v>
      </c>
      <c r="L44" s="3">
        <v>44378</v>
      </c>
      <c r="M44" s="3">
        <v>44798</v>
      </c>
      <c r="R44" s="3"/>
      <c r="S44" s="3"/>
      <c r="U44" s="3"/>
      <c r="V44" s="3"/>
      <c r="AA44" t="s">
        <v>93</v>
      </c>
    </row>
    <row r="45" spans="1:27" x14ac:dyDescent="0.25">
      <c r="A45" t="s">
        <v>76</v>
      </c>
      <c r="B45" t="s">
        <v>107</v>
      </c>
      <c r="L45" s="3">
        <v>44470</v>
      </c>
      <c r="M45" s="3">
        <v>45267</v>
      </c>
      <c r="R45" s="3"/>
      <c r="S45" s="3"/>
      <c r="U45" s="3"/>
      <c r="V45" s="3"/>
      <c r="AA45" t="s">
        <v>89</v>
      </c>
    </row>
    <row r="46" spans="1:27" x14ac:dyDescent="0.25">
      <c r="A46" t="s">
        <v>91</v>
      </c>
      <c r="B46" t="s">
        <v>117</v>
      </c>
      <c r="D46" s="3">
        <v>45611</v>
      </c>
      <c r="L46" s="3">
        <v>45736</v>
      </c>
      <c r="M46" s="3"/>
      <c r="O46" s="3">
        <v>45744</v>
      </c>
      <c r="Q46" s="3">
        <v>45807</v>
      </c>
      <c r="R46" s="3"/>
      <c r="S46" s="3"/>
      <c r="U46" s="3"/>
      <c r="V46" s="3"/>
    </row>
    <row r="47" spans="1:27" x14ac:dyDescent="0.25">
      <c r="A47" t="s">
        <v>87</v>
      </c>
      <c r="B47" t="s">
        <v>95</v>
      </c>
      <c r="D47" s="3">
        <v>45544</v>
      </c>
      <c r="E47" s="3">
        <v>45670</v>
      </c>
      <c r="H47" s="3">
        <v>45597</v>
      </c>
      <c r="I47" s="3">
        <v>45597</v>
      </c>
      <c r="J47" s="3">
        <v>45597</v>
      </c>
      <c r="L47" s="3">
        <v>45576</v>
      </c>
      <c r="M47" s="3">
        <v>45665</v>
      </c>
      <c r="Q47" s="3">
        <v>45663</v>
      </c>
      <c r="R47" s="3">
        <v>45670</v>
      </c>
      <c r="S47" s="3">
        <v>45744</v>
      </c>
      <c r="U47" s="3">
        <v>45744</v>
      </c>
      <c r="V47" s="3">
        <v>45744</v>
      </c>
      <c r="AA47" s="3">
        <v>45772</v>
      </c>
    </row>
    <row r="48" spans="1:27" x14ac:dyDescent="0.25">
      <c r="A48" t="s">
        <v>76</v>
      </c>
      <c r="B48" t="s">
        <v>169</v>
      </c>
      <c r="L48" s="3"/>
      <c r="M48" s="3"/>
      <c r="R48" s="3"/>
      <c r="S48" s="3"/>
      <c r="U48" s="3"/>
      <c r="V48" s="3"/>
      <c r="AA48" t="s">
        <v>93</v>
      </c>
    </row>
    <row r="49" spans="1:30" x14ac:dyDescent="0.25">
      <c r="A49" t="s">
        <v>91</v>
      </c>
      <c r="B49" t="s">
        <v>197</v>
      </c>
      <c r="D49" s="3">
        <v>45712</v>
      </c>
      <c r="E49" s="3">
        <v>45717</v>
      </c>
      <c r="L49" s="3">
        <v>45659</v>
      </c>
      <c r="M49" s="3"/>
      <c r="R49" s="3"/>
      <c r="S49" s="3"/>
      <c r="U49" s="3"/>
      <c r="V49" s="3"/>
    </row>
    <row r="50" spans="1:30" x14ac:dyDescent="0.25">
      <c r="B50" t="s">
        <v>198</v>
      </c>
      <c r="L50" s="3"/>
      <c r="M50" s="3"/>
      <c r="R50" s="3"/>
      <c r="S50" s="3"/>
      <c r="U50" s="3"/>
      <c r="V50" s="3"/>
      <c r="AA50" t="s">
        <v>82</v>
      </c>
    </row>
    <row r="51" spans="1:30" x14ac:dyDescent="0.25">
      <c r="A51" t="s">
        <v>76</v>
      </c>
      <c r="B51" t="s">
        <v>199</v>
      </c>
      <c r="D51" s="3">
        <v>45587</v>
      </c>
      <c r="E51" s="3">
        <v>45653</v>
      </c>
      <c r="I51" s="3">
        <v>45580</v>
      </c>
      <c r="J51" s="3">
        <v>45608</v>
      </c>
      <c r="L51" s="3">
        <v>45536</v>
      </c>
      <c r="M51" s="3">
        <v>45638</v>
      </c>
      <c r="Q51" s="3">
        <v>45586</v>
      </c>
      <c r="R51" s="3">
        <v>45600</v>
      </c>
      <c r="S51" s="3">
        <v>45639</v>
      </c>
      <c r="U51" s="3">
        <v>45639</v>
      </c>
      <c r="V51" s="3">
        <v>45639</v>
      </c>
      <c r="AA51" t="s">
        <v>98</v>
      </c>
    </row>
    <row r="52" spans="1:30" x14ac:dyDescent="0.25">
      <c r="A52" t="s">
        <v>76</v>
      </c>
      <c r="B52" t="s">
        <v>200</v>
      </c>
      <c r="D52" s="3">
        <v>45308</v>
      </c>
      <c r="E52" s="3">
        <v>45394</v>
      </c>
      <c r="I52" s="3">
        <v>45441</v>
      </c>
      <c r="J52" s="3">
        <v>45475</v>
      </c>
      <c r="L52" s="3">
        <v>45730</v>
      </c>
      <c r="M52" s="3">
        <v>45672</v>
      </c>
      <c r="Q52" s="3">
        <v>45538</v>
      </c>
      <c r="R52" s="3">
        <v>45685</v>
      </c>
      <c r="S52" s="3">
        <v>45769</v>
      </c>
      <c r="U52" s="3">
        <v>45769</v>
      </c>
      <c r="V52" s="3">
        <v>45769</v>
      </c>
    </row>
    <row r="53" spans="1:30" x14ac:dyDescent="0.25">
      <c r="A53" t="s">
        <v>386</v>
      </c>
      <c r="E53">
        <f>SUBTOTAL(102,Table5[A&amp;E receive])</f>
        <v>13</v>
      </c>
      <c r="G53">
        <f>SUBTOTAL(102,Table5[Budget Approval])</f>
        <v>3</v>
      </c>
      <c r="J53">
        <f>SUBTOTAL(102,Table5[PO Approval])</f>
        <v>10</v>
      </c>
      <c r="M53">
        <f>SUBTOTAL(102,Table5[RTP Approved])</f>
        <v>13</v>
      </c>
      <c r="O53">
        <f>SUBTOTAL(102,Table5[RFP Received])</f>
        <v>13</v>
      </c>
      <c r="Q53">
        <f>SUBTOTAL(102,Table5[PO for GC Approved])</f>
        <v>15</v>
      </c>
      <c r="R53">
        <f>SUBTOTAL(102,Table5[Construction Start])</f>
        <v>8</v>
      </c>
      <c r="V53">
        <f>SUBTOTAL(102,Table5[Integration Complete])</f>
        <v>10</v>
      </c>
      <c r="W53">
        <f>SUBTOTAL(102,Table5[Close Out Package(2weeks from integration complete)])</f>
        <v>4</v>
      </c>
      <c r="X53">
        <f>SUBTOTAL(102,Table5[Acceptance testing (2 weeks from close out package)])</f>
        <v>4</v>
      </c>
      <c r="Y53">
        <f>SUBTOTAL(102,Table5[Customer acceptance(1 month after acceptance testing)])</f>
        <v>4</v>
      </c>
      <c r="Z53">
        <f>SUBTOTAL(102,Table5[Operations handoff(1 week after customer acceptance)])</f>
        <v>4</v>
      </c>
      <c r="AB53">
        <f>SUBTOTAL(102,Table5[FNE Notice])</f>
        <v>3</v>
      </c>
      <c r="AC53">
        <f>SUBTOTAL(102,Table5[PMDB Update])</f>
        <v>3</v>
      </c>
      <c r="AD53">
        <f>SUBTOTAL(102,Table5[Revenue Billing(PMDB)])</f>
        <v>3</v>
      </c>
    </row>
  </sheetData>
  <mergeCells count="1">
    <mergeCell ref="A1:AD1"/>
  </mergeCells>
  <conditionalFormatting sqref="AB3:AB52">
    <cfRule type="expression" dxfId="44" priority="7" stopIfTrue="1">
      <formula>AB3=IF(NETWORKDAYS(AA3,AB3)&lt;2, AB3, 0)</formula>
    </cfRule>
    <cfRule type="expression" dxfId="43" priority="8" stopIfTrue="1">
      <formula>AB3=IF(NETWORKDAYS(AA3,AB3)=2, AB3, 0)</formula>
    </cfRule>
    <cfRule type="expression" dxfId="42" priority="9" stopIfTrue="1">
      <formula>AB3=IF(NETWORKDAYS(AA3,AB3)&gt;2, AB3, 0)</formula>
    </cfRule>
  </conditionalFormatting>
  <conditionalFormatting sqref="AC3:AC52">
    <cfRule type="expression" dxfId="41" priority="4" stopIfTrue="1">
      <formula>AC3=IF(NETWORKDAYS(AB3,AC3)&lt;2, AC3, 0)</formula>
    </cfRule>
    <cfRule type="expression" dxfId="40" priority="5" stopIfTrue="1">
      <formula>AC3=IF(NETWORKDAYS(AB3,AC3)=2, AC3, 0)</formula>
    </cfRule>
    <cfRule type="expression" dxfId="39" priority="6" stopIfTrue="1">
      <formula>AC3=IF(NETWORKDAYS(AB3,AC3)&gt;2, AC3, 0)</formula>
    </cfRule>
  </conditionalFormatting>
  <conditionalFormatting sqref="AD3:AD52">
    <cfRule type="expression" dxfId="38" priority="1" stopIfTrue="1">
      <formula>AD3=IF(NETWORKDAYS(AB3,AD3)&lt;7, AD3, 0)</formula>
    </cfRule>
    <cfRule type="expression" dxfId="37" priority="2" stopIfTrue="1">
      <formula>AD3=IF(NETWORKDAYS(AB3,AD3)=7, AD3, 0)</formula>
    </cfRule>
    <cfRule type="expression" dxfId="36" priority="3" stopIfTrue="1">
      <formula>AD3=IF(NETWORKDAYS(AB3,AD3)&gt;7, AD3, 0)</formula>
    </cfRule>
  </conditionalFormatting>
  <conditionalFormatting sqref="E3:E52">
    <cfRule type="expression" dxfId="35" priority="40" stopIfTrue="1">
      <formula>E3=IF(NETWORKDAYS(D3,E3)&lt;10, E3, 0)</formula>
    </cfRule>
    <cfRule type="expression" dxfId="34" priority="41" stopIfTrue="1">
      <formula>E3=IF(NETWORKDAYS(D3,E3)=10, E3, 0)</formula>
    </cfRule>
    <cfRule type="expression" dxfId="33" priority="42" stopIfTrue="1">
      <formula>E3=IF(NETWORKDAYS(D3,E3)&gt;10, E3, 0)</formula>
    </cfRule>
  </conditionalFormatting>
  <conditionalFormatting sqref="G3:G52">
    <cfRule type="expression" dxfId="32" priority="37" stopIfTrue="1">
      <formula>G3=IF(NETWORKDAYS(F3,G3)&lt;4, G3, 0)</formula>
    </cfRule>
    <cfRule type="expression" dxfId="31" priority="38" stopIfTrue="1">
      <formula>G3=IF(NETWORKDAYS(F3,G3)=4, G3, 0)</formula>
    </cfRule>
    <cfRule type="expression" dxfId="30" priority="39" stopIfTrue="1">
      <formula>G3=IF(NETWORKDAYS(F3,G3)&gt;4, G3, 0)</formula>
    </cfRule>
  </conditionalFormatting>
  <conditionalFormatting sqref="J3:J52">
    <cfRule type="expression" dxfId="29" priority="34" stopIfTrue="1">
      <formula>J3=IF(NETWORKDAYS(I3,J3)&lt;4, J3, 0)</formula>
    </cfRule>
    <cfRule type="expression" dxfId="28" priority="35" stopIfTrue="1">
      <formula>J3=IF(NETWORKDAYS(I3,J3)=4, J3, 0)</formula>
    </cfRule>
    <cfRule type="expression" dxfId="27" priority="36" stopIfTrue="1">
      <formula>J3=IF(NETWORKDAYS(I3,J3)&gt;4, J3, 0)</formula>
    </cfRule>
  </conditionalFormatting>
  <conditionalFormatting sqref="M3:M52">
    <cfRule type="expression" dxfId="26" priority="31" stopIfTrue="1">
      <formula>M3=IF(NETWORKDAYS(L3,M3)&lt;90, M3, 0)</formula>
    </cfRule>
    <cfRule type="expression" dxfId="25" priority="32" stopIfTrue="1">
      <formula>M3=IF(NETWORKDAYS(L3,M3)=90, M3, 0)</formula>
    </cfRule>
    <cfRule type="expression" dxfId="24" priority="33" stopIfTrue="1">
      <formula>M3=IF(NETWORKDAYS(L3,M3)&gt;90, M3, 0)</formula>
    </cfRule>
  </conditionalFormatting>
  <conditionalFormatting sqref="O3:O52">
    <cfRule type="expression" dxfId="23" priority="28" stopIfTrue="1">
      <formula>O3=IF(NETWORKDAYS(N3,O3)&lt;14, O3, 0)</formula>
    </cfRule>
    <cfRule type="expression" dxfId="22" priority="29" stopIfTrue="1">
      <formula>O3=IF(NETWORKDAYS(N3,O3)=14, O3, 0)</formula>
    </cfRule>
    <cfRule type="expression" dxfId="21" priority="30" stopIfTrue="1">
      <formula>O3=IF(NETWORKDAYS(N3,O3)&gt;14, O3, 0)</formula>
    </cfRule>
  </conditionalFormatting>
  <conditionalFormatting sqref="Q3:Q52">
    <cfRule type="expression" dxfId="20" priority="25" stopIfTrue="1">
      <formula>Q3=IF(NETWORKDAYS(P3,Q3)&lt;4, Q3, 0)</formula>
    </cfRule>
    <cfRule type="expression" dxfId="19" priority="26" stopIfTrue="1">
      <formula>Q3=IF(NETWORKDAYS(P3,Q3)=4, Q3, 0)</formula>
    </cfRule>
    <cfRule type="expression" dxfId="18" priority="27" stopIfTrue="1">
      <formula>Q3=IF(NETWORKDAYS(P3,Q3)&gt;4, Q3, 0)</formula>
    </cfRule>
  </conditionalFormatting>
  <conditionalFormatting sqref="V3:V52">
    <cfRule type="expression" dxfId="17" priority="22" stopIfTrue="1">
      <formula>V3=IF(NETWORKDAYS(U3,V3)&lt;21, V3, 0)</formula>
    </cfRule>
    <cfRule type="expression" dxfId="16" priority="23" stopIfTrue="1">
      <formula>V3=IF(NETWORKDAYS(U3,V3)=21, V3, 0)</formula>
    </cfRule>
    <cfRule type="expression" dxfId="15" priority="24" stopIfTrue="1">
      <formula>V3=IF(NETWORKDAYS(U3,V3)&gt;21, V3, 0)</formula>
    </cfRule>
  </conditionalFormatting>
  <conditionalFormatting sqref="W3:W52">
    <cfRule type="expression" dxfId="14" priority="19" stopIfTrue="1">
      <formula>W3=IF(NETWORKDAYS(V3,W3)&lt;14, W3, 0)</formula>
    </cfRule>
    <cfRule type="expression" dxfId="13" priority="20" stopIfTrue="1">
      <formula>W3=IF(NETWORKDAYS(V3,W3)=14, W3, 0)</formula>
    </cfRule>
    <cfRule type="expression" dxfId="12" priority="21" stopIfTrue="1">
      <formula>W3=IF(NETWORKDAYS(V3,W3)&gt;14, W3, 0)</formula>
    </cfRule>
  </conditionalFormatting>
  <conditionalFormatting sqref="X3:X52">
    <cfRule type="expression" dxfId="11" priority="16" stopIfTrue="1">
      <formula>X3=IF(NETWORKDAYS(W3,X3)&lt;14, X3, 0)</formula>
    </cfRule>
    <cfRule type="expression" dxfId="10" priority="17" stopIfTrue="1">
      <formula>X3=IF(NETWORKDAYS(W3,X3)=14, X3, 0)</formula>
    </cfRule>
    <cfRule type="expression" dxfId="9" priority="18" stopIfTrue="1">
      <formula>X3=IF(NETWORKDAYS(W3,X3)&gt;14, X3, 0)</formula>
    </cfRule>
  </conditionalFormatting>
  <conditionalFormatting sqref="Y3:Y52">
    <cfRule type="expression" dxfId="8" priority="13" stopIfTrue="1">
      <formula>Y3=IF(NETWORKDAYS(X3,Y3)&lt;30, Y3, 0)</formula>
    </cfRule>
    <cfRule type="expression" dxfId="7" priority="14" stopIfTrue="1">
      <formula>Y3=IF(NETWORKDAYS(X3,Y3)=30, Y3, 0)</formula>
    </cfRule>
    <cfRule type="expression" dxfId="6" priority="15" stopIfTrue="1">
      <formula>Y3=IF(NETWORKDAYS(X3,Y3)&gt;30, Y3, 0)</formula>
    </cfRule>
  </conditionalFormatting>
  <conditionalFormatting sqref="Z3:Z52">
    <cfRule type="expression" dxfId="5" priority="10" stopIfTrue="1">
      <formula>Z3=IF(NETWORKDAYS(Y3,Z3)&lt;7, Z3, 0)</formula>
    </cfRule>
    <cfRule type="expression" dxfId="4" priority="11" stopIfTrue="1">
      <formula>Z3=IF(NETWORKDAYS(Y3,Z3)=7, Z3, 0)</formula>
    </cfRule>
    <cfRule type="expression" dxfId="3" priority="12" stopIfTrue="1">
      <formula>Z3=IF(NETWORKDAYS(Y3,Z3)&gt;7, Z3, 0)</formula>
    </cfRule>
  </conditionalFormatting>
  <dataValidations count="1">
    <dataValidation type="list" allowBlank="1" showInputMessage="1" showErrorMessage="1" sqref="A2:A52" xr:uid="{F682D6EA-D5B2-4C71-BEA1-8A771A9D62BE}">
      <formula1>"C. Design, C. In progress, Intergration, Customer Acceptance, FNE"</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96CE0-A12C-4212-8FF7-C3C37CA2093D}">
  <sheetPr codeName="Sheet2"/>
  <dimension ref="A1:BR64"/>
  <sheetViews>
    <sheetView workbookViewId="0">
      <selection activeCell="K3" sqref="K3"/>
    </sheetView>
  </sheetViews>
  <sheetFormatPr defaultColWidth="8.7109375" defaultRowHeight="15" customHeight="1" x14ac:dyDescent="0.25"/>
  <cols>
    <col min="1" max="1" width="8.7109375" style="1"/>
    <col min="2" max="2" width="16.7109375" style="1" customWidth="1"/>
    <col min="3" max="3" width="13.42578125" style="1" customWidth="1"/>
    <col min="4" max="4" width="17.140625" style="1" hidden="1" customWidth="1"/>
    <col min="5" max="5" width="13.5703125" style="1" hidden="1" customWidth="1"/>
    <col min="6" max="6" width="14.85546875" style="1" hidden="1" customWidth="1"/>
    <col min="7" max="7" width="17.85546875" style="1" hidden="1" customWidth="1"/>
    <col min="8" max="8" width="14" style="1" customWidth="1"/>
    <col min="9" max="9" width="22.5703125" style="1" customWidth="1"/>
    <col min="10" max="10" width="10.42578125" style="1" customWidth="1"/>
    <col min="11" max="11" width="23.5703125" style="1" customWidth="1"/>
    <col min="12" max="12" width="17.5703125" style="1" customWidth="1"/>
    <col min="13" max="13" width="18" style="1" customWidth="1"/>
    <col min="14" max="14" width="21.5703125" style="1" customWidth="1"/>
    <col min="15" max="15" width="19.85546875" style="1" customWidth="1"/>
    <col min="16" max="16" width="16.7109375" style="1" customWidth="1"/>
    <col min="17" max="17" width="19.5703125" style="1" customWidth="1"/>
    <col min="18" max="18" width="14.5703125" style="1" customWidth="1"/>
    <col min="19" max="19" width="11.7109375" style="1" customWidth="1"/>
    <col min="20" max="20" width="20.140625" style="1" customWidth="1"/>
    <col min="21" max="21" width="8.7109375" style="1"/>
    <col min="22" max="55" width="14.28515625" style="1" customWidth="1"/>
    <col min="56" max="67" width="14.28515625" style="1" hidden="1" customWidth="1"/>
    <col min="68" max="68" width="12.140625" style="1" hidden="1" customWidth="1"/>
    <col min="69" max="16384" width="8.7109375" style="1"/>
  </cols>
  <sheetData>
    <row r="1" spans="1:70" ht="23.25" x14ac:dyDescent="0.35">
      <c r="A1" s="4"/>
      <c r="B1" s="5"/>
      <c r="C1" s="5"/>
      <c r="D1" s="191" t="s">
        <v>201</v>
      </c>
      <c r="E1" s="192"/>
      <c r="F1" s="192"/>
      <c r="G1" s="192"/>
      <c r="H1" s="6"/>
      <c r="I1" s="6"/>
      <c r="J1" s="186" t="s">
        <v>187</v>
      </c>
      <c r="K1" s="187"/>
      <c r="L1" s="187"/>
      <c r="M1" s="187"/>
      <c r="N1" s="187"/>
      <c r="O1" s="188"/>
      <c r="P1" s="193" t="s">
        <v>202</v>
      </c>
      <c r="Q1" s="194"/>
      <c r="R1" s="194"/>
      <c r="S1" s="194"/>
      <c r="T1" s="194"/>
      <c r="U1" s="195"/>
      <c r="V1" s="196" t="s">
        <v>203</v>
      </c>
      <c r="W1" s="197"/>
      <c r="X1" s="197"/>
      <c r="Y1" s="197"/>
      <c r="Z1" s="197"/>
      <c r="AA1" s="197"/>
      <c r="AB1" s="197"/>
      <c r="AC1" s="197"/>
      <c r="AD1" s="197"/>
      <c r="AE1" s="198"/>
      <c r="AF1" s="199" t="s">
        <v>204</v>
      </c>
      <c r="AG1" s="200"/>
      <c r="AH1" s="201"/>
      <c r="AI1" s="186" t="s">
        <v>205</v>
      </c>
      <c r="AJ1" s="187"/>
      <c r="AK1" s="187"/>
      <c r="AL1" s="187"/>
      <c r="AM1" s="187"/>
      <c r="AN1" s="188"/>
      <c r="AO1" s="186" t="s">
        <v>206</v>
      </c>
      <c r="AP1" s="187"/>
      <c r="AQ1" s="187"/>
      <c r="AR1" s="187"/>
      <c r="AS1" s="188"/>
      <c r="AT1" s="186" t="s">
        <v>207</v>
      </c>
      <c r="AU1" s="187"/>
      <c r="AV1" s="188"/>
      <c r="AW1" s="186" t="s">
        <v>87</v>
      </c>
      <c r="AX1" s="187"/>
      <c r="AY1" s="187"/>
      <c r="AZ1" s="187"/>
      <c r="BA1" s="187"/>
      <c r="BB1" s="71"/>
      <c r="BC1" s="5"/>
      <c r="BD1" s="189" t="s">
        <v>208</v>
      </c>
      <c r="BE1" s="190"/>
      <c r="BF1" s="190"/>
      <c r="BG1" s="190"/>
      <c r="BH1" s="190"/>
      <c r="BI1" s="190"/>
      <c r="BJ1" s="190"/>
      <c r="BK1" s="190"/>
      <c r="BL1" s="190"/>
      <c r="BM1" s="190"/>
      <c r="BN1" s="190"/>
      <c r="BO1" s="190"/>
      <c r="BP1" s="190"/>
      <c r="BQ1" s="4"/>
      <c r="BR1" s="4"/>
    </row>
    <row r="2" spans="1:70" ht="75" x14ac:dyDescent="0.25">
      <c r="A2" s="7" t="s">
        <v>209</v>
      </c>
      <c r="B2" s="8" t="s">
        <v>205</v>
      </c>
      <c r="C2" s="8" t="s">
        <v>210</v>
      </c>
      <c r="D2" s="9" t="s">
        <v>211</v>
      </c>
      <c r="E2" s="10" t="s">
        <v>212</v>
      </c>
      <c r="F2" s="11" t="s">
        <v>213</v>
      </c>
      <c r="G2" s="12" t="s">
        <v>214</v>
      </c>
      <c r="H2" s="8" t="s">
        <v>215</v>
      </c>
      <c r="I2" s="8" t="s">
        <v>41</v>
      </c>
      <c r="J2" s="8" t="s">
        <v>216</v>
      </c>
      <c r="K2" s="8" t="s">
        <v>217</v>
      </c>
      <c r="L2" s="8" t="s">
        <v>218</v>
      </c>
      <c r="M2" s="8" t="s">
        <v>219</v>
      </c>
      <c r="N2" s="13" t="s">
        <v>220</v>
      </c>
      <c r="O2" s="13" t="s">
        <v>221</v>
      </c>
      <c r="P2" s="13" t="s">
        <v>56</v>
      </c>
      <c r="Q2" s="13" t="s">
        <v>222</v>
      </c>
      <c r="R2" s="13" t="s">
        <v>223</v>
      </c>
      <c r="S2" s="8" t="s">
        <v>224</v>
      </c>
      <c r="T2" s="8" t="s">
        <v>225</v>
      </c>
      <c r="U2" s="8" t="s">
        <v>226</v>
      </c>
      <c r="V2" s="13" t="s">
        <v>227</v>
      </c>
      <c r="W2" s="13" t="s">
        <v>228</v>
      </c>
      <c r="X2" s="13" t="s">
        <v>229</v>
      </c>
      <c r="Y2" s="13" t="s">
        <v>230</v>
      </c>
      <c r="Z2" s="13" t="s">
        <v>231</v>
      </c>
      <c r="AA2" s="13" t="s">
        <v>232</v>
      </c>
      <c r="AB2" s="13" t="s">
        <v>233</v>
      </c>
      <c r="AC2" s="8" t="s">
        <v>234</v>
      </c>
      <c r="AD2" s="8" t="s">
        <v>235</v>
      </c>
      <c r="AE2" s="8" t="s">
        <v>236</v>
      </c>
      <c r="AF2" s="8" t="s">
        <v>237</v>
      </c>
      <c r="AG2" s="8" t="s">
        <v>238</v>
      </c>
      <c r="AH2" s="8" t="s">
        <v>239</v>
      </c>
      <c r="AI2" s="8" t="s">
        <v>240</v>
      </c>
      <c r="AJ2" s="8" t="s">
        <v>241</v>
      </c>
      <c r="AK2" s="8" t="s">
        <v>242</v>
      </c>
      <c r="AL2" s="8" t="s">
        <v>243</v>
      </c>
      <c r="AM2" s="8" t="s">
        <v>244</v>
      </c>
      <c r="AN2" s="8" t="s">
        <v>245</v>
      </c>
      <c r="AO2" s="8" t="s">
        <v>246</v>
      </c>
      <c r="AP2" s="8" t="s">
        <v>247</v>
      </c>
      <c r="AQ2" s="8" t="s">
        <v>248</v>
      </c>
      <c r="AR2" s="8" t="s">
        <v>249</v>
      </c>
      <c r="AS2" s="8" t="s">
        <v>250</v>
      </c>
      <c r="AT2" s="8" t="s">
        <v>251</v>
      </c>
      <c r="AU2" s="8" t="s">
        <v>252</v>
      </c>
      <c r="AV2" s="8" t="s">
        <v>253</v>
      </c>
      <c r="AW2" s="8" t="s">
        <v>254</v>
      </c>
      <c r="AX2" s="8" t="s">
        <v>255</v>
      </c>
      <c r="AY2" s="8" t="s">
        <v>256</v>
      </c>
      <c r="AZ2" s="8" t="s">
        <v>257</v>
      </c>
      <c r="BA2" s="8" t="s">
        <v>258</v>
      </c>
      <c r="BB2" s="72" t="s">
        <v>259</v>
      </c>
      <c r="BC2" s="8" t="s">
        <v>260</v>
      </c>
      <c r="BD2" s="14" t="s">
        <v>261</v>
      </c>
      <c r="BE2" s="14" t="s">
        <v>262</v>
      </c>
      <c r="BF2" s="14" t="s">
        <v>263</v>
      </c>
      <c r="BG2" s="14" t="s">
        <v>264</v>
      </c>
      <c r="BH2" s="14" t="s">
        <v>265</v>
      </c>
      <c r="BI2" s="14" t="s">
        <v>266</v>
      </c>
      <c r="BJ2" s="14" t="s">
        <v>267</v>
      </c>
      <c r="BK2" s="14" t="s">
        <v>268</v>
      </c>
      <c r="BL2" s="14" t="s">
        <v>269</v>
      </c>
      <c r="BM2" s="14" t="s">
        <v>270</v>
      </c>
      <c r="BN2" s="14" t="s">
        <v>271</v>
      </c>
      <c r="BO2" s="14" t="s">
        <v>272</v>
      </c>
      <c r="BP2" s="14" t="s">
        <v>273</v>
      </c>
      <c r="BQ2" s="4"/>
      <c r="BR2" s="4"/>
    </row>
    <row r="3" spans="1:70" ht="240" x14ac:dyDescent="0.25">
      <c r="A3" s="15" t="s">
        <v>181</v>
      </c>
      <c r="B3" s="16" t="s">
        <v>274</v>
      </c>
      <c r="C3" s="17" t="s">
        <v>275</v>
      </c>
      <c r="D3" s="18" t="s">
        <v>276</v>
      </c>
      <c r="E3" s="18"/>
      <c r="F3" s="18"/>
      <c r="G3" s="6" t="s">
        <v>277</v>
      </c>
      <c r="H3" s="6"/>
      <c r="I3" s="6" t="s">
        <v>278</v>
      </c>
      <c r="J3" s="6" t="s">
        <v>279</v>
      </c>
      <c r="K3" s="6"/>
      <c r="L3" s="6"/>
      <c r="M3" s="6"/>
      <c r="N3" s="25" t="s">
        <v>280</v>
      </c>
      <c r="O3" s="25" t="s">
        <v>281</v>
      </c>
      <c r="P3" s="23"/>
      <c r="Q3" s="23"/>
      <c r="R3" s="23"/>
      <c r="S3" s="5" t="s">
        <v>282</v>
      </c>
      <c r="T3" s="5"/>
      <c r="U3" s="5" t="s">
        <v>283</v>
      </c>
      <c r="V3" s="23"/>
      <c r="W3" s="23"/>
      <c r="X3" s="23"/>
      <c r="Y3" s="23"/>
      <c r="Z3" s="23"/>
      <c r="AA3" s="23"/>
      <c r="AB3" s="23"/>
      <c r="AC3" s="5"/>
      <c r="AD3" s="5"/>
      <c r="AE3" s="19" t="s">
        <v>54</v>
      </c>
      <c r="AF3" s="5"/>
      <c r="AG3" s="5"/>
      <c r="AH3" s="5"/>
      <c r="AI3" s="5"/>
      <c r="AJ3" s="20">
        <v>45600</v>
      </c>
      <c r="AK3" s="21">
        <v>1</v>
      </c>
      <c r="AL3" s="5"/>
      <c r="AM3" s="20">
        <v>45751</v>
      </c>
      <c r="AN3" s="5"/>
      <c r="AO3" s="5" t="s">
        <v>280</v>
      </c>
      <c r="AP3" s="5" t="s">
        <v>281</v>
      </c>
      <c r="AQ3" s="5"/>
      <c r="AR3" s="5"/>
      <c r="AS3" s="5"/>
      <c r="AT3" s="5" t="s">
        <v>281</v>
      </c>
      <c r="AU3" s="5"/>
      <c r="AV3" s="5" t="s">
        <v>284</v>
      </c>
      <c r="AW3" s="5"/>
      <c r="AX3" s="20">
        <v>45742</v>
      </c>
      <c r="AY3" s="5"/>
      <c r="AZ3" s="5" t="s">
        <v>285</v>
      </c>
      <c r="BA3" s="5" t="s">
        <v>281</v>
      </c>
      <c r="BB3" s="5"/>
      <c r="BC3" s="5"/>
      <c r="BD3" s="22">
        <v>130886.1</v>
      </c>
      <c r="BE3" s="22">
        <v>86639.22</v>
      </c>
      <c r="BF3" s="22">
        <v>44246.879999999997</v>
      </c>
      <c r="BG3" s="22">
        <v>39265.83</v>
      </c>
      <c r="BH3" s="23"/>
      <c r="BI3" s="22">
        <v>78531.66</v>
      </c>
      <c r="BJ3" s="23"/>
      <c r="BK3" s="22">
        <v>117797.49</v>
      </c>
      <c r="BL3" s="23"/>
      <c r="BM3" s="23"/>
      <c r="BN3" s="22">
        <v>145194</v>
      </c>
      <c r="BO3" s="22">
        <v>150913.67000000001</v>
      </c>
      <c r="BP3" s="70">
        <v>-5719.67</v>
      </c>
      <c r="BQ3" s="4"/>
      <c r="BR3" s="4"/>
    </row>
    <row r="4" spans="1:70" ht="45" x14ac:dyDescent="0.25">
      <c r="A4" s="15" t="s">
        <v>95</v>
      </c>
      <c r="B4" s="16" t="s">
        <v>274</v>
      </c>
      <c r="C4" s="17" t="s">
        <v>286</v>
      </c>
      <c r="D4" s="18" t="s">
        <v>87</v>
      </c>
      <c r="E4" s="18"/>
      <c r="F4" s="18"/>
      <c r="G4" s="24"/>
      <c r="H4" s="24" t="s">
        <v>287</v>
      </c>
      <c r="I4" s="6" t="s">
        <v>278</v>
      </c>
      <c r="J4" s="24" t="s">
        <v>288</v>
      </c>
      <c r="K4" s="24"/>
      <c r="L4" s="24"/>
      <c r="M4" s="24" t="s">
        <v>289</v>
      </c>
      <c r="N4" s="25" t="s">
        <v>280</v>
      </c>
      <c r="O4" s="25" t="s">
        <v>281</v>
      </c>
      <c r="P4" s="23"/>
      <c r="Q4" s="23"/>
      <c r="R4" s="23"/>
      <c r="S4" s="5" t="s">
        <v>290</v>
      </c>
      <c r="T4" s="5"/>
      <c r="U4" s="5" t="s">
        <v>283</v>
      </c>
      <c r="V4" s="23"/>
      <c r="W4" s="23"/>
      <c r="X4" s="23"/>
      <c r="Y4" s="23"/>
      <c r="Z4" s="23"/>
      <c r="AA4" s="23"/>
      <c r="AB4" s="23"/>
      <c r="AC4" s="5"/>
      <c r="AD4" s="5"/>
      <c r="AE4" s="19" t="s">
        <v>54</v>
      </c>
      <c r="AF4" s="5"/>
      <c r="AG4" s="5"/>
      <c r="AH4" s="5"/>
      <c r="AI4" s="26"/>
      <c r="AJ4" s="27">
        <v>45670</v>
      </c>
      <c r="AK4" s="28">
        <v>1</v>
      </c>
      <c r="AL4" s="26"/>
      <c r="AM4" s="27">
        <v>45765</v>
      </c>
      <c r="AN4" s="26"/>
      <c r="AO4" s="29" t="s">
        <v>280</v>
      </c>
      <c r="AP4" s="26" t="s">
        <v>281</v>
      </c>
      <c r="AQ4" s="26"/>
      <c r="AR4" s="26"/>
      <c r="AS4" s="26"/>
      <c r="AT4" s="26" t="s">
        <v>281</v>
      </c>
      <c r="AU4" s="26"/>
      <c r="AV4" s="29" t="s">
        <v>291</v>
      </c>
      <c r="AW4" s="29"/>
      <c r="AX4" s="30">
        <v>45772</v>
      </c>
      <c r="AY4" s="29"/>
      <c r="AZ4" s="5" t="s">
        <v>292</v>
      </c>
      <c r="BA4" s="29" t="s">
        <v>293</v>
      </c>
      <c r="BB4" s="29"/>
      <c r="BC4" s="20">
        <v>45748</v>
      </c>
      <c r="BD4" s="22">
        <v>210000</v>
      </c>
      <c r="BE4" s="22">
        <v>100500</v>
      </c>
      <c r="BF4" s="22">
        <v>109500</v>
      </c>
      <c r="BG4" s="22">
        <v>63000</v>
      </c>
      <c r="BH4" s="23"/>
      <c r="BI4" s="22">
        <v>126000</v>
      </c>
      <c r="BJ4" s="23"/>
      <c r="BK4" s="22">
        <v>189000</v>
      </c>
      <c r="BL4" s="23"/>
      <c r="BM4" s="23"/>
      <c r="BN4" s="22">
        <v>148162</v>
      </c>
      <c r="BO4" s="22">
        <v>114444.61</v>
      </c>
      <c r="BP4" s="31">
        <v>33717.39</v>
      </c>
      <c r="BQ4" s="4"/>
      <c r="BR4" s="4"/>
    </row>
    <row r="5" spans="1:70" ht="60" x14ac:dyDescent="0.25">
      <c r="A5" s="15" t="s">
        <v>200</v>
      </c>
      <c r="B5" s="16" t="s">
        <v>274</v>
      </c>
      <c r="C5" s="17" t="s">
        <v>286</v>
      </c>
      <c r="D5" s="18" t="s">
        <v>294</v>
      </c>
      <c r="E5" s="18"/>
      <c r="F5" s="18"/>
      <c r="G5" s="24" t="s">
        <v>295</v>
      </c>
      <c r="H5" s="24"/>
      <c r="I5" s="6" t="s">
        <v>278</v>
      </c>
      <c r="J5" s="24" t="s">
        <v>279</v>
      </c>
      <c r="K5" s="24"/>
      <c r="L5" s="24"/>
      <c r="M5" s="24"/>
      <c r="N5" s="25" t="s">
        <v>280</v>
      </c>
      <c r="O5" s="25" t="s">
        <v>281</v>
      </c>
      <c r="P5" s="23"/>
      <c r="Q5" s="23"/>
      <c r="R5" s="23"/>
      <c r="S5" s="5" t="s">
        <v>296</v>
      </c>
      <c r="T5" s="5"/>
      <c r="U5" s="5" t="s">
        <v>283</v>
      </c>
      <c r="V5" s="23"/>
      <c r="W5" s="23"/>
      <c r="X5" s="23"/>
      <c r="Y5" s="23"/>
      <c r="Z5" s="23"/>
      <c r="AA5" s="23"/>
      <c r="AB5" s="23"/>
      <c r="AC5" s="5"/>
      <c r="AD5" s="5"/>
      <c r="AE5" s="19" t="s">
        <v>54</v>
      </c>
      <c r="AF5" s="5"/>
      <c r="AG5" s="5"/>
      <c r="AH5" s="5"/>
      <c r="AI5" s="26"/>
      <c r="AJ5" s="27">
        <v>45685</v>
      </c>
      <c r="AK5" s="28">
        <v>0.99</v>
      </c>
      <c r="AL5" s="26"/>
      <c r="AM5" s="27">
        <v>45777</v>
      </c>
      <c r="AN5" s="26"/>
      <c r="AO5" s="19" t="s">
        <v>106</v>
      </c>
      <c r="AP5" s="26" t="s">
        <v>297</v>
      </c>
      <c r="AQ5" s="26"/>
      <c r="AR5" s="26"/>
      <c r="AS5" s="26"/>
      <c r="AT5" s="26" t="s">
        <v>298</v>
      </c>
      <c r="AU5" s="26"/>
      <c r="AV5" s="5" t="s">
        <v>299</v>
      </c>
      <c r="AW5" s="5"/>
      <c r="AX5" s="20">
        <v>45777</v>
      </c>
      <c r="AY5" s="5"/>
      <c r="AZ5" s="5" t="s">
        <v>292</v>
      </c>
      <c r="BA5" s="5" t="s">
        <v>300</v>
      </c>
      <c r="BB5" s="5"/>
      <c r="BC5" s="5"/>
      <c r="BD5" s="22">
        <v>143107.75</v>
      </c>
      <c r="BE5" s="22">
        <v>97220.160000000003</v>
      </c>
      <c r="BF5" s="22">
        <v>45887.59</v>
      </c>
      <c r="BG5" s="22">
        <v>42932.33</v>
      </c>
      <c r="BH5" s="23"/>
      <c r="BI5" s="22">
        <v>85864.65</v>
      </c>
      <c r="BJ5" s="23"/>
      <c r="BK5" s="22">
        <v>128796.98</v>
      </c>
      <c r="BL5" s="23"/>
      <c r="BM5" s="23"/>
      <c r="BN5" s="22">
        <v>55620</v>
      </c>
      <c r="BO5" s="22">
        <v>54666.61</v>
      </c>
      <c r="BP5" s="31">
        <v>953.39</v>
      </c>
      <c r="BQ5" s="4"/>
      <c r="BR5" s="4"/>
    </row>
    <row r="6" spans="1:70" ht="120" x14ac:dyDescent="0.25">
      <c r="A6" s="15" t="s">
        <v>189</v>
      </c>
      <c r="B6" s="32" t="s">
        <v>301</v>
      </c>
      <c r="C6" s="17" t="s">
        <v>286</v>
      </c>
      <c r="D6" s="18" t="s">
        <v>302</v>
      </c>
      <c r="E6" s="18" t="s">
        <v>303</v>
      </c>
      <c r="F6" s="18"/>
      <c r="G6" s="6" t="s">
        <v>304</v>
      </c>
      <c r="H6" s="6"/>
      <c r="I6" s="6" t="s">
        <v>278</v>
      </c>
      <c r="J6" s="6" t="s">
        <v>279</v>
      </c>
      <c r="K6" s="6"/>
      <c r="L6" s="6"/>
      <c r="M6" s="6"/>
      <c r="N6" s="25" t="s">
        <v>280</v>
      </c>
      <c r="O6" s="25" t="s">
        <v>281</v>
      </c>
      <c r="P6" s="23"/>
      <c r="Q6" s="23"/>
      <c r="R6" s="23"/>
      <c r="S6" s="5" t="s">
        <v>305</v>
      </c>
      <c r="T6" s="5"/>
      <c r="U6" s="5" t="s">
        <v>283</v>
      </c>
      <c r="V6" s="23"/>
      <c r="W6" s="23"/>
      <c r="X6" s="23"/>
      <c r="Y6" s="23"/>
      <c r="Z6" s="23"/>
      <c r="AA6" s="23"/>
      <c r="AB6" s="23"/>
      <c r="AC6" s="5"/>
      <c r="AD6" s="5"/>
      <c r="AE6" s="19" t="s">
        <v>54</v>
      </c>
      <c r="AF6" s="5"/>
      <c r="AG6" s="5"/>
      <c r="AH6" s="5"/>
      <c r="AI6" s="5"/>
      <c r="AJ6" s="20">
        <v>45581</v>
      </c>
      <c r="AK6" s="21">
        <v>0.95</v>
      </c>
      <c r="AL6" s="5"/>
      <c r="AM6" s="20">
        <v>45807</v>
      </c>
      <c r="AN6" s="5"/>
      <c r="AO6" s="5"/>
      <c r="AP6" s="5" t="s">
        <v>297</v>
      </c>
      <c r="AQ6" s="5"/>
      <c r="AR6" s="5"/>
      <c r="AS6" s="5"/>
      <c r="AT6" s="26" t="s">
        <v>298</v>
      </c>
      <c r="AU6" s="26"/>
      <c r="AV6" s="5" t="s">
        <v>299</v>
      </c>
      <c r="AW6" s="5"/>
      <c r="AX6" s="20">
        <v>45807</v>
      </c>
      <c r="AY6" s="5"/>
      <c r="AZ6" s="5" t="s">
        <v>292</v>
      </c>
      <c r="BA6" s="5" t="s">
        <v>300</v>
      </c>
      <c r="BB6" s="5"/>
      <c r="BC6" s="5"/>
      <c r="BD6" s="33">
        <v>328037.71999999997</v>
      </c>
      <c r="BE6" s="33">
        <v>323041.90999999997</v>
      </c>
      <c r="BF6" s="33">
        <v>4995.8100000000004</v>
      </c>
      <c r="BG6" s="22">
        <v>98411.32</v>
      </c>
      <c r="BH6" s="23"/>
      <c r="BI6" s="22">
        <v>196822.63</v>
      </c>
      <c r="BJ6" s="23"/>
      <c r="BK6" s="22">
        <v>295233.95</v>
      </c>
      <c r="BL6" s="23"/>
      <c r="BM6" s="23"/>
      <c r="BN6" s="22">
        <v>109264.74</v>
      </c>
      <c r="BO6" s="22">
        <v>106264.54</v>
      </c>
      <c r="BP6" s="31">
        <v>3000.2</v>
      </c>
      <c r="BQ6" s="4"/>
      <c r="BR6" s="4"/>
    </row>
    <row r="7" spans="1:70" ht="135" x14ac:dyDescent="0.25">
      <c r="A7" s="15" t="s">
        <v>77</v>
      </c>
      <c r="B7" s="34" t="s">
        <v>306</v>
      </c>
      <c r="C7" s="17" t="s">
        <v>286</v>
      </c>
      <c r="D7" s="18" t="s">
        <v>307</v>
      </c>
      <c r="E7" s="18"/>
      <c r="F7" s="18"/>
      <c r="G7" s="35" t="s">
        <v>308</v>
      </c>
      <c r="H7" s="35"/>
      <c r="I7" s="35" t="s">
        <v>278</v>
      </c>
      <c r="J7" s="35" t="s">
        <v>288</v>
      </c>
      <c r="K7" s="35"/>
      <c r="L7" s="35" t="s">
        <v>309</v>
      </c>
      <c r="M7" s="36" t="s">
        <v>310</v>
      </c>
      <c r="N7" s="23" t="s">
        <v>72</v>
      </c>
      <c r="O7" s="37" t="s">
        <v>298</v>
      </c>
      <c r="P7" s="23" t="s">
        <v>311</v>
      </c>
      <c r="Q7" s="23"/>
      <c r="R7" s="23"/>
      <c r="S7" s="38"/>
      <c r="T7" s="38"/>
      <c r="U7" s="38" t="s">
        <v>312</v>
      </c>
      <c r="V7" s="23"/>
      <c r="W7" s="23"/>
      <c r="X7" s="23"/>
      <c r="Y7" s="23"/>
      <c r="Z7" s="23"/>
      <c r="AA7" s="23"/>
      <c r="AB7" s="23"/>
      <c r="AC7" s="38"/>
      <c r="AD7" s="38"/>
      <c r="AE7" s="39" t="s">
        <v>313</v>
      </c>
      <c r="AF7" s="38" t="s">
        <v>314</v>
      </c>
      <c r="AG7" s="38"/>
      <c r="AH7" s="38"/>
      <c r="AI7" s="38"/>
      <c r="AJ7" s="40">
        <v>45810</v>
      </c>
      <c r="AK7" s="41">
        <v>0</v>
      </c>
      <c r="AL7" s="38"/>
      <c r="AM7" s="40">
        <v>45961</v>
      </c>
      <c r="AN7" s="38"/>
      <c r="AO7" s="42" t="s">
        <v>312</v>
      </c>
      <c r="AP7" s="5" t="s">
        <v>297</v>
      </c>
      <c r="AQ7" s="5"/>
      <c r="AR7" s="5"/>
      <c r="AS7" s="5"/>
      <c r="AT7" s="26" t="s">
        <v>298</v>
      </c>
      <c r="AU7" s="26"/>
      <c r="AV7" s="5" t="s">
        <v>298</v>
      </c>
      <c r="AW7" s="5"/>
      <c r="AX7" s="20">
        <v>45961</v>
      </c>
      <c r="AY7" s="5"/>
      <c r="AZ7" s="5" t="s">
        <v>315</v>
      </c>
      <c r="BA7" s="5" t="s">
        <v>298</v>
      </c>
      <c r="BB7" s="5"/>
      <c r="BC7" s="20">
        <v>45901</v>
      </c>
      <c r="BD7" s="22">
        <v>246200</v>
      </c>
      <c r="BE7" s="22">
        <v>6000</v>
      </c>
      <c r="BF7" s="22">
        <v>240200</v>
      </c>
      <c r="BG7" s="22">
        <v>73860</v>
      </c>
      <c r="BH7" s="23"/>
      <c r="BI7" s="22">
        <v>147720</v>
      </c>
      <c r="BJ7" s="23"/>
      <c r="BK7" s="22">
        <v>221580</v>
      </c>
      <c r="BL7" s="23"/>
      <c r="BM7" s="23"/>
      <c r="BN7" s="22">
        <v>311710</v>
      </c>
      <c r="BO7" s="23" t="s">
        <v>316</v>
      </c>
      <c r="BP7" s="31">
        <v>311710</v>
      </c>
      <c r="BQ7" s="4"/>
      <c r="BR7" s="4"/>
    </row>
    <row r="8" spans="1:70" ht="409.5" x14ac:dyDescent="0.25">
      <c r="A8" s="15" t="s">
        <v>317</v>
      </c>
      <c r="B8" s="34" t="s">
        <v>318</v>
      </c>
      <c r="C8" s="17" t="s">
        <v>275</v>
      </c>
      <c r="D8" s="18" t="s">
        <v>319</v>
      </c>
      <c r="E8" s="18" t="s">
        <v>320</v>
      </c>
      <c r="F8" s="18" t="s">
        <v>321</v>
      </c>
      <c r="G8" s="43" t="s">
        <v>322</v>
      </c>
      <c r="H8" s="43"/>
      <c r="I8" s="43" t="s">
        <v>278</v>
      </c>
      <c r="J8" s="43" t="s">
        <v>288</v>
      </c>
      <c r="K8" s="43"/>
      <c r="L8" s="44" t="s">
        <v>323</v>
      </c>
      <c r="M8" s="43" t="s">
        <v>324</v>
      </c>
      <c r="N8" s="23" t="s">
        <v>325</v>
      </c>
      <c r="O8" s="37" t="s">
        <v>298</v>
      </c>
      <c r="P8" s="23"/>
      <c r="Q8" s="23"/>
      <c r="R8" s="23"/>
      <c r="S8" s="42" t="s">
        <v>326</v>
      </c>
      <c r="T8" s="42"/>
      <c r="U8" s="42" t="s">
        <v>327</v>
      </c>
      <c r="V8" s="23"/>
      <c r="W8" s="23"/>
      <c r="X8" s="23"/>
      <c r="Y8" s="23"/>
      <c r="Z8" s="23"/>
      <c r="AA8" s="23"/>
      <c r="AB8" s="23"/>
      <c r="AC8" s="42"/>
      <c r="AD8" s="42"/>
      <c r="AE8" s="45" t="s">
        <v>313</v>
      </c>
      <c r="AF8" s="38" t="s">
        <v>314</v>
      </c>
      <c r="AG8" s="42"/>
      <c r="AH8" s="42"/>
      <c r="AI8" s="42"/>
      <c r="AJ8" s="46">
        <v>45845</v>
      </c>
      <c r="AK8" s="47">
        <v>0</v>
      </c>
      <c r="AL8" s="42"/>
      <c r="AM8" s="46">
        <v>45918</v>
      </c>
      <c r="AN8" s="42"/>
      <c r="AO8" s="5" t="s">
        <v>328</v>
      </c>
      <c r="AP8" s="5" t="s">
        <v>297</v>
      </c>
      <c r="AQ8" s="5"/>
      <c r="AR8" s="5"/>
      <c r="AS8" s="5"/>
      <c r="AT8" s="26" t="s">
        <v>298</v>
      </c>
      <c r="AU8" s="26"/>
      <c r="AV8" s="5" t="s">
        <v>299</v>
      </c>
      <c r="AW8" s="29"/>
      <c r="AX8" s="30">
        <v>45989</v>
      </c>
      <c r="AY8" s="29"/>
      <c r="AZ8" s="5" t="s">
        <v>315</v>
      </c>
      <c r="BA8" s="5" t="s">
        <v>298</v>
      </c>
      <c r="BB8" s="5"/>
      <c r="BC8" s="20">
        <v>45809</v>
      </c>
      <c r="BD8" s="22">
        <v>91078</v>
      </c>
      <c r="BE8" s="23" t="s">
        <v>316</v>
      </c>
      <c r="BF8" s="22">
        <v>91078</v>
      </c>
      <c r="BG8" s="22">
        <v>27323.4</v>
      </c>
      <c r="BH8" s="23"/>
      <c r="BI8" s="22">
        <v>54646.8</v>
      </c>
      <c r="BJ8" s="23"/>
      <c r="BK8" s="22">
        <v>81970.2</v>
      </c>
      <c r="BL8" s="23"/>
      <c r="BM8" s="23"/>
      <c r="BN8" s="22">
        <v>60126</v>
      </c>
      <c r="BO8" s="23" t="s">
        <v>316</v>
      </c>
      <c r="BP8" s="31">
        <v>60126</v>
      </c>
      <c r="BQ8" s="4"/>
      <c r="BR8" s="4"/>
    </row>
    <row r="9" spans="1:70" ht="375" x14ac:dyDescent="0.25">
      <c r="A9" s="15" t="s">
        <v>88</v>
      </c>
      <c r="B9" s="48" t="s">
        <v>329</v>
      </c>
      <c r="C9" s="17" t="s">
        <v>275</v>
      </c>
      <c r="D9" s="18" t="s">
        <v>330</v>
      </c>
      <c r="E9" s="18"/>
      <c r="F9" s="18"/>
      <c r="G9" s="6" t="s">
        <v>331</v>
      </c>
      <c r="H9" s="6"/>
      <c r="I9" s="6"/>
      <c r="J9" s="6" t="s">
        <v>332</v>
      </c>
      <c r="K9" s="6"/>
      <c r="L9" s="6"/>
      <c r="M9" s="6"/>
      <c r="N9" s="23" t="s">
        <v>106</v>
      </c>
      <c r="O9" s="23"/>
      <c r="P9" s="23"/>
      <c r="Q9" s="23"/>
      <c r="R9" s="23"/>
      <c r="S9" s="5"/>
      <c r="T9" s="5"/>
      <c r="U9" s="5"/>
      <c r="V9" s="23"/>
      <c r="W9" s="23"/>
      <c r="X9" s="23"/>
      <c r="Y9" s="23"/>
      <c r="Z9" s="23"/>
      <c r="AA9" s="23"/>
      <c r="AB9" s="23"/>
      <c r="AC9" s="5"/>
      <c r="AD9" s="5"/>
      <c r="AE9" s="19" t="s">
        <v>106</v>
      </c>
      <c r="AF9" s="5" t="s">
        <v>333</v>
      </c>
      <c r="AG9" s="5" t="s">
        <v>281</v>
      </c>
      <c r="AH9" s="5"/>
      <c r="AI9" s="5"/>
      <c r="AJ9" s="5"/>
      <c r="AK9" s="21">
        <v>0.1</v>
      </c>
      <c r="AL9" s="5"/>
      <c r="AM9" s="5" t="s">
        <v>106</v>
      </c>
      <c r="AN9" s="5"/>
      <c r="AO9" s="5"/>
      <c r="AP9" s="5"/>
      <c r="AQ9" s="5"/>
      <c r="AR9" s="5"/>
      <c r="AS9" s="5"/>
      <c r="AT9" s="5"/>
      <c r="AU9" s="5"/>
      <c r="AV9" s="5"/>
      <c r="AW9" s="5"/>
      <c r="AX9" s="5" t="s">
        <v>106</v>
      </c>
      <c r="AY9" s="5"/>
      <c r="AZ9" s="5"/>
      <c r="BA9" s="5"/>
      <c r="BB9" s="5"/>
      <c r="BC9" s="5" t="s">
        <v>106</v>
      </c>
      <c r="BD9" s="23"/>
      <c r="BE9" s="23"/>
      <c r="BF9" s="23" t="s">
        <v>334</v>
      </c>
      <c r="BG9" s="23" t="s">
        <v>316</v>
      </c>
      <c r="BH9" s="23"/>
      <c r="BI9" s="23" t="s">
        <v>316</v>
      </c>
      <c r="BJ9" s="23"/>
      <c r="BK9" s="23" t="s">
        <v>316</v>
      </c>
      <c r="BL9" s="23"/>
      <c r="BM9" s="23"/>
      <c r="BN9" s="23"/>
      <c r="BO9" s="23"/>
      <c r="BP9" s="49" t="s">
        <v>316</v>
      </c>
      <c r="BQ9" s="4"/>
      <c r="BR9" s="4"/>
    </row>
    <row r="10" spans="1:70" ht="120" x14ac:dyDescent="0.25">
      <c r="A10" s="15" t="s">
        <v>335</v>
      </c>
      <c r="B10" s="48" t="s">
        <v>329</v>
      </c>
      <c r="C10" s="17" t="s">
        <v>286</v>
      </c>
      <c r="D10" s="18" t="s">
        <v>336</v>
      </c>
      <c r="E10" s="18" t="s">
        <v>337</v>
      </c>
      <c r="F10" s="18"/>
      <c r="G10" s="6" t="s">
        <v>338</v>
      </c>
      <c r="H10" s="6"/>
      <c r="I10" s="6"/>
      <c r="J10" s="6" t="s">
        <v>332</v>
      </c>
      <c r="K10" s="6"/>
      <c r="L10" s="6"/>
      <c r="M10" s="6"/>
      <c r="N10" s="23" t="s">
        <v>106</v>
      </c>
      <c r="O10" s="23"/>
      <c r="P10" s="23"/>
      <c r="Q10" s="23"/>
      <c r="R10" s="23"/>
      <c r="S10" s="5"/>
      <c r="T10" s="5"/>
      <c r="U10" s="5" t="s">
        <v>283</v>
      </c>
      <c r="V10" s="23"/>
      <c r="W10" s="23"/>
      <c r="X10" s="23"/>
      <c r="Y10" s="23"/>
      <c r="Z10" s="23"/>
      <c r="AA10" s="23"/>
      <c r="AB10" s="23"/>
      <c r="AC10" s="5"/>
      <c r="AD10" s="5"/>
      <c r="AE10" s="19" t="s">
        <v>54</v>
      </c>
      <c r="AF10" s="5"/>
      <c r="AG10" s="5"/>
      <c r="AH10" s="5"/>
      <c r="AI10" s="5"/>
      <c r="AJ10" s="5" t="s">
        <v>106</v>
      </c>
      <c r="AK10" s="21">
        <v>0</v>
      </c>
      <c r="AL10" s="5"/>
      <c r="AM10" s="5" t="s">
        <v>106</v>
      </c>
      <c r="AN10" s="5"/>
      <c r="AO10" s="5"/>
      <c r="AP10" s="5"/>
      <c r="AQ10" s="5"/>
      <c r="AR10" s="5"/>
      <c r="AS10" s="5"/>
      <c r="AT10" s="5"/>
      <c r="AU10" s="5"/>
      <c r="AV10" s="5"/>
      <c r="AW10" s="5"/>
      <c r="AX10" s="5" t="s">
        <v>106</v>
      </c>
      <c r="AY10" s="5"/>
      <c r="AZ10" s="5"/>
      <c r="BA10" s="5"/>
      <c r="BB10" s="5"/>
      <c r="BC10" s="5" t="s">
        <v>106</v>
      </c>
      <c r="BD10" s="22">
        <v>36260.239999999998</v>
      </c>
      <c r="BE10" s="22">
        <v>36130</v>
      </c>
      <c r="BF10" s="22">
        <v>130.24</v>
      </c>
      <c r="BG10" s="22">
        <v>10878.07</v>
      </c>
      <c r="BH10" s="23"/>
      <c r="BI10" s="22">
        <v>21756.14</v>
      </c>
      <c r="BJ10" s="23"/>
      <c r="BK10" s="22">
        <v>32634.22</v>
      </c>
      <c r="BL10" s="23"/>
      <c r="BM10" s="23"/>
      <c r="BN10" s="22">
        <v>60546.25</v>
      </c>
      <c r="BO10" s="22">
        <v>60331.51</v>
      </c>
      <c r="BP10" s="31">
        <v>214.74</v>
      </c>
      <c r="BQ10" s="4"/>
      <c r="BR10" s="4"/>
    </row>
    <row r="11" spans="1:70" ht="165" x14ac:dyDescent="0.25">
      <c r="A11" s="15" t="s">
        <v>339</v>
      </c>
      <c r="B11" s="48" t="s">
        <v>329</v>
      </c>
      <c r="C11" s="17" t="s">
        <v>286</v>
      </c>
      <c r="D11" s="18" t="s">
        <v>340</v>
      </c>
      <c r="E11" s="18"/>
      <c r="F11" s="18"/>
      <c r="G11" s="6" t="s">
        <v>341</v>
      </c>
      <c r="H11" s="6"/>
      <c r="I11" s="6"/>
      <c r="J11" s="6" t="s">
        <v>332</v>
      </c>
      <c r="K11" s="6"/>
      <c r="L11" s="6"/>
      <c r="M11" s="6"/>
      <c r="N11" s="23" t="s">
        <v>106</v>
      </c>
      <c r="O11" s="23"/>
      <c r="P11" s="23"/>
      <c r="Q11" s="23"/>
      <c r="R11" s="23"/>
      <c r="S11" s="5"/>
      <c r="T11" s="5"/>
      <c r="U11" s="5"/>
      <c r="V11" s="23"/>
      <c r="W11" s="23"/>
      <c r="X11" s="23"/>
      <c r="Y11" s="23"/>
      <c r="Z11" s="23"/>
      <c r="AA11" s="23"/>
      <c r="AB11" s="23"/>
      <c r="AC11" s="5"/>
      <c r="AD11" s="5"/>
      <c r="AE11" s="19" t="s">
        <v>106</v>
      </c>
      <c r="AF11" s="5"/>
      <c r="AG11" s="5"/>
      <c r="AH11" s="5"/>
      <c r="AI11" s="5"/>
      <c r="AJ11" s="5" t="s">
        <v>106</v>
      </c>
      <c r="AK11" s="21">
        <v>0.1</v>
      </c>
      <c r="AL11" s="5"/>
      <c r="AM11" s="5" t="s">
        <v>106</v>
      </c>
      <c r="AN11" s="5"/>
      <c r="AO11" s="5"/>
      <c r="AP11" s="5"/>
      <c r="AQ11" s="5"/>
      <c r="AR11" s="5"/>
      <c r="AS11" s="5"/>
      <c r="AT11" s="5"/>
      <c r="AU11" s="5"/>
      <c r="AV11" s="5"/>
      <c r="AW11" s="5"/>
      <c r="AX11" s="5" t="s">
        <v>106</v>
      </c>
      <c r="AY11" s="5"/>
      <c r="AZ11" s="5"/>
      <c r="BA11" s="5"/>
      <c r="BB11" s="5"/>
      <c r="BC11" s="5" t="s">
        <v>106</v>
      </c>
      <c r="BD11" s="23"/>
      <c r="BE11" s="23"/>
      <c r="BF11" s="23" t="s">
        <v>334</v>
      </c>
      <c r="BG11" s="23" t="s">
        <v>316</v>
      </c>
      <c r="BH11" s="23"/>
      <c r="BI11" s="23" t="s">
        <v>316</v>
      </c>
      <c r="BJ11" s="23"/>
      <c r="BK11" s="23" t="s">
        <v>316</v>
      </c>
      <c r="BL11" s="23"/>
      <c r="BM11" s="23"/>
      <c r="BN11" s="23"/>
      <c r="BO11" s="23"/>
      <c r="BP11" s="49" t="s">
        <v>316</v>
      </c>
      <c r="BQ11" s="4"/>
      <c r="BR11" s="4"/>
    </row>
    <row r="12" spans="1:70" ht="150" x14ac:dyDescent="0.25">
      <c r="A12" s="15" t="s">
        <v>342</v>
      </c>
      <c r="B12" s="48" t="s">
        <v>329</v>
      </c>
      <c r="C12" s="17" t="s">
        <v>275</v>
      </c>
      <c r="D12" s="18" t="s">
        <v>343</v>
      </c>
      <c r="E12" s="18" t="s">
        <v>344</v>
      </c>
      <c r="F12" s="18" t="s">
        <v>345</v>
      </c>
      <c r="G12" s="6" t="s">
        <v>346</v>
      </c>
      <c r="H12" s="6"/>
      <c r="I12" s="6"/>
      <c r="J12" s="6" t="s">
        <v>332</v>
      </c>
      <c r="K12" s="6"/>
      <c r="L12" s="6"/>
      <c r="M12" s="6"/>
      <c r="N12" s="23" t="s">
        <v>106</v>
      </c>
      <c r="O12" s="23"/>
      <c r="P12" s="23"/>
      <c r="Q12" s="23"/>
      <c r="R12" s="23"/>
      <c r="S12" s="5"/>
      <c r="T12" s="5"/>
      <c r="U12" s="5"/>
      <c r="V12" s="23"/>
      <c r="W12" s="23"/>
      <c r="X12" s="23"/>
      <c r="Y12" s="23"/>
      <c r="Z12" s="23"/>
      <c r="AA12" s="23"/>
      <c r="AB12" s="23"/>
      <c r="AC12" s="5"/>
      <c r="AD12" s="5"/>
      <c r="AE12" s="19" t="s">
        <v>106</v>
      </c>
      <c r="AF12" s="5"/>
      <c r="AG12" s="5"/>
      <c r="AH12" s="5"/>
      <c r="AI12" s="5"/>
      <c r="AJ12" s="5" t="s">
        <v>106</v>
      </c>
      <c r="AK12" s="21">
        <v>0</v>
      </c>
      <c r="AL12" s="5"/>
      <c r="AM12" s="5" t="s">
        <v>106</v>
      </c>
      <c r="AN12" s="5"/>
      <c r="AO12" s="5"/>
      <c r="AP12" s="5"/>
      <c r="AQ12" s="5"/>
      <c r="AR12" s="5"/>
      <c r="AS12" s="5"/>
      <c r="AT12" s="5"/>
      <c r="AU12" s="5"/>
      <c r="AV12" s="5"/>
      <c r="AW12" s="5"/>
      <c r="AX12" s="5" t="s">
        <v>106</v>
      </c>
      <c r="AY12" s="5"/>
      <c r="AZ12" s="5"/>
      <c r="BA12" s="5"/>
      <c r="BB12" s="5"/>
      <c r="BC12" s="5" t="s">
        <v>106</v>
      </c>
      <c r="BD12" s="23"/>
      <c r="BE12" s="23"/>
      <c r="BF12" s="23" t="s">
        <v>334</v>
      </c>
      <c r="BG12" s="23" t="s">
        <v>316</v>
      </c>
      <c r="BH12" s="23"/>
      <c r="BI12" s="23" t="s">
        <v>316</v>
      </c>
      <c r="BJ12" s="23"/>
      <c r="BK12" s="23" t="s">
        <v>316</v>
      </c>
      <c r="BL12" s="23"/>
      <c r="BM12" s="23"/>
      <c r="BN12" s="23"/>
      <c r="BO12" s="23"/>
      <c r="BP12" s="49" t="s">
        <v>316</v>
      </c>
      <c r="BQ12" s="4"/>
      <c r="BR12" s="4"/>
    </row>
    <row r="13" spans="1:70" ht="120" x14ac:dyDescent="0.25">
      <c r="A13" s="15" t="s">
        <v>347</v>
      </c>
      <c r="B13" s="48" t="s">
        <v>329</v>
      </c>
      <c r="C13" s="17" t="s">
        <v>286</v>
      </c>
      <c r="D13" s="18" t="s">
        <v>348</v>
      </c>
      <c r="E13" s="18"/>
      <c r="F13" s="18"/>
      <c r="G13" s="24" t="s">
        <v>349</v>
      </c>
      <c r="H13" s="24"/>
      <c r="I13" s="24"/>
      <c r="J13" s="24" t="s">
        <v>332</v>
      </c>
      <c r="K13" s="24"/>
      <c r="L13" s="24"/>
      <c r="M13" s="24"/>
      <c r="N13" s="23" t="s">
        <v>106</v>
      </c>
      <c r="O13" s="23"/>
      <c r="P13" s="23"/>
      <c r="Q13" s="23"/>
      <c r="R13" s="23"/>
      <c r="S13" s="5"/>
      <c r="T13" s="5"/>
      <c r="U13" s="50" t="s">
        <v>106</v>
      </c>
      <c r="V13" s="23"/>
      <c r="W13" s="23"/>
      <c r="X13" s="23"/>
      <c r="Y13" s="23"/>
      <c r="Z13" s="23"/>
      <c r="AA13" s="23"/>
      <c r="AB13" s="23"/>
      <c r="AC13" s="26"/>
      <c r="AD13" s="26"/>
      <c r="AE13" s="50" t="s">
        <v>106</v>
      </c>
      <c r="AF13" s="26" t="s">
        <v>350</v>
      </c>
      <c r="AG13" s="26"/>
      <c r="AH13" s="26"/>
      <c r="AI13" s="26"/>
      <c r="AJ13" s="5" t="s">
        <v>106</v>
      </c>
      <c r="AK13" s="28">
        <v>0.1</v>
      </c>
      <c r="AL13" s="5"/>
      <c r="AM13" s="5" t="s">
        <v>106</v>
      </c>
      <c r="AN13" s="5"/>
      <c r="AO13" s="26"/>
      <c r="AP13" s="5"/>
      <c r="AQ13" s="5"/>
      <c r="AR13" s="5"/>
      <c r="AS13" s="5"/>
      <c r="AT13" s="5"/>
      <c r="AU13" s="5"/>
      <c r="AV13" s="5"/>
      <c r="AW13" s="5"/>
      <c r="AX13" s="5" t="s">
        <v>106</v>
      </c>
      <c r="AY13" s="5"/>
      <c r="AZ13" s="5"/>
      <c r="BA13" s="5"/>
      <c r="BB13" s="5"/>
      <c r="BC13" s="5" t="s">
        <v>106</v>
      </c>
      <c r="BD13" s="23"/>
      <c r="BE13" s="23"/>
      <c r="BF13" s="23" t="s">
        <v>334</v>
      </c>
      <c r="BG13" s="23" t="s">
        <v>316</v>
      </c>
      <c r="BH13" s="23"/>
      <c r="BI13" s="23" t="s">
        <v>316</v>
      </c>
      <c r="BJ13" s="23"/>
      <c r="BK13" s="23" t="s">
        <v>316</v>
      </c>
      <c r="BL13" s="23"/>
      <c r="BM13" s="23"/>
      <c r="BN13" s="23"/>
      <c r="BO13" s="23"/>
      <c r="BP13" s="49" t="s">
        <v>316</v>
      </c>
      <c r="BQ13" s="4"/>
      <c r="BR13" s="4"/>
    </row>
    <row r="14" spans="1:70" ht="135" x14ac:dyDescent="0.25">
      <c r="A14" s="15" t="s">
        <v>351</v>
      </c>
      <c r="B14" s="48" t="s">
        <v>329</v>
      </c>
      <c r="C14" s="17" t="s">
        <v>286</v>
      </c>
      <c r="D14" s="18" t="s">
        <v>352</v>
      </c>
      <c r="E14" s="18"/>
      <c r="F14" s="18"/>
      <c r="G14" s="24" t="s">
        <v>349</v>
      </c>
      <c r="H14" s="24"/>
      <c r="I14" s="24"/>
      <c r="J14" s="24" t="s">
        <v>332</v>
      </c>
      <c r="K14" s="24"/>
      <c r="L14" s="24"/>
      <c r="M14" s="24"/>
      <c r="N14" s="23" t="s">
        <v>106</v>
      </c>
      <c r="O14" s="23"/>
      <c r="P14" s="23"/>
      <c r="Q14" s="23"/>
      <c r="R14" s="23"/>
      <c r="S14" s="5"/>
      <c r="T14" s="5"/>
      <c r="U14" s="50" t="s">
        <v>106</v>
      </c>
      <c r="V14" s="23"/>
      <c r="W14" s="23"/>
      <c r="X14" s="23"/>
      <c r="Y14" s="23"/>
      <c r="Z14" s="23"/>
      <c r="AA14" s="23"/>
      <c r="AB14" s="23"/>
      <c r="AC14" s="26"/>
      <c r="AD14" s="26"/>
      <c r="AE14" s="50" t="s">
        <v>106</v>
      </c>
      <c r="AF14" s="26" t="s">
        <v>350</v>
      </c>
      <c r="AG14" s="26"/>
      <c r="AH14" s="26"/>
      <c r="AI14" s="5"/>
      <c r="AJ14" s="5" t="s">
        <v>106</v>
      </c>
      <c r="AK14" s="21">
        <v>0.1</v>
      </c>
      <c r="AL14" s="5"/>
      <c r="AM14" s="5" t="s">
        <v>106</v>
      </c>
      <c r="AN14" s="5"/>
      <c r="AO14" s="26"/>
      <c r="AP14" s="5"/>
      <c r="AQ14" s="5"/>
      <c r="AR14" s="5"/>
      <c r="AS14" s="5"/>
      <c r="AT14" s="5"/>
      <c r="AU14" s="5"/>
      <c r="AV14" s="5"/>
      <c r="AW14" s="5"/>
      <c r="AX14" s="5" t="s">
        <v>106</v>
      </c>
      <c r="AY14" s="5"/>
      <c r="AZ14" s="5"/>
      <c r="BA14" s="5"/>
      <c r="BB14" s="5"/>
      <c r="BC14" s="5" t="s">
        <v>106</v>
      </c>
      <c r="BD14" s="23"/>
      <c r="BE14" s="23"/>
      <c r="BF14" s="23" t="s">
        <v>334</v>
      </c>
      <c r="BG14" s="23" t="s">
        <v>316</v>
      </c>
      <c r="BH14" s="23"/>
      <c r="BI14" s="23" t="s">
        <v>316</v>
      </c>
      <c r="BJ14" s="23"/>
      <c r="BK14" s="23" t="s">
        <v>316</v>
      </c>
      <c r="BL14" s="23"/>
      <c r="BM14" s="23"/>
      <c r="BN14" s="23"/>
      <c r="BO14" s="23"/>
      <c r="BP14" s="49" t="s">
        <v>316</v>
      </c>
      <c r="BQ14" s="4"/>
      <c r="BR14" s="4"/>
    </row>
    <row r="15" spans="1:70" ht="90" x14ac:dyDescent="0.25">
      <c r="A15" s="15" t="s">
        <v>166</v>
      </c>
      <c r="B15" s="48" t="s">
        <v>329</v>
      </c>
      <c r="C15" s="17" t="s">
        <v>286</v>
      </c>
      <c r="D15" s="18" t="s">
        <v>353</v>
      </c>
      <c r="E15" s="18"/>
      <c r="F15" s="18"/>
      <c r="G15" s="51" t="s">
        <v>354</v>
      </c>
      <c r="H15" s="51"/>
      <c r="I15" s="51"/>
      <c r="J15" s="24" t="s">
        <v>332</v>
      </c>
      <c r="K15" s="24"/>
      <c r="L15" s="24"/>
      <c r="M15" s="24"/>
      <c r="N15" s="23" t="s">
        <v>106</v>
      </c>
      <c r="O15" s="23"/>
      <c r="P15" s="23"/>
      <c r="Q15" s="23"/>
      <c r="R15" s="23"/>
      <c r="S15" s="5"/>
      <c r="T15" s="5"/>
      <c r="U15" s="26" t="s">
        <v>283</v>
      </c>
      <c r="V15" s="23"/>
      <c r="W15" s="23"/>
      <c r="X15" s="23"/>
      <c r="Y15" s="23"/>
      <c r="Z15" s="23"/>
      <c r="AA15" s="23"/>
      <c r="AB15" s="23"/>
      <c r="AC15" s="26"/>
      <c r="AD15" s="26"/>
      <c r="AE15" s="50" t="s">
        <v>106</v>
      </c>
      <c r="AF15" s="26"/>
      <c r="AG15" s="26"/>
      <c r="AH15" s="26"/>
      <c r="AI15" s="52"/>
      <c r="AJ15" s="5" t="s">
        <v>106</v>
      </c>
      <c r="AK15" s="53">
        <v>1</v>
      </c>
      <c r="AL15" s="52"/>
      <c r="AM15" s="52" t="s">
        <v>106</v>
      </c>
      <c r="AN15" s="52"/>
      <c r="AO15" s="26"/>
      <c r="AP15" s="52"/>
      <c r="AQ15" s="52"/>
      <c r="AR15" s="52"/>
      <c r="AS15" s="52"/>
      <c r="AT15" s="52"/>
      <c r="AU15" s="52"/>
      <c r="AV15" s="5"/>
      <c r="AW15" s="5"/>
      <c r="AX15" s="5" t="s">
        <v>106</v>
      </c>
      <c r="AY15" s="5"/>
      <c r="AZ15" s="5"/>
      <c r="BA15" s="5"/>
      <c r="BB15" s="5"/>
      <c r="BC15" s="5" t="s">
        <v>106</v>
      </c>
      <c r="BD15" s="23"/>
      <c r="BE15" s="23"/>
      <c r="BF15" s="23" t="s">
        <v>334</v>
      </c>
      <c r="BG15" s="23" t="s">
        <v>316</v>
      </c>
      <c r="BH15" s="23"/>
      <c r="BI15" s="23" t="s">
        <v>316</v>
      </c>
      <c r="BJ15" s="23"/>
      <c r="BK15" s="23" t="s">
        <v>316</v>
      </c>
      <c r="BL15" s="23"/>
      <c r="BM15" s="23"/>
      <c r="BN15" s="23"/>
      <c r="BO15" s="23"/>
      <c r="BP15" s="49" t="s">
        <v>316</v>
      </c>
      <c r="BQ15" s="4"/>
      <c r="BR15" s="4"/>
    </row>
    <row r="16" spans="1:70" ht="195" x14ac:dyDescent="0.25">
      <c r="A16" s="15" t="s">
        <v>355</v>
      </c>
      <c r="B16" s="48" t="s">
        <v>329</v>
      </c>
      <c r="C16" s="17" t="s">
        <v>275</v>
      </c>
      <c r="D16" s="18" t="s">
        <v>356</v>
      </c>
      <c r="E16" s="18"/>
      <c r="F16" s="18" t="s">
        <v>357</v>
      </c>
      <c r="G16" s="18" t="s">
        <v>358</v>
      </c>
      <c r="H16" s="18"/>
      <c r="I16" s="18"/>
      <c r="J16" s="24" t="s">
        <v>332</v>
      </c>
      <c r="K16" s="24"/>
      <c r="L16" s="24"/>
      <c r="M16" s="24"/>
      <c r="N16" s="23" t="s">
        <v>106</v>
      </c>
      <c r="O16" s="23"/>
      <c r="P16" s="23"/>
      <c r="Q16" s="23"/>
      <c r="R16" s="23"/>
      <c r="S16" s="5"/>
      <c r="T16" s="5"/>
      <c r="U16" s="26" t="s">
        <v>283</v>
      </c>
      <c r="V16" s="23"/>
      <c r="W16" s="23"/>
      <c r="X16" s="23"/>
      <c r="Y16" s="23"/>
      <c r="Z16" s="23"/>
      <c r="AA16" s="23"/>
      <c r="AB16" s="23"/>
      <c r="AC16" s="26"/>
      <c r="AD16" s="26"/>
      <c r="AE16" s="50" t="s">
        <v>106</v>
      </c>
      <c r="AF16" s="26" t="s">
        <v>333</v>
      </c>
      <c r="AG16" s="26"/>
      <c r="AH16" s="26"/>
      <c r="AI16" s="5"/>
      <c r="AJ16" s="5"/>
      <c r="AK16" s="21">
        <v>1</v>
      </c>
      <c r="AL16" s="5"/>
      <c r="AM16" s="5" t="s">
        <v>106</v>
      </c>
      <c r="AN16" s="5"/>
      <c r="AO16" s="5"/>
      <c r="AP16" s="5"/>
      <c r="AQ16" s="5"/>
      <c r="AR16" s="5"/>
      <c r="AS16" s="5"/>
      <c r="AT16" s="5"/>
      <c r="AU16" s="5"/>
      <c r="AV16" s="5"/>
      <c r="AW16" s="5"/>
      <c r="AX16" s="5" t="s">
        <v>106</v>
      </c>
      <c r="AY16" s="5"/>
      <c r="AZ16" s="5"/>
      <c r="BA16" s="5"/>
      <c r="BB16" s="5"/>
      <c r="BC16" s="5" t="s">
        <v>106</v>
      </c>
      <c r="BD16" s="23"/>
      <c r="BE16" s="23"/>
      <c r="BF16" s="23" t="s">
        <v>334</v>
      </c>
      <c r="BG16" s="23" t="s">
        <v>316</v>
      </c>
      <c r="BH16" s="23"/>
      <c r="BI16" s="23" t="s">
        <v>316</v>
      </c>
      <c r="BJ16" s="23"/>
      <c r="BK16" s="23" t="s">
        <v>316</v>
      </c>
      <c r="BL16" s="23"/>
      <c r="BM16" s="23"/>
      <c r="BN16" s="23"/>
      <c r="BO16" s="23"/>
      <c r="BP16" s="49" t="s">
        <v>316</v>
      </c>
      <c r="BQ16" s="4"/>
      <c r="BR16" s="4"/>
    </row>
    <row r="17" spans="1:70" ht="120" x14ac:dyDescent="0.25">
      <c r="A17" s="15" t="s">
        <v>359</v>
      </c>
      <c r="B17" s="17" t="s">
        <v>306</v>
      </c>
      <c r="C17" s="17" t="s">
        <v>286</v>
      </c>
      <c r="D17" s="18" t="s">
        <v>360</v>
      </c>
      <c r="E17" s="18" t="s">
        <v>361</v>
      </c>
      <c r="F17" s="18"/>
      <c r="G17" s="6" t="s">
        <v>362</v>
      </c>
      <c r="H17" s="6"/>
      <c r="I17" s="54" t="s">
        <v>297</v>
      </c>
      <c r="J17" s="6" t="s">
        <v>288</v>
      </c>
      <c r="K17" s="6"/>
      <c r="L17" s="6"/>
      <c r="M17" s="6"/>
      <c r="N17" s="37" t="s">
        <v>298</v>
      </c>
      <c r="O17" s="37" t="s">
        <v>298</v>
      </c>
      <c r="P17" s="23"/>
      <c r="Q17" s="23"/>
      <c r="R17" s="23"/>
      <c r="S17" s="5"/>
      <c r="T17" s="5"/>
      <c r="U17" s="5" t="s">
        <v>312</v>
      </c>
      <c r="V17" s="23"/>
      <c r="W17" s="23"/>
      <c r="X17" s="23"/>
      <c r="Y17" s="23"/>
      <c r="Z17" s="23"/>
      <c r="AA17" s="23"/>
      <c r="AB17" s="23"/>
      <c r="AC17" s="5"/>
      <c r="AD17" s="5"/>
      <c r="AE17" s="55" t="s">
        <v>298</v>
      </c>
      <c r="AF17" s="38" t="s">
        <v>314</v>
      </c>
      <c r="AG17" s="5"/>
      <c r="AH17" s="5"/>
      <c r="AI17" s="5"/>
      <c r="AJ17" s="5" t="s">
        <v>297</v>
      </c>
      <c r="AK17" s="19" t="s">
        <v>106</v>
      </c>
      <c r="AL17" s="5"/>
      <c r="AM17" s="5" t="s">
        <v>297</v>
      </c>
      <c r="AN17" s="5"/>
      <c r="AO17" s="5" t="s">
        <v>312</v>
      </c>
      <c r="AP17" s="5" t="s">
        <v>297</v>
      </c>
      <c r="AQ17" s="5"/>
      <c r="AR17" s="5"/>
      <c r="AS17" s="5"/>
      <c r="AT17" s="5" t="s">
        <v>298</v>
      </c>
      <c r="AU17" s="5"/>
      <c r="AV17" s="5" t="s">
        <v>299</v>
      </c>
      <c r="AW17" s="5"/>
      <c r="AX17" s="5" t="s">
        <v>297</v>
      </c>
      <c r="AY17" s="5"/>
      <c r="AZ17" s="5"/>
      <c r="BA17" s="5" t="s">
        <v>298</v>
      </c>
      <c r="BB17" s="5"/>
      <c r="BC17" s="5" t="s">
        <v>297</v>
      </c>
      <c r="BD17" s="23" t="s">
        <v>334</v>
      </c>
      <c r="BE17" s="23"/>
      <c r="BF17" s="23" t="s">
        <v>316</v>
      </c>
      <c r="BG17" s="23" t="s">
        <v>316</v>
      </c>
      <c r="BH17" s="23"/>
      <c r="BI17" s="23" t="s">
        <v>316</v>
      </c>
      <c r="BJ17" s="23"/>
      <c r="BK17" s="23" t="s">
        <v>316</v>
      </c>
      <c r="BL17" s="23"/>
      <c r="BM17" s="23"/>
      <c r="BN17" s="23" t="s">
        <v>316</v>
      </c>
      <c r="BO17" s="23"/>
      <c r="BP17" s="49" t="s">
        <v>316</v>
      </c>
      <c r="BQ17" s="4"/>
      <c r="BR17" s="4"/>
    </row>
    <row r="18" spans="1:70" ht="60" x14ac:dyDescent="0.25">
      <c r="A18" s="15" t="s">
        <v>199</v>
      </c>
      <c r="B18" s="48" t="s">
        <v>329</v>
      </c>
      <c r="C18" s="17" t="s">
        <v>286</v>
      </c>
      <c r="D18" s="18" t="s">
        <v>363</v>
      </c>
      <c r="E18" s="18" t="s">
        <v>364</v>
      </c>
      <c r="F18" s="18" t="s">
        <v>365</v>
      </c>
      <c r="G18" s="6" t="s">
        <v>366</v>
      </c>
      <c r="H18" s="6"/>
      <c r="I18" s="6"/>
      <c r="J18" s="6" t="s">
        <v>332</v>
      </c>
      <c r="K18" s="6"/>
      <c r="L18" s="6"/>
      <c r="M18" s="6"/>
      <c r="N18" s="23"/>
      <c r="O18" s="23"/>
      <c r="P18" s="23"/>
      <c r="Q18" s="23"/>
      <c r="R18" s="23"/>
      <c r="S18" s="5"/>
      <c r="T18" s="5"/>
      <c r="U18" s="19" t="s">
        <v>106</v>
      </c>
      <c r="V18" s="23"/>
      <c r="W18" s="23"/>
      <c r="X18" s="23"/>
      <c r="Y18" s="23"/>
      <c r="Z18" s="23"/>
      <c r="AA18" s="23"/>
      <c r="AB18" s="23"/>
      <c r="AC18" s="5"/>
      <c r="AD18" s="5"/>
      <c r="AE18" s="19" t="s">
        <v>106</v>
      </c>
      <c r="AF18" s="5"/>
      <c r="AG18" s="5"/>
      <c r="AH18" s="5"/>
      <c r="AI18" s="5"/>
      <c r="AJ18" s="5" t="s">
        <v>106</v>
      </c>
      <c r="AK18" s="21">
        <v>0.1</v>
      </c>
      <c r="AL18" s="5"/>
      <c r="AM18" s="5" t="s">
        <v>106</v>
      </c>
      <c r="AN18" s="5"/>
      <c r="AO18" s="5"/>
      <c r="AP18" s="5"/>
      <c r="AQ18" s="5"/>
      <c r="AR18" s="5"/>
      <c r="AS18" s="5"/>
      <c r="AT18" s="5"/>
      <c r="AU18" s="5"/>
      <c r="AV18" s="5"/>
      <c r="AW18" s="5"/>
      <c r="AX18" s="5" t="s">
        <v>106</v>
      </c>
      <c r="AY18" s="5"/>
      <c r="AZ18" s="5"/>
      <c r="BA18" s="5"/>
      <c r="BB18" s="5"/>
      <c r="BC18" s="5" t="s">
        <v>106</v>
      </c>
      <c r="BD18" s="23"/>
      <c r="BE18" s="23"/>
      <c r="BF18" s="23" t="s">
        <v>334</v>
      </c>
      <c r="BG18" s="23" t="s">
        <v>316</v>
      </c>
      <c r="BH18" s="23"/>
      <c r="BI18" s="23" t="s">
        <v>316</v>
      </c>
      <c r="BJ18" s="23"/>
      <c r="BK18" s="23" t="s">
        <v>316</v>
      </c>
      <c r="BL18" s="23"/>
      <c r="BM18" s="23"/>
      <c r="BN18" s="23"/>
      <c r="BO18" s="23"/>
      <c r="BP18" s="49" t="s">
        <v>316</v>
      </c>
      <c r="BQ18" s="4"/>
      <c r="BR18" s="4"/>
    </row>
    <row r="19" spans="1:70" ht="180" x14ac:dyDescent="0.25">
      <c r="A19" s="15" t="s">
        <v>367</v>
      </c>
      <c r="B19" s="32" t="s">
        <v>301</v>
      </c>
      <c r="C19" s="17" t="s">
        <v>286</v>
      </c>
      <c r="D19" s="18" t="s">
        <v>368</v>
      </c>
      <c r="E19" s="18" t="s">
        <v>369</v>
      </c>
      <c r="F19" s="18"/>
      <c r="G19" s="6" t="s">
        <v>370</v>
      </c>
      <c r="H19" s="6"/>
      <c r="I19" s="6" t="s">
        <v>278</v>
      </c>
      <c r="J19" s="6"/>
      <c r="K19" s="6"/>
      <c r="L19" s="6"/>
      <c r="M19" s="6"/>
      <c r="N19" s="37" t="s">
        <v>298</v>
      </c>
      <c r="O19" s="37" t="s">
        <v>298</v>
      </c>
      <c r="P19" s="23"/>
      <c r="Q19" s="23"/>
      <c r="R19" s="23"/>
      <c r="S19" s="5"/>
      <c r="T19" s="5"/>
      <c r="U19" s="5" t="s">
        <v>312</v>
      </c>
      <c r="V19" s="23"/>
      <c r="W19" s="23"/>
      <c r="X19" s="23"/>
      <c r="Y19" s="23"/>
      <c r="Z19" s="23"/>
      <c r="AA19" s="23"/>
      <c r="AB19" s="23"/>
      <c r="AC19" s="5"/>
      <c r="AD19" s="5"/>
      <c r="AE19" s="56" t="s">
        <v>313</v>
      </c>
      <c r="AF19" s="38" t="s">
        <v>314</v>
      </c>
      <c r="AG19" s="5"/>
      <c r="AH19" s="5"/>
      <c r="AI19" s="5"/>
      <c r="AJ19" s="5" t="s">
        <v>297</v>
      </c>
      <c r="AK19" s="21">
        <v>0</v>
      </c>
      <c r="AL19" s="5"/>
      <c r="AM19" s="5" t="s">
        <v>297</v>
      </c>
      <c r="AN19" s="5"/>
      <c r="AO19" s="5" t="s">
        <v>312</v>
      </c>
      <c r="AP19" s="5" t="s">
        <v>297</v>
      </c>
      <c r="AQ19" s="5"/>
      <c r="AR19" s="5"/>
      <c r="AS19" s="5"/>
      <c r="AT19" s="5" t="s">
        <v>298</v>
      </c>
      <c r="AU19" s="5"/>
      <c r="AV19" s="5" t="s">
        <v>299</v>
      </c>
      <c r="AW19" s="5"/>
      <c r="AX19" s="5" t="s">
        <v>297</v>
      </c>
      <c r="AY19" s="5"/>
      <c r="AZ19" s="5"/>
      <c r="BA19" s="5" t="s">
        <v>298</v>
      </c>
      <c r="BB19" s="5"/>
      <c r="BC19" s="5" t="s">
        <v>297</v>
      </c>
      <c r="BD19" s="23"/>
      <c r="BE19" s="23"/>
      <c r="BF19" s="23" t="s">
        <v>334</v>
      </c>
      <c r="BG19" s="23" t="s">
        <v>316</v>
      </c>
      <c r="BH19" s="23"/>
      <c r="BI19" s="23" t="s">
        <v>316</v>
      </c>
      <c r="BJ19" s="23"/>
      <c r="BK19" s="23" t="s">
        <v>316</v>
      </c>
      <c r="BL19" s="23"/>
      <c r="BM19" s="23"/>
      <c r="BN19" s="23"/>
      <c r="BO19" s="23"/>
      <c r="BP19" s="49" t="s">
        <v>316</v>
      </c>
      <c r="BQ19" s="4"/>
      <c r="BR19" s="4"/>
    </row>
    <row r="20" spans="1:70" ht="195" x14ac:dyDescent="0.25">
      <c r="A20" s="15" t="s">
        <v>371</v>
      </c>
      <c r="B20" s="17" t="s">
        <v>306</v>
      </c>
      <c r="C20" s="17" t="s">
        <v>286</v>
      </c>
      <c r="D20" s="18" t="s">
        <v>372</v>
      </c>
      <c r="E20" s="18" t="s">
        <v>373</v>
      </c>
      <c r="F20" s="18"/>
      <c r="G20" s="6" t="s">
        <v>374</v>
      </c>
      <c r="H20" s="6"/>
      <c r="I20" s="6" t="s">
        <v>278</v>
      </c>
      <c r="J20" s="6"/>
      <c r="K20" s="6"/>
      <c r="L20" s="6"/>
      <c r="M20" s="6"/>
      <c r="N20" s="25" t="s">
        <v>280</v>
      </c>
      <c r="O20" s="37" t="s">
        <v>298</v>
      </c>
      <c r="P20" s="23" t="s">
        <v>311</v>
      </c>
      <c r="Q20" s="23"/>
      <c r="R20" s="23"/>
      <c r="S20" s="5"/>
      <c r="T20" s="5"/>
      <c r="U20" s="5" t="s">
        <v>312</v>
      </c>
      <c r="V20" s="23"/>
      <c r="W20" s="23"/>
      <c r="X20" s="23"/>
      <c r="Y20" s="23"/>
      <c r="Z20" s="23"/>
      <c r="AA20" s="23"/>
      <c r="AB20" s="23"/>
      <c r="AC20" s="5"/>
      <c r="AD20" s="5"/>
      <c r="AE20" s="56" t="s">
        <v>313</v>
      </c>
      <c r="AF20" s="38" t="s">
        <v>375</v>
      </c>
      <c r="AG20" s="5"/>
      <c r="AH20" s="5"/>
      <c r="AI20" s="38"/>
      <c r="AJ20" s="5" t="s">
        <v>297</v>
      </c>
      <c r="AK20" s="41">
        <v>0.01</v>
      </c>
      <c r="AL20" s="5"/>
      <c r="AM20" s="5" t="s">
        <v>297</v>
      </c>
      <c r="AN20" s="5"/>
      <c r="AO20" s="5" t="s">
        <v>312</v>
      </c>
      <c r="AP20" s="5" t="s">
        <v>297</v>
      </c>
      <c r="AQ20" s="5"/>
      <c r="AR20" s="5"/>
      <c r="AS20" s="5"/>
      <c r="AT20" s="5" t="s">
        <v>298</v>
      </c>
      <c r="AU20" s="5"/>
      <c r="AV20" s="5" t="s">
        <v>299</v>
      </c>
      <c r="AW20" s="5"/>
      <c r="AX20" s="5" t="s">
        <v>297</v>
      </c>
      <c r="AY20" s="5"/>
      <c r="AZ20" s="5" t="s">
        <v>315</v>
      </c>
      <c r="BA20" s="5" t="s">
        <v>298</v>
      </c>
      <c r="BB20" s="5"/>
      <c r="BC20" s="5" t="s">
        <v>297</v>
      </c>
      <c r="BD20" s="22">
        <v>442891</v>
      </c>
      <c r="BE20" s="23" t="s">
        <v>316</v>
      </c>
      <c r="BF20" s="22">
        <v>442891</v>
      </c>
      <c r="BG20" s="22">
        <v>132867.29999999999</v>
      </c>
      <c r="BH20" s="23"/>
      <c r="BI20" s="22">
        <v>265734.59999999998</v>
      </c>
      <c r="BJ20" s="23"/>
      <c r="BK20" s="22">
        <v>398601.9</v>
      </c>
      <c r="BL20" s="23"/>
      <c r="BM20" s="23"/>
      <c r="BN20" s="22">
        <v>326337</v>
      </c>
      <c r="BO20" s="23" t="s">
        <v>316</v>
      </c>
      <c r="BP20" s="31">
        <v>326337</v>
      </c>
      <c r="BQ20" s="4"/>
      <c r="BR20" s="4"/>
    </row>
    <row r="21" spans="1:70" ht="195" x14ac:dyDescent="0.25">
      <c r="A21" s="15" t="s">
        <v>376</v>
      </c>
      <c r="B21" s="17" t="s">
        <v>306</v>
      </c>
      <c r="C21" s="17" t="s">
        <v>286</v>
      </c>
      <c r="D21" s="18" t="s">
        <v>372</v>
      </c>
      <c r="E21" s="18"/>
      <c r="F21" s="18"/>
      <c r="G21" s="6" t="s">
        <v>374</v>
      </c>
      <c r="H21" s="6"/>
      <c r="I21" s="6" t="s">
        <v>278</v>
      </c>
      <c r="J21" s="6"/>
      <c r="K21" s="6"/>
      <c r="L21" s="6"/>
      <c r="M21" s="6"/>
      <c r="N21" s="25" t="s">
        <v>280</v>
      </c>
      <c r="O21" s="37" t="s">
        <v>298</v>
      </c>
      <c r="P21" s="23" t="s">
        <v>311</v>
      </c>
      <c r="Q21" s="23"/>
      <c r="R21" s="23"/>
      <c r="S21" s="5"/>
      <c r="T21" s="5"/>
      <c r="U21" s="5" t="s">
        <v>312</v>
      </c>
      <c r="V21" s="23"/>
      <c r="W21" s="23"/>
      <c r="X21" s="23"/>
      <c r="Y21" s="23"/>
      <c r="Z21" s="23"/>
      <c r="AA21" s="23"/>
      <c r="AB21" s="23"/>
      <c r="AC21" s="5"/>
      <c r="AD21" s="5"/>
      <c r="AE21" s="56" t="s">
        <v>313</v>
      </c>
      <c r="AF21" s="38" t="s">
        <v>375</v>
      </c>
      <c r="AG21" s="5"/>
      <c r="AH21" s="5"/>
      <c r="AI21" s="38"/>
      <c r="AJ21" s="5" t="s">
        <v>297</v>
      </c>
      <c r="AK21" s="41">
        <v>0.01</v>
      </c>
      <c r="AL21" s="5"/>
      <c r="AM21" s="5" t="s">
        <v>297</v>
      </c>
      <c r="AN21" s="5"/>
      <c r="AO21" s="5" t="s">
        <v>312</v>
      </c>
      <c r="AP21" s="5" t="s">
        <v>297</v>
      </c>
      <c r="AQ21" s="5"/>
      <c r="AR21" s="5"/>
      <c r="AS21" s="5"/>
      <c r="AT21" s="5" t="s">
        <v>298</v>
      </c>
      <c r="AU21" s="5"/>
      <c r="AV21" s="5" t="s">
        <v>299</v>
      </c>
      <c r="AW21" s="5"/>
      <c r="AX21" s="5" t="s">
        <v>297</v>
      </c>
      <c r="AY21" s="5"/>
      <c r="AZ21" s="5" t="s">
        <v>315</v>
      </c>
      <c r="BA21" s="5" t="s">
        <v>298</v>
      </c>
      <c r="BB21" s="5"/>
      <c r="BC21" s="5" t="s">
        <v>297</v>
      </c>
      <c r="BD21" s="22">
        <v>233583</v>
      </c>
      <c r="BE21" s="23" t="s">
        <v>316</v>
      </c>
      <c r="BF21" s="22">
        <v>233583</v>
      </c>
      <c r="BG21" s="22">
        <v>70074.899999999994</v>
      </c>
      <c r="BH21" s="23"/>
      <c r="BI21" s="22">
        <v>140149.79999999999</v>
      </c>
      <c r="BJ21" s="23"/>
      <c r="BK21" s="22">
        <v>210224.7</v>
      </c>
      <c r="BL21" s="23"/>
      <c r="BM21" s="23"/>
      <c r="BN21" s="22">
        <v>111728</v>
      </c>
      <c r="BO21" s="23" t="s">
        <v>316</v>
      </c>
      <c r="BP21" s="31">
        <v>111728</v>
      </c>
      <c r="BQ21" s="4"/>
      <c r="BR21" s="4"/>
    </row>
    <row r="22" spans="1:70" ht="195" x14ac:dyDescent="0.25">
      <c r="A22" s="15" t="s">
        <v>377</v>
      </c>
      <c r="B22" s="17" t="s">
        <v>306</v>
      </c>
      <c r="C22" s="17" t="s">
        <v>286</v>
      </c>
      <c r="D22" s="18" t="s">
        <v>372</v>
      </c>
      <c r="E22" s="18" t="s">
        <v>373</v>
      </c>
      <c r="F22" s="18"/>
      <c r="G22" s="6" t="s">
        <v>374</v>
      </c>
      <c r="H22" s="6"/>
      <c r="I22" s="6" t="s">
        <v>278</v>
      </c>
      <c r="J22" s="6"/>
      <c r="K22" s="6"/>
      <c r="L22" s="6"/>
      <c r="M22" s="6"/>
      <c r="N22" s="57" t="s">
        <v>293</v>
      </c>
      <c r="O22" s="37" t="s">
        <v>298</v>
      </c>
      <c r="P22" s="23" t="s">
        <v>311</v>
      </c>
      <c r="Q22" s="23"/>
      <c r="R22" s="23"/>
      <c r="S22" s="5"/>
      <c r="T22" s="5"/>
      <c r="U22" s="5" t="s">
        <v>312</v>
      </c>
      <c r="V22" s="23"/>
      <c r="W22" s="23"/>
      <c r="X22" s="23"/>
      <c r="Y22" s="23"/>
      <c r="Z22" s="23"/>
      <c r="AA22" s="23"/>
      <c r="AB22" s="23"/>
      <c r="AC22" s="5"/>
      <c r="AD22" s="5"/>
      <c r="AE22" s="56" t="s">
        <v>313</v>
      </c>
      <c r="AF22" s="38" t="s">
        <v>375</v>
      </c>
      <c r="AG22" s="5"/>
      <c r="AH22" s="5"/>
      <c r="AI22" s="38"/>
      <c r="AJ22" s="5" t="s">
        <v>297</v>
      </c>
      <c r="AK22" s="41">
        <v>0.01</v>
      </c>
      <c r="AL22" s="5"/>
      <c r="AM22" s="5" t="s">
        <v>297</v>
      </c>
      <c r="AN22" s="5"/>
      <c r="AO22" s="5" t="s">
        <v>312</v>
      </c>
      <c r="AP22" s="5" t="s">
        <v>297</v>
      </c>
      <c r="AQ22" s="5"/>
      <c r="AR22" s="5"/>
      <c r="AS22" s="5"/>
      <c r="AT22" s="5" t="s">
        <v>298</v>
      </c>
      <c r="AU22" s="5"/>
      <c r="AV22" s="5" t="s">
        <v>299</v>
      </c>
      <c r="AW22" s="5"/>
      <c r="AX22" s="5" t="s">
        <v>297</v>
      </c>
      <c r="AY22" s="5"/>
      <c r="AZ22" s="5" t="s">
        <v>315</v>
      </c>
      <c r="BA22" s="5" t="s">
        <v>298</v>
      </c>
      <c r="BB22" s="5"/>
      <c r="BC22" s="5" t="s">
        <v>297</v>
      </c>
      <c r="BD22" s="22">
        <v>419739</v>
      </c>
      <c r="BE22" s="23" t="s">
        <v>316</v>
      </c>
      <c r="BF22" s="22">
        <v>419739</v>
      </c>
      <c r="BG22" s="22">
        <v>125921.7</v>
      </c>
      <c r="BH22" s="23"/>
      <c r="BI22" s="22">
        <v>251843.4</v>
      </c>
      <c r="BJ22" s="23"/>
      <c r="BK22" s="22">
        <v>377765.1</v>
      </c>
      <c r="BL22" s="23"/>
      <c r="BM22" s="23"/>
      <c r="BN22" s="22">
        <v>313362</v>
      </c>
      <c r="BO22" s="23" t="s">
        <v>316</v>
      </c>
      <c r="BP22" s="31">
        <v>313362</v>
      </c>
      <c r="BQ22" s="4"/>
      <c r="BR22" s="4"/>
    </row>
    <row r="23" spans="1:70" ht="195" x14ac:dyDescent="0.25">
      <c r="A23" s="15" t="s">
        <v>378</v>
      </c>
      <c r="B23" s="17" t="s">
        <v>306</v>
      </c>
      <c r="C23" s="17" t="s">
        <v>286</v>
      </c>
      <c r="D23" s="18" t="s">
        <v>372</v>
      </c>
      <c r="E23" s="18" t="s">
        <v>373</v>
      </c>
      <c r="F23" s="18"/>
      <c r="G23" s="6" t="s">
        <v>374</v>
      </c>
      <c r="H23" s="6"/>
      <c r="I23" s="6" t="s">
        <v>278</v>
      </c>
      <c r="J23" s="6"/>
      <c r="K23" s="6"/>
      <c r="L23" s="6"/>
      <c r="M23" s="6"/>
      <c r="N23" s="57" t="s">
        <v>293</v>
      </c>
      <c r="O23" s="37" t="s">
        <v>298</v>
      </c>
      <c r="P23" s="23" t="s">
        <v>311</v>
      </c>
      <c r="Q23" s="23"/>
      <c r="R23" s="23"/>
      <c r="S23" s="5"/>
      <c r="T23" s="5"/>
      <c r="U23" s="5" t="s">
        <v>312</v>
      </c>
      <c r="V23" s="23"/>
      <c r="W23" s="23"/>
      <c r="X23" s="23"/>
      <c r="Y23" s="23"/>
      <c r="Z23" s="23"/>
      <c r="AA23" s="23"/>
      <c r="AB23" s="23"/>
      <c r="AC23" s="5"/>
      <c r="AD23" s="5"/>
      <c r="AE23" s="56" t="s">
        <v>313</v>
      </c>
      <c r="AF23" s="38" t="s">
        <v>375</v>
      </c>
      <c r="AG23" s="5"/>
      <c r="AH23" s="5"/>
      <c r="AI23" s="38"/>
      <c r="AJ23" s="5" t="s">
        <v>297</v>
      </c>
      <c r="AK23" s="41">
        <v>0.01</v>
      </c>
      <c r="AL23" s="5"/>
      <c r="AM23" s="5" t="s">
        <v>297</v>
      </c>
      <c r="AN23" s="5"/>
      <c r="AO23" s="5" t="s">
        <v>312</v>
      </c>
      <c r="AP23" s="5" t="s">
        <v>297</v>
      </c>
      <c r="AQ23" s="5"/>
      <c r="AR23" s="5"/>
      <c r="AS23" s="5"/>
      <c r="AT23" s="5" t="s">
        <v>298</v>
      </c>
      <c r="AU23" s="5"/>
      <c r="AV23" s="5" t="s">
        <v>299</v>
      </c>
      <c r="AW23" s="5"/>
      <c r="AX23" s="5" t="s">
        <v>297</v>
      </c>
      <c r="AY23" s="5"/>
      <c r="AZ23" s="5" t="s">
        <v>315</v>
      </c>
      <c r="BA23" s="5" t="s">
        <v>298</v>
      </c>
      <c r="BB23" s="5"/>
      <c r="BC23" s="5" t="s">
        <v>297</v>
      </c>
      <c r="BD23" s="22">
        <v>142345</v>
      </c>
      <c r="BE23" s="23" t="s">
        <v>316</v>
      </c>
      <c r="BF23" s="22">
        <v>142345</v>
      </c>
      <c r="BG23" s="22">
        <v>42703.5</v>
      </c>
      <c r="BH23" s="23"/>
      <c r="BI23" s="22">
        <v>85407</v>
      </c>
      <c r="BJ23" s="23"/>
      <c r="BK23" s="22">
        <v>128110.5</v>
      </c>
      <c r="BL23" s="23"/>
      <c r="BM23" s="23"/>
      <c r="BN23" s="22">
        <v>99496</v>
      </c>
      <c r="BO23" s="23" t="s">
        <v>316</v>
      </c>
      <c r="BP23" s="31">
        <v>99496</v>
      </c>
      <c r="BQ23" s="4"/>
      <c r="BR23" s="4"/>
    </row>
    <row r="24" spans="1:70" ht="195" x14ac:dyDescent="0.25">
      <c r="A24" s="15" t="s">
        <v>379</v>
      </c>
      <c r="B24" s="17" t="s">
        <v>306</v>
      </c>
      <c r="C24" s="17" t="s">
        <v>286</v>
      </c>
      <c r="D24" s="18" t="s">
        <v>372</v>
      </c>
      <c r="E24" s="18"/>
      <c r="F24" s="18"/>
      <c r="G24" s="6" t="s">
        <v>374</v>
      </c>
      <c r="H24" s="6"/>
      <c r="I24" s="6" t="s">
        <v>278</v>
      </c>
      <c r="J24" s="6"/>
      <c r="K24" s="6"/>
      <c r="L24" s="6"/>
      <c r="M24" s="6"/>
      <c r="N24" s="57" t="s">
        <v>293</v>
      </c>
      <c r="O24" s="37" t="s">
        <v>298</v>
      </c>
      <c r="P24" s="23" t="s">
        <v>311</v>
      </c>
      <c r="Q24" s="23"/>
      <c r="R24" s="23"/>
      <c r="S24" s="5"/>
      <c r="T24" s="5"/>
      <c r="U24" s="5" t="s">
        <v>312</v>
      </c>
      <c r="V24" s="23"/>
      <c r="W24" s="23"/>
      <c r="X24" s="23"/>
      <c r="Y24" s="23"/>
      <c r="Z24" s="23"/>
      <c r="AA24" s="23"/>
      <c r="AB24" s="23"/>
      <c r="AC24" s="5"/>
      <c r="AD24" s="5"/>
      <c r="AE24" s="56" t="s">
        <v>313</v>
      </c>
      <c r="AF24" s="38" t="s">
        <v>375</v>
      </c>
      <c r="AG24" s="5"/>
      <c r="AH24" s="5"/>
      <c r="AI24" s="38"/>
      <c r="AJ24" s="5" t="s">
        <v>297</v>
      </c>
      <c r="AK24" s="41">
        <v>0.01</v>
      </c>
      <c r="AL24" s="5"/>
      <c r="AM24" s="5" t="s">
        <v>297</v>
      </c>
      <c r="AN24" s="5"/>
      <c r="AO24" s="5" t="s">
        <v>312</v>
      </c>
      <c r="AP24" s="5" t="s">
        <v>297</v>
      </c>
      <c r="AQ24" s="5"/>
      <c r="AR24" s="5"/>
      <c r="AS24" s="5"/>
      <c r="AT24" s="5" t="s">
        <v>298</v>
      </c>
      <c r="AU24" s="5"/>
      <c r="AV24" s="5" t="s">
        <v>299</v>
      </c>
      <c r="AW24" s="5"/>
      <c r="AX24" s="5" t="s">
        <v>297</v>
      </c>
      <c r="AY24" s="5"/>
      <c r="AZ24" s="5" t="s">
        <v>315</v>
      </c>
      <c r="BA24" s="5" t="s">
        <v>298</v>
      </c>
      <c r="BB24" s="5"/>
      <c r="BC24" s="5" t="s">
        <v>297</v>
      </c>
      <c r="BD24" s="22">
        <v>77295</v>
      </c>
      <c r="BE24" s="23" t="s">
        <v>316</v>
      </c>
      <c r="BF24" s="22">
        <v>77295</v>
      </c>
      <c r="BG24" s="22">
        <v>23188.5</v>
      </c>
      <c r="BH24" s="23"/>
      <c r="BI24" s="22">
        <v>46377</v>
      </c>
      <c r="BJ24" s="23"/>
      <c r="BK24" s="22">
        <v>69565.5</v>
      </c>
      <c r="BL24" s="23"/>
      <c r="BM24" s="23"/>
      <c r="BN24" s="22">
        <v>45297</v>
      </c>
      <c r="BO24" s="23" t="s">
        <v>316</v>
      </c>
      <c r="BP24" s="31">
        <v>45297</v>
      </c>
      <c r="BQ24" s="4"/>
      <c r="BR24" s="4"/>
    </row>
    <row r="25" spans="1:70" ht="195" x14ac:dyDescent="0.25">
      <c r="A25" s="15" t="s">
        <v>380</v>
      </c>
      <c r="B25" s="17" t="s">
        <v>306</v>
      </c>
      <c r="C25" s="17" t="s">
        <v>286</v>
      </c>
      <c r="D25" s="18" t="s">
        <v>372</v>
      </c>
      <c r="E25" s="18"/>
      <c r="F25" s="18"/>
      <c r="G25" s="6" t="s">
        <v>374</v>
      </c>
      <c r="H25" s="6"/>
      <c r="I25" s="6" t="s">
        <v>278</v>
      </c>
      <c r="J25" s="6"/>
      <c r="K25" s="6"/>
      <c r="L25" s="6"/>
      <c r="M25" s="6"/>
      <c r="N25" s="57" t="s">
        <v>293</v>
      </c>
      <c r="O25" s="37" t="s">
        <v>298</v>
      </c>
      <c r="P25" s="23" t="s">
        <v>311</v>
      </c>
      <c r="Q25" s="23"/>
      <c r="R25" s="23"/>
      <c r="S25" s="5"/>
      <c r="T25" s="5"/>
      <c r="U25" s="5" t="s">
        <v>312</v>
      </c>
      <c r="V25" s="23"/>
      <c r="W25" s="23"/>
      <c r="X25" s="23"/>
      <c r="Y25" s="23"/>
      <c r="Z25" s="23"/>
      <c r="AA25" s="23"/>
      <c r="AB25" s="23"/>
      <c r="AC25" s="5"/>
      <c r="AD25" s="5"/>
      <c r="AE25" s="56" t="s">
        <v>313</v>
      </c>
      <c r="AF25" s="38" t="s">
        <v>375</v>
      </c>
      <c r="AG25" s="5"/>
      <c r="AH25" s="5"/>
      <c r="AI25" s="38"/>
      <c r="AJ25" s="5" t="s">
        <v>297</v>
      </c>
      <c r="AK25" s="41">
        <v>0.01</v>
      </c>
      <c r="AL25" s="5"/>
      <c r="AM25" s="5" t="s">
        <v>297</v>
      </c>
      <c r="AN25" s="5"/>
      <c r="AO25" s="5" t="s">
        <v>312</v>
      </c>
      <c r="AP25" s="5" t="s">
        <v>297</v>
      </c>
      <c r="AQ25" s="5"/>
      <c r="AR25" s="5"/>
      <c r="AS25" s="5"/>
      <c r="AT25" s="5" t="s">
        <v>298</v>
      </c>
      <c r="AU25" s="5"/>
      <c r="AV25" s="5" t="s">
        <v>299</v>
      </c>
      <c r="AW25" s="5"/>
      <c r="AX25" s="5" t="s">
        <v>297</v>
      </c>
      <c r="AY25" s="5"/>
      <c r="AZ25" s="5" t="s">
        <v>315</v>
      </c>
      <c r="BA25" s="5" t="s">
        <v>298</v>
      </c>
      <c r="BB25" s="5"/>
      <c r="BC25" s="5" t="s">
        <v>297</v>
      </c>
      <c r="BD25" s="22">
        <v>265184</v>
      </c>
      <c r="BE25" s="23" t="s">
        <v>316</v>
      </c>
      <c r="BF25" s="22">
        <v>265184</v>
      </c>
      <c r="BG25" s="22">
        <v>79555.199999999997</v>
      </c>
      <c r="BH25" s="23"/>
      <c r="BI25" s="22">
        <v>159110.39999999999</v>
      </c>
      <c r="BJ25" s="23"/>
      <c r="BK25" s="22">
        <v>238665.60000000001</v>
      </c>
      <c r="BL25" s="23"/>
      <c r="BM25" s="23"/>
      <c r="BN25" s="22">
        <v>328819</v>
      </c>
      <c r="BO25" s="23" t="s">
        <v>316</v>
      </c>
      <c r="BP25" s="31">
        <v>328819</v>
      </c>
      <c r="BQ25" s="4"/>
      <c r="BR25" s="4"/>
    </row>
    <row r="26" spans="1:70" ht="195" x14ac:dyDescent="0.25">
      <c r="A26" s="15" t="s">
        <v>381</v>
      </c>
      <c r="B26" s="17" t="s">
        <v>306</v>
      </c>
      <c r="C26" s="17" t="s">
        <v>286</v>
      </c>
      <c r="D26" s="18" t="s">
        <v>372</v>
      </c>
      <c r="E26" s="18" t="s">
        <v>373</v>
      </c>
      <c r="F26" s="18"/>
      <c r="G26" s="6" t="s">
        <v>374</v>
      </c>
      <c r="H26" s="6"/>
      <c r="I26" s="6" t="s">
        <v>278</v>
      </c>
      <c r="J26" s="6"/>
      <c r="K26" s="6"/>
      <c r="L26" s="6"/>
      <c r="M26" s="6"/>
      <c r="N26" s="57" t="s">
        <v>293</v>
      </c>
      <c r="O26" s="37" t="s">
        <v>298</v>
      </c>
      <c r="P26" s="23" t="s">
        <v>311</v>
      </c>
      <c r="Q26" s="23"/>
      <c r="R26" s="23"/>
      <c r="S26" s="5"/>
      <c r="T26" s="5"/>
      <c r="U26" s="5" t="s">
        <v>312</v>
      </c>
      <c r="V26" s="23"/>
      <c r="W26" s="23"/>
      <c r="X26" s="23"/>
      <c r="Y26" s="23"/>
      <c r="Z26" s="23"/>
      <c r="AA26" s="23"/>
      <c r="AB26" s="23"/>
      <c r="AC26" s="5"/>
      <c r="AD26" s="5"/>
      <c r="AE26" s="56" t="s">
        <v>313</v>
      </c>
      <c r="AF26" s="38" t="s">
        <v>375</v>
      </c>
      <c r="AG26" s="5"/>
      <c r="AH26" s="5"/>
      <c r="AI26" s="38"/>
      <c r="AJ26" s="5" t="s">
        <v>297</v>
      </c>
      <c r="AK26" s="41">
        <v>0.01</v>
      </c>
      <c r="AL26" s="5"/>
      <c r="AM26" s="5" t="s">
        <v>297</v>
      </c>
      <c r="AN26" s="5"/>
      <c r="AO26" s="5" t="s">
        <v>312</v>
      </c>
      <c r="AP26" s="5" t="s">
        <v>297</v>
      </c>
      <c r="AQ26" s="5"/>
      <c r="AR26" s="5"/>
      <c r="AS26" s="5"/>
      <c r="AT26" s="5" t="s">
        <v>298</v>
      </c>
      <c r="AU26" s="5"/>
      <c r="AV26" s="5" t="s">
        <v>299</v>
      </c>
      <c r="AW26" s="5"/>
      <c r="AX26" s="5" t="s">
        <v>297</v>
      </c>
      <c r="AY26" s="5"/>
      <c r="AZ26" s="5" t="s">
        <v>315</v>
      </c>
      <c r="BA26" s="5" t="s">
        <v>298</v>
      </c>
      <c r="BB26" s="5"/>
      <c r="BC26" s="5" t="s">
        <v>297</v>
      </c>
      <c r="BD26" s="22">
        <v>104707</v>
      </c>
      <c r="BE26" s="23" t="s">
        <v>316</v>
      </c>
      <c r="BF26" s="22">
        <v>104707</v>
      </c>
      <c r="BG26" s="22">
        <v>31412.1</v>
      </c>
      <c r="BH26" s="23"/>
      <c r="BI26" s="22">
        <v>62824.2</v>
      </c>
      <c r="BJ26" s="23"/>
      <c r="BK26" s="22">
        <v>94236.3</v>
      </c>
      <c r="BL26" s="23"/>
      <c r="BM26" s="23"/>
      <c r="BN26" s="22">
        <v>45297</v>
      </c>
      <c r="BO26" s="23" t="s">
        <v>316</v>
      </c>
      <c r="BP26" s="31">
        <v>45297</v>
      </c>
      <c r="BQ26" s="4"/>
      <c r="BR26" s="4"/>
    </row>
    <row r="27" spans="1:70" ht="135" x14ac:dyDescent="0.25">
      <c r="A27" s="58" t="s">
        <v>382</v>
      </c>
      <c r="B27" s="59" t="s">
        <v>306</v>
      </c>
      <c r="C27" s="59" t="s">
        <v>286</v>
      </c>
      <c r="D27" s="18"/>
      <c r="E27" s="18"/>
      <c r="F27" s="60"/>
      <c r="G27" s="61"/>
      <c r="H27" s="61"/>
      <c r="I27" s="6" t="s">
        <v>278</v>
      </c>
      <c r="J27" s="61"/>
      <c r="K27" s="61"/>
      <c r="L27" s="61"/>
      <c r="M27" s="61"/>
      <c r="N27" s="25" t="s">
        <v>280</v>
      </c>
      <c r="O27" s="37" t="s">
        <v>298</v>
      </c>
      <c r="P27" s="23"/>
      <c r="Q27" s="23"/>
      <c r="R27" s="23"/>
      <c r="S27" s="5"/>
      <c r="T27" s="62"/>
      <c r="U27" s="5" t="s">
        <v>312</v>
      </c>
      <c r="V27" s="63"/>
      <c r="W27" s="63"/>
      <c r="X27" s="63"/>
      <c r="Y27" s="63"/>
      <c r="Z27" s="63"/>
      <c r="AA27" s="63"/>
      <c r="AB27" s="63"/>
      <c r="AC27" s="62"/>
      <c r="AD27" s="62"/>
      <c r="AE27" s="64" t="s">
        <v>298</v>
      </c>
      <c r="AF27" s="38" t="s">
        <v>314</v>
      </c>
      <c r="AG27" s="62"/>
      <c r="AH27" s="62"/>
      <c r="AI27" s="65"/>
      <c r="AJ27" s="5" t="s">
        <v>297</v>
      </c>
      <c r="AK27" s="66">
        <v>0</v>
      </c>
      <c r="AL27" s="5"/>
      <c r="AM27" s="5" t="s">
        <v>297</v>
      </c>
      <c r="AN27" s="5"/>
      <c r="AO27" s="5" t="s">
        <v>312</v>
      </c>
      <c r="AP27" s="5" t="s">
        <v>297</v>
      </c>
      <c r="AQ27" s="5"/>
      <c r="AR27" s="5"/>
      <c r="AS27" s="5"/>
      <c r="AT27" s="5" t="s">
        <v>298</v>
      </c>
      <c r="AU27" s="5"/>
      <c r="AV27" s="5" t="s">
        <v>299</v>
      </c>
      <c r="AW27" s="62"/>
      <c r="AX27" s="5" t="s">
        <v>297</v>
      </c>
      <c r="AY27" s="62"/>
      <c r="AZ27" s="62"/>
      <c r="BA27" s="5" t="s">
        <v>298</v>
      </c>
      <c r="BB27" s="5"/>
      <c r="BC27" s="5" t="s">
        <v>297</v>
      </c>
      <c r="BD27" s="63"/>
      <c r="BE27" s="63"/>
      <c r="BF27" s="63" t="s">
        <v>334</v>
      </c>
      <c r="BG27" s="63" t="s">
        <v>316</v>
      </c>
      <c r="BH27" s="63"/>
      <c r="BI27" s="63" t="s">
        <v>316</v>
      </c>
      <c r="BJ27" s="63"/>
      <c r="BK27" s="63" t="s">
        <v>316</v>
      </c>
      <c r="BL27" s="63"/>
      <c r="BM27" s="63"/>
      <c r="BN27" s="63"/>
      <c r="BO27" s="63"/>
      <c r="BP27" s="67" t="s">
        <v>316</v>
      </c>
      <c r="BQ27" s="4"/>
      <c r="BR27" s="4"/>
    </row>
    <row r="28" spans="1:70" ht="15.75" x14ac:dyDescent="0.25">
      <c r="A28" s="4"/>
      <c r="B28" s="5"/>
      <c r="C28" s="5"/>
      <c r="D28" s="4"/>
      <c r="E28" s="4"/>
      <c r="F28" s="4"/>
      <c r="G28" s="6"/>
      <c r="H28" s="6"/>
      <c r="I28" s="6"/>
      <c r="J28" s="6"/>
      <c r="K28" s="6"/>
      <c r="L28" s="6"/>
      <c r="M28" s="6"/>
      <c r="N28" s="68"/>
      <c r="O28" s="68"/>
      <c r="P28" s="68"/>
      <c r="Q28" s="68"/>
      <c r="R28" s="68"/>
      <c r="S28" s="5"/>
      <c r="T28" s="5"/>
      <c r="U28" s="5"/>
      <c r="V28" s="68"/>
      <c r="W28" s="68"/>
      <c r="X28" s="68"/>
      <c r="Y28" s="68"/>
      <c r="Z28" s="68"/>
      <c r="AA28" s="68"/>
      <c r="AB28" s="68"/>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68"/>
      <c r="BE28" s="68"/>
      <c r="BF28" s="68"/>
      <c r="BG28" s="68"/>
      <c r="BH28" s="68"/>
      <c r="BI28" s="68"/>
      <c r="BJ28" s="68"/>
      <c r="BK28" s="68"/>
      <c r="BL28" s="68"/>
      <c r="BM28" s="68"/>
      <c r="BN28" s="68"/>
      <c r="BO28" s="68"/>
      <c r="BP28" s="68"/>
      <c r="BQ28" s="4"/>
      <c r="BR28" s="4"/>
    </row>
    <row r="29" spans="1:70" ht="15.75" x14ac:dyDescent="0.25">
      <c r="A29" s="4"/>
      <c r="B29" s="5"/>
      <c r="C29" s="5"/>
      <c r="D29" s="4"/>
      <c r="E29" s="4"/>
      <c r="F29" s="4"/>
      <c r="G29" s="6"/>
      <c r="H29" s="6"/>
      <c r="I29" s="6"/>
      <c r="J29" s="6"/>
      <c r="K29" s="6"/>
      <c r="L29" s="6"/>
      <c r="M29" s="6"/>
      <c r="N29" s="68"/>
      <c r="O29" s="68"/>
      <c r="P29" s="68"/>
      <c r="Q29" s="68"/>
      <c r="R29" s="68"/>
      <c r="S29" s="5"/>
      <c r="T29" s="5"/>
      <c r="U29" s="5"/>
      <c r="V29" s="68"/>
      <c r="W29" s="68"/>
      <c r="X29" s="68"/>
      <c r="Y29" s="68"/>
      <c r="Z29" s="68"/>
      <c r="AA29" s="68"/>
      <c r="AB29" s="68"/>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68"/>
      <c r="BE29" s="68"/>
      <c r="BF29" s="68"/>
      <c r="BG29" s="68"/>
      <c r="BH29" s="68"/>
      <c r="BI29" s="68"/>
      <c r="BJ29" s="68"/>
      <c r="BK29" s="68"/>
      <c r="BL29" s="68"/>
      <c r="BM29" s="68"/>
      <c r="BN29" s="68"/>
      <c r="BO29" s="68"/>
      <c r="BP29" s="68"/>
      <c r="BQ29" s="4"/>
      <c r="BR29" s="4"/>
    </row>
    <row r="30" spans="1:70" ht="15.75" x14ac:dyDescent="0.25">
      <c r="A30" s="4"/>
      <c r="B30" s="5"/>
      <c r="C30" s="5"/>
      <c r="D30" s="4"/>
      <c r="E30" s="4"/>
      <c r="F30" s="4"/>
      <c r="G30" s="6"/>
      <c r="H30" s="6"/>
      <c r="I30" s="6"/>
      <c r="J30" s="6"/>
      <c r="K30" s="6"/>
      <c r="L30" s="6"/>
      <c r="M30" s="6"/>
      <c r="N30" s="68"/>
      <c r="O30" s="68"/>
      <c r="P30" s="68"/>
      <c r="Q30" s="68"/>
      <c r="R30" s="68"/>
      <c r="S30" s="5"/>
      <c r="T30" s="5"/>
      <c r="U30" s="5"/>
      <c r="V30" s="68"/>
      <c r="W30" s="68"/>
      <c r="X30" s="68"/>
      <c r="Y30" s="68"/>
      <c r="Z30" s="68"/>
      <c r="AA30" s="68"/>
      <c r="AB30" s="68"/>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68"/>
      <c r="BE30" s="68"/>
      <c r="BF30" s="68"/>
      <c r="BG30" s="68"/>
      <c r="BH30" s="68"/>
      <c r="BI30" s="68"/>
      <c r="BJ30" s="68"/>
      <c r="BK30" s="68"/>
      <c r="BL30" s="68"/>
      <c r="BM30" s="68"/>
      <c r="BN30" s="68"/>
      <c r="BO30" s="68"/>
      <c r="BP30" s="68"/>
      <c r="BQ30" s="4"/>
      <c r="BR30" s="4"/>
    </row>
    <row r="31" spans="1:70" ht="15.75" x14ac:dyDescent="0.25">
      <c r="A31" s="4"/>
      <c r="B31" s="5"/>
      <c r="C31" s="5"/>
      <c r="D31" s="4"/>
      <c r="E31" s="4"/>
      <c r="F31" s="4"/>
      <c r="G31" s="6"/>
      <c r="H31" s="6"/>
      <c r="I31" s="6"/>
      <c r="J31" s="6"/>
      <c r="K31" s="6"/>
      <c r="L31" s="6"/>
      <c r="M31" s="6"/>
      <c r="N31" s="68"/>
      <c r="O31" s="68"/>
      <c r="P31" s="68"/>
      <c r="Q31" s="68"/>
      <c r="R31" s="68"/>
      <c r="S31" s="5"/>
      <c r="T31" s="5"/>
      <c r="U31" s="5"/>
      <c r="V31" s="68"/>
      <c r="W31" s="68"/>
      <c r="X31" s="68"/>
      <c r="Y31" s="68"/>
      <c r="Z31" s="68"/>
      <c r="AA31" s="68"/>
      <c r="AB31" s="68"/>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68"/>
      <c r="BE31" s="68"/>
      <c r="BF31" s="68"/>
      <c r="BG31" s="68"/>
      <c r="BH31" s="68"/>
      <c r="BI31" s="68"/>
      <c r="BJ31" s="68"/>
      <c r="BK31" s="68"/>
      <c r="BL31" s="68"/>
      <c r="BM31" s="68"/>
      <c r="BN31" s="68"/>
      <c r="BO31" s="68"/>
      <c r="BP31" s="68"/>
      <c r="BQ31" s="4"/>
      <c r="BR31" s="4"/>
    </row>
    <row r="32" spans="1:70" ht="15.75" x14ac:dyDescent="0.25">
      <c r="A32" s="4"/>
      <c r="B32" s="5"/>
      <c r="C32" s="5"/>
      <c r="D32" s="4"/>
      <c r="E32" s="4"/>
      <c r="F32" s="4"/>
      <c r="G32" s="6"/>
      <c r="H32" s="6"/>
      <c r="I32" s="6"/>
      <c r="J32" s="6"/>
      <c r="K32" s="6"/>
      <c r="L32" s="6"/>
      <c r="M32" s="6"/>
      <c r="N32" s="68"/>
      <c r="O32" s="68"/>
      <c r="P32" s="68"/>
      <c r="Q32" s="68"/>
      <c r="R32" s="68"/>
      <c r="S32" s="5"/>
      <c r="T32" s="5"/>
      <c r="U32" s="5"/>
      <c r="V32" s="68"/>
      <c r="W32" s="68"/>
      <c r="X32" s="68"/>
      <c r="Y32" s="68"/>
      <c r="Z32" s="68"/>
      <c r="AA32" s="68"/>
      <c r="AB32" s="68"/>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68"/>
      <c r="BE32" s="68"/>
      <c r="BF32" s="68"/>
      <c r="BG32" s="68"/>
      <c r="BH32" s="68"/>
      <c r="BI32" s="68"/>
      <c r="BJ32" s="68"/>
      <c r="BK32" s="68"/>
      <c r="BL32" s="68"/>
      <c r="BM32" s="68"/>
      <c r="BN32" s="68"/>
      <c r="BO32" s="68"/>
      <c r="BP32" s="68"/>
      <c r="BQ32" s="4"/>
      <c r="BR32" s="4"/>
    </row>
    <row r="33" spans="1:70" ht="15.75" x14ac:dyDescent="0.25">
      <c r="A33" s="4"/>
      <c r="B33" s="5"/>
      <c r="C33" s="5"/>
      <c r="D33" s="4"/>
      <c r="E33" s="4"/>
      <c r="F33" s="4"/>
      <c r="G33" s="6"/>
      <c r="H33" s="6"/>
      <c r="I33" s="6"/>
      <c r="J33" s="6"/>
      <c r="K33" s="6"/>
      <c r="L33" s="6"/>
      <c r="M33" s="6"/>
      <c r="N33" s="68"/>
      <c r="O33" s="68"/>
      <c r="P33" s="68"/>
      <c r="Q33" s="68"/>
      <c r="R33" s="68"/>
      <c r="S33" s="5"/>
      <c r="T33" s="5"/>
      <c r="U33" s="5"/>
      <c r="V33" s="68"/>
      <c r="W33" s="68"/>
      <c r="X33" s="68"/>
      <c r="Y33" s="68"/>
      <c r="Z33" s="68"/>
      <c r="AA33" s="68"/>
      <c r="AB33" s="68"/>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68"/>
      <c r="BE33" s="68"/>
      <c r="BF33" s="68"/>
      <c r="BG33" s="68"/>
      <c r="BH33" s="68"/>
      <c r="BI33" s="68"/>
      <c r="BJ33" s="68"/>
      <c r="BK33" s="68"/>
      <c r="BL33" s="68"/>
      <c r="BM33" s="68"/>
      <c r="BN33" s="68"/>
      <c r="BO33" s="68"/>
      <c r="BP33" s="68"/>
      <c r="BQ33" s="4"/>
      <c r="BR33" s="4"/>
    </row>
    <row r="34" spans="1:70" ht="15.75" x14ac:dyDescent="0.25">
      <c r="A34" s="4"/>
      <c r="B34" s="5"/>
      <c r="C34" s="5"/>
      <c r="D34" s="4"/>
      <c r="E34" s="4"/>
      <c r="F34" s="4"/>
      <c r="G34" s="6"/>
      <c r="H34" s="6"/>
      <c r="I34" s="6"/>
      <c r="J34" s="6"/>
      <c r="K34" s="6"/>
      <c r="L34" s="6"/>
      <c r="M34" s="6"/>
      <c r="N34" s="68"/>
      <c r="O34" s="68"/>
      <c r="P34" s="68"/>
      <c r="Q34" s="68"/>
      <c r="R34" s="68"/>
      <c r="S34" s="5"/>
      <c r="T34" s="5"/>
      <c r="U34" s="5"/>
      <c r="V34" s="68"/>
      <c r="W34" s="68"/>
      <c r="X34" s="68"/>
      <c r="Y34" s="68"/>
      <c r="Z34" s="68"/>
      <c r="AA34" s="68"/>
      <c r="AB34" s="68"/>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68"/>
      <c r="BE34" s="68"/>
      <c r="BF34" s="68"/>
      <c r="BG34" s="68"/>
      <c r="BH34" s="68"/>
      <c r="BI34" s="68"/>
      <c r="BJ34" s="68"/>
      <c r="BK34" s="68"/>
      <c r="BL34" s="68"/>
      <c r="BM34" s="68"/>
      <c r="BN34" s="68"/>
      <c r="BO34" s="68"/>
      <c r="BP34" s="68"/>
      <c r="BQ34" s="4"/>
      <c r="BR34" s="4"/>
    </row>
    <row r="35" spans="1:70" ht="15.75" x14ac:dyDescent="0.25">
      <c r="A35" s="4"/>
      <c r="B35" s="5"/>
      <c r="C35" s="5"/>
      <c r="D35" s="4"/>
      <c r="E35" s="4"/>
      <c r="F35" s="4"/>
      <c r="G35" s="6"/>
      <c r="H35" s="6"/>
      <c r="I35" s="6"/>
      <c r="J35" s="6"/>
      <c r="K35" s="6"/>
      <c r="L35" s="6"/>
      <c r="M35" s="6"/>
      <c r="N35" s="68"/>
      <c r="O35" s="68"/>
      <c r="P35" s="68"/>
      <c r="Q35" s="68"/>
      <c r="R35" s="68"/>
      <c r="S35" s="5"/>
      <c r="T35" s="5"/>
      <c r="U35" s="5"/>
      <c r="V35" s="68"/>
      <c r="W35" s="68"/>
      <c r="X35" s="68"/>
      <c r="Y35" s="68"/>
      <c r="Z35" s="68"/>
      <c r="AA35" s="68"/>
      <c r="AB35" s="68"/>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68"/>
      <c r="BE35" s="68"/>
      <c r="BF35" s="68"/>
      <c r="BG35" s="68"/>
      <c r="BH35" s="68"/>
      <c r="BI35" s="68"/>
      <c r="BJ35" s="68"/>
      <c r="BK35" s="68"/>
      <c r="BL35" s="68"/>
      <c r="BM35" s="68"/>
      <c r="BN35" s="68"/>
      <c r="BO35" s="68"/>
      <c r="BP35" s="68"/>
      <c r="BQ35" s="4"/>
      <c r="BR35" s="4"/>
    </row>
    <row r="36" spans="1:70" ht="15.75" x14ac:dyDescent="0.25">
      <c r="A36" s="4"/>
      <c r="B36" s="5"/>
      <c r="C36" s="5"/>
      <c r="D36" s="4"/>
      <c r="E36" s="4"/>
      <c r="F36" s="4"/>
      <c r="G36" s="6"/>
      <c r="H36" s="6"/>
      <c r="I36" s="6"/>
      <c r="J36" s="6"/>
      <c r="K36" s="6"/>
      <c r="L36" s="6"/>
      <c r="M36" s="6"/>
      <c r="N36" s="68"/>
      <c r="O36" s="68"/>
      <c r="P36" s="68"/>
      <c r="Q36" s="68"/>
      <c r="R36" s="68"/>
      <c r="S36" s="5"/>
      <c r="T36" s="5"/>
      <c r="U36" s="5"/>
      <c r="V36" s="68"/>
      <c r="W36" s="68"/>
      <c r="X36" s="68"/>
      <c r="Y36" s="68"/>
      <c r="Z36" s="68"/>
      <c r="AA36" s="68"/>
      <c r="AB36" s="68"/>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68"/>
      <c r="BE36" s="68"/>
      <c r="BF36" s="68"/>
      <c r="BG36" s="68"/>
      <c r="BH36" s="68"/>
      <c r="BI36" s="68"/>
      <c r="BJ36" s="68"/>
      <c r="BK36" s="68"/>
      <c r="BL36" s="68"/>
      <c r="BM36" s="68"/>
      <c r="BN36" s="68"/>
      <c r="BO36" s="68"/>
      <c r="BP36" s="68"/>
      <c r="BQ36" s="4"/>
      <c r="BR36" s="4"/>
    </row>
    <row r="37" spans="1:70" ht="15.75" x14ac:dyDescent="0.25">
      <c r="A37" s="4"/>
      <c r="B37" s="5"/>
      <c r="C37" s="5"/>
      <c r="D37" s="4"/>
      <c r="E37" s="4"/>
      <c r="F37" s="4"/>
      <c r="G37" s="6"/>
      <c r="H37" s="6"/>
      <c r="I37" s="6"/>
      <c r="J37" s="6"/>
      <c r="K37" s="6"/>
      <c r="L37" s="6"/>
      <c r="M37" s="6"/>
      <c r="N37" s="68"/>
      <c r="O37" s="68"/>
      <c r="P37" s="68"/>
      <c r="Q37" s="68"/>
      <c r="R37" s="68"/>
      <c r="S37" s="5"/>
      <c r="T37" s="5"/>
      <c r="U37" s="5"/>
      <c r="V37" s="68"/>
      <c r="W37" s="68"/>
      <c r="X37" s="68"/>
      <c r="Y37" s="68"/>
      <c r="Z37" s="68"/>
      <c r="AA37" s="68"/>
      <c r="AB37" s="68"/>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68"/>
      <c r="BE37" s="68"/>
      <c r="BF37" s="68"/>
      <c r="BG37" s="68"/>
      <c r="BH37" s="68"/>
      <c r="BI37" s="68"/>
      <c r="BJ37" s="68"/>
      <c r="BK37" s="68"/>
      <c r="BL37" s="68"/>
      <c r="BM37" s="68"/>
      <c r="BN37" s="68"/>
      <c r="BO37" s="68"/>
      <c r="BP37" s="68"/>
      <c r="BQ37" s="4"/>
      <c r="BR37" s="4"/>
    </row>
    <row r="38" spans="1:70" ht="15.75" x14ac:dyDescent="0.25">
      <c r="A38" s="4"/>
      <c r="B38" s="5"/>
      <c r="C38" s="5"/>
      <c r="D38" s="4"/>
      <c r="E38" s="4"/>
      <c r="F38" s="4"/>
      <c r="G38" s="6"/>
      <c r="H38" s="6"/>
      <c r="I38" s="6"/>
      <c r="J38" s="6"/>
      <c r="K38" s="6"/>
      <c r="L38" s="6"/>
      <c r="M38" s="6"/>
      <c r="N38" s="68"/>
      <c r="O38" s="68"/>
      <c r="P38" s="68"/>
      <c r="Q38" s="68"/>
      <c r="R38" s="68"/>
      <c r="S38" s="5"/>
      <c r="T38" s="5"/>
      <c r="U38" s="5"/>
      <c r="V38" s="68"/>
      <c r="W38" s="68"/>
      <c r="X38" s="68"/>
      <c r="Y38" s="68"/>
      <c r="Z38" s="68"/>
      <c r="AA38" s="68"/>
      <c r="AB38" s="68"/>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68"/>
      <c r="BE38" s="68"/>
      <c r="BF38" s="68"/>
      <c r="BG38" s="68"/>
      <c r="BH38" s="68"/>
      <c r="BI38" s="68"/>
      <c r="BJ38" s="68"/>
      <c r="BK38" s="68"/>
      <c r="BL38" s="68"/>
      <c r="BM38" s="68"/>
      <c r="BN38" s="68"/>
      <c r="BO38" s="68"/>
      <c r="BP38" s="68"/>
      <c r="BQ38" s="4"/>
      <c r="BR38" s="4"/>
    </row>
    <row r="39" spans="1:70" ht="15.75" x14ac:dyDescent="0.25">
      <c r="A39" s="4"/>
      <c r="B39" s="5"/>
      <c r="C39" s="5"/>
      <c r="D39" s="4"/>
      <c r="E39" s="4"/>
      <c r="F39" s="4"/>
      <c r="G39" s="6"/>
      <c r="H39" s="6"/>
      <c r="I39" s="6"/>
      <c r="J39" s="6"/>
      <c r="K39" s="6"/>
      <c r="L39" s="6"/>
      <c r="M39" s="6"/>
      <c r="N39" s="68"/>
      <c r="O39" s="68"/>
      <c r="P39" s="68"/>
      <c r="Q39" s="68"/>
      <c r="R39" s="68"/>
      <c r="S39" s="5"/>
      <c r="T39" s="5"/>
      <c r="U39" s="5"/>
      <c r="V39" s="68"/>
      <c r="W39" s="68"/>
      <c r="X39" s="68"/>
      <c r="Y39" s="68"/>
      <c r="Z39" s="68"/>
      <c r="AA39" s="68"/>
      <c r="AB39" s="68"/>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68"/>
      <c r="BE39" s="68"/>
      <c r="BF39" s="68"/>
      <c r="BG39" s="68"/>
      <c r="BH39" s="68"/>
      <c r="BI39" s="68"/>
      <c r="BJ39" s="68"/>
      <c r="BK39" s="68"/>
      <c r="BL39" s="68"/>
      <c r="BM39" s="68"/>
      <c r="BN39" s="68"/>
      <c r="BO39" s="68"/>
      <c r="BP39" s="68"/>
      <c r="BQ39" s="4"/>
      <c r="BR39" s="4"/>
    </row>
    <row r="40" spans="1:70" ht="15.75" x14ac:dyDescent="0.25">
      <c r="A40" s="4"/>
      <c r="B40" s="5"/>
      <c r="C40" s="5"/>
      <c r="D40" s="4"/>
      <c r="E40" s="4"/>
      <c r="F40" s="4"/>
      <c r="G40" s="6"/>
      <c r="H40" s="6"/>
      <c r="I40" s="6"/>
      <c r="J40" s="6"/>
      <c r="K40" s="6"/>
      <c r="L40" s="6"/>
      <c r="M40" s="6"/>
      <c r="N40" s="68"/>
      <c r="O40" s="68"/>
      <c r="P40" s="68"/>
      <c r="Q40" s="68"/>
      <c r="R40" s="68"/>
      <c r="S40" s="5"/>
      <c r="T40" s="5"/>
      <c r="U40" s="5"/>
      <c r="V40" s="68"/>
      <c r="W40" s="68"/>
      <c r="X40" s="68"/>
      <c r="Y40" s="68"/>
      <c r="Z40" s="68"/>
      <c r="AA40" s="68"/>
      <c r="AB40" s="68"/>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68"/>
      <c r="BE40" s="68"/>
      <c r="BF40" s="68"/>
      <c r="BG40" s="68"/>
      <c r="BH40" s="68"/>
      <c r="BI40" s="68"/>
      <c r="BJ40" s="68"/>
      <c r="BK40" s="68"/>
      <c r="BL40" s="68"/>
      <c r="BM40" s="68"/>
      <c r="BN40" s="68"/>
      <c r="BO40" s="68"/>
      <c r="BP40" s="68"/>
      <c r="BQ40" s="4"/>
      <c r="BR40" s="4"/>
    </row>
    <row r="41" spans="1:70" ht="15.75" x14ac:dyDescent="0.25">
      <c r="A41" s="4"/>
      <c r="B41" s="5"/>
      <c r="C41" s="5"/>
      <c r="D41" s="4"/>
      <c r="E41" s="4"/>
      <c r="F41" s="4"/>
      <c r="G41" s="6"/>
      <c r="H41" s="6"/>
      <c r="I41" s="6"/>
      <c r="J41" s="6"/>
      <c r="K41" s="6"/>
      <c r="L41" s="6"/>
      <c r="M41" s="6"/>
      <c r="N41" s="68"/>
      <c r="O41" s="68"/>
      <c r="P41" s="68"/>
      <c r="Q41" s="68"/>
      <c r="R41" s="68"/>
      <c r="S41" s="5"/>
      <c r="T41" s="5"/>
      <c r="U41" s="5"/>
      <c r="V41" s="68"/>
      <c r="W41" s="68"/>
      <c r="X41" s="68"/>
      <c r="Y41" s="68"/>
      <c r="Z41" s="68"/>
      <c r="AA41" s="68"/>
      <c r="AB41" s="68"/>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68"/>
      <c r="BE41" s="68"/>
      <c r="BF41" s="68"/>
      <c r="BG41" s="68"/>
      <c r="BH41" s="68"/>
      <c r="BI41" s="68"/>
      <c r="BJ41" s="68"/>
      <c r="BK41" s="68"/>
      <c r="BL41" s="68"/>
      <c r="BM41" s="68"/>
      <c r="BN41" s="68"/>
      <c r="BO41" s="68"/>
      <c r="BP41" s="68"/>
      <c r="BQ41" s="4"/>
      <c r="BR41" s="4"/>
    </row>
    <row r="42" spans="1:70" ht="15.75" x14ac:dyDescent="0.25">
      <c r="A42" s="4"/>
      <c r="B42" s="5"/>
      <c r="C42" s="5"/>
      <c r="D42" s="4"/>
      <c r="E42" s="4"/>
      <c r="F42" s="4"/>
      <c r="G42" s="6"/>
      <c r="H42" s="6"/>
      <c r="I42" s="6"/>
      <c r="J42" s="6"/>
      <c r="K42" s="6"/>
      <c r="L42" s="6"/>
      <c r="M42" s="6"/>
      <c r="N42" s="68"/>
      <c r="O42" s="68"/>
      <c r="P42" s="68"/>
      <c r="Q42" s="68"/>
      <c r="R42" s="68"/>
      <c r="S42" s="5"/>
      <c r="T42" s="5"/>
      <c r="U42" s="5"/>
      <c r="V42" s="68"/>
      <c r="W42" s="68"/>
      <c r="X42" s="68"/>
      <c r="Y42" s="68"/>
      <c r="Z42" s="68"/>
      <c r="AA42" s="68"/>
      <c r="AB42" s="68"/>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68"/>
      <c r="BE42" s="68"/>
      <c r="BF42" s="68"/>
      <c r="BG42" s="68"/>
      <c r="BH42" s="68"/>
      <c r="BI42" s="68"/>
      <c r="BJ42" s="68"/>
      <c r="BK42" s="68"/>
      <c r="BL42" s="68"/>
      <c r="BM42" s="68"/>
      <c r="BN42" s="68"/>
      <c r="BO42" s="68"/>
      <c r="BP42" s="68"/>
      <c r="BQ42" s="4"/>
      <c r="BR42" s="4"/>
    </row>
    <row r="43" spans="1:70" ht="15.75" x14ac:dyDescent="0.25">
      <c r="A43" s="4"/>
      <c r="B43" s="5"/>
      <c r="C43" s="5"/>
      <c r="D43" s="4"/>
      <c r="E43" s="4"/>
      <c r="F43" s="4"/>
      <c r="G43" s="6"/>
      <c r="H43" s="6"/>
      <c r="I43" s="6"/>
      <c r="J43" s="6"/>
      <c r="K43" s="6"/>
      <c r="L43" s="6"/>
      <c r="M43" s="6"/>
      <c r="N43" s="68"/>
      <c r="O43" s="68"/>
      <c r="P43" s="68"/>
      <c r="Q43" s="68"/>
      <c r="R43" s="68"/>
      <c r="S43" s="5"/>
      <c r="T43" s="5"/>
      <c r="U43" s="5"/>
      <c r="V43" s="68"/>
      <c r="W43" s="68"/>
      <c r="X43" s="68"/>
      <c r="Y43" s="68"/>
      <c r="Z43" s="68"/>
      <c r="AA43" s="68"/>
      <c r="AB43" s="68"/>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68"/>
      <c r="BE43" s="68"/>
      <c r="BF43" s="68"/>
      <c r="BG43" s="68"/>
      <c r="BH43" s="68"/>
      <c r="BI43" s="68"/>
      <c r="BJ43" s="68"/>
      <c r="BK43" s="68"/>
      <c r="BL43" s="68"/>
      <c r="BM43" s="68"/>
      <c r="BN43" s="68"/>
      <c r="BO43" s="68"/>
      <c r="BP43" s="68"/>
      <c r="BQ43" s="4"/>
      <c r="BR43" s="4"/>
    </row>
    <row r="44" spans="1:70" ht="15.75" x14ac:dyDescent="0.25">
      <c r="A44" s="4"/>
      <c r="B44" s="5"/>
      <c r="C44" s="5"/>
      <c r="D44" s="4"/>
      <c r="E44" s="4"/>
      <c r="F44" s="4"/>
      <c r="G44" s="6"/>
      <c r="H44" s="6"/>
      <c r="I44" s="6"/>
      <c r="J44" s="6"/>
      <c r="K44" s="6"/>
      <c r="L44" s="6"/>
      <c r="M44" s="6"/>
      <c r="N44" s="68"/>
      <c r="O44" s="68"/>
      <c r="P44" s="68"/>
      <c r="Q44" s="68"/>
      <c r="R44" s="68"/>
      <c r="S44" s="5"/>
      <c r="T44" s="5"/>
      <c r="U44" s="5"/>
      <c r="V44" s="68"/>
      <c r="W44" s="68"/>
      <c r="X44" s="68"/>
      <c r="Y44" s="68"/>
      <c r="Z44" s="68"/>
      <c r="AA44" s="68"/>
      <c r="AB44" s="68"/>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68"/>
      <c r="BE44" s="68"/>
      <c r="BF44" s="68"/>
      <c r="BG44" s="68"/>
      <c r="BH44" s="68"/>
      <c r="BI44" s="68"/>
      <c r="BJ44" s="68"/>
      <c r="BK44" s="68"/>
      <c r="BL44" s="68"/>
      <c r="BM44" s="68"/>
      <c r="BN44" s="68"/>
      <c r="BO44" s="68"/>
      <c r="BP44" s="68"/>
      <c r="BQ44" s="4"/>
      <c r="BR44" s="4"/>
    </row>
    <row r="45" spans="1:70" ht="15.75" x14ac:dyDescent="0.25">
      <c r="A45" s="4"/>
      <c r="B45" s="5"/>
      <c r="C45" s="5"/>
      <c r="D45" s="4"/>
      <c r="E45" s="4"/>
      <c r="F45" s="4"/>
      <c r="G45" s="6"/>
      <c r="H45" s="6"/>
      <c r="I45" s="6"/>
      <c r="J45" s="6"/>
      <c r="K45" s="6"/>
      <c r="L45" s="6"/>
      <c r="M45" s="6"/>
      <c r="N45" s="68"/>
      <c r="O45" s="68"/>
      <c r="P45" s="68"/>
      <c r="Q45" s="68"/>
      <c r="R45" s="68"/>
      <c r="S45" s="5"/>
      <c r="T45" s="5"/>
      <c r="U45" s="5"/>
      <c r="V45" s="68"/>
      <c r="W45" s="68"/>
      <c r="X45" s="68"/>
      <c r="Y45" s="68"/>
      <c r="Z45" s="68"/>
      <c r="AA45" s="68"/>
      <c r="AB45" s="68"/>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68"/>
      <c r="BE45" s="68"/>
      <c r="BF45" s="68"/>
      <c r="BG45" s="68"/>
      <c r="BH45" s="68"/>
      <c r="BI45" s="68"/>
      <c r="BJ45" s="68"/>
      <c r="BK45" s="68"/>
      <c r="BL45" s="68"/>
      <c r="BM45" s="68"/>
      <c r="BN45" s="68"/>
      <c r="BO45" s="68"/>
      <c r="BP45" s="68"/>
      <c r="BQ45" s="4"/>
      <c r="BR45" s="4"/>
    </row>
    <row r="46" spans="1:70" ht="15.75" x14ac:dyDescent="0.25">
      <c r="A46" s="4"/>
      <c r="B46" s="5"/>
      <c r="C46" s="5"/>
      <c r="D46" s="4"/>
      <c r="E46" s="4"/>
      <c r="F46" s="4"/>
      <c r="G46" s="6"/>
      <c r="H46" s="6"/>
      <c r="I46" s="6"/>
      <c r="J46" s="6"/>
      <c r="K46" s="6"/>
      <c r="L46" s="6"/>
      <c r="M46" s="6"/>
      <c r="N46" s="68"/>
      <c r="O46" s="68"/>
      <c r="P46" s="68"/>
      <c r="Q46" s="68"/>
      <c r="R46" s="68"/>
      <c r="S46" s="5"/>
      <c r="T46" s="5"/>
      <c r="U46" s="5"/>
      <c r="V46" s="68"/>
      <c r="W46" s="68"/>
      <c r="X46" s="68"/>
      <c r="Y46" s="68"/>
      <c r="Z46" s="68"/>
      <c r="AA46" s="68"/>
      <c r="AB46" s="68"/>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68"/>
      <c r="BE46" s="68"/>
      <c r="BF46" s="68"/>
      <c r="BG46" s="68"/>
      <c r="BH46" s="68"/>
      <c r="BI46" s="68"/>
      <c r="BJ46" s="68"/>
      <c r="BK46" s="68"/>
      <c r="BL46" s="68"/>
      <c r="BM46" s="68"/>
      <c r="BN46" s="68"/>
      <c r="BO46" s="68"/>
      <c r="BP46" s="68"/>
      <c r="BQ46" s="4"/>
      <c r="BR46" s="4"/>
    </row>
    <row r="47" spans="1:70" ht="15.75" x14ac:dyDescent="0.25">
      <c r="A47" s="4"/>
      <c r="B47" s="5"/>
      <c r="C47" s="5"/>
      <c r="D47" s="4"/>
      <c r="E47" s="4"/>
      <c r="F47" s="4"/>
      <c r="G47" s="6"/>
      <c r="H47" s="6"/>
      <c r="I47" s="6"/>
      <c r="J47" s="6"/>
      <c r="K47" s="6"/>
      <c r="L47" s="6"/>
      <c r="M47" s="6"/>
      <c r="N47" s="68"/>
      <c r="O47" s="68"/>
      <c r="P47" s="68"/>
      <c r="Q47" s="68"/>
      <c r="R47" s="68"/>
      <c r="S47" s="5"/>
      <c r="T47" s="5"/>
      <c r="U47" s="5"/>
      <c r="V47" s="68"/>
      <c r="W47" s="68"/>
      <c r="X47" s="68"/>
      <c r="Y47" s="68"/>
      <c r="Z47" s="68"/>
      <c r="AA47" s="68"/>
      <c r="AB47" s="68"/>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68"/>
      <c r="BE47" s="68"/>
      <c r="BF47" s="68"/>
      <c r="BG47" s="68"/>
      <c r="BH47" s="68"/>
      <c r="BI47" s="68"/>
      <c r="BJ47" s="68"/>
      <c r="BK47" s="68"/>
      <c r="BL47" s="68"/>
      <c r="BM47" s="68"/>
      <c r="BN47" s="68"/>
      <c r="BO47" s="68"/>
      <c r="BP47" s="68"/>
      <c r="BQ47" s="4"/>
      <c r="BR47" s="4"/>
    </row>
    <row r="48" spans="1:70" ht="15.75" x14ac:dyDescent="0.25">
      <c r="A48" s="4"/>
      <c r="B48" s="5"/>
      <c r="C48" s="5"/>
      <c r="D48" s="4"/>
      <c r="E48" s="4"/>
      <c r="F48" s="4"/>
      <c r="G48" s="6"/>
      <c r="H48" s="6"/>
      <c r="I48" s="6"/>
      <c r="J48" s="6"/>
      <c r="K48" s="6"/>
      <c r="L48" s="6"/>
      <c r="M48" s="6"/>
      <c r="N48" s="68"/>
      <c r="O48" s="68"/>
      <c r="P48" s="68"/>
      <c r="Q48" s="68"/>
      <c r="R48" s="68"/>
      <c r="S48" s="5"/>
      <c r="T48" s="5"/>
      <c r="U48" s="5"/>
      <c r="V48" s="68"/>
      <c r="W48" s="68"/>
      <c r="X48" s="68"/>
      <c r="Y48" s="68"/>
      <c r="Z48" s="68"/>
      <c r="AA48" s="68"/>
      <c r="AB48" s="68"/>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68"/>
      <c r="BE48" s="68"/>
      <c r="BF48" s="68"/>
      <c r="BG48" s="68"/>
      <c r="BH48" s="68"/>
      <c r="BI48" s="68"/>
      <c r="BJ48" s="68"/>
      <c r="BK48" s="68"/>
      <c r="BL48" s="68"/>
      <c r="BM48" s="68"/>
      <c r="BN48" s="68"/>
      <c r="BO48" s="68"/>
      <c r="BP48" s="68"/>
      <c r="BQ48" s="4"/>
      <c r="BR48" s="4"/>
    </row>
    <row r="49" spans="1:70" ht="15.75" x14ac:dyDescent="0.25">
      <c r="A49" s="4"/>
      <c r="B49" s="5"/>
      <c r="C49" s="5"/>
      <c r="D49" s="4"/>
      <c r="E49" s="4"/>
      <c r="F49" s="4"/>
      <c r="G49" s="6"/>
      <c r="H49" s="6"/>
      <c r="I49" s="6"/>
      <c r="J49" s="6"/>
      <c r="K49" s="6"/>
      <c r="L49" s="6"/>
      <c r="M49" s="6"/>
      <c r="N49" s="68"/>
      <c r="O49" s="68"/>
      <c r="P49" s="68"/>
      <c r="Q49" s="68"/>
      <c r="R49" s="68"/>
      <c r="S49" s="5"/>
      <c r="T49" s="5"/>
      <c r="U49" s="5"/>
      <c r="V49" s="68"/>
      <c r="W49" s="68"/>
      <c r="X49" s="68"/>
      <c r="Y49" s="68"/>
      <c r="Z49" s="68"/>
      <c r="AA49" s="68"/>
      <c r="AB49" s="68"/>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68"/>
      <c r="BE49" s="68"/>
      <c r="BF49" s="68"/>
      <c r="BG49" s="68"/>
      <c r="BH49" s="68"/>
      <c r="BI49" s="68"/>
      <c r="BJ49" s="68"/>
      <c r="BK49" s="68"/>
      <c r="BL49" s="68"/>
      <c r="BM49" s="68"/>
      <c r="BN49" s="68"/>
      <c r="BO49" s="68"/>
      <c r="BP49" s="68"/>
      <c r="BQ49" s="4"/>
      <c r="BR49" s="4"/>
    </row>
    <row r="50" spans="1:70" ht="15.75" x14ac:dyDescent="0.25">
      <c r="A50" s="4"/>
      <c r="B50" s="5"/>
      <c r="C50" s="5"/>
      <c r="D50" s="4"/>
      <c r="E50" s="4"/>
      <c r="F50" s="4"/>
      <c r="G50" s="6"/>
      <c r="H50" s="6"/>
      <c r="I50" s="6"/>
      <c r="J50" s="6"/>
      <c r="K50" s="6"/>
      <c r="L50" s="6"/>
      <c r="M50" s="6"/>
      <c r="N50" s="68"/>
      <c r="O50" s="68"/>
      <c r="P50" s="68"/>
      <c r="Q50" s="68"/>
      <c r="R50" s="68"/>
      <c r="S50" s="5"/>
      <c r="T50" s="5"/>
      <c r="U50" s="5"/>
      <c r="V50" s="68"/>
      <c r="W50" s="68"/>
      <c r="X50" s="68"/>
      <c r="Y50" s="68"/>
      <c r="Z50" s="68"/>
      <c r="AA50" s="68"/>
      <c r="AB50" s="68"/>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68"/>
      <c r="BE50" s="68"/>
      <c r="BF50" s="68"/>
      <c r="BG50" s="68"/>
      <c r="BH50" s="68"/>
      <c r="BI50" s="68"/>
      <c r="BJ50" s="68"/>
      <c r="BK50" s="68"/>
      <c r="BL50" s="68"/>
      <c r="BM50" s="68"/>
      <c r="BN50" s="68"/>
      <c r="BO50" s="68"/>
      <c r="BP50" s="68"/>
      <c r="BQ50" s="4"/>
      <c r="BR50" s="4"/>
    </row>
    <row r="51" spans="1:70" ht="15.75" x14ac:dyDescent="0.25">
      <c r="A51" s="4"/>
      <c r="B51" s="5"/>
      <c r="C51" s="5"/>
      <c r="D51" s="4"/>
      <c r="E51" s="4"/>
      <c r="F51" s="4"/>
      <c r="G51" s="6"/>
      <c r="H51" s="6"/>
      <c r="I51" s="6"/>
      <c r="J51" s="6"/>
      <c r="K51" s="6"/>
      <c r="L51" s="6"/>
      <c r="M51" s="6"/>
      <c r="N51" s="68"/>
      <c r="O51" s="68"/>
      <c r="P51" s="68"/>
      <c r="Q51" s="68"/>
      <c r="R51" s="68"/>
      <c r="S51" s="5"/>
      <c r="T51" s="5"/>
      <c r="U51" s="5"/>
      <c r="V51" s="68"/>
      <c r="W51" s="68"/>
      <c r="X51" s="68"/>
      <c r="Y51" s="68"/>
      <c r="Z51" s="68"/>
      <c r="AA51" s="68"/>
      <c r="AB51" s="68"/>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68"/>
      <c r="BE51" s="68"/>
      <c r="BF51" s="68"/>
      <c r="BG51" s="68"/>
      <c r="BH51" s="68"/>
      <c r="BI51" s="68"/>
      <c r="BJ51" s="68"/>
      <c r="BK51" s="68"/>
      <c r="BL51" s="68"/>
      <c r="BM51" s="68"/>
      <c r="BN51" s="68"/>
      <c r="BO51" s="68"/>
      <c r="BP51" s="68"/>
      <c r="BQ51" s="4"/>
      <c r="BR51" s="4"/>
    </row>
    <row r="52" spans="1:70" ht="15.75" x14ac:dyDescent="0.25">
      <c r="A52" s="4"/>
      <c r="B52" s="5"/>
      <c r="C52" s="5"/>
      <c r="D52" s="4"/>
      <c r="E52" s="4"/>
      <c r="F52" s="4"/>
      <c r="G52" s="6"/>
      <c r="H52" s="6"/>
      <c r="I52" s="6"/>
      <c r="J52" s="6"/>
      <c r="K52" s="6"/>
      <c r="L52" s="6"/>
      <c r="M52" s="6"/>
      <c r="N52" s="68"/>
      <c r="O52" s="68"/>
      <c r="P52" s="68"/>
      <c r="Q52" s="68"/>
      <c r="R52" s="68"/>
      <c r="S52" s="5"/>
      <c r="T52" s="5"/>
      <c r="U52" s="5"/>
      <c r="V52" s="68"/>
      <c r="W52" s="68"/>
      <c r="X52" s="68"/>
      <c r="Y52" s="68"/>
      <c r="Z52" s="68"/>
      <c r="AA52" s="68"/>
      <c r="AB52" s="68"/>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68"/>
      <c r="BE52" s="68"/>
      <c r="BF52" s="68"/>
      <c r="BG52" s="68"/>
      <c r="BH52" s="68"/>
      <c r="BI52" s="68"/>
      <c r="BJ52" s="68"/>
      <c r="BK52" s="68"/>
      <c r="BL52" s="68"/>
      <c r="BM52" s="68"/>
      <c r="BN52" s="68"/>
      <c r="BO52" s="68"/>
      <c r="BP52" s="68"/>
      <c r="BQ52" s="4"/>
      <c r="BR52" s="4"/>
    </row>
    <row r="53" spans="1:70" ht="15.75" x14ac:dyDescent="0.25">
      <c r="A53" s="4"/>
      <c r="B53" s="5"/>
      <c r="C53" s="5"/>
      <c r="D53" s="4"/>
      <c r="E53" s="4"/>
      <c r="F53" s="4"/>
      <c r="G53" s="6"/>
      <c r="H53" s="6"/>
      <c r="I53" s="6"/>
      <c r="J53" s="6"/>
      <c r="K53" s="6"/>
      <c r="L53" s="6"/>
      <c r="M53" s="6"/>
      <c r="N53" s="68"/>
      <c r="O53" s="68"/>
      <c r="P53" s="68"/>
      <c r="Q53" s="68"/>
      <c r="R53" s="68"/>
      <c r="S53" s="5"/>
      <c r="T53" s="5"/>
      <c r="U53" s="5"/>
      <c r="V53" s="68"/>
      <c r="W53" s="68"/>
      <c r="X53" s="68"/>
      <c r="Y53" s="68"/>
      <c r="Z53" s="68"/>
      <c r="AA53" s="68"/>
      <c r="AB53" s="68"/>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68"/>
      <c r="BE53" s="68"/>
      <c r="BF53" s="68"/>
      <c r="BG53" s="68"/>
      <c r="BH53" s="68"/>
      <c r="BI53" s="68"/>
      <c r="BJ53" s="68"/>
      <c r="BK53" s="68"/>
      <c r="BL53" s="68"/>
      <c r="BM53" s="68"/>
      <c r="BN53" s="68"/>
      <c r="BO53" s="68"/>
      <c r="BP53" s="68"/>
      <c r="BQ53" s="4"/>
      <c r="BR53" s="4"/>
    </row>
    <row r="54" spans="1:70" ht="15.75" x14ac:dyDescent="0.25">
      <c r="A54" s="4"/>
      <c r="B54" s="5"/>
      <c r="C54" s="5"/>
      <c r="D54" s="4"/>
      <c r="E54" s="4"/>
      <c r="F54" s="4"/>
      <c r="G54" s="6"/>
      <c r="H54" s="6"/>
      <c r="I54" s="6"/>
      <c r="J54" s="6"/>
      <c r="K54" s="6"/>
      <c r="L54" s="6"/>
      <c r="M54" s="6"/>
      <c r="N54" s="68"/>
      <c r="O54" s="68"/>
      <c r="P54" s="68"/>
      <c r="Q54" s="68"/>
      <c r="R54" s="68"/>
      <c r="S54" s="5"/>
      <c r="T54" s="5"/>
      <c r="U54" s="5"/>
      <c r="V54" s="68"/>
      <c r="W54" s="68"/>
      <c r="X54" s="68"/>
      <c r="Y54" s="68"/>
      <c r="Z54" s="68"/>
      <c r="AA54" s="68"/>
      <c r="AB54" s="68"/>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68"/>
      <c r="BE54" s="68"/>
      <c r="BF54" s="68"/>
      <c r="BG54" s="68"/>
      <c r="BH54" s="68"/>
      <c r="BI54" s="68"/>
      <c r="BJ54" s="68"/>
      <c r="BK54" s="68"/>
      <c r="BL54" s="68"/>
      <c r="BM54" s="68"/>
      <c r="BN54" s="68"/>
      <c r="BO54" s="68"/>
      <c r="BP54" s="68"/>
      <c r="BQ54" s="4"/>
      <c r="BR54" s="4"/>
    </row>
    <row r="55" spans="1:70" ht="15.75" x14ac:dyDescent="0.25">
      <c r="A55" s="4"/>
      <c r="B55" s="5"/>
      <c r="C55" s="5"/>
      <c r="D55" s="4"/>
      <c r="E55" s="4"/>
      <c r="F55" s="4"/>
      <c r="G55" s="6"/>
      <c r="H55" s="6"/>
      <c r="I55" s="6"/>
      <c r="J55" s="6"/>
      <c r="K55" s="6"/>
      <c r="L55" s="6"/>
      <c r="M55" s="6"/>
      <c r="N55" s="68"/>
      <c r="O55" s="68"/>
      <c r="P55" s="68"/>
      <c r="Q55" s="68"/>
      <c r="R55" s="68"/>
      <c r="S55" s="5"/>
      <c r="T55" s="5"/>
      <c r="U55" s="5"/>
      <c r="V55" s="68"/>
      <c r="W55" s="68"/>
      <c r="X55" s="68"/>
      <c r="Y55" s="68"/>
      <c r="Z55" s="68"/>
      <c r="AA55" s="68"/>
      <c r="AB55" s="68"/>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68"/>
      <c r="BE55" s="68"/>
      <c r="BF55" s="68"/>
      <c r="BG55" s="68"/>
      <c r="BH55" s="68"/>
      <c r="BI55" s="68"/>
      <c r="BJ55" s="68"/>
      <c r="BK55" s="68"/>
      <c r="BL55" s="68"/>
      <c r="BM55" s="68"/>
      <c r="BN55" s="68"/>
      <c r="BO55" s="68"/>
      <c r="BP55" s="68"/>
      <c r="BQ55" s="4"/>
      <c r="BR55" s="4"/>
    </row>
    <row r="56" spans="1:70" ht="15.75" x14ac:dyDescent="0.25">
      <c r="A56" s="4"/>
      <c r="B56" s="5"/>
      <c r="C56" s="5"/>
      <c r="D56" s="4"/>
      <c r="E56" s="4"/>
      <c r="F56" s="4"/>
      <c r="G56" s="6"/>
      <c r="H56" s="6"/>
      <c r="I56" s="6"/>
      <c r="J56" s="6"/>
      <c r="K56" s="6"/>
      <c r="L56" s="6"/>
      <c r="M56" s="6"/>
      <c r="N56" s="68"/>
      <c r="O56" s="68"/>
      <c r="P56" s="68"/>
      <c r="Q56" s="68"/>
      <c r="R56" s="68"/>
      <c r="S56" s="5"/>
      <c r="T56" s="5"/>
      <c r="U56" s="5"/>
      <c r="V56" s="68"/>
      <c r="W56" s="68"/>
      <c r="X56" s="68"/>
      <c r="Y56" s="68"/>
      <c r="Z56" s="68"/>
      <c r="AA56" s="68"/>
      <c r="AB56" s="68"/>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68"/>
      <c r="BE56" s="68"/>
      <c r="BF56" s="68"/>
      <c r="BG56" s="68"/>
      <c r="BH56" s="68"/>
      <c r="BI56" s="68"/>
      <c r="BJ56" s="68"/>
      <c r="BK56" s="68"/>
      <c r="BL56" s="68"/>
      <c r="BM56" s="68"/>
      <c r="BN56" s="68"/>
      <c r="BO56" s="68"/>
      <c r="BP56" s="68"/>
      <c r="BQ56" s="4"/>
      <c r="BR56" s="4"/>
    </row>
    <row r="57" spans="1:70" ht="15.75" x14ac:dyDescent="0.25">
      <c r="A57" s="4"/>
      <c r="B57" s="5"/>
      <c r="C57" s="5"/>
      <c r="D57" s="4"/>
      <c r="E57" s="4"/>
      <c r="F57" s="4"/>
      <c r="G57" s="6"/>
      <c r="H57" s="6"/>
      <c r="I57" s="6"/>
      <c r="J57" s="6"/>
      <c r="K57" s="6"/>
      <c r="L57" s="6"/>
      <c r="M57" s="6"/>
      <c r="N57" s="68"/>
      <c r="O57" s="68"/>
      <c r="P57" s="68"/>
      <c r="Q57" s="68"/>
      <c r="R57" s="68"/>
      <c r="S57" s="5"/>
      <c r="T57" s="5"/>
      <c r="U57" s="5"/>
      <c r="V57" s="68"/>
      <c r="W57" s="68"/>
      <c r="X57" s="68"/>
      <c r="Y57" s="68"/>
      <c r="Z57" s="68"/>
      <c r="AA57" s="68"/>
      <c r="AB57" s="68"/>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68"/>
      <c r="BE57" s="68"/>
      <c r="BF57" s="68"/>
      <c r="BG57" s="68"/>
      <c r="BH57" s="68"/>
      <c r="BI57" s="68"/>
      <c r="BJ57" s="68"/>
      <c r="BK57" s="68"/>
      <c r="BL57" s="68"/>
      <c r="BM57" s="68"/>
      <c r="BN57" s="68"/>
      <c r="BO57" s="68"/>
      <c r="BP57" s="68"/>
      <c r="BQ57" s="4"/>
      <c r="BR57" s="4"/>
    </row>
    <row r="58" spans="1:70" ht="15.75" x14ac:dyDescent="0.25">
      <c r="A58" s="4"/>
      <c r="B58" s="5"/>
      <c r="C58" s="5"/>
      <c r="D58" s="4"/>
      <c r="E58" s="4"/>
      <c r="F58" s="4"/>
      <c r="G58" s="6"/>
      <c r="H58" s="6"/>
      <c r="I58" s="6"/>
      <c r="J58" s="6"/>
      <c r="K58" s="6"/>
      <c r="L58" s="6"/>
      <c r="M58" s="6"/>
      <c r="N58" s="68"/>
      <c r="O58" s="68"/>
      <c r="P58" s="68"/>
      <c r="Q58" s="68"/>
      <c r="R58" s="68"/>
      <c r="S58" s="5"/>
      <c r="T58" s="5"/>
      <c r="U58" s="5"/>
      <c r="V58" s="68"/>
      <c r="W58" s="68"/>
      <c r="X58" s="68"/>
      <c r="Y58" s="68"/>
      <c r="Z58" s="68"/>
      <c r="AA58" s="68"/>
      <c r="AB58" s="68"/>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68"/>
      <c r="BE58" s="68"/>
      <c r="BF58" s="68"/>
      <c r="BG58" s="68"/>
      <c r="BH58" s="68"/>
      <c r="BI58" s="68"/>
      <c r="BJ58" s="68"/>
      <c r="BK58" s="68"/>
      <c r="BL58" s="68"/>
      <c r="BM58" s="68"/>
      <c r="BN58" s="68"/>
      <c r="BO58" s="68"/>
      <c r="BP58" s="68"/>
      <c r="BQ58" s="4"/>
      <c r="BR58" s="4"/>
    </row>
    <row r="59" spans="1:70" ht="15.75" x14ac:dyDescent="0.25">
      <c r="A59" s="4"/>
      <c r="B59" s="5"/>
      <c r="C59" s="5"/>
      <c r="D59" s="4"/>
      <c r="E59" s="4"/>
      <c r="F59" s="4"/>
      <c r="G59" s="6"/>
      <c r="H59" s="6"/>
      <c r="I59" s="6"/>
      <c r="J59" s="6"/>
      <c r="K59" s="6"/>
      <c r="L59" s="6"/>
      <c r="M59" s="6"/>
      <c r="N59" s="68"/>
      <c r="O59" s="68"/>
      <c r="P59" s="68"/>
      <c r="Q59" s="68"/>
      <c r="R59" s="68"/>
      <c r="S59" s="5"/>
      <c r="T59" s="5"/>
      <c r="U59" s="5"/>
      <c r="V59" s="68"/>
      <c r="W59" s="68"/>
      <c r="X59" s="68"/>
      <c r="Y59" s="68"/>
      <c r="Z59" s="68"/>
      <c r="AA59" s="68"/>
      <c r="AB59" s="68"/>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68"/>
      <c r="BE59" s="68"/>
      <c r="BF59" s="68"/>
      <c r="BG59" s="68"/>
      <c r="BH59" s="68"/>
      <c r="BI59" s="68"/>
      <c r="BJ59" s="68"/>
      <c r="BK59" s="68"/>
      <c r="BL59" s="68"/>
      <c r="BM59" s="68"/>
      <c r="BN59" s="68"/>
      <c r="BO59" s="68"/>
      <c r="BP59" s="68"/>
      <c r="BQ59" s="4"/>
      <c r="BR59" s="4"/>
    </row>
    <row r="60" spans="1:70" ht="15.75" x14ac:dyDescent="0.25">
      <c r="A60" s="4"/>
      <c r="B60" s="5"/>
      <c r="C60" s="5"/>
      <c r="D60" s="4"/>
      <c r="E60" s="4"/>
      <c r="F60" s="4"/>
      <c r="G60" s="6"/>
      <c r="H60" s="6"/>
      <c r="I60" s="6"/>
      <c r="J60" s="6"/>
      <c r="K60" s="6"/>
      <c r="L60" s="6"/>
      <c r="M60" s="6"/>
      <c r="N60" s="68"/>
      <c r="O60" s="68"/>
      <c r="P60" s="68"/>
      <c r="Q60" s="68"/>
      <c r="R60" s="68"/>
      <c r="S60" s="5"/>
      <c r="T60" s="5"/>
      <c r="U60" s="5"/>
      <c r="V60" s="68"/>
      <c r="W60" s="68"/>
      <c r="X60" s="68"/>
      <c r="Y60" s="68"/>
      <c r="Z60" s="68"/>
      <c r="AA60" s="68"/>
      <c r="AB60" s="68"/>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68"/>
      <c r="BE60" s="68"/>
      <c r="BF60" s="68"/>
      <c r="BG60" s="68"/>
      <c r="BH60" s="68"/>
      <c r="BI60" s="68"/>
      <c r="BJ60" s="68"/>
      <c r="BK60" s="68"/>
      <c r="BL60" s="68"/>
      <c r="BM60" s="68"/>
      <c r="BN60" s="68"/>
      <c r="BO60" s="68"/>
      <c r="BP60" s="68"/>
      <c r="BQ60" s="4"/>
      <c r="BR60" s="4"/>
    </row>
    <row r="61" spans="1:70" ht="15.75" x14ac:dyDescent="0.25">
      <c r="A61" s="4"/>
      <c r="B61" s="5"/>
      <c r="C61" s="5"/>
      <c r="D61" s="4"/>
      <c r="E61" s="4"/>
      <c r="F61" s="4"/>
      <c r="G61" s="6"/>
      <c r="H61" s="6"/>
      <c r="I61" s="6"/>
      <c r="J61" s="6"/>
      <c r="K61" s="6"/>
      <c r="L61" s="6"/>
      <c r="M61" s="6"/>
      <c r="N61" s="68"/>
      <c r="O61" s="68"/>
      <c r="P61" s="68"/>
      <c r="Q61" s="68"/>
      <c r="R61" s="68"/>
      <c r="S61" s="5"/>
      <c r="T61" s="5"/>
      <c r="U61" s="5"/>
      <c r="V61" s="68"/>
      <c r="W61" s="68"/>
      <c r="X61" s="68"/>
      <c r="Y61" s="68"/>
      <c r="Z61" s="68"/>
      <c r="AA61" s="68"/>
      <c r="AB61" s="68"/>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68"/>
      <c r="BE61" s="68"/>
      <c r="BF61" s="68"/>
      <c r="BG61" s="68"/>
      <c r="BH61" s="68"/>
      <c r="BI61" s="68"/>
      <c r="BJ61" s="68"/>
      <c r="BK61" s="68"/>
      <c r="BL61" s="68"/>
      <c r="BM61" s="68"/>
      <c r="BN61" s="68"/>
      <c r="BO61" s="68"/>
      <c r="BP61" s="68"/>
      <c r="BQ61" s="4"/>
      <c r="BR61" s="4"/>
    </row>
    <row r="62" spans="1:70" ht="15.75" x14ac:dyDescent="0.25">
      <c r="A62" s="4"/>
      <c r="B62" s="5"/>
      <c r="C62" s="5"/>
      <c r="D62" s="4"/>
      <c r="E62" s="4"/>
      <c r="F62" s="4"/>
      <c r="G62" s="6"/>
      <c r="H62" s="6"/>
      <c r="I62" s="6"/>
      <c r="J62" s="6"/>
      <c r="K62" s="6"/>
      <c r="L62" s="6"/>
      <c r="M62" s="6"/>
      <c r="N62" s="68"/>
      <c r="O62" s="68"/>
      <c r="P62" s="68"/>
      <c r="Q62" s="68"/>
      <c r="R62" s="68"/>
      <c r="S62" s="5"/>
      <c r="T62" s="5"/>
      <c r="U62" s="5"/>
      <c r="V62" s="68"/>
      <c r="W62" s="68"/>
      <c r="X62" s="68"/>
      <c r="Y62" s="68"/>
      <c r="Z62" s="68"/>
      <c r="AA62" s="68"/>
      <c r="AB62" s="68"/>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68"/>
      <c r="BE62" s="68"/>
      <c r="BF62" s="68"/>
      <c r="BG62" s="68"/>
      <c r="BH62" s="68"/>
      <c r="BI62" s="68"/>
      <c r="BJ62" s="68"/>
      <c r="BK62" s="68"/>
      <c r="BL62" s="68"/>
      <c r="BM62" s="68"/>
      <c r="BN62" s="68"/>
      <c r="BO62" s="68"/>
      <c r="BP62" s="68"/>
      <c r="BQ62" s="4"/>
      <c r="BR62" s="4"/>
    </row>
    <row r="63" spans="1:70" ht="15.75" x14ac:dyDescent="0.25">
      <c r="A63" s="4"/>
      <c r="B63" s="5"/>
      <c r="C63" s="5"/>
      <c r="D63" s="4"/>
      <c r="E63" s="4"/>
      <c r="F63" s="4"/>
      <c r="G63" s="6"/>
      <c r="H63" s="6"/>
      <c r="I63" s="6"/>
      <c r="J63" s="6"/>
      <c r="K63" s="6"/>
      <c r="L63" s="6"/>
      <c r="M63" s="6"/>
      <c r="N63" s="68"/>
      <c r="O63" s="68"/>
      <c r="P63" s="68"/>
      <c r="Q63" s="68"/>
      <c r="R63" s="68"/>
      <c r="S63" s="5"/>
      <c r="T63" s="5"/>
      <c r="U63" s="5"/>
      <c r="V63" s="68"/>
      <c r="W63" s="68"/>
      <c r="X63" s="68"/>
      <c r="Y63" s="68"/>
      <c r="Z63" s="68"/>
      <c r="AA63" s="68"/>
      <c r="AB63" s="68"/>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68"/>
      <c r="BE63" s="68"/>
      <c r="BF63" s="68"/>
      <c r="BG63" s="68"/>
      <c r="BH63" s="68"/>
      <c r="BI63" s="68"/>
      <c r="BJ63" s="68"/>
      <c r="BK63" s="68"/>
      <c r="BL63" s="68"/>
      <c r="BM63" s="68"/>
      <c r="BN63" s="68"/>
      <c r="BO63" s="68"/>
      <c r="BP63" s="68"/>
      <c r="BQ63" s="4"/>
      <c r="BR63" s="4"/>
    </row>
    <row r="64" spans="1:70" ht="15.75" x14ac:dyDescent="0.25">
      <c r="A64" s="4"/>
      <c r="B64" s="5"/>
      <c r="C64" s="5"/>
      <c r="D64" s="4"/>
      <c r="E64" s="4"/>
      <c r="F64" s="4"/>
      <c r="G64" s="6"/>
      <c r="H64" s="6"/>
      <c r="I64" s="6"/>
      <c r="J64" s="6"/>
      <c r="K64" s="6"/>
      <c r="L64" s="6"/>
      <c r="M64" s="6"/>
      <c r="N64" s="68"/>
      <c r="O64" s="68"/>
      <c r="P64" s="68"/>
      <c r="Q64" s="68"/>
      <c r="R64" s="68"/>
      <c r="S64" s="5"/>
      <c r="T64" s="5"/>
      <c r="U64" s="5"/>
      <c r="V64" s="68"/>
      <c r="W64" s="68"/>
      <c r="X64" s="68"/>
      <c r="Y64" s="68"/>
      <c r="Z64" s="68"/>
      <c r="AA64" s="68"/>
      <c r="AB64" s="68"/>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69"/>
      <c r="BE64" s="69"/>
      <c r="BF64" s="69"/>
      <c r="BG64" s="69"/>
      <c r="BH64" s="69"/>
      <c r="BI64" s="69"/>
      <c r="BJ64" s="69"/>
      <c r="BK64" s="69"/>
      <c r="BL64" s="69"/>
      <c r="BM64" s="69"/>
      <c r="BN64" s="69"/>
      <c r="BO64" s="69"/>
      <c r="BP64" s="69"/>
      <c r="BQ64" s="4"/>
      <c r="BR64" s="4"/>
    </row>
  </sheetData>
  <autoFilter ref="A2:BR2" xr:uid="{85C96CE0-A12C-4212-8FF7-C3C37CA2093D}"/>
  <mergeCells count="10">
    <mergeCell ref="AO1:AS1"/>
    <mergeCell ref="AT1:AV1"/>
    <mergeCell ref="AW1:BA1"/>
    <mergeCell ref="BD1:BP1"/>
    <mergeCell ref="D1:G1"/>
    <mergeCell ref="J1:O1"/>
    <mergeCell ref="P1:U1"/>
    <mergeCell ref="V1:AE1"/>
    <mergeCell ref="AF1:AH1"/>
    <mergeCell ref="AI1:A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8ADE-B934-4631-BCFF-A7EBCA0DC011}">
  <dimension ref="A1:FL151"/>
  <sheetViews>
    <sheetView topLeftCell="B137" zoomScaleNormal="100" workbookViewId="0">
      <selection activeCell="B154" sqref="B154"/>
    </sheetView>
  </sheetViews>
  <sheetFormatPr defaultRowHeight="15" x14ac:dyDescent="0.25"/>
  <cols>
    <col min="1" max="1" width="80" bestFit="1" customWidth="1"/>
    <col min="2" max="2" width="76.140625" bestFit="1" customWidth="1"/>
    <col min="4" max="4" width="50.7109375" style="171" bestFit="1" customWidth="1"/>
    <col min="6" max="6" width="38.140625" bestFit="1" customWidth="1"/>
    <col min="8" max="8" width="42.140625" bestFit="1" customWidth="1"/>
  </cols>
  <sheetData>
    <row r="1" spans="1:168" x14ac:dyDescent="0.25">
      <c r="A1" t="s">
        <v>518</v>
      </c>
      <c r="B1" t="s">
        <v>521</v>
      </c>
      <c r="D1" s="173" t="s">
        <v>892</v>
      </c>
      <c r="F1" s="81" t="s">
        <v>899</v>
      </c>
      <c r="H1" s="81" t="s">
        <v>809</v>
      </c>
      <c r="J1" t="s">
        <v>660</v>
      </c>
    </row>
    <row r="2" spans="1:168" x14ac:dyDescent="0.25">
      <c r="A2" s="81" t="s">
        <v>485</v>
      </c>
      <c r="B2" s="81" t="s">
        <v>492</v>
      </c>
      <c r="D2" s="174" t="s">
        <v>486</v>
      </c>
      <c r="F2" t="s">
        <v>811</v>
      </c>
      <c r="G2" s="112"/>
      <c r="H2" t="s">
        <v>808</v>
      </c>
      <c r="J2" t="s">
        <v>661</v>
      </c>
    </row>
    <row r="3" spans="1:168" x14ac:dyDescent="0.25">
      <c r="A3" s="83"/>
      <c r="B3" s="111"/>
      <c r="C3" s="83"/>
      <c r="D3" s="174" t="s">
        <v>15</v>
      </c>
      <c r="E3" s="83"/>
      <c r="F3" t="s">
        <v>812</v>
      </c>
      <c r="G3" s="82"/>
      <c r="H3" t="s">
        <v>44</v>
      </c>
      <c r="I3" s="83"/>
      <c r="J3" s="83" t="s">
        <v>662</v>
      </c>
      <c r="K3" s="83"/>
      <c r="L3" s="83"/>
      <c r="M3" s="83"/>
      <c r="N3" s="83"/>
      <c r="O3" s="83"/>
      <c r="P3" s="82"/>
      <c r="Q3" s="82"/>
      <c r="R3" s="91"/>
      <c r="S3" s="82"/>
      <c r="T3" s="82"/>
      <c r="U3" s="82"/>
      <c r="V3" s="82"/>
      <c r="W3" s="82"/>
      <c r="X3" s="82"/>
      <c r="Y3" s="82"/>
      <c r="Z3" s="83"/>
      <c r="AA3" s="83"/>
      <c r="AB3" s="83"/>
      <c r="AC3" s="83"/>
      <c r="AD3" s="83"/>
      <c r="AE3" s="83"/>
      <c r="AF3" s="83"/>
      <c r="AG3" s="83"/>
      <c r="AH3" s="83"/>
      <c r="AI3" s="82"/>
      <c r="AJ3" s="82"/>
      <c r="AK3" s="82"/>
      <c r="AL3" s="82"/>
      <c r="AM3" s="82"/>
      <c r="AN3" s="82"/>
      <c r="AO3" s="82"/>
      <c r="AP3" s="82"/>
      <c r="AQ3" s="82"/>
      <c r="AR3" s="82"/>
      <c r="AS3" s="82"/>
      <c r="AT3" s="82"/>
      <c r="AU3" s="82"/>
      <c r="AV3" s="82"/>
      <c r="AW3" s="82"/>
      <c r="AX3" s="82"/>
      <c r="AY3" s="82"/>
      <c r="AZ3" s="82"/>
      <c r="BA3" s="82"/>
      <c r="BB3" s="82"/>
      <c r="BC3" s="82"/>
      <c r="BD3" s="82"/>
      <c r="BE3" s="82"/>
      <c r="BF3" s="82"/>
      <c r="BG3" s="82"/>
      <c r="BH3" s="82"/>
      <c r="BI3" s="82"/>
      <c r="BJ3" s="82"/>
      <c r="BK3" s="82"/>
      <c r="BL3" s="82"/>
      <c r="BM3" s="82"/>
      <c r="BN3" s="83"/>
      <c r="BO3" s="83"/>
      <c r="BP3" s="83"/>
      <c r="BQ3" s="83"/>
      <c r="BR3" s="83"/>
      <c r="BS3" s="83"/>
      <c r="BT3" s="83"/>
      <c r="BU3" s="83"/>
      <c r="BV3" s="83"/>
      <c r="BW3" s="83"/>
      <c r="BX3" s="83"/>
      <c r="BY3" s="83"/>
      <c r="BZ3" s="92"/>
      <c r="CA3" s="83"/>
      <c r="CB3" s="83"/>
      <c r="CC3" s="83"/>
      <c r="CD3" s="83"/>
      <c r="CE3" s="83"/>
      <c r="CF3" s="83"/>
      <c r="CG3" s="91"/>
      <c r="CH3" s="91"/>
      <c r="CI3" s="91"/>
      <c r="CJ3" s="82"/>
      <c r="CK3" s="82"/>
      <c r="CL3" s="82"/>
      <c r="CM3" s="82"/>
      <c r="CN3" s="82"/>
      <c r="CO3" s="82"/>
      <c r="CP3" s="82"/>
      <c r="CQ3" s="82"/>
      <c r="CR3" s="82"/>
      <c r="CS3" s="82"/>
      <c r="CT3" s="82"/>
      <c r="CU3" s="82"/>
      <c r="CV3" s="82"/>
      <c r="CW3" s="82"/>
      <c r="CX3" s="82"/>
      <c r="CY3" s="82"/>
      <c r="CZ3" s="82"/>
      <c r="DA3" s="82"/>
      <c r="DB3" s="82"/>
      <c r="DC3" s="82"/>
      <c r="DD3" s="82"/>
      <c r="DE3" s="82"/>
      <c r="DF3" s="82"/>
      <c r="DG3" s="82"/>
      <c r="DH3" s="91"/>
      <c r="DI3" s="82"/>
      <c r="DJ3" s="82"/>
      <c r="DK3" s="82"/>
      <c r="DL3" s="82"/>
      <c r="DM3" s="82"/>
      <c r="DN3" s="82"/>
      <c r="DO3" s="87"/>
      <c r="DP3" s="87"/>
      <c r="DQ3" s="87"/>
      <c r="DR3" s="82"/>
      <c r="DS3" s="82"/>
      <c r="DT3" s="82"/>
      <c r="DU3" s="82"/>
      <c r="DV3" s="82"/>
      <c r="DW3" s="82"/>
      <c r="DX3" s="82"/>
      <c r="DY3" s="82"/>
      <c r="DZ3" s="82"/>
      <c r="EA3" s="82"/>
      <c r="EB3" s="82"/>
      <c r="EC3" s="82"/>
      <c r="ED3" s="82"/>
      <c r="EE3" s="82"/>
      <c r="EF3" s="82"/>
      <c r="EG3" s="82"/>
      <c r="EH3" s="82"/>
      <c r="FK3" s="3"/>
      <c r="FL3" s="3"/>
    </row>
    <row r="4" spans="1:168" ht="30" x14ac:dyDescent="0.25">
      <c r="A4" t="s">
        <v>486</v>
      </c>
      <c r="B4" s="111" t="s">
        <v>522</v>
      </c>
      <c r="C4" s="82"/>
      <c r="D4" s="175" t="s">
        <v>487</v>
      </c>
      <c r="E4" s="92"/>
      <c r="F4" t="s">
        <v>813</v>
      </c>
      <c r="G4" s="82"/>
      <c r="H4" t="s">
        <v>43</v>
      </c>
      <c r="I4" s="82"/>
      <c r="J4" s="82" t="s">
        <v>663</v>
      </c>
      <c r="K4" s="91"/>
      <c r="L4" s="82"/>
      <c r="M4" s="82"/>
      <c r="N4" s="87"/>
      <c r="O4" s="82"/>
    </row>
    <row r="5" spans="1:168" x14ac:dyDescent="0.25">
      <c r="A5" t="s">
        <v>487</v>
      </c>
      <c r="B5" s="111" t="s">
        <v>523</v>
      </c>
      <c r="D5" s="175" t="s">
        <v>559</v>
      </c>
      <c r="F5" t="s">
        <v>814</v>
      </c>
      <c r="H5" t="s">
        <v>210</v>
      </c>
      <c r="J5" t="s">
        <v>664</v>
      </c>
    </row>
    <row r="6" spans="1:168" x14ac:dyDescent="0.25">
      <c r="A6" t="s">
        <v>488</v>
      </c>
      <c r="B6" s="111"/>
      <c r="D6" s="176" t="s">
        <v>561</v>
      </c>
      <c r="F6" t="s">
        <v>815</v>
      </c>
      <c r="H6" t="s">
        <v>3</v>
      </c>
      <c r="J6" t="s">
        <v>43</v>
      </c>
    </row>
    <row r="7" spans="1:168" x14ac:dyDescent="0.25">
      <c r="A7" t="s">
        <v>500</v>
      </c>
      <c r="B7" s="111" t="s">
        <v>524</v>
      </c>
      <c r="D7" s="176" t="s">
        <v>659</v>
      </c>
      <c r="F7" t="s">
        <v>816</v>
      </c>
      <c r="H7" t="s">
        <v>809</v>
      </c>
      <c r="J7" t="s">
        <v>216</v>
      </c>
    </row>
    <row r="8" spans="1:168" x14ac:dyDescent="0.25">
      <c r="A8" t="s">
        <v>512</v>
      </c>
      <c r="D8" s="174" t="s">
        <v>488</v>
      </c>
      <c r="F8" t="s">
        <v>819</v>
      </c>
      <c r="H8" t="s">
        <v>810</v>
      </c>
      <c r="J8" t="s">
        <v>665</v>
      </c>
    </row>
    <row r="9" spans="1:168" x14ac:dyDescent="0.25">
      <c r="A9" t="s">
        <v>490</v>
      </c>
      <c r="B9" s="81" t="s">
        <v>205</v>
      </c>
      <c r="D9" s="175" t="s">
        <v>560</v>
      </c>
      <c r="F9" t="s">
        <v>820</v>
      </c>
      <c r="H9" t="s">
        <v>705</v>
      </c>
      <c r="J9" t="s">
        <v>908</v>
      </c>
    </row>
    <row r="10" spans="1:168" x14ac:dyDescent="0.25">
      <c r="B10" s="111"/>
      <c r="D10" s="177" t="s">
        <v>562</v>
      </c>
      <c r="F10" t="s">
        <v>821</v>
      </c>
      <c r="H10" t="s">
        <v>817</v>
      </c>
      <c r="J10" t="s">
        <v>909</v>
      </c>
    </row>
    <row r="11" spans="1:168" x14ac:dyDescent="0.25">
      <c r="A11" t="s">
        <v>489</v>
      </c>
      <c r="B11" s="111" t="s">
        <v>525</v>
      </c>
      <c r="D11" s="175" t="s">
        <v>543</v>
      </c>
      <c r="F11" t="s">
        <v>822</v>
      </c>
      <c r="H11" t="s">
        <v>818</v>
      </c>
      <c r="J11" t="s">
        <v>668</v>
      </c>
    </row>
    <row r="12" spans="1:168" x14ac:dyDescent="0.25">
      <c r="A12" t="s">
        <v>501</v>
      </c>
      <c r="B12" s="111" t="s">
        <v>526</v>
      </c>
      <c r="D12" s="175" t="s">
        <v>645</v>
      </c>
      <c r="F12" t="s">
        <v>823</v>
      </c>
      <c r="H12" t="s">
        <v>831</v>
      </c>
      <c r="J12" t="s">
        <v>669</v>
      </c>
    </row>
    <row r="13" spans="1:168" x14ac:dyDescent="0.25">
      <c r="A13" t="s">
        <v>502</v>
      </c>
      <c r="B13" s="111" t="s">
        <v>527</v>
      </c>
      <c r="D13" s="174" t="s">
        <v>641</v>
      </c>
      <c r="F13" t="s">
        <v>824</v>
      </c>
      <c r="H13" t="s">
        <v>832</v>
      </c>
      <c r="J13" t="s">
        <v>670</v>
      </c>
    </row>
    <row r="14" spans="1:168" x14ac:dyDescent="0.25">
      <c r="A14" t="s">
        <v>503</v>
      </c>
      <c r="B14" s="111" t="s">
        <v>528</v>
      </c>
      <c r="D14" s="175" t="s">
        <v>493</v>
      </c>
      <c r="F14" t="s">
        <v>825</v>
      </c>
      <c r="H14" t="s">
        <v>860</v>
      </c>
      <c r="J14" t="s">
        <v>671</v>
      </c>
    </row>
    <row r="15" spans="1:168" x14ac:dyDescent="0.25">
      <c r="B15" s="111" t="s">
        <v>529</v>
      </c>
      <c r="D15" s="175" t="s">
        <v>563</v>
      </c>
      <c r="F15" t="s">
        <v>826</v>
      </c>
      <c r="H15" t="s">
        <v>237</v>
      </c>
      <c r="J15" t="s">
        <v>672</v>
      </c>
    </row>
    <row r="16" spans="1:168" x14ac:dyDescent="0.25">
      <c r="A16" s="81" t="s">
        <v>492</v>
      </c>
      <c r="B16" s="111" t="s">
        <v>530</v>
      </c>
      <c r="D16" s="174" t="s">
        <v>564</v>
      </c>
      <c r="F16" t="s">
        <v>827</v>
      </c>
      <c r="H16" t="s">
        <v>867</v>
      </c>
      <c r="J16" t="s">
        <v>673</v>
      </c>
    </row>
    <row r="17" spans="1:10" x14ac:dyDescent="0.25">
      <c r="A17" t="s">
        <v>519</v>
      </c>
      <c r="D17" s="174" t="s">
        <v>547</v>
      </c>
      <c r="F17" t="s">
        <v>828</v>
      </c>
      <c r="H17" t="s">
        <v>254</v>
      </c>
      <c r="J17" t="s">
        <v>674</v>
      </c>
    </row>
    <row r="18" spans="1:10" x14ac:dyDescent="0.25">
      <c r="D18" s="174"/>
      <c r="F18" t="s">
        <v>907</v>
      </c>
      <c r="J18" t="s">
        <v>675</v>
      </c>
    </row>
    <row r="19" spans="1:10" x14ac:dyDescent="0.25">
      <c r="A19" t="s">
        <v>493</v>
      </c>
      <c r="B19" s="81" t="s">
        <v>495</v>
      </c>
      <c r="D19" s="178" t="s">
        <v>10</v>
      </c>
      <c r="F19" t="s">
        <v>829</v>
      </c>
      <c r="H19" t="s">
        <v>886</v>
      </c>
      <c r="J19" t="s">
        <v>676</v>
      </c>
    </row>
    <row r="20" spans="1:10" x14ac:dyDescent="0.25">
      <c r="A20" t="s">
        <v>547</v>
      </c>
      <c r="B20" s="111"/>
      <c r="D20" s="178" t="s">
        <v>11</v>
      </c>
      <c r="F20" t="s">
        <v>830</v>
      </c>
      <c r="H20" t="s">
        <v>887</v>
      </c>
      <c r="J20" t="s">
        <v>677</v>
      </c>
    </row>
    <row r="21" spans="1:10" x14ac:dyDescent="0.25">
      <c r="A21" t="s">
        <v>494</v>
      </c>
      <c r="B21" s="111" t="s">
        <v>531</v>
      </c>
      <c r="D21" s="178" t="s">
        <v>12</v>
      </c>
      <c r="F21" t="s">
        <v>833</v>
      </c>
      <c r="H21" t="s">
        <v>888</v>
      </c>
      <c r="J21" t="s">
        <v>13</v>
      </c>
    </row>
    <row r="22" spans="1:10" x14ac:dyDescent="0.25">
      <c r="A22" t="s">
        <v>504</v>
      </c>
      <c r="B22" s="111" t="s">
        <v>532</v>
      </c>
      <c r="D22" s="179" t="s">
        <v>13</v>
      </c>
      <c r="F22" t="s">
        <v>834</v>
      </c>
      <c r="H22" t="s">
        <v>889</v>
      </c>
      <c r="J22" t="s">
        <v>678</v>
      </c>
    </row>
    <row r="23" spans="1:10" x14ac:dyDescent="0.25">
      <c r="A23" t="s">
        <v>513</v>
      </c>
      <c r="B23" s="111" t="s">
        <v>533</v>
      </c>
      <c r="D23" s="178" t="s">
        <v>17</v>
      </c>
      <c r="F23" t="s">
        <v>835</v>
      </c>
      <c r="H23" t="s">
        <v>890</v>
      </c>
      <c r="J23" t="s">
        <v>679</v>
      </c>
    </row>
    <row r="24" spans="1:10" x14ac:dyDescent="0.25">
      <c r="A24" t="s">
        <v>514</v>
      </c>
      <c r="B24" s="111" t="s">
        <v>534</v>
      </c>
      <c r="D24" s="178" t="s">
        <v>648</v>
      </c>
      <c r="F24" t="s">
        <v>836</v>
      </c>
      <c r="H24" t="s">
        <v>891</v>
      </c>
      <c r="J24" t="s">
        <v>680</v>
      </c>
    </row>
    <row r="25" spans="1:10" x14ac:dyDescent="0.25">
      <c r="A25" t="s">
        <v>505</v>
      </c>
      <c r="B25" s="111" t="s">
        <v>535</v>
      </c>
      <c r="D25" s="175" t="s">
        <v>548</v>
      </c>
      <c r="F25" t="s">
        <v>837</v>
      </c>
      <c r="H25" t="s">
        <v>660</v>
      </c>
      <c r="J25" t="s">
        <v>681</v>
      </c>
    </row>
    <row r="26" spans="1:10" x14ac:dyDescent="0.25">
      <c r="A26" t="s">
        <v>506</v>
      </c>
      <c r="B26" s="111" t="s">
        <v>536</v>
      </c>
      <c r="D26" s="175" t="s">
        <v>571</v>
      </c>
      <c r="F26" t="s">
        <v>838</v>
      </c>
      <c r="H26" t="s">
        <v>661</v>
      </c>
      <c r="J26" t="s">
        <v>910</v>
      </c>
    </row>
    <row r="27" spans="1:10" x14ac:dyDescent="0.25">
      <c r="A27" t="s">
        <v>507</v>
      </c>
      <c r="D27" s="174" t="s">
        <v>572</v>
      </c>
      <c r="F27" t="s">
        <v>839</v>
      </c>
      <c r="H27" t="s">
        <v>662</v>
      </c>
      <c r="J27" t="s">
        <v>684</v>
      </c>
    </row>
    <row r="28" spans="1:10" x14ac:dyDescent="0.25">
      <c r="A28" t="s">
        <v>508</v>
      </c>
      <c r="B28" s="81" t="s">
        <v>499</v>
      </c>
      <c r="D28" s="175" t="s">
        <v>504</v>
      </c>
      <c r="F28" t="s">
        <v>840</v>
      </c>
      <c r="H28" t="s">
        <v>663</v>
      </c>
      <c r="J28" t="s">
        <v>685</v>
      </c>
    </row>
    <row r="29" spans="1:10" x14ac:dyDescent="0.25">
      <c r="A29" t="s">
        <v>509</v>
      </c>
      <c r="B29" s="111"/>
      <c r="D29" s="175" t="s">
        <v>573</v>
      </c>
      <c r="F29" t="s">
        <v>841</v>
      </c>
      <c r="H29" t="s">
        <v>664</v>
      </c>
      <c r="J29" t="s">
        <v>686</v>
      </c>
    </row>
    <row r="30" spans="1:10" x14ac:dyDescent="0.25">
      <c r="B30" s="113" t="s">
        <v>540</v>
      </c>
      <c r="D30" s="174" t="s">
        <v>574</v>
      </c>
      <c r="F30" t="s">
        <v>842</v>
      </c>
      <c r="H30" t="s">
        <v>43</v>
      </c>
      <c r="J30" t="s">
        <v>687</v>
      </c>
    </row>
    <row r="31" spans="1:10" ht="30" x14ac:dyDescent="0.25">
      <c r="A31" s="81" t="s">
        <v>495</v>
      </c>
      <c r="D31" s="175" t="s">
        <v>519</v>
      </c>
      <c r="F31" t="s">
        <v>843</v>
      </c>
      <c r="H31" t="s">
        <v>216</v>
      </c>
      <c r="J31" t="s">
        <v>688</v>
      </c>
    </row>
    <row r="32" spans="1:10" x14ac:dyDescent="0.25">
      <c r="A32" t="s">
        <v>520</v>
      </c>
      <c r="B32" s="81" t="s">
        <v>537</v>
      </c>
      <c r="D32" s="175" t="s">
        <v>575</v>
      </c>
      <c r="F32" t="s">
        <v>844</v>
      </c>
      <c r="H32" t="s">
        <v>665</v>
      </c>
      <c r="J32" t="s">
        <v>911</v>
      </c>
    </row>
    <row r="33" spans="1:10" x14ac:dyDescent="0.25">
      <c r="A33" t="s">
        <v>510</v>
      </c>
      <c r="B33" s="111"/>
      <c r="D33" s="174" t="s">
        <v>576</v>
      </c>
      <c r="F33" t="s">
        <v>845</v>
      </c>
      <c r="H33" t="s">
        <v>666</v>
      </c>
      <c r="J33" t="s">
        <v>912</v>
      </c>
    </row>
    <row r="34" spans="1:10" x14ac:dyDescent="0.25">
      <c r="B34" s="111" t="s">
        <v>538</v>
      </c>
      <c r="D34" s="175" t="s">
        <v>520</v>
      </c>
      <c r="F34" t="s">
        <v>846</v>
      </c>
      <c r="H34" t="s">
        <v>667</v>
      </c>
      <c r="J34" t="s">
        <v>913</v>
      </c>
    </row>
    <row r="35" spans="1:10" x14ac:dyDescent="0.25">
      <c r="A35" s="81" t="s">
        <v>205</v>
      </c>
      <c r="B35" s="111" t="s">
        <v>539</v>
      </c>
      <c r="D35" s="175" t="s">
        <v>565</v>
      </c>
      <c r="F35" t="s">
        <v>847</v>
      </c>
      <c r="H35" t="s">
        <v>668</v>
      </c>
      <c r="J35" t="s">
        <v>914</v>
      </c>
    </row>
    <row r="36" spans="1:10" x14ac:dyDescent="0.25">
      <c r="A36" t="s">
        <v>511</v>
      </c>
      <c r="D36" s="174" t="s">
        <v>566</v>
      </c>
      <c r="F36" t="s">
        <v>848</v>
      </c>
      <c r="H36" t="s">
        <v>669</v>
      </c>
      <c r="J36" t="s">
        <v>915</v>
      </c>
    </row>
    <row r="37" spans="1:10" x14ac:dyDescent="0.25">
      <c r="D37" s="175" t="s">
        <v>904</v>
      </c>
      <c r="F37" t="s">
        <v>849</v>
      </c>
      <c r="H37" t="s">
        <v>670</v>
      </c>
      <c r="J37" t="s">
        <v>916</v>
      </c>
    </row>
    <row r="38" spans="1:10" x14ac:dyDescent="0.25">
      <c r="D38" s="175" t="s">
        <v>905</v>
      </c>
      <c r="J38" t="s">
        <v>917</v>
      </c>
    </row>
    <row r="39" spans="1:10" x14ac:dyDescent="0.25">
      <c r="A39" s="81" t="s">
        <v>496</v>
      </c>
      <c r="D39" s="175" t="s">
        <v>567</v>
      </c>
      <c r="F39" t="s">
        <v>850</v>
      </c>
      <c r="H39" t="s">
        <v>671</v>
      </c>
      <c r="J39" t="s">
        <v>918</v>
      </c>
    </row>
    <row r="40" spans="1:10" x14ac:dyDescent="0.25">
      <c r="A40" t="s">
        <v>515</v>
      </c>
      <c r="D40" s="174" t="s">
        <v>568</v>
      </c>
      <c r="F40" t="s">
        <v>851</v>
      </c>
      <c r="H40" t="s">
        <v>672</v>
      </c>
      <c r="J40" t="s">
        <v>705</v>
      </c>
    </row>
    <row r="41" spans="1:10" x14ac:dyDescent="0.25">
      <c r="D41" s="175" t="s">
        <v>511</v>
      </c>
      <c r="F41" t="s">
        <v>852</v>
      </c>
      <c r="H41" t="s">
        <v>673</v>
      </c>
      <c r="J41" t="s">
        <v>706</v>
      </c>
    </row>
    <row r="42" spans="1:10" x14ac:dyDescent="0.25">
      <c r="A42" s="81" t="s">
        <v>497</v>
      </c>
      <c r="D42" s="175" t="s">
        <v>569</v>
      </c>
      <c r="F42" t="s">
        <v>853</v>
      </c>
      <c r="H42" t="s">
        <v>674</v>
      </c>
      <c r="J42" t="s">
        <v>919</v>
      </c>
    </row>
    <row r="43" spans="1:10" x14ac:dyDescent="0.25">
      <c r="A43" t="s">
        <v>516</v>
      </c>
      <c r="D43" s="174" t="s">
        <v>570</v>
      </c>
      <c r="F43" t="s">
        <v>854</v>
      </c>
      <c r="H43" t="s">
        <v>675</v>
      </c>
      <c r="J43" t="s">
        <v>709</v>
      </c>
    </row>
    <row r="44" spans="1:10" x14ac:dyDescent="0.25">
      <c r="D44" s="175" t="s">
        <v>513</v>
      </c>
      <c r="F44" t="s">
        <v>855</v>
      </c>
      <c r="H44" t="s">
        <v>676</v>
      </c>
      <c r="J44" t="s">
        <v>710</v>
      </c>
    </row>
    <row r="45" spans="1:10" x14ac:dyDescent="0.25">
      <c r="A45" s="81" t="s">
        <v>498</v>
      </c>
      <c r="D45" s="175" t="s">
        <v>577</v>
      </c>
      <c r="F45" t="s">
        <v>856</v>
      </c>
      <c r="H45" t="s">
        <v>677</v>
      </c>
      <c r="J45" t="s">
        <v>711</v>
      </c>
    </row>
    <row r="46" spans="1:10" x14ac:dyDescent="0.25">
      <c r="A46" t="s">
        <v>517</v>
      </c>
      <c r="D46" s="174" t="s">
        <v>578</v>
      </c>
      <c r="F46" t="s">
        <v>857</v>
      </c>
      <c r="H46" t="s">
        <v>678</v>
      </c>
      <c r="J46" t="s">
        <v>712</v>
      </c>
    </row>
    <row r="47" spans="1:10" x14ac:dyDescent="0.25">
      <c r="A47" t="s">
        <v>491</v>
      </c>
      <c r="D47" s="175" t="s">
        <v>514</v>
      </c>
      <c r="F47" t="s">
        <v>858</v>
      </c>
      <c r="H47" t="s">
        <v>679</v>
      </c>
      <c r="J47" t="s">
        <v>920</v>
      </c>
    </row>
    <row r="48" spans="1:10" x14ac:dyDescent="0.25">
      <c r="D48" s="175" t="s">
        <v>579</v>
      </c>
      <c r="F48" t="s">
        <v>859</v>
      </c>
      <c r="H48" t="s">
        <v>680</v>
      </c>
      <c r="J48" t="s">
        <v>921</v>
      </c>
    </row>
    <row r="49" spans="4:10" x14ac:dyDescent="0.25">
      <c r="D49" s="174" t="s">
        <v>580</v>
      </c>
      <c r="F49" t="s">
        <v>861</v>
      </c>
      <c r="H49" t="s">
        <v>681</v>
      </c>
      <c r="J49" t="s">
        <v>922</v>
      </c>
    </row>
    <row r="50" spans="4:10" x14ac:dyDescent="0.25">
      <c r="D50" s="175" t="s">
        <v>515</v>
      </c>
      <c r="F50" t="s">
        <v>862</v>
      </c>
      <c r="H50" t="s">
        <v>682</v>
      </c>
      <c r="J50" t="s">
        <v>719</v>
      </c>
    </row>
    <row r="51" spans="4:10" x14ac:dyDescent="0.25">
      <c r="D51" s="175" t="s">
        <v>581</v>
      </c>
      <c r="F51" t="s">
        <v>863</v>
      </c>
      <c r="H51" t="s">
        <v>683</v>
      </c>
      <c r="J51" t="s">
        <v>923</v>
      </c>
    </row>
    <row r="52" spans="4:10" x14ac:dyDescent="0.25">
      <c r="D52" s="174" t="s">
        <v>582</v>
      </c>
      <c r="F52" t="s">
        <v>864</v>
      </c>
      <c r="H52" t="s">
        <v>684</v>
      </c>
      <c r="J52" t="s">
        <v>721</v>
      </c>
    </row>
    <row r="53" spans="4:10" x14ac:dyDescent="0.25">
      <c r="D53" s="175" t="s">
        <v>516</v>
      </c>
      <c r="F53" t="s">
        <v>865</v>
      </c>
      <c r="H53" t="s">
        <v>685</v>
      </c>
      <c r="J53" t="s">
        <v>722</v>
      </c>
    </row>
    <row r="54" spans="4:10" x14ac:dyDescent="0.25">
      <c r="D54" s="175" t="s">
        <v>583</v>
      </c>
      <c r="F54" t="s">
        <v>866</v>
      </c>
      <c r="H54" t="s">
        <v>686</v>
      </c>
      <c r="J54" t="s">
        <v>723</v>
      </c>
    </row>
    <row r="55" spans="4:10" x14ac:dyDescent="0.25">
      <c r="D55" s="174" t="s">
        <v>584</v>
      </c>
      <c r="F55" t="s">
        <v>868</v>
      </c>
      <c r="H55" t="s">
        <v>687</v>
      </c>
      <c r="J55" t="s">
        <v>924</v>
      </c>
    </row>
    <row r="56" spans="4:10" ht="30" x14ac:dyDescent="0.25">
      <c r="D56" s="175" t="s">
        <v>588</v>
      </c>
      <c r="F56" t="s">
        <v>869</v>
      </c>
      <c r="H56" t="s">
        <v>901</v>
      </c>
      <c r="J56" t="s">
        <v>726</v>
      </c>
    </row>
    <row r="57" spans="4:10" x14ac:dyDescent="0.25">
      <c r="D57" s="175" t="s">
        <v>589</v>
      </c>
      <c r="F57" t="s">
        <v>870</v>
      </c>
      <c r="H57" t="s">
        <v>902</v>
      </c>
      <c r="J57" t="s">
        <v>727</v>
      </c>
    </row>
    <row r="58" spans="4:10" ht="30" x14ac:dyDescent="0.25">
      <c r="D58" s="174" t="s">
        <v>585</v>
      </c>
      <c r="F58" t="s">
        <v>871</v>
      </c>
      <c r="H58" t="s">
        <v>903</v>
      </c>
      <c r="J58" t="s">
        <v>728</v>
      </c>
    </row>
    <row r="59" spans="4:10" x14ac:dyDescent="0.25">
      <c r="D59" s="175" t="s">
        <v>590</v>
      </c>
      <c r="F59" t="s">
        <v>872</v>
      </c>
      <c r="H59" t="s">
        <v>707</v>
      </c>
      <c r="J59" t="s">
        <v>925</v>
      </c>
    </row>
    <row r="60" spans="4:10" x14ac:dyDescent="0.25">
      <c r="D60" s="175" t="s">
        <v>586</v>
      </c>
      <c r="F60" t="s">
        <v>873</v>
      </c>
      <c r="H60" t="s">
        <v>708</v>
      </c>
      <c r="J60" t="s">
        <v>926</v>
      </c>
    </row>
    <row r="61" spans="4:10" x14ac:dyDescent="0.25">
      <c r="D61" s="174" t="s">
        <v>587</v>
      </c>
      <c r="F61" t="s">
        <v>874</v>
      </c>
      <c r="H61" t="s">
        <v>710</v>
      </c>
      <c r="J61" t="s">
        <v>733</v>
      </c>
    </row>
    <row r="62" spans="4:10" x14ac:dyDescent="0.25">
      <c r="D62" s="175" t="s">
        <v>591</v>
      </c>
      <c r="F62" t="s">
        <v>875</v>
      </c>
      <c r="H62" t="s">
        <v>711</v>
      </c>
      <c r="J62" t="s">
        <v>927</v>
      </c>
    </row>
    <row r="63" spans="4:10" x14ac:dyDescent="0.25">
      <c r="D63" s="175" t="s">
        <v>592</v>
      </c>
      <c r="F63" t="s">
        <v>876</v>
      </c>
      <c r="H63" t="s">
        <v>712</v>
      </c>
      <c r="J63" t="s">
        <v>736</v>
      </c>
    </row>
    <row r="64" spans="4:10" x14ac:dyDescent="0.25">
      <c r="D64" s="174" t="s">
        <v>593</v>
      </c>
      <c r="F64" t="s">
        <v>877</v>
      </c>
      <c r="H64" t="s">
        <v>710</v>
      </c>
      <c r="J64" t="s">
        <v>928</v>
      </c>
    </row>
    <row r="65" spans="4:10" ht="30" x14ac:dyDescent="0.25">
      <c r="D65" s="175" t="s">
        <v>506</v>
      </c>
      <c r="F65" t="s">
        <v>878</v>
      </c>
      <c r="H65" t="s">
        <v>713</v>
      </c>
      <c r="J65" t="s">
        <v>929</v>
      </c>
    </row>
    <row r="66" spans="4:10" x14ac:dyDescent="0.25">
      <c r="D66" s="175" t="s">
        <v>906</v>
      </c>
      <c r="J66" t="s">
        <v>224</v>
      </c>
    </row>
    <row r="67" spans="4:10" x14ac:dyDescent="0.25">
      <c r="D67" s="175" t="s">
        <v>594</v>
      </c>
      <c r="F67" t="s">
        <v>879</v>
      </c>
      <c r="H67" t="s">
        <v>714</v>
      </c>
      <c r="J67" t="s">
        <v>742</v>
      </c>
    </row>
    <row r="68" spans="4:10" x14ac:dyDescent="0.25">
      <c r="D68" s="174" t="s">
        <v>595</v>
      </c>
      <c r="F68" t="s">
        <v>880</v>
      </c>
      <c r="H68" t="s">
        <v>715</v>
      </c>
      <c r="J68" t="s">
        <v>743</v>
      </c>
    </row>
    <row r="69" spans="4:10" x14ac:dyDescent="0.25">
      <c r="D69" s="175" t="s">
        <v>507</v>
      </c>
      <c r="F69" t="s">
        <v>881</v>
      </c>
      <c r="H69" t="s">
        <v>716</v>
      </c>
      <c r="J69" t="s">
        <v>744</v>
      </c>
    </row>
    <row r="70" spans="4:10" x14ac:dyDescent="0.25">
      <c r="D70" s="175" t="s">
        <v>597</v>
      </c>
      <c r="F70" t="s">
        <v>884</v>
      </c>
      <c r="H70" t="s">
        <v>733</v>
      </c>
      <c r="J70" t="s">
        <v>745</v>
      </c>
    </row>
    <row r="71" spans="4:10" ht="30" x14ac:dyDescent="0.25">
      <c r="D71" s="174" t="s">
        <v>596</v>
      </c>
      <c r="F71" t="s">
        <v>885</v>
      </c>
      <c r="H71" t="s">
        <v>734</v>
      </c>
      <c r="J71" t="s">
        <v>930</v>
      </c>
    </row>
    <row r="72" spans="4:10" x14ac:dyDescent="0.25">
      <c r="D72" s="175" t="s">
        <v>508</v>
      </c>
      <c r="F72" t="s">
        <v>766</v>
      </c>
      <c r="H72" t="s">
        <v>735</v>
      </c>
      <c r="J72" t="s">
        <v>748</v>
      </c>
    </row>
    <row r="73" spans="4:10" x14ac:dyDescent="0.25">
      <c r="D73" s="175" t="s">
        <v>598</v>
      </c>
      <c r="F73" t="s">
        <v>767</v>
      </c>
      <c r="H73" t="s">
        <v>736</v>
      </c>
      <c r="J73" t="s">
        <v>931</v>
      </c>
    </row>
    <row r="74" spans="4:10" x14ac:dyDescent="0.25">
      <c r="D74" s="174" t="s">
        <v>644</v>
      </c>
      <c r="F74" t="s">
        <v>782</v>
      </c>
      <c r="H74" t="s">
        <v>743</v>
      </c>
      <c r="J74" t="s">
        <v>932</v>
      </c>
    </row>
    <row r="75" spans="4:10" x14ac:dyDescent="0.25">
      <c r="D75" s="175" t="s">
        <v>489</v>
      </c>
      <c r="F75" t="s">
        <v>783</v>
      </c>
      <c r="H75" t="s">
        <v>744</v>
      </c>
      <c r="J75" t="s">
        <v>933</v>
      </c>
    </row>
    <row r="76" spans="4:10" x14ac:dyDescent="0.25">
      <c r="D76" s="175" t="s">
        <v>435</v>
      </c>
      <c r="F76" t="s">
        <v>784</v>
      </c>
      <c r="H76" t="s">
        <v>745</v>
      </c>
      <c r="J76" t="s">
        <v>934</v>
      </c>
    </row>
    <row r="77" spans="4:10" x14ac:dyDescent="0.25">
      <c r="D77" s="174" t="s">
        <v>599</v>
      </c>
      <c r="F77" t="s">
        <v>785</v>
      </c>
      <c r="H77" t="s">
        <v>746</v>
      </c>
      <c r="J77" t="s">
        <v>757</v>
      </c>
    </row>
    <row r="78" spans="4:10" x14ac:dyDescent="0.25">
      <c r="D78" s="175" t="s">
        <v>657</v>
      </c>
      <c r="F78" t="s">
        <v>786</v>
      </c>
      <c r="H78" t="s">
        <v>747</v>
      </c>
      <c r="J78" t="s">
        <v>935</v>
      </c>
    </row>
    <row r="79" spans="4:10" x14ac:dyDescent="0.25">
      <c r="D79" s="175" t="s">
        <v>600</v>
      </c>
      <c r="F79" t="s">
        <v>787</v>
      </c>
      <c r="H79" t="s">
        <v>748</v>
      </c>
      <c r="J79" t="s">
        <v>936</v>
      </c>
    </row>
    <row r="80" spans="4:10" x14ac:dyDescent="0.25">
      <c r="D80" s="174" t="s">
        <v>601</v>
      </c>
      <c r="F80" t="s">
        <v>793</v>
      </c>
      <c r="H80" t="s">
        <v>768</v>
      </c>
      <c r="J80" t="s">
        <v>937</v>
      </c>
    </row>
    <row r="81" spans="4:10" x14ac:dyDescent="0.25">
      <c r="D81" s="175" t="s">
        <v>501</v>
      </c>
      <c r="F81" t="s">
        <v>794</v>
      </c>
      <c r="H81" t="s">
        <v>769</v>
      </c>
      <c r="J81" t="s">
        <v>938</v>
      </c>
    </row>
    <row r="82" spans="4:10" x14ac:dyDescent="0.25">
      <c r="D82" s="175" t="s">
        <v>602</v>
      </c>
      <c r="F82" t="s">
        <v>795</v>
      </c>
      <c r="H82" t="s">
        <v>770</v>
      </c>
      <c r="J82" t="s">
        <v>939</v>
      </c>
    </row>
    <row r="83" spans="4:10" x14ac:dyDescent="0.25">
      <c r="D83" s="174" t="s">
        <v>603</v>
      </c>
      <c r="F83" t="s">
        <v>796</v>
      </c>
      <c r="H83" t="s">
        <v>771</v>
      </c>
      <c r="J83" t="s">
        <v>768</v>
      </c>
    </row>
    <row r="84" spans="4:10" x14ac:dyDescent="0.25">
      <c r="D84" s="175" t="s">
        <v>545</v>
      </c>
      <c r="F84" t="s">
        <v>798</v>
      </c>
      <c r="H84" t="s">
        <v>772</v>
      </c>
      <c r="J84" t="s">
        <v>769</v>
      </c>
    </row>
    <row r="85" spans="4:10" x14ac:dyDescent="0.25">
      <c r="D85" s="175" t="s">
        <v>604</v>
      </c>
      <c r="F85" t="s">
        <v>799</v>
      </c>
      <c r="H85" t="s">
        <v>800</v>
      </c>
      <c r="J85" t="s">
        <v>770</v>
      </c>
    </row>
    <row r="86" spans="4:10" x14ac:dyDescent="0.25">
      <c r="D86" s="174" t="s">
        <v>605</v>
      </c>
      <c r="H86" t="s">
        <v>801</v>
      </c>
      <c r="J86" t="s">
        <v>771</v>
      </c>
    </row>
    <row r="87" spans="4:10" x14ac:dyDescent="0.25">
      <c r="D87" s="175" t="s">
        <v>503</v>
      </c>
      <c r="H87" t="s">
        <v>802</v>
      </c>
      <c r="J87" t="s">
        <v>772</v>
      </c>
    </row>
    <row r="88" spans="4:10" x14ac:dyDescent="0.25">
      <c r="D88" s="175" t="s">
        <v>606</v>
      </c>
      <c r="H88" t="s">
        <v>803</v>
      </c>
      <c r="J88" t="s">
        <v>940</v>
      </c>
    </row>
    <row r="89" spans="4:10" x14ac:dyDescent="0.25">
      <c r="D89" s="174" t="s">
        <v>607</v>
      </c>
      <c r="H89" t="s">
        <v>804</v>
      </c>
      <c r="J89" t="s">
        <v>941</v>
      </c>
    </row>
    <row r="90" spans="4:10" x14ac:dyDescent="0.25">
      <c r="D90" s="175" t="s">
        <v>555</v>
      </c>
      <c r="H90" t="s">
        <v>805</v>
      </c>
      <c r="J90" t="s">
        <v>942</v>
      </c>
    </row>
    <row r="91" spans="4:10" x14ac:dyDescent="0.25">
      <c r="D91" s="175" t="s">
        <v>608</v>
      </c>
      <c r="H91" t="s">
        <v>806</v>
      </c>
      <c r="J91" t="s">
        <v>943</v>
      </c>
    </row>
    <row r="92" spans="4:10" x14ac:dyDescent="0.25">
      <c r="D92" s="174" t="s">
        <v>609</v>
      </c>
      <c r="H92" t="s">
        <v>807</v>
      </c>
      <c r="J92" t="s">
        <v>782</v>
      </c>
    </row>
    <row r="93" spans="4:10" x14ac:dyDescent="0.25">
      <c r="D93" s="175" t="s">
        <v>556</v>
      </c>
      <c r="J93" t="s">
        <v>944</v>
      </c>
    </row>
    <row r="94" spans="4:10" x14ac:dyDescent="0.25">
      <c r="D94" s="175" t="s">
        <v>610</v>
      </c>
      <c r="J94" t="s">
        <v>945</v>
      </c>
    </row>
    <row r="95" spans="4:10" x14ac:dyDescent="0.25">
      <c r="D95" s="174" t="s">
        <v>611</v>
      </c>
      <c r="J95" t="s">
        <v>946</v>
      </c>
    </row>
    <row r="96" spans="4:10" x14ac:dyDescent="0.25">
      <c r="D96" s="175" t="s">
        <v>523</v>
      </c>
      <c r="J96" t="s">
        <v>947</v>
      </c>
    </row>
    <row r="97" spans="4:10" x14ac:dyDescent="0.25">
      <c r="D97" s="175" t="s">
        <v>613</v>
      </c>
      <c r="J97" t="s">
        <v>793</v>
      </c>
    </row>
    <row r="98" spans="4:10" x14ac:dyDescent="0.25">
      <c r="D98" s="174" t="s">
        <v>612</v>
      </c>
      <c r="J98" t="s">
        <v>794</v>
      </c>
    </row>
    <row r="99" spans="4:10" x14ac:dyDescent="0.25">
      <c r="D99" s="175" t="s">
        <v>525</v>
      </c>
      <c r="J99" t="s">
        <v>948</v>
      </c>
    </row>
    <row r="100" spans="4:10" x14ac:dyDescent="0.25">
      <c r="D100" s="175" t="s">
        <v>448</v>
      </c>
      <c r="J100" t="s">
        <v>949</v>
      </c>
    </row>
    <row r="101" spans="4:10" x14ac:dyDescent="0.25">
      <c r="D101" s="174" t="s">
        <v>614</v>
      </c>
      <c r="J101" t="s">
        <v>797</v>
      </c>
    </row>
    <row r="102" spans="4:10" x14ac:dyDescent="0.25">
      <c r="D102" s="175" t="s">
        <v>531</v>
      </c>
      <c r="J102" t="s">
        <v>950</v>
      </c>
    </row>
    <row r="103" spans="4:10" x14ac:dyDescent="0.25">
      <c r="D103" s="175" t="s">
        <v>615</v>
      </c>
      <c r="J103" t="s">
        <v>800</v>
      </c>
    </row>
    <row r="104" spans="4:10" x14ac:dyDescent="0.25">
      <c r="D104" s="174" t="s">
        <v>616</v>
      </c>
      <c r="J104" t="s">
        <v>951</v>
      </c>
    </row>
    <row r="105" spans="4:10" x14ac:dyDescent="0.25">
      <c r="D105" s="175" t="s">
        <v>526</v>
      </c>
      <c r="J105" t="s">
        <v>952</v>
      </c>
    </row>
    <row r="106" spans="4:10" x14ac:dyDescent="0.25">
      <c r="D106" s="175" t="s">
        <v>617</v>
      </c>
      <c r="J106" t="s">
        <v>803</v>
      </c>
    </row>
    <row r="107" spans="4:10" x14ac:dyDescent="0.25">
      <c r="D107" s="174" t="s">
        <v>618</v>
      </c>
      <c r="J107" t="s">
        <v>804</v>
      </c>
    </row>
    <row r="108" spans="4:10" x14ac:dyDescent="0.25">
      <c r="D108" s="175" t="s">
        <v>532</v>
      </c>
      <c r="J108" t="s">
        <v>805</v>
      </c>
    </row>
    <row r="109" spans="4:10" x14ac:dyDescent="0.25">
      <c r="D109" s="175" t="s">
        <v>619</v>
      </c>
      <c r="J109" t="s">
        <v>806</v>
      </c>
    </row>
    <row r="110" spans="4:10" x14ac:dyDescent="0.25">
      <c r="D110" s="174" t="s">
        <v>620</v>
      </c>
      <c r="J110" t="s">
        <v>807</v>
      </c>
    </row>
    <row r="111" spans="4:10" x14ac:dyDescent="0.25">
      <c r="D111" s="175" t="s">
        <v>527</v>
      </c>
    </row>
    <row r="112" spans="4:10" x14ac:dyDescent="0.25">
      <c r="D112" s="175" t="s">
        <v>621</v>
      </c>
    </row>
    <row r="113" spans="4:4" x14ac:dyDescent="0.25">
      <c r="D113" s="174" t="s">
        <v>622</v>
      </c>
    </row>
    <row r="114" spans="4:4" x14ac:dyDescent="0.25">
      <c r="D114" s="175" t="s">
        <v>203</v>
      </c>
    </row>
    <row r="115" spans="4:4" x14ac:dyDescent="0.25">
      <c r="D115" s="175" t="s">
        <v>646</v>
      </c>
    </row>
    <row r="116" spans="4:4" x14ac:dyDescent="0.25">
      <c r="D116" s="174" t="s">
        <v>647</v>
      </c>
    </row>
    <row r="117" spans="4:4" x14ac:dyDescent="0.25">
      <c r="D117" s="175" t="s">
        <v>528</v>
      </c>
    </row>
    <row r="118" spans="4:4" x14ac:dyDescent="0.25">
      <c r="D118" s="175" t="s">
        <v>623</v>
      </c>
    </row>
    <row r="119" spans="4:4" ht="30" x14ac:dyDescent="0.25">
      <c r="D119" s="174" t="s">
        <v>624</v>
      </c>
    </row>
    <row r="120" spans="4:4" x14ac:dyDescent="0.25">
      <c r="D120" s="175" t="s">
        <v>651</v>
      </c>
    </row>
    <row r="121" spans="4:4" x14ac:dyDescent="0.25">
      <c r="D121" s="175" t="s">
        <v>468</v>
      </c>
    </row>
    <row r="122" spans="4:4" x14ac:dyDescent="0.25">
      <c r="D122" s="174" t="s">
        <v>652</v>
      </c>
    </row>
    <row r="123" spans="4:4" x14ac:dyDescent="0.25">
      <c r="D123" s="175" t="s">
        <v>533</v>
      </c>
    </row>
    <row r="124" spans="4:4" x14ac:dyDescent="0.25">
      <c r="D124" s="175" t="s">
        <v>627</v>
      </c>
    </row>
    <row r="125" spans="4:4" x14ac:dyDescent="0.25">
      <c r="D125" s="174" t="s">
        <v>628</v>
      </c>
    </row>
    <row r="126" spans="4:4" x14ac:dyDescent="0.25">
      <c r="D126" s="175" t="s">
        <v>534</v>
      </c>
    </row>
    <row r="127" spans="4:4" x14ac:dyDescent="0.25">
      <c r="D127" s="175" t="s">
        <v>629</v>
      </c>
    </row>
    <row r="128" spans="4:4" x14ac:dyDescent="0.25">
      <c r="D128" s="174" t="s">
        <v>630</v>
      </c>
    </row>
    <row r="129" spans="4:4" x14ac:dyDescent="0.25">
      <c r="D129" s="175" t="s">
        <v>535</v>
      </c>
    </row>
    <row r="130" spans="4:4" x14ac:dyDescent="0.25">
      <c r="D130" s="175" t="s">
        <v>631</v>
      </c>
    </row>
    <row r="131" spans="4:4" x14ac:dyDescent="0.25">
      <c r="D131" s="174" t="s">
        <v>632</v>
      </c>
    </row>
    <row r="132" spans="4:4" x14ac:dyDescent="0.25">
      <c r="D132" s="175" t="s">
        <v>653</v>
      </c>
    </row>
    <row r="133" spans="4:4" x14ac:dyDescent="0.25">
      <c r="D133" s="175" t="s">
        <v>625</v>
      </c>
    </row>
    <row r="134" spans="4:4" x14ac:dyDescent="0.25">
      <c r="D134" s="174" t="s">
        <v>626</v>
      </c>
    </row>
    <row r="135" spans="4:4" ht="30" x14ac:dyDescent="0.25">
      <c r="D135" s="174" t="s">
        <v>658</v>
      </c>
    </row>
    <row r="136" spans="4:4" x14ac:dyDescent="0.25">
      <c r="D136" s="175" t="s">
        <v>540</v>
      </c>
    </row>
    <row r="137" spans="4:4" x14ac:dyDescent="0.25">
      <c r="D137" s="175" t="s">
        <v>633</v>
      </c>
    </row>
    <row r="138" spans="4:4" x14ac:dyDescent="0.25">
      <c r="D138" s="174" t="s">
        <v>634</v>
      </c>
    </row>
    <row r="139" spans="4:4" x14ac:dyDescent="0.25">
      <c r="D139" s="175" t="s">
        <v>536</v>
      </c>
    </row>
    <row r="140" spans="4:4" x14ac:dyDescent="0.25">
      <c r="D140" s="175" t="s">
        <v>635</v>
      </c>
    </row>
    <row r="141" spans="4:4" x14ac:dyDescent="0.25">
      <c r="D141" s="174" t="s">
        <v>636</v>
      </c>
    </row>
    <row r="142" spans="4:4" x14ac:dyDescent="0.25">
      <c r="D142" s="175" t="s">
        <v>530</v>
      </c>
    </row>
    <row r="143" spans="4:4" x14ac:dyDescent="0.25">
      <c r="D143" s="175" t="s">
        <v>638</v>
      </c>
    </row>
    <row r="144" spans="4:4" x14ac:dyDescent="0.25">
      <c r="D144" s="174" t="s">
        <v>637</v>
      </c>
    </row>
    <row r="145" spans="4:4" x14ac:dyDescent="0.25">
      <c r="D145" s="175" t="s">
        <v>538</v>
      </c>
    </row>
    <row r="146" spans="4:4" x14ac:dyDescent="0.25">
      <c r="D146" s="175" t="s">
        <v>639</v>
      </c>
    </row>
    <row r="147" spans="4:4" x14ac:dyDescent="0.25">
      <c r="D147" s="174" t="s">
        <v>640</v>
      </c>
    </row>
    <row r="148" spans="4:4" x14ac:dyDescent="0.25">
      <c r="D148" s="175" t="s">
        <v>642</v>
      </c>
    </row>
    <row r="149" spans="4:4" x14ac:dyDescent="0.25">
      <c r="D149" s="175" t="s">
        <v>643</v>
      </c>
    </row>
    <row r="150" spans="4:4" x14ac:dyDescent="0.25">
      <c r="D150" s="175" t="s">
        <v>654</v>
      </c>
    </row>
    <row r="151" spans="4:4" x14ac:dyDescent="0.25">
      <c r="D151" s="172"/>
    </row>
  </sheetData>
  <dataValidations count="4">
    <dataValidation type="date" allowBlank="1" showInputMessage="1" showErrorMessage="1" sqref="M3 J3 S3" xr:uid="{1823DE7A-1D5F-44CC-B44F-42358A5C1211}">
      <formula1>1</formula1>
      <formula2>64284</formula2>
    </dataValidation>
    <dataValidation type="list" allowBlank="1" showInputMessage="1" showErrorMessage="1" sqref="BK3" xr:uid="{327189D8-2F07-485A-9696-4FE288D5EA6B}">
      <formula1>"C. Design, C. In progress, Intergration, Customer Acceptance, FNE"</formula1>
    </dataValidation>
    <dataValidation type="textLength" allowBlank="1" showInputMessage="1" showErrorMessage="1" sqref="D135" xr:uid="{56759FA9-8AB8-4E0F-9485-EA26E1C314B4}">
      <formula1>1</formula1>
      <formula2>100</formula2>
    </dataValidation>
    <dataValidation type="textLength" allowBlank="1" showInputMessage="1" showErrorMessage="1" sqref="D2:D134 D136:D151" xr:uid="{08AB4AD1-7348-4178-BCE9-5F655F1B92A5}">
      <formula1>1</formula1>
      <formula2>70</formula2>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54D1A-B668-4668-B82A-37DE61B0D70D}">
  <dimension ref="A1:G157"/>
  <sheetViews>
    <sheetView workbookViewId="0">
      <selection activeCell="G157" sqref="G157"/>
    </sheetView>
  </sheetViews>
  <sheetFormatPr defaultRowHeight="15" x14ac:dyDescent="0.25"/>
  <cols>
    <col min="1" max="1" width="18.7109375" style="113" bestFit="1" customWidth="1"/>
    <col min="3" max="3" width="15.140625" bestFit="1" customWidth="1"/>
    <col min="5" max="5" width="36.85546875" bestFit="1" customWidth="1"/>
  </cols>
  <sheetData>
    <row r="1" spans="1:7" s="81" customFormat="1" x14ac:dyDescent="0.25">
      <c r="A1" s="180" t="s">
        <v>893</v>
      </c>
      <c r="C1" s="81" t="s">
        <v>894</v>
      </c>
      <c r="E1" s="81" t="s">
        <v>900</v>
      </c>
      <c r="G1" s="81" t="s">
        <v>900</v>
      </c>
    </row>
    <row r="2" spans="1:7" ht="45" x14ac:dyDescent="0.25">
      <c r="A2" s="168" t="s">
        <v>660</v>
      </c>
      <c r="C2" s="174" t="s">
        <v>486</v>
      </c>
      <c r="E2" s="181" t="str" cm="1">
        <f t="array" ref="E2:E156">_xlfn._xlws.FILTER(A2:A157,COUNTIF(C2:C147,A2:A157)=0,"")</f>
        <v>Field</v>
      </c>
      <c r="G2" t="s">
        <v>660</v>
      </c>
    </row>
    <row r="3" spans="1:7" x14ac:dyDescent="0.25">
      <c r="A3" s="168" t="s">
        <v>661</v>
      </c>
      <c r="C3" s="174" t="s">
        <v>15</v>
      </c>
      <c r="E3" s="181" t="str">
        <v>Project ID</v>
      </c>
      <c r="G3" t="s">
        <v>661</v>
      </c>
    </row>
    <row r="4" spans="1:7" ht="60" x14ac:dyDescent="0.25">
      <c r="A4" s="168" t="s">
        <v>662</v>
      </c>
      <c r="C4" s="175" t="s">
        <v>487</v>
      </c>
      <c r="E4" s="181" t="str">
        <v>Job ID</v>
      </c>
      <c r="G4" t="s">
        <v>662</v>
      </c>
    </row>
    <row r="5" spans="1:7" ht="45" x14ac:dyDescent="0.25">
      <c r="A5" s="168" t="s">
        <v>663</v>
      </c>
      <c r="C5" s="175" t="s">
        <v>559</v>
      </c>
      <c r="E5" s="181" t="str">
        <v>Opportunity ID</v>
      </c>
      <c r="G5" t="s">
        <v>663</v>
      </c>
    </row>
    <row r="6" spans="1:7" ht="60" x14ac:dyDescent="0.25">
      <c r="A6" s="168" t="s">
        <v>664</v>
      </c>
      <c r="C6" s="176" t="s">
        <v>561</v>
      </c>
      <c r="E6" s="181" t="str">
        <v>SBA Site Code</v>
      </c>
      <c r="G6" t="s">
        <v>664</v>
      </c>
    </row>
    <row r="7" spans="1:7" x14ac:dyDescent="0.25">
      <c r="A7" s="168" t="s">
        <v>43</v>
      </c>
      <c r="C7" s="176" t="s">
        <v>659</v>
      </c>
      <c r="E7" s="181" t="str">
        <v>Site Name</v>
      </c>
      <c r="G7" t="s">
        <v>43</v>
      </c>
    </row>
    <row r="8" spans="1:7" ht="45" x14ac:dyDescent="0.25">
      <c r="A8" s="168" t="s">
        <v>216</v>
      </c>
      <c r="C8" s="174" t="s">
        <v>488</v>
      </c>
      <c r="E8" s="181" t="str">
        <v>Solution</v>
      </c>
      <c r="G8" t="s">
        <v>216</v>
      </c>
    </row>
    <row r="9" spans="1:7" ht="45" x14ac:dyDescent="0.25">
      <c r="A9" s="168" t="s">
        <v>665</v>
      </c>
      <c r="C9" s="175" t="s">
        <v>560</v>
      </c>
      <c r="E9" s="181" t="str">
        <v>Customer Name</v>
      </c>
      <c r="G9" t="s">
        <v>665</v>
      </c>
    </row>
    <row r="10" spans="1:7" ht="60" x14ac:dyDescent="0.25">
      <c r="A10" s="168" t="s">
        <v>666</v>
      </c>
      <c r="C10" s="177" t="s">
        <v>562</v>
      </c>
      <c r="E10" s="181" t="str">
        <v xml:space="preserve">Customer Point of Contact </v>
      </c>
      <c r="G10" t="s">
        <v>666</v>
      </c>
    </row>
    <row r="11" spans="1:7" ht="45" x14ac:dyDescent="0.25">
      <c r="A11" s="168" t="s">
        <v>667</v>
      </c>
      <c r="C11" s="175" t="s">
        <v>543</v>
      </c>
      <c r="E11" s="181" t="str">
        <v xml:space="preserve">Customer Escalation </v>
      </c>
      <c r="G11" t="s">
        <v>667</v>
      </c>
    </row>
    <row r="12" spans="1:7" ht="45" x14ac:dyDescent="0.25">
      <c r="A12" s="168" t="s">
        <v>668</v>
      </c>
      <c r="C12" s="175" t="s">
        <v>645</v>
      </c>
      <c r="E12" s="181" t="str">
        <v>Carrier Name(s)</v>
      </c>
      <c r="G12" t="s">
        <v>668</v>
      </c>
    </row>
    <row r="13" spans="1:7" ht="60" x14ac:dyDescent="0.25">
      <c r="A13" s="168" t="s">
        <v>669</v>
      </c>
      <c r="C13" s="174" t="s">
        <v>641</v>
      </c>
      <c r="E13" s="181" t="str">
        <v>Carrier Point(s) of Contact</v>
      </c>
      <c r="G13" t="s">
        <v>669</v>
      </c>
    </row>
    <row r="14" spans="1:7" ht="60" x14ac:dyDescent="0.25">
      <c r="A14" s="168" t="s">
        <v>670</v>
      </c>
      <c r="C14" s="175" t="s">
        <v>493</v>
      </c>
      <c r="E14" s="181" t="str">
        <v>On Hold or Dead</v>
      </c>
      <c r="G14" t="s">
        <v>670</v>
      </c>
    </row>
    <row r="15" spans="1:7" ht="30" x14ac:dyDescent="0.25">
      <c r="A15" s="168" t="s">
        <v>671</v>
      </c>
      <c r="C15" s="175" t="s">
        <v>563</v>
      </c>
      <c r="E15" s="181" t="str">
        <v>On Hold or Dead Reason</v>
      </c>
      <c r="G15" t="s">
        <v>671</v>
      </c>
    </row>
    <row r="16" spans="1:7" ht="45" x14ac:dyDescent="0.25">
      <c r="A16" s="168" t="s">
        <v>672</v>
      </c>
      <c r="C16" s="174" t="s">
        <v>564</v>
      </c>
      <c r="E16" s="181" t="str">
        <v>Stage</v>
      </c>
      <c r="G16" t="s">
        <v>672</v>
      </c>
    </row>
    <row r="17" spans="1:7" ht="30" x14ac:dyDescent="0.25">
      <c r="A17" s="168" t="s">
        <v>673</v>
      </c>
      <c r="C17" s="174" t="s">
        <v>547</v>
      </c>
      <c r="E17" s="181" t="str">
        <v>SBA Sales Lead</v>
      </c>
      <c r="G17" t="s">
        <v>673</v>
      </c>
    </row>
    <row r="18" spans="1:7" x14ac:dyDescent="0.25">
      <c r="A18" s="168" t="s">
        <v>674</v>
      </c>
      <c r="C18" s="178" t="s">
        <v>10</v>
      </c>
      <c r="E18" s="181" t="str">
        <v>SBA Proj Contr Mgr</v>
      </c>
      <c r="G18" t="s">
        <v>674</v>
      </c>
    </row>
    <row r="19" spans="1:7" x14ac:dyDescent="0.25">
      <c r="A19" s="168" t="s">
        <v>675</v>
      </c>
      <c r="C19" s="178" t="s">
        <v>11</v>
      </c>
      <c r="E19" s="181" t="str">
        <v>SBA Proj Coord</v>
      </c>
      <c r="G19" t="s">
        <v>675</v>
      </c>
    </row>
    <row r="20" spans="1:7" x14ac:dyDescent="0.25">
      <c r="A20" s="168" t="s">
        <v>676</v>
      </c>
      <c r="C20" s="178" t="s">
        <v>12</v>
      </c>
      <c r="E20" s="181" t="str">
        <v>SBA Design Lead</v>
      </c>
      <c r="G20" t="s">
        <v>676</v>
      </c>
    </row>
    <row r="21" spans="1:7" ht="30" x14ac:dyDescent="0.25">
      <c r="A21" s="168" t="s">
        <v>677</v>
      </c>
      <c r="C21" s="179" t="s">
        <v>13</v>
      </c>
      <c r="E21" s="181" t="str">
        <v>SBA Integration Lead</v>
      </c>
      <c r="G21" t="s">
        <v>677</v>
      </c>
    </row>
    <row r="22" spans="1:7" x14ac:dyDescent="0.25">
      <c r="A22" s="168" t="s">
        <v>13</v>
      </c>
      <c r="C22" s="178" t="s">
        <v>17</v>
      </c>
      <c r="E22" s="181" t="str">
        <v># of Units</v>
      </c>
      <c r="G22" t="s">
        <v>678</v>
      </c>
    </row>
    <row r="23" spans="1:7" x14ac:dyDescent="0.25">
      <c r="A23" s="168" t="s">
        <v>678</v>
      </c>
      <c r="C23" s="178" t="s">
        <v>648</v>
      </c>
      <c r="E23" s="181" t="str">
        <v>Landlord Point of Contact</v>
      </c>
      <c r="G23" t="s">
        <v>679</v>
      </c>
    </row>
    <row r="24" spans="1:7" ht="60" x14ac:dyDescent="0.25">
      <c r="A24" s="168" t="s">
        <v>679</v>
      </c>
      <c r="C24" s="175" t="s">
        <v>548</v>
      </c>
      <c r="E24" s="181" t="str">
        <v>Property Address</v>
      </c>
      <c r="G24" t="s">
        <v>680</v>
      </c>
    </row>
    <row r="25" spans="1:7" ht="30" x14ac:dyDescent="0.25">
      <c r="A25" s="168" t="s">
        <v>680</v>
      </c>
      <c r="C25" s="175" t="s">
        <v>571</v>
      </c>
      <c r="E25" s="181" t="str">
        <v>Customer Requirements</v>
      </c>
      <c r="G25" t="s">
        <v>681</v>
      </c>
    </row>
    <row r="26" spans="1:7" ht="45" x14ac:dyDescent="0.25">
      <c r="A26" s="168" t="s">
        <v>681</v>
      </c>
      <c r="C26" s="174" t="s">
        <v>572</v>
      </c>
      <c r="E26" s="181" t="str">
        <v>Estimated Floor Plans</v>
      </c>
      <c r="G26" t="s">
        <v>682</v>
      </c>
    </row>
    <row r="27" spans="1:7" ht="45" x14ac:dyDescent="0.25">
      <c r="A27" s="168" t="s">
        <v>682</v>
      </c>
      <c r="C27" s="175" t="s">
        <v>504</v>
      </c>
      <c r="E27" s="181" t="str">
        <v>Actual Floor Plans</v>
      </c>
      <c r="G27" t="s">
        <v>683</v>
      </c>
    </row>
    <row r="28" spans="1:7" ht="45" x14ac:dyDescent="0.25">
      <c r="A28" s="168" t="s">
        <v>683</v>
      </c>
      <c r="C28" s="175" t="s">
        <v>573</v>
      </c>
      <c r="E28" s="181" t="str">
        <v>Floor Plans</v>
      </c>
      <c r="G28" t="s">
        <v>684</v>
      </c>
    </row>
    <row r="29" spans="1:7" ht="60" x14ac:dyDescent="0.25">
      <c r="A29" s="169" t="s">
        <v>684</v>
      </c>
      <c r="C29" s="174" t="s">
        <v>574</v>
      </c>
      <c r="E29" s="181" t="str">
        <v>Contract Status</v>
      </c>
      <c r="G29" t="s">
        <v>685</v>
      </c>
    </row>
    <row r="30" spans="1:7" ht="120" x14ac:dyDescent="0.25">
      <c r="A30" s="169" t="s">
        <v>685</v>
      </c>
      <c r="C30" s="175" t="s">
        <v>519</v>
      </c>
      <c r="E30" s="181" t="str">
        <v>Contract Signed</v>
      </c>
      <c r="G30" t="s">
        <v>686</v>
      </c>
    </row>
    <row r="31" spans="1:7" ht="45" x14ac:dyDescent="0.25">
      <c r="A31" s="168" t="s">
        <v>686</v>
      </c>
      <c r="C31" s="175" t="s">
        <v>575</v>
      </c>
      <c r="E31" s="181" t="str">
        <v>Contract</v>
      </c>
      <c r="G31" t="s">
        <v>687</v>
      </c>
    </row>
    <row r="32" spans="1:7" ht="60" x14ac:dyDescent="0.25">
      <c r="A32" s="169" t="s">
        <v>687</v>
      </c>
      <c r="C32" s="174" t="s">
        <v>576</v>
      </c>
      <c r="E32" t="str">
        <v>Project Kickoff Date</v>
      </c>
      <c r="G32" t="s">
        <v>688</v>
      </c>
    </row>
    <row r="33" spans="1:7" ht="45" x14ac:dyDescent="0.25">
      <c r="A33" s="169" t="s">
        <v>688</v>
      </c>
      <c r="C33" s="175" t="s">
        <v>520</v>
      </c>
      <c r="E33" t="str">
        <v>Estimated RTP Submit</v>
      </c>
      <c r="G33" t="s">
        <v>689</v>
      </c>
    </row>
    <row r="34" spans="1:7" ht="30" x14ac:dyDescent="0.25">
      <c r="A34" s="168" t="s">
        <v>689</v>
      </c>
      <c r="C34" s="175" t="s">
        <v>565</v>
      </c>
      <c r="E34" t="str">
        <v>Actual RTP Submit</v>
      </c>
      <c r="G34" t="s">
        <v>690</v>
      </c>
    </row>
    <row r="35" spans="1:7" ht="45" x14ac:dyDescent="0.25">
      <c r="A35" s="168" t="s">
        <v>690</v>
      </c>
      <c r="C35" s="174" t="s">
        <v>566</v>
      </c>
      <c r="E35" s="183" t="str">
        <v>Estimated Title</v>
      </c>
      <c r="G35" t="s">
        <v>691</v>
      </c>
    </row>
    <row r="36" spans="1:7" ht="30" x14ac:dyDescent="0.25">
      <c r="A36" s="168" t="s">
        <v>691</v>
      </c>
      <c r="C36" s="175" t="s">
        <v>510</v>
      </c>
      <c r="E36" s="183" t="str">
        <v>Actual Title</v>
      </c>
      <c r="G36" t="s">
        <v>692</v>
      </c>
    </row>
    <row r="37" spans="1:7" ht="30" x14ac:dyDescent="0.25">
      <c r="A37" s="168" t="s">
        <v>692</v>
      </c>
      <c r="C37" s="175" t="s">
        <v>567</v>
      </c>
      <c r="E37" s="183" t="str">
        <v>Estimated Zoning</v>
      </c>
      <c r="G37" t="s">
        <v>693</v>
      </c>
    </row>
    <row r="38" spans="1:7" ht="45" x14ac:dyDescent="0.25">
      <c r="A38" s="168" t="s">
        <v>693</v>
      </c>
      <c r="C38" s="174" t="s">
        <v>568</v>
      </c>
      <c r="E38" s="183" t="str">
        <v>Actual Zoning</v>
      </c>
      <c r="G38" t="s">
        <v>694</v>
      </c>
    </row>
    <row r="39" spans="1:7" ht="30" x14ac:dyDescent="0.25">
      <c r="A39" s="168" t="s">
        <v>694</v>
      </c>
      <c r="C39" s="175" t="s">
        <v>511</v>
      </c>
      <c r="E39" s="183" t="str">
        <v>Estimated Environmental</v>
      </c>
      <c r="G39" t="s">
        <v>695</v>
      </c>
    </row>
    <row r="40" spans="1:7" ht="30" x14ac:dyDescent="0.25">
      <c r="A40" s="168" t="s">
        <v>695</v>
      </c>
      <c r="C40" s="175" t="s">
        <v>569</v>
      </c>
      <c r="E40" s="183" t="str">
        <v>Actual Environmental</v>
      </c>
      <c r="G40" t="s">
        <v>696</v>
      </c>
    </row>
    <row r="41" spans="1:7" ht="45" x14ac:dyDescent="0.25">
      <c r="A41" s="168" t="s">
        <v>696</v>
      </c>
      <c r="C41" s="174" t="s">
        <v>570</v>
      </c>
      <c r="E41" s="183" t="str">
        <v>Estimated Leasing</v>
      </c>
      <c r="G41" t="s">
        <v>697</v>
      </c>
    </row>
    <row r="42" spans="1:7" ht="45" x14ac:dyDescent="0.25">
      <c r="A42" s="168" t="s">
        <v>697</v>
      </c>
      <c r="C42" s="175" t="s">
        <v>513</v>
      </c>
      <c r="E42" s="183" t="str">
        <v>Actual Leasing</v>
      </c>
      <c r="G42" t="s">
        <v>698</v>
      </c>
    </row>
    <row r="43" spans="1:7" ht="45" x14ac:dyDescent="0.25">
      <c r="A43" s="168" t="s">
        <v>698</v>
      </c>
      <c r="C43" s="175" t="s">
        <v>577</v>
      </c>
      <c r="E43" s="183" t="str">
        <v>Estimated Licensing</v>
      </c>
      <c r="G43" t="s">
        <v>699</v>
      </c>
    </row>
    <row r="44" spans="1:7" ht="45" x14ac:dyDescent="0.25">
      <c r="A44" s="168" t="s">
        <v>699</v>
      </c>
      <c r="C44" s="174" t="s">
        <v>578</v>
      </c>
      <c r="E44" s="183" t="str">
        <v>Actual Licensing</v>
      </c>
      <c r="G44" t="s">
        <v>700</v>
      </c>
    </row>
    <row r="45" spans="1:7" ht="45" x14ac:dyDescent="0.25">
      <c r="A45" s="168" t="s">
        <v>700</v>
      </c>
      <c r="C45" s="175" t="s">
        <v>514</v>
      </c>
      <c r="E45" s="183" t="str">
        <v>Estimated RTP Approved</v>
      </c>
      <c r="G45" t="s">
        <v>701</v>
      </c>
    </row>
    <row r="46" spans="1:7" ht="45" x14ac:dyDescent="0.25">
      <c r="A46" s="168" t="s">
        <v>701</v>
      </c>
      <c r="C46" s="175" t="s">
        <v>579</v>
      </c>
      <c r="E46" s="183" t="str">
        <v>Actual RTP Approved</v>
      </c>
      <c r="G46" t="s">
        <v>702</v>
      </c>
    </row>
    <row r="47" spans="1:7" ht="45" x14ac:dyDescent="0.25">
      <c r="A47" s="168" t="s">
        <v>702</v>
      </c>
      <c r="C47" s="174" t="s">
        <v>580</v>
      </c>
      <c r="E47" s="183" t="str">
        <v xml:space="preserve">Estimated Design Walk </v>
      </c>
      <c r="G47" t="s">
        <v>703</v>
      </c>
    </row>
    <row r="48" spans="1:7" ht="45" x14ac:dyDescent="0.25">
      <c r="A48" s="168" t="s">
        <v>703</v>
      </c>
      <c r="C48" s="175" t="s">
        <v>515</v>
      </c>
      <c r="E48" s="183" t="str">
        <v>Actual Design Walk</v>
      </c>
      <c r="G48" t="s">
        <v>704</v>
      </c>
    </row>
    <row r="49" spans="1:7" ht="45" x14ac:dyDescent="0.25">
      <c r="A49" s="168" t="s">
        <v>704</v>
      </c>
      <c r="C49" s="175" t="s">
        <v>581</v>
      </c>
      <c r="E49" s="183" t="str">
        <v>A&amp;E Vendor</v>
      </c>
      <c r="G49" t="s">
        <v>705</v>
      </c>
    </row>
    <row r="50" spans="1:7" ht="45" x14ac:dyDescent="0.25">
      <c r="A50" s="168" t="s">
        <v>705</v>
      </c>
      <c r="C50" s="174" t="s">
        <v>582</v>
      </c>
      <c r="E50" s="183" t="str">
        <v>A&amp;E Point of Contact</v>
      </c>
      <c r="G50" t="s">
        <v>706</v>
      </c>
    </row>
    <row r="51" spans="1:7" ht="45" x14ac:dyDescent="0.25">
      <c r="A51" s="168" t="s">
        <v>706</v>
      </c>
      <c r="C51" s="175" t="s">
        <v>516</v>
      </c>
      <c r="E51" s="182" t="str">
        <v>Estimated CDs</v>
      </c>
      <c r="G51" t="s">
        <v>707</v>
      </c>
    </row>
    <row r="52" spans="1:7" ht="45" x14ac:dyDescent="0.25">
      <c r="A52" s="168" t="s">
        <v>707</v>
      </c>
      <c r="C52" s="175" t="s">
        <v>583</v>
      </c>
      <c r="E52" s="182" t="str">
        <v>Actual CDs</v>
      </c>
      <c r="G52" t="s">
        <v>708</v>
      </c>
    </row>
    <row r="53" spans="1:7" ht="45" x14ac:dyDescent="0.25">
      <c r="A53" s="168" t="s">
        <v>708</v>
      </c>
      <c r="C53" s="174" t="s">
        <v>584</v>
      </c>
      <c r="E53" t="str">
        <v>Original CDs</v>
      </c>
      <c r="G53" t="s">
        <v>709</v>
      </c>
    </row>
    <row r="54" spans="1:7" ht="90" x14ac:dyDescent="0.25">
      <c r="A54" s="169" t="s">
        <v>709</v>
      </c>
      <c r="C54" s="175" t="s">
        <v>588</v>
      </c>
      <c r="E54" s="181" t="str">
        <v>Revised CDs</v>
      </c>
      <c r="G54" t="s">
        <v>710</v>
      </c>
    </row>
    <row r="55" spans="1:7" ht="75" x14ac:dyDescent="0.25">
      <c r="A55" s="169" t="s">
        <v>710</v>
      </c>
      <c r="C55" s="175" t="s">
        <v>589</v>
      </c>
      <c r="E55" s="181" t="str">
        <v>Revision #</v>
      </c>
      <c r="G55" t="s">
        <v>711</v>
      </c>
    </row>
    <row r="56" spans="1:7" ht="75" x14ac:dyDescent="0.25">
      <c r="A56" s="169" t="s">
        <v>711</v>
      </c>
      <c r="C56" s="174" t="s">
        <v>585</v>
      </c>
      <c r="E56" s="181" t="str">
        <v>Revision Date</v>
      </c>
      <c r="G56" t="s">
        <v>712</v>
      </c>
    </row>
    <row r="57" spans="1:7" ht="30" x14ac:dyDescent="0.25">
      <c r="A57" s="169" t="s">
        <v>712</v>
      </c>
      <c r="C57" s="175" t="s">
        <v>590</v>
      </c>
      <c r="E57" s="181" t="str">
        <v>Revised CDs</v>
      </c>
      <c r="G57" t="s">
        <v>710</v>
      </c>
    </row>
    <row r="58" spans="1:7" ht="30" x14ac:dyDescent="0.25">
      <c r="A58" s="169" t="s">
        <v>710</v>
      </c>
      <c r="C58" s="175" t="s">
        <v>586</v>
      </c>
      <c r="E58" s="182" t="str">
        <v>Estimated Customer Approval of CDs</v>
      </c>
      <c r="G58" t="s">
        <v>713</v>
      </c>
    </row>
    <row r="59" spans="1:7" ht="60" x14ac:dyDescent="0.25">
      <c r="A59" s="168" t="s">
        <v>713</v>
      </c>
      <c r="C59" s="174" t="s">
        <v>587</v>
      </c>
      <c r="E59" s="182" t="str">
        <v>Actual Customer Approval of CDs</v>
      </c>
      <c r="G59" t="s">
        <v>714</v>
      </c>
    </row>
    <row r="60" spans="1:7" ht="45" x14ac:dyDescent="0.25">
      <c r="A60" s="168" t="s">
        <v>714</v>
      </c>
      <c r="C60" s="175" t="s">
        <v>591</v>
      </c>
      <c r="E60" s="182" t="str">
        <v>Estimated Unit Schedule</v>
      </c>
      <c r="G60" t="s">
        <v>715</v>
      </c>
    </row>
    <row r="61" spans="1:7" ht="45" x14ac:dyDescent="0.25">
      <c r="A61" s="168" t="s">
        <v>715</v>
      </c>
      <c r="C61" s="175" t="s">
        <v>592</v>
      </c>
      <c r="E61" s="182" t="str">
        <v xml:space="preserve">Actual Unit Schedule </v>
      </c>
      <c r="G61" t="s">
        <v>716</v>
      </c>
    </row>
    <row r="62" spans="1:7" ht="60" x14ac:dyDescent="0.25">
      <c r="A62" s="168" t="s">
        <v>716</v>
      </c>
      <c r="C62" s="174" t="s">
        <v>593</v>
      </c>
      <c r="E62" s="113" t="str">
        <v>Estimated iBwave Design</v>
      </c>
      <c r="G62" t="s">
        <v>717</v>
      </c>
    </row>
    <row r="63" spans="1:7" ht="120" x14ac:dyDescent="0.25">
      <c r="A63" s="168" t="s">
        <v>717</v>
      </c>
      <c r="C63" s="175" t="s">
        <v>506</v>
      </c>
      <c r="E63" s="113" t="str">
        <v>Actual iBwave Design</v>
      </c>
      <c r="G63" t="s">
        <v>718</v>
      </c>
    </row>
    <row r="64" spans="1:7" ht="60" x14ac:dyDescent="0.25">
      <c r="A64" s="168" t="s">
        <v>718</v>
      </c>
      <c r="C64" s="175" t="s">
        <v>594</v>
      </c>
      <c r="E64" s="113" t="str">
        <v>Original iBwave Design</v>
      </c>
      <c r="G64" t="s">
        <v>719</v>
      </c>
    </row>
    <row r="65" spans="1:7" ht="60" x14ac:dyDescent="0.25">
      <c r="A65" s="168" t="s">
        <v>719</v>
      </c>
      <c r="C65" s="174" t="s">
        <v>595</v>
      </c>
      <c r="E65" s="113" t="str">
        <v>iBwave Design Validation Complete</v>
      </c>
      <c r="G65" t="s">
        <v>720</v>
      </c>
    </row>
    <row r="66" spans="1:7" ht="75" x14ac:dyDescent="0.25">
      <c r="A66" s="168" t="s">
        <v>720</v>
      </c>
      <c r="C66" s="175" t="s">
        <v>507</v>
      </c>
      <c r="E66" s="113" t="str">
        <v>Revised iBwave</v>
      </c>
      <c r="G66" t="s">
        <v>721</v>
      </c>
    </row>
    <row r="67" spans="1:7" ht="45" x14ac:dyDescent="0.25">
      <c r="A67" s="168" t="s">
        <v>721</v>
      </c>
      <c r="C67" s="175" t="s">
        <v>597</v>
      </c>
      <c r="E67" s="113" t="str">
        <v>Revision # iBwave Design</v>
      </c>
      <c r="G67" t="s">
        <v>722</v>
      </c>
    </row>
    <row r="68" spans="1:7" ht="75" x14ac:dyDescent="0.25">
      <c r="A68" s="168" t="s">
        <v>722</v>
      </c>
      <c r="C68" s="174" t="s">
        <v>596</v>
      </c>
      <c r="E68" s="113" t="str">
        <v>Revised iBwave Design</v>
      </c>
      <c r="G68" t="s">
        <v>723</v>
      </c>
    </row>
    <row r="69" spans="1:7" ht="75" x14ac:dyDescent="0.25">
      <c r="A69" s="168" t="s">
        <v>723</v>
      </c>
      <c r="C69" s="175" t="s">
        <v>508</v>
      </c>
      <c r="E69" s="183" t="str">
        <v>Estimated BOM</v>
      </c>
      <c r="G69" t="s">
        <v>724</v>
      </c>
    </row>
    <row r="70" spans="1:7" ht="30" x14ac:dyDescent="0.25">
      <c r="A70" s="169" t="s">
        <v>724</v>
      </c>
      <c r="C70" s="175" t="s">
        <v>598</v>
      </c>
      <c r="E70" s="183" t="str">
        <v>Actual BOM</v>
      </c>
      <c r="G70" t="s">
        <v>725</v>
      </c>
    </row>
    <row r="71" spans="1:7" ht="30" x14ac:dyDescent="0.25">
      <c r="A71" s="169" t="s">
        <v>725</v>
      </c>
      <c r="C71" s="174" t="s">
        <v>644</v>
      </c>
      <c r="E71" s="183" t="str">
        <v>BOM</v>
      </c>
      <c r="G71" t="s">
        <v>726</v>
      </c>
    </row>
    <row r="72" spans="1:7" ht="30" x14ac:dyDescent="0.25">
      <c r="A72" s="168" t="s">
        <v>726</v>
      </c>
      <c r="C72" s="175" t="s">
        <v>489</v>
      </c>
      <c r="E72" s="183" t="str">
        <v>Revision # BOM</v>
      </c>
      <c r="G72" t="s">
        <v>727</v>
      </c>
    </row>
    <row r="73" spans="1:7" ht="45" x14ac:dyDescent="0.25">
      <c r="A73" s="168" t="s">
        <v>727</v>
      </c>
      <c r="C73" s="175" t="s">
        <v>435</v>
      </c>
      <c r="E73" s="183" t="str">
        <v>Revised BOM</v>
      </c>
      <c r="G73" t="s">
        <v>728</v>
      </c>
    </row>
    <row r="74" spans="1:7" ht="60" x14ac:dyDescent="0.25">
      <c r="A74" s="168" t="s">
        <v>728</v>
      </c>
      <c r="C74" s="174" t="s">
        <v>599</v>
      </c>
      <c r="E74" s="183" t="str">
        <v>Revised BOM</v>
      </c>
      <c r="G74" t="s">
        <v>728</v>
      </c>
    </row>
    <row r="75" spans="1:7" ht="45" x14ac:dyDescent="0.25">
      <c r="A75" s="168" t="s">
        <v>728</v>
      </c>
      <c r="C75" s="175" t="s">
        <v>657</v>
      </c>
      <c r="E75" s="183" t="str">
        <v>Estimated Design and BOM Review</v>
      </c>
      <c r="G75" t="s">
        <v>729</v>
      </c>
    </row>
    <row r="76" spans="1:7" ht="45" x14ac:dyDescent="0.25">
      <c r="A76" s="168" t="s">
        <v>729</v>
      </c>
      <c r="C76" s="175" t="s">
        <v>600</v>
      </c>
      <c r="E76" s="183" t="str">
        <v>Actual Design and BOM Review</v>
      </c>
      <c r="G76" t="s">
        <v>730</v>
      </c>
    </row>
    <row r="77" spans="1:7" ht="60" x14ac:dyDescent="0.25">
      <c r="A77" s="168" t="s">
        <v>730</v>
      </c>
      <c r="C77" s="174" t="s">
        <v>601</v>
      </c>
      <c r="E77" s="183" t="str">
        <v>Estimated Customer Approval of Design</v>
      </c>
      <c r="G77" t="s">
        <v>731</v>
      </c>
    </row>
    <row r="78" spans="1:7" ht="45" x14ac:dyDescent="0.25">
      <c r="A78" s="168" t="s">
        <v>731</v>
      </c>
      <c r="C78" s="175" t="s">
        <v>501</v>
      </c>
      <c r="E78" s="183" t="str">
        <v>Actual Customer Approval of Design</v>
      </c>
      <c r="G78" t="s">
        <v>732</v>
      </c>
    </row>
    <row r="79" spans="1:7" ht="45" x14ac:dyDescent="0.25">
      <c r="A79" s="168" t="s">
        <v>732</v>
      </c>
      <c r="C79" s="175" t="s">
        <v>602</v>
      </c>
      <c r="E79" s="181" t="str">
        <v>Design Notes</v>
      </c>
      <c r="G79" t="s">
        <v>733</v>
      </c>
    </row>
    <row r="80" spans="1:7" ht="45" x14ac:dyDescent="0.25">
      <c r="A80" s="168" t="s">
        <v>733</v>
      </c>
      <c r="C80" s="174" t="s">
        <v>603</v>
      </c>
      <c r="E80" s="181" t="str">
        <v>Estimated SBA SOW</v>
      </c>
      <c r="G80" t="s">
        <v>734</v>
      </c>
    </row>
    <row r="81" spans="1:7" ht="30" x14ac:dyDescent="0.25">
      <c r="A81" s="168" t="s">
        <v>734</v>
      </c>
      <c r="C81" s="175" t="s">
        <v>545</v>
      </c>
      <c r="E81" s="181" t="str">
        <v>Actual SBA SOW</v>
      </c>
      <c r="G81" t="s">
        <v>735</v>
      </c>
    </row>
    <row r="82" spans="1:7" ht="30" x14ac:dyDescent="0.25">
      <c r="A82" s="168" t="s">
        <v>735</v>
      </c>
      <c r="C82" s="175" t="s">
        <v>604</v>
      </c>
      <c r="E82" s="181" t="str">
        <v>SBA SOW</v>
      </c>
      <c r="G82" t="s">
        <v>736</v>
      </c>
    </row>
    <row r="83" spans="1:7" ht="45" x14ac:dyDescent="0.25">
      <c r="A83" s="168" t="s">
        <v>736</v>
      </c>
      <c r="C83" s="174" t="s">
        <v>605</v>
      </c>
      <c r="E83" t="str">
        <v>Estimated RFP Start</v>
      </c>
      <c r="G83" t="s">
        <v>737</v>
      </c>
    </row>
    <row r="84" spans="1:7" ht="30" x14ac:dyDescent="0.25">
      <c r="A84" s="168" t="s">
        <v>737</v>
      </c>
      <c r="C84" s="175" t="s">
        <v>503</v>
      </c>
      <c r="E84" t="str">
        <v>Actual RFP Complete</v>
      </c>
      <c r="G84" t="s">
        <v>738</v>
      </c>
    </row>
    <row r="85" spans="1:7" ht="45" x14ac:dyDescent="0.25">
      <c r="A85" s="168" t="s">
        <v>738</v>
      </c>
      <c r="C85" s="175" t="s">
        <v>606</v>
      </c>
      <c r="E85" t="str">
        <v>Estimated RFP Complete</v>
      </c>
      <c r="G85" t="s">
        <v>739</v>
      </c>
    </row>
    <row r="86" spans="1:7" ht="60" x14ac:dyDescent="0.25">
      <c r="A86" s="168" t="s">
        <v>739</v>
      </c>
      <c r="C86" s="174" t="s">
        <v>607</v>
      </c>
      <c r="E86" t="str">
        <v>Actual RFP Complete</v>
      </c>
      <c r="G86" t="s">
        <v>738</v>
      </c>
    </row>
    <row r="87" spans="1:7" ht="45" x14ac:dyDescent="0.25">
      <c r="A87" s="168" t="s">
        <v>738</v>
      </c>
      <c r="C87" s="175" t="s">
        <v>555</v>
      </c>
      <c r="E87" t="str">
        <v>Estimated Construction GC Selected</v>
      </c>
      <c r="G87" t="s">
        <v>740</v>
      </c>
    </row>
    <row r="88" spans="1:7" ht="45" x14ac:dyDescent="0.25">
      <c r="A88" s="168" t="s">
        <v>740</v>
      </c>
      <c r="C88" s="175" t="s">
        <v>608</v>
      </c>
      <c r="E88" t="str">
        <v>Actual Construction GC Selected</v>
      </c>
      <c r="G88" t="s">
        <v>741</v>
      </c>
    </row>
    <row r="89" spans="1:7" ht="60" x14ac:dyDescent="0.25">
      <c r="A89" s="168" t="s">
        <v>741</v>
      </c>
      <c r="C89" s="174" t="s">
        <v>609</v>
      </c>
      <c r="E89" t="str">
        <v>GC</v>
      </c>
      <c r="G89" t="s">
        <v>224</v>
      </c>
    </row>
    <row r="90" spans="1:7" ht="45" x14ac:dyDescent="0.25">
      <c r="A90" s="168" t="s">
        <v>224</v>
      </c>
      <c r="C90" s="175" t="s">
        <v>556</v>
      </c>
      <c r="E90" t="str">
        <v>GC Point of Contact</v>
      </c>
      <c r="G90" t="s">
        <v>742</v>
      </c>
    </row>
    <row r="91" spans="1:7" ht="45" x14ac:dyDescent="0.25">
      <c r="A91" s="168" t="s">
        <v>742</v>
      </c>
      <c r="C91" s="175" t="s">
        <v>610</v>
      </c>
      <c r="E91" s="181" t="str">
        <v>GC SOW</v>
      </c>
      <c r="G91" t="s">
        <v>743</v>
      </c>
    </row>
    <row r="92" spans="1:7" ht="60" x14ac:dyDescent="0.25">
      <c r="A92" s="168" t="s">
        <v>743</v>
      </c>
      <c r="C92" s="174" t="s">
        <v>611</v>
      </c>
      <c r="E92" s="181" t="str">
        <v>GC Baseline Quote</v>
      </c>
      <c r="G92" t="s">
        <v>744</v>
      </c>
    </row>
    <row r="93" spans="1:7" ht="60" x14ac:dyDescent="0.25">
      <c r="A93" s="168" t="s">
        <v>744</v>
      </c>
      <c r="C93" s="175" t="s">
        <v>523</v>
      </c>
      <c r="E93" s="181" t="str">
        <v>GC Quote</v>
      </c>
      <c r="G93" t="s">
        <v>745</v>
      </c>
    </row>
    <row r="94" spans="1:7" ht="30" x14ac:dyDescent="0.25">
      <c r="A94" s="168" t="s">
        <v>745</v>
      </c>
      <c r="C94" s="175" t="s">
        <v>613</v>
      </c>
      <c r="E94" s="181" t="str">
        <v>Estimated IRR</v>
      </c>
      <c r="G94" t="s">
        <v>746</v>
      </c>
    </row>
    <row r="95" spans="1:7" ht="45" x14ac:dyDescent="0.25">
      <c r="A95" s="168" t="s">
        <v>746</v>
      </c>
      <c r="C95" s="174" t="s">
        <v>612</v>
      </c>
      <c r="E95" s="181" t="str">
        <v xml:space="preserve">Actual IRR </v>
      </c>
      <c r="G95" t="s">
        <v>747</v>
      </c>
    </row>
    <row r="96" spans="1:7" ht="45" x14ac:dyDescent="0.25">
      <c r="A96" s="168" t="s">
        <v>747</v>
      </c>
      <c r="C96" s="175" t="s">
        <v>525</v>
      </c>
      <c r="E96" s="181" t="str">
        <v>IRR</v>
      </c>
      <c r="G96" t="s">
        <v>748</v>
      </c>
    </row>
    <row r="97" spans="1:7" ht="45" x14ac:dyDescent="0.25">
      <c r="A97" s="168" t="s">
        <v>748</v>
      </c>
      <c r="C97" s="175" t="s">
        <v>448</v>
      </c>
      <c r="E97" s="183" t="str">
        <v>Estimated Design Handoff to Construction</v>
      </c>
      <c r="G97" t="s">
        <v>749</v>
      </c>
    </row>
    <row r="98" spans="1:7" ht="45" x14ac:dyDescent="0.25">
      <c r="A98" s="168" t="s">
        <v>749</v>
      </c>
      <c r="C98" s="174" t="s">
        <v>614</v>
      </c>
      <c r="E98" s="183" t="str">
        <v>Actual Design Handoff to Construction</v>
      </c>
      <c r="G98" t="s">
        <v>750</v>
      </c>
    </row>
    <row r="99" spans="1:7" ht="45" x14ac:dyDescent="0.25">
      <c r="A99" s="168" t="s">
        <v>750</v>
      </c>
      <c r="C99" s="175" t="s">
        <v>531</v>
      </c>
      <c r="E99" s="183" t="str">
        <v>Estimated Construction Kickoff Call</v>
      </c>
      <c r="G99" t="s">
        <v>751</v>
      </c>
    </row>
    <row r="100" spans="1:7" ht="45" x14ac:dyDescent="0.25">
      <c r="A100" s="168" t="s">
        <v>751</v>
      </c>
      <c r="C100" s="175" t="s">
        <v>615</v>
      </c>
      <c r="E100" s="183" t="str">
        <v>Actual Construction Kickoff Call</v>
      </c>
      <c r="G100" t="s">
        <v>752</v>
      </c>
    </row>
    <row r="101" spans="1:7" ht="45" x14ac:dyDescent="0.25">
      <c r="A101" s="168" t="s">
        <v>752</v>
      </c>
      <c r="C101" s="174" t="s">
        <v>616</v>
      </c>
      <c r="E101" s="183" t="str">
        <v xml:space="preserve">Estimated Pre-Construction Walk </v>
      </c>
      <c r="G101" t="s">
        <v>753</v>
      </c>
    </row>
    <row r="102" spans="1:7" ht="60" x14ac:dyDescent="0.25">
      <c r="A102" s="168" t="s">
        <v>753</v>
      </c>
      <c r="C102" s="175" t="s">
        <v>526</v>
      </c>
      <c r="E102" s="183" t="str">
        <v>Actual Pre-Construction Walk</v>
      </c>
      <c r="G102" t="s">
        <v>754</v>
      </c>
    </row>
    <row r="103" spans="1:7" ht="30" x14ac:dyDescent="0.25">
      <c r="A103" s="168" t="s">
        <v>754</v>
      </c>
      <c r="C103" s="175" t="s">
        <v>617</v>
      </c>
      <c r="E103" s="183" t="str">
        <v>Estimated Order Equipment Date</v>
      </c>
      <c r="G103" t="s">
        <v>755</v>
      </c>
    </row>
    <row r="104" spans="1:7" ht="45" x14ac:dyDescent="0.25">
      <c r="A104" s="168" t="s">
        <v>755</v>
      </c>
      <c r="C104" s="174" t="s">
        <v>618</v>
      </c>
      <c r="E104" s="183" t="str">
        <v>Actual Order Equipment Date</v>
      </c>
      <c r="G104" t="s">
        <v>756</v>
      </c>
    </row>
    <row r="105" spans="1:7" ht="30" x14ac:dyDescent="0.25">
      <c r="A105" s="168" t="s">
        <v>756</v>
      </c>
      <c r="C105" s="175" t="s">
        <v>532</v>
      </c>
      <c r="E105" s="183" t="str">
        <v>Equipment Notes</v>
      </c>
      <c r="G105" t="s">
        <v>757</v>
      </c>
    </row>
    <row r="106" spans="1:7" ht="30" x14ac:dyDescent="0.25">
      <c r="A106" s="168" t="s">
        <v>757</v>
      </c>
      <c r="C106" s="175" t="s">
        <v>619</v>
      </c>
      <c r="E106" s="183" t="str">
        <v>Estimated Materials Configuration Start</v>
      </c>
      <c r="G106" t="s">
        <v>758</v>
      </c>
    </row>
    <row r="107" spans="1:7" ht="45" x14ac:dyDescent="0.25">
      <c r="A107" s="168" t="s">
        <v>758</v>
      </c>
      <c r="C107" s="174" t="s">
        <v>620</v>
      </c>
      <c r="E107" s="183" t="str">
        <v>Actual Materials Configuration Start</v>
      </c>
      <c r="G107" t="s">
        <v>759</v>
      </c>
    </row>
    <row r="108" spans="1:7" ht="30" x14ac:dyDescent="0.25">
      <c r="A108" s="168" t="s">
        <v>759</v>
      </c>
      <c r="C108" s="175" t="s">
        <v>527</v>
      </c>
      <c r="E108" s="183" t="str">
        <v>Estimated Materials Configuration Complete</v>
      </c>
      <c r="G108" t="s">
        <v>760</v>
      </c>
    </row>
    <row r="109" spans="1:7" ht="60" x14ac:dyDescent="0.25">
      <c r="A109" s="168" t="s">
        <v>760</v>
      </c>
      <c r="C109" s="175" t="s">
        <v>621</v>
      </c>
      <c r="E109" s="183" t="str">
        <v>Actual Materials Configuration Complete</v>
      </c>
      <c r="G109" t="s">
        <v>761</v>
      </c>
    </row>
    <row r="110" spans="1:7" ht="45" x14ac:dyDescent="0.25">
      <c r="A110" s="168" t="s">
        <v>761</v>
      </c>
      <c r="C110" s="174" t="s">
        <v>622</v>
      </c>
      <c r="E110" t="str">
        <v>Estimated Arrival of Materials to Site</v>
      </c>
      <c r="G110" t="s">
        <v>762</v>
      </c>
    </row>
    <row r="111" spans="1:7" ht="30" x14ac:dyDescent="0.25">
      <c r="A111" s="168" t="s">
        <v>762</v>
      </c>
      <c r="C111" s="175" t="s">
        <v>203</v>
      </c>
      <c r="E111" t="str">
        <v>Actual Arrival of Materials to Site</v>
      </c>
      <c r="G111" t="s">
        <v>763</v>
      </c>
    </row>
    <row r="112" spans="1:7" ht="30" x14ac:dyDescent="0.25">
      <c r="A112" s="168" t="s">
        <v>763</v>
      </c>
      <c r="C112" s="175" t="s">
        <v>646</v>
      </c>
      <c r="E112" t="str">
        <v>Estimated Order Backhaul Date</v>
      </c>
      <c r="G112" t="s">
        <v>764</v>
      </c>
    </row>
    <row r="113" spans="1:7" ht="30" x14ac:dyDescent="0.25">
      <c r="A113" s="168" t="s">
        <v>764</v>
      </c>
      <c r="C113" s="174" t="s">
        <v>647</v>
      </c>
      <c r="E113" t="str">
        <v>Actual Order Backhaul Date</v>
      </c>
      <c r="G113" t="s">
        <v>765</v>
      </c>
    </row>
    <row r="114" spans="1:7" ht="60" x14ac:dyDescent="0.25">
      <c r="A114" s="168" t="s">
        <v>765</v>
      </c>
      <c r="C114" s="175" t="s">
        <v>528</v>
      </c>
      <c r="E114" s="182" t="str">
        <v>Estimated Backhaul Intallation Date</v>
      </c>
      <c r="G114" t="s">
        <v>766</v>
      </c>
    </row>
    <row r="115" spans="1:7" ht="75" x14ac:dyDescent="0.25">
      <c r="A115" s="168" t="s">
        <v>766</v>
      </c>
      <c r="C115" s="175" t="s">
        <v>623</v>
      </c>
      <c r="E115" s="182" t="str">
        <v>Actual Backhaul Installation Date</v>
      </c>
      <c r="G115" t="s">
        <v>767</v>
      </c>
    </row>
    <row r="116" spans="1:7" ht="75" x14ac:dyDescent="0.25">
      <c r="A116" s="168" t="s">
        <v>767</v>
      </c>
      <c r="C116" s="174" t="s">
        <v>624</v>
      </c>
      <c r="E116" s="181" t="str">
        <v>Primary Backhaul Provider</v>
      </c>
      <c r="G116" t="s">
        <v>768</v>
      </c>
    </row>
    <row r="117" spans="1:7" ht="60" x14ac:dyDescent="0.25">
      <c r="A117" s="168" t="s">
        <v>768</v>
      </c>
      <c r="C117" s="175" t="s">
        <v>651</v>
      </c>
      <c r="E117" s="181" t="str">
        <v>Primary Backhaul Point of Contact</v>
      </c>
      <c r="G117" t="s">
        <v>769</v>
      </c>
    </row>
    <row r="118" spans="1:7" ht="30" x14ac:dyDescent="0.25">
      <c r="A118" s="168" t="s">
        <v>769</v>
      </c>
      <c r="C118" s="175" t="s">
        <v>468</v>
      </c>
      <c r="E118" s="181" t="str">
        <v>Secondary Backhaul Provider</v>
      </c>
      <c r="G118" t="s">
        <v>770</v>
      </c>
    </row>
    <row r="119" spans="1:7" ht="60" x14ac:dyDescent="0.25">
      <c r="A119" s="168" t="s">
        <v>770</v>
      </c>
      <c r="C119" s="174" t="s">
        <v>652</v>
      </c>
      <c r="E119" s="181" t="str">
        <v>Secondary Backhaul Provider Point of Contact</v>
      </c>
      <c r="G119" t="s">
        <v>771</v>
      </c>
    </row>
    <row r="120" spans="1:7" ht="45" x14ac:dyDescent="0.25">
      <c r="A120" s="168" t="s">
        <v>771</v>
      </c>
      <c r="C120" s="175" t="s">
        <v>533</v>
      </c>
      <c r="E120" s="181" t="str">
        <v>Backhaul Notes</v>
      </c>
      <c r="G120" t="s">
        <v>772</v>
      </c>
    </row>
    <row r="121" spans="1:7" ht="45" x14ac:dyDescent="0.25">
      <c r="A121" s="168" t="s">
        <v>772</v>
      </c>
      <c r="C121" s="175" t="s">
        <v>627</v>
      </c>
      <c r="E121" t="str">
        <v>Estimated Construction Start</v>
      </c>
      <c r="G121" t="s">
        <v>773</v>
      </c>
    </row>
    <row r="122" spans="1:7" ht="60" x14ac:dyDescent="0.25">
      <c r="A122" s="168" t="s">
        <v>773</v>
      </c>
      <c r="C122" s="174" t="s">
        <v>628</v>
      </c>
      <c r="E122" t="str">
        <v>Actual Construction Start</v>
      </c>
      <c r="G122" t="s">
        <v>774</v>
      </c>
    </row>
    <row r="123" spans="1:7" ht="60" x14ac:dyDescent="0.25">
      <c r="A123" s="168" t="s">
        <v>774</v>
      </c>
      <c r="C123" s="175" t="s">
        <v>534</v>
      </c>
      <c r="E123" s="113" t="str">
        <v>% Construction Complete</v>
      </c>
      <c r="G123" t="s">
        <v>242</v>
      </c>
    </row>
    <row r="124" spans="1:7" ht="45" x14ac:dyDescent="0.25">
      <c r="A124" s="168" t="s">
        <v>242</v>
      </c>
      <c r="C124" s="175" t="s">
        <v>629</v>
      </c>
      <c r="E124" t="str">
        <v>Estimated Construction Complete</v>
      </c>
      <c r="G124" t="s">
        <v>775</v>
      </c>
    </row>
    <row r="125" spans="1:7" ht="45" x14ac:dyDescent="0.25">
      <c r="A125" s="168" t="s">
        <v>775</v>
      </c>
      <c r="C125" s="174" t="s">
        <v>630</v>
      </c>
      <c r="E125" t="str">
        <v>Actual Construction Complete</v>
      </c>
      <c r="G125" t="s">
        <v>776</v>
      </c>
    </row>
    <row r="126" spans="1:7" ht="30" x14ac:dyDescent="0.25">
      <c r="A126" s="168" t="s">
        <v>776</v>
      </c>
      <c r="C126" s="175" t="s">
        <v>535</v>
      </c>
      <c r="E126" t="str">
        <v>Estimated Integration Start</v>
      </c>
      <c r="G126" t="s">
        <v>777</v>
      </c>
    </row>
    <row r="127" spans="1:7" ht="45" x14ac:dyDescent="0.25">
      <c r="A127" s="168" t="s">
        <v>777</v>
      </c>
      <c r="C127" s="175" t="s">
        <v>631</v>
      </c>
      <c r="E127" t="str">
        <v>Actual Integration Start</v>
      </c>
      <c r="G127" t="s">
        <v>778</v>
      </c>
    </row>
    <row r="128" spans="1:7" ht="60" x14ac:dyDescent="0.25">
      <c r="A128" s="168" t="s">
        <v>778</v>
      </c>
      <c r="C128" s="174" t="s">
        <v>632</v>
      </c>
      <c r="E128" t="str">
        <v>Estimated Integration Complete</v>
      </c>
      <c r="G128" t="s">
        <v>779</v>
      </c>
    </row>
    <row r="129" spans="1:7" ht="45" x14ac:dyDescent="0.25">
      <c r="A129" s="168" t="s">
        <v>779</v>
      </c>
      <c r="C129" s="175" t="s">
        <v>653</v>
      </c>
      <c r="E129" t="str">
        <v>Actual Integration Complete</v>
      </c>
      <c r="G129" t="s">
        <v>780</v>
      </c>
    </row>
    <row r="130" spans="1:7" ht="45" x14ac:dyDescent="0.25">
      <c r="A130" s="168" t="s">
        <v>780</v>
      </c>
      <c r="C130" s="175" t="s">
        <v>625</v>
      </c>
      <c r="E130" t="str">
        <v xml:space="preserve">Estimated Network Onboarding </v>
      </c>
      <c r="G130" t="s">
        <v>781</v>
      </c>
    </row>
    <row r="131" spans="1:7" ht="60" x14ac:dyDescent="0.25">
      <c r="A131" s="168" t="s">
        <v>781</v>
      </c>
      <c r="C131" s="174" t="s">
        <v>626</v>
      </c>
      <c r="E131" s="182" t="str">
        <v>SBA QA Review</v>
      </c>
      <c r="G131" t="s">
        <v>782</v>
      </c>
    </row>
    <row r="132" spans="1:7" ht="105" x14ac:dyDescent="0.25">
      <c r="A132" s="168" t="s">
        <v>782</v>
      </c>
      <c r="C132" s="174" t="s">
        <v>658</v>
      </c>
      <c r="E132" s="182" t="str">
        <v xml:space="preserve">Actual Network Onboarding </v>
      </c>
      <c r="G132" t="s">
        <v>783</v>
      </c>
    </row>
    <row r="133" spans="1:7" ht="30" x14ac:dyDescent="0.25">
      <c r="A133" s="168" t="s">
        <v>783</v>
      </c>
      <c r="C133" s="175" t="s">
        <v>540</v>
      </c>
      <c r="E133" s="182" t="str">
        <v>Estimated Network Testing Start</v>
      </c>
      <c r="G133" t="s">
        <v>784</v>
      </c>
    </row>
    <row r="134" spans="1:7" ht="30" x14ac:dyDescent="0.25">
      <c r="A134" s="168" t="s">
        <v>784</v>
      </c>
      <c r="C134" s="175" t="s">
        <v>633</v>
      </c>
      <c r="E134" s="182" t="str">
        <v>Actual Network Testing Start</v>
      </c>
      <c r="G134" t="s">
        <v>785</v>
      </c>
    </row>
    <row r="135" spans="1:7" ht="45" x14ac:dyDescent="0.25">
      <c r="A135" s="168" t="s">
        <v>785</v>
      </c>
      <c r="C135" s="174" t="s">
        <v>634</v>
      </c>
      <c r="E135" s="182" t="str">
        <v>Estimated Network Testing Complete</v>
      </c>
      <c r="G135" t="s">
        <v>786</v>
      </c>
    </row>
    <row r="136" spans="1:7" ht="30" x14ac:dyDescent="0.25">
      <c r="A136" s="168" t="s">
        <v>786</v>
      </c>
      <c r="C136" s="175" t="s">
        <v>536</v>
      </c>
      <c r="E136" s="182" t="str">
        <v>Actual Network Testing Complete</v>
      </c>
      <c r="G136" t="s">
        <v>787</v>
      </c>
    </row>
    <row r="137" spans="1:7" ht="30" x14ac:dyDescent="0.25">
      <c r="A137" s="168" t="s">
        <v>787</v>
      </c>
      <c r="C137" s="175" t="s">
        <v>635</v>
      </c>
      <c r="E137" t="str">
        <v>Estimated Closeout Package Received</v>
      </c>
      <c r="G137" t="s">
        <v>788</v>
      </c>
    </row>
    <row r="138" spans="1:7" ht="30" x14ac:dyDescent="0.25">
      <c r="A138" s="168" t="s">
        <v>788</v>
      </c>
      <c r="C138" s="174" t="s">
        <v>636</v>
      </c>
      <c r="E138" t="str">
        <v>Actual Closeout Package Received</v>
      </c>
      <c r="G138" t="s">
        <v>789</v>
      </c>
    </row>
    <row r="139" spans="1:7" ht="45" x14ac:dyDescent="0.25">
      <c r="A139" s="168" t="s">
        <v>789</v>
      </c>
      <c r="C139" s="175" t="s">
        <v>530</v>
      </c>
      <c r="E139" t="str">
        <v xml:space="preserve">Estimated COP Validation </v>
      </c>
      <c r="G139" t="s">
        <v>790</v>
      </c>
    </row>
    <row r="140" spans="1:7" ht="45" x14ac:dyDescent="0.25">
      <c r="A140" s="168" t="s">
        <v>790</v>
      </c>
      <c r="C140" s="175" t="s">
        <v>638</v>
      </c>
      <c r="E140" t="str">
        <v xml:space="preserve">Actual COP Validation </v>
      </c>
      <c r="G140" t="s">
        <v>791</v>
      </c>
    </row>
    <row r="141" spans="1:7" ht="60" x14ac:dyDescent="0.25">
      <c r="A141" s="168" t="s">
        <v>791</v>
      </c>
      <c r="C141" s="174" t="s">
        <v>637</v>
      </c>
      <c r="E141" t="str">
        <v>Legal Notice of Substantial Complete</v>
      </c>
      <c r="G141" t="s">
        <v>792</v>
      </c>
    </row>
    <row r="142" spans="1:7" ht="45" x14ac:dyDescent="0.25">
      <c r="A142" s="168" t="s">
        <v>792</v>
      </c>
      <c r="C142" s="175" t="s">
        <v>538</v>
      </c>
      <c r="E142" t="str">
        <v>NOC Network Acceptance Request</v>
      </c>
      <c r="G142" t="s">
        <v>793</v>
      </c>
    </row>
    <row r="143" spans="1:7" ht="45" x14ac:dyDescent="0.25">
      <c r="A143" s="168" t="s">
        <v>793</v>
      </c>
      <c r="C143" s="175" t="s">
        <v>639</v>
      </c>
      <c r="E143" t="str">
        <v>NOC Network Approval</v>
      </c>
      <c r="G143" t="s">
        <v>794</v>
      </c>
    </row>
    <row r="144" spans="1:7" ht="45" x14ac:dyDescent="0.25">
      <c r="A144" s="168" t="s">
        <v>794</v>
      </c>
      <c r="C144" s="174" t="s">
        <v>640</v>
      </c>
      <c r="E144" t="str">
        <v xml:space="preserve">Request for Customer Approval </v>
      </c>
      <c r="G144" t="s">
        <v>795</v>
      </c>
    </row>
    <row r="145" spans="1:7" ht="30" x14ac:dyDescent="0.25">
      <c r="A145" s="168" t="s">
        <v>795</v>
      </c>
      <c r="C145" s="175" t="s">
        <v>642</v>
      </c>
      <c r="E145" t="str">
        <v>Actual Customer Approval</v>
      </c>
      <c r="G145" t="s">
        <v>796</v>
      </c>
    </row>
    <row r="146" spans="1:7" ht="45" x14ac:dyDescent="0.25">
      <c r="A146" s="168" t="s">
        <v>796</v>
      </c>
      <c r="C146" s="175" t="s">
        <v>643</v>
      </c>
      <c r="E146" t="str">
        <v>FNE Baseline</v>
      </c>
      <c r="G146" t="s">
        <v>797</v>
      </c>
    </row>
    <row r="147" spans="1:7" ht="45" x14ac:dyDescent="0.25">
      <c r="A147" s="168" t="s">
        <v>797</v>
      </c>
      <c r="C147" s="175" t="s">
        <v>654</v>
      </c>
      <c r="E147" s="182" t="str">
        <v>Estimated FNE Ready</v>
      </c>
      <c r="G147" t="s">
        <v>798</v>
      </c>
    </row>
    <row r="148" spans="1:7" ht="30" x14ac:dyDescent="0.25">
      <c r="A148" s="168" t="s">
        <v>798</v>
      </c>
      <c r="E148" s="182" t="str">
        <v>Actual FNE Ready</v>
      </c>
      <c r="G148" t="s">
        <v>799</v>
      </c>
    </row>
    <row r="149" spans="1:7" x14ac:dyDescent="0.25">
      <c r="A149" s="168" t="s">
        <v>799</v>
      </c>
      <c r="E149" s="181" t="str">
        <v>TCO Date</v>
      </c>
      <c r="G149" t="s">
        <v>800</v>
      </c>
    </row>
    <row r="150" spans="1:7" x14ac:dyDescent="0.25">
      <c r="A150" s="168" t="s">
        <v>800</v>
      </c>
      <c r="E150" s="181" t="str">
        <v>Estimated Revenue Start</v>
      </c>
      <c r="G150" t="s">
        <v>801</v>
      </c>
    </row>
    <row r="151" spans="1:7" ht="30" x14ac:dyDescent="0.25">
      <c r="A151" s="168" t="s">
        <v>801</v>
      </c>
      <c r="E151" s="181" t="str">
        <v xml:space="preserve">Actual Revenue Start </v>
      </c>
      <c r="G151" t="s">
        <v>802</v>
      </c>
    </row>
    <row r="152" spans="1:7" ht="30" x14ac:dyDescent="0.25">
      <c r="A152" s="168" t="s">
        <v>802</v>
      </c>
      <c r="E152" s="181" t="str">
        <v>Original Budget $</v>
      </c>
      <c r="G152" t="s">
        <v>803</v>
      </c>
    </row>
    <row r="153" spans="1:7" x14ac:dyDescent="0.25">
      <c r="A153" s="168" t="s">
        <v>803</v>
      </c>
      <c r="E153" s="181" t="str">
        <v>Revised Budget $</v>
      </c>
      <c r="G153" t="s">
        <v>804</v>
      </c>
    </row>
    <row r="154" spans="1:7" x14ac:dyDescent="0.25">
      <c r="A154" s="168" t="s">
        <v>804</v>
      </c>
      <c r="E154" s="181" t="str">
        <v>JTD Cost</v>
      </c>
      <c r="G154" t="s">
        <v>805</v>
      </c>
    </row>
    <row r="155" spans="1:7" x14ac:dyDescent="0.25">
      <c r="A155" s="168" t="s">
        <v>805</v>
      </c>
      <c r="E155" s="181" t="str">
        <v>Committed Cost</v>
      </c>
      <c r="G155" t="s">
        <v>806</v>
      </c>
    </row>
    <row r="156" spans="1:7" x14ac:dyDescent="0.25">
      <c r="A156" s="168" t="s">
        <v>806</v>
      </c>
      <c r="E156" s="181" t="str">
        <v>Remaining to Commit</v>
      </c>
      <c r="G156" t="s">
        <v>807</v>
      </c>
    </row>
    <row r="157" spans="1:7" ht="30" x14ac:dyDescent="0.25">
      <c r="A157" s="168" t="s">
        <v>807</v>
      </c>
    </row>
  </sheetData>
  <dataValidations count="2">
    <dataValidation type="textLength" allowBlank="1" showInputMessage="1" showErrorMessage="1" sqref="C2:C131 C133:C147" xr:uid="{80C85CC0-CA90-4711-9A45-D7F50E3649B8}">
      <formula1>1</formula1>
      <formula2>70</formula2>
    </dataValidation>
    <dataValidation type="textLength" allowBlank="1" showInputMessage="1" showErrorMessage="1" sqref="C132" xr:uid="{A0B11101-503F-4F2C-84C0-ECE210CA86A9}">
      <formula1>1</formula1>
      <formula2>100</formula2>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7E46-FAD9-4536-A032-75FDE6ED5B2A}">
  <dimension ref="A1:G238"/>
  <sheetViews>
    <sheetView topLeftCell="A68" workbookViewId="0">
      <selection activeCell="A73" sqref="A73"/>
    </sheetView>
  </sheetViews>
  <sheetFormatPr defaultRowHeight="15" x14ac:dyDescent="0.25"/>
  <cols>
    <col min="1" max="1" width="45.42578125" bestFit="1" customWidth="1"/>
    <col min="3" max="3" width="23" bestFit="1" customWidth="1"/>
    <col min="5" max="5" width="83.85546875" bestFit="1" customWidth="1"/>
    <col min="7" max="7" width="45.42578125" bestFit="1" customWidth="1"/>
  </cols>
  <sheetData>
    <row r="1" spans="1:7" s="81" customFormat="1" x14ac:dyDescent="0.25">
      <c r="A1" s="81" t="s">
        <v>895</v>
      </c>
      <c r="C1" s="81" t="s">
        <v>896</v>
      </c>
      <c r="E1" s="81" t="s">
        <v>897</v>
      </c>
      <c r="G1" s="81" t="s">
        <v>897</v>
      </c>
    </row>
    <row r="2" spans="1:7" ht="30" x14ac:dyDescent="0.25">
      <c r="A2" s="170" t="s">
        <v>808</v>
      </c>
      <c r="C2" s="174" t="s">
        <v>486</v>
      </c>
      <c r="E2" s="182" t="str" cm="1">
        <f t="array" ref="E2:E92">_xlfn._xlws.FILTER(A2:A92,COUNTIF(C2:C147,A2:A92)=0,"")</f>
        <v>Job #</v>
      </c>
      <c r="G2" t="s">
        <v>808</v>
      </c>
    </row>
    <row r="3" spans="1:7" x14ac:dyDescent="0.25">
      <c r="A3" s="170" t="s">
        <v>44</v>
      </c>
      <c r="C3" s="174" t="s">
        <v>15</v>
      </c>
      <c r="E3" s="182" t="str">
        <v>Site ID</v>
      </c>
      <c r="G3" t="s">
        <v>44</v>
      </c>
    </row>
    <row r="4" spans="1:7" ht="30" x14ac:dyDescent="0.25">
      <c r="A4" s="170" t="s">
        <v>43</v>
      </c>
      <c r="C4" s="175" t="s">
        <v>487</v>
      </c>
      <c r="E4" s="182" t="str">
        <v>Site Name</v>
      </c>
      <c r="G4" t="s">
        <v>43</v>
      </c>
    </row>
    <row r="5" spans="1:7" ht="30" x14ac:dyDescent="0.25">
      <c r="A5" s="170" t="s">
        <v>210</v>
      </c>
      <c r="C5" s="175" t="s">
        <v>559</v>
      </c>
      <c r="E5" s="181" t="str">
        <v>SBA CM</v>
      </c>
      <c r="G5" t="s">
        <v>210</v>
      </c>
    </row>
    <row r="6" spans="1:7" ht="30" x14ac:dyDescent="0.25">
      <c r="A6" s="170" t="s">
        <v>3</v>
      </c>
      <c r="C6" s="176" t="s">
        <v>561</v>
      </c>
      <c r="E6" s="181" t="str">
        <v>Status</v>
      </c>
      <c r="G6" t="s">
        <v>3</v>
      </c>
    </row>
    <row r="7" spans="1:7" x14ac:dyDescent="0.25">
      <c r="A7" s="170" t="s">
        <v>809</v>
      </c>
      <c r="C7" s="176" t="s">
        <v>659</v>
      </c>
      <c r="E7" s="181" t="str">
        <v>Notes</v>
      </c>
      <c r="G7" t="s">
        <v>809</v>
      </c>
    </row>
    <row r="8" spans="1:7" ht="30" x14ac:dyDescent="0.25">
      <c r="A8" s="170" t="s">
        <v>810</v>
      </c>
      <c r="C8" s="174" t="s">
        <v>488</v>
      </c>
      <c r="E8" s="181" t="str">
        <v>Sales Support</v>
      </c>
      <c r="G8" t="s">
        <v>810</v>
      </c>
    </row>
    <row r="9" spans="1:7" ht="30" x14ac:dyDescent="0.25">
      <c r="A9" s="170" t="s">
        <v>811</v>
      </c>
      <c r="C9" s="175" t="s">
        <v>560</v>
      </c>
      <c r="E9" s="182" t="str">
        <v>ROM Pricing Start Date</v>
      </c>
      <c r="G9" t="s">
        <v>811</v>
      </c>
    </row>
    <row r="10" spans="1:7" ht="45" x14ac:dyDescent="0.25">
      <c r="A10" s="170" t="s">
        <v>812</v>
      </c>
      <c r="C10" s="177" t="s">
        <v>562</v>
      </c>
      <c r="E10" s="182" t="str">
        <v>ROM Pricing Complete Date</v>
      </c>
      <c r="G10" t="s">
        <v>812</v>
      </c>
    </row>
    <row r="11" spans="1:7" ht="30" x14ac:dyDescent="0.25">
      <c r="A11" s="170" t="s">
        <v>705</v>
      </c>
      <c r="C11" s="175" t="s">
        <v>543</v>
      </c>
      <c r="E11" s="181" t="str">
        <v>A&amp;E Vendor</v>
      </c>
      <c r="G11" t="s">
        <v>705</v>
      </c>
    </row>
    <row r="12" spans="1:7" ht="30" x14ac:dyDescent="0.25">
      <c r="A12" s="170" t="s">
        <v>813</v>
      </c>
      <c r="C12" s="175" t="s">
        <v>645</v>
      </c>
      <c r="E12" s="182" t="str">
        <v>A&amp;E Site Walk Date (F)</v>
      </c>
      <c r="G12" t="s">
        <v>813</v>
      </c>
    </row>
    <row r="13" spans="1:7" ht="45" x14ac:dyDescent="0.25">
      <c r="A13" s="170" t="s">
        <v>814</v>
      </c>
      <c r="C13" s="174" t="s">
        <v>641</v>
      </c>
      <c r="E13" s="182" t="str">
        <v>A&amp;E Site Walk Date (A)</v>
      </c>
      <c r="G13" t="s">
        <v>814</v>
      </c>
    </row>
    <row r="14" spans="1:7" ht="30" x14ac:dyDescent="0.25">
      <c r="A14" s="170" t="s">
        <v>815</v>
      </c>
      <c r="C14" s="175" t="s">
        <v>493</v>
      </c>
      <c r="E14" s="182" t="str">
        <v>Construction Drawings Received Date (F)</v>
      </c>
      <c r="G14" t="s">
        <v>815</v>
      </c>
    </row>
    <row r="15" spans="1:7" x14ac:dyDescent="0.25">
      <c r="A15" s="170" t="s">
        <v>816</v>
      </c>
      <c r="C15" s="175" t="s">
        <v>563</v>
      </c>
      <c r="E15" s="182" t="str">
        <v>Construction Drawings Received Date (A)</v>
      </c>
      <c r="G15" t="s">
        <v>816</v>
      </c>
    </row>
    <row r="16" spans="1:7" ht="30" x14ac:dyDescent="0.25">
      <c r="A16" s="170" t="s">
        <v>817</v>
      </c>
      <c r="C16" s="174" t="s">
        <v>564</v>
      </c>
      <c r="E16" s="181" t="str">
        <v>Construction Drawing Revisions</v>
      </c>
      <c r="G16" t="s">
        <v>817</v>
      </c>
    </row>
    <row r="17" spans="1:7" x14ac:dyDescent="0.25">
      <c r="A17" s="170" t="s">
        <v>818</v>
      </c>
      <c r="C17" s="174" t="s">
        <v>547</v>
      </c>
      <c r="E17" s="181" t="str">
        <v>Construction Drawing Revisions Number</v>
      </c>
      <c r="G17" t="s">
        <v>818</v>
      </c>
    </row>
    <row r="18" spans="1:7" x14ac:dyDescent="0.25">
      <c r="A18" s="170" t="s">
        <v>819</v>
      </c>
      <c r="C18" s="178" t="s">
        <v>10</v>
      </c>
      <c r="E18" s="182" t="str">
        <v>Revised Construction Drawings Received Date (F)</v>
      </c>
      <c r="G18" t="s">
        <v>819</v>
      </c>
    </row>
    <row r="19" spans="1:7" x14ac:dyDescent="0.25">
      <c r="A19" s="170" t="s">
        <v>820</v>
      </c>
      <c r="C19" s="178" t="s">
        <v>11</v>
      </c>
      <c r="E19" s="182" t="str">
        <v>Revised Construction Drawings Received (A)</v>
      </c>
      <c r="G19" t="s">
        <v>820</v>
      </c>
    </row>
    <row r="20" spans="1:7" x14ac:dyDescent="0.25">
      <c r="A20" s="170" t="s">
        <v>821</v>
      </c>
      <c r="C20" s="178" t="s">
        <v>12</v>
      </c>
      <c r="E20" s="182" t="str">
        <v>BOM Creation Begins (F)</v>
      </c>
      <c r="G20" t="s">
        <v>821</v>
      </c>
    </row>
    <row r="21" spans="1:7" x14ac:dyDescent="0.25">
      <c r="A21" s="170" t="s">
        <v>822</v>
      </c>
      <c r="C21" s="179" t="s">
        <v>13</v>
      </c>
      <c r="E21" s="182" t="str">
        <v>BOM Creation Begins (A)</v>
      </c>
      <c r="G21" t="s">
        <v>822</v>
      </c>
    </row>
    <row r="22" spans="1:7" x14ac:dyDescent="0.25">
      <c r="A22" s="170" t="s">
        <v>823</v>
      </c>
      <c r="C22" s="178" t="s">
        <v>17</v>
      </c>
      <c r="E22" s="182" t="str">
        <v>BOM Creation Complete (F)</v>
      </c>
      <c r="G22" t="s">
        <v>823</v>
      </c>
    </row>
    <row r="23" spans="1:7" x14ac:dyDescent="0.25">
      <c r="A23" s="170" t="s">
        <v>824</v>
      </c>
      <c r="C23" s="178" t="s">
        <v>648</v>
      </c>
      <c r="E23" s="182" t="str">
        <v>BOM Creation Complete (Actual)</v>
      </c>
      <c r="G23" t="s">
        <v>824</v>
      </c>
    </row>
    <row r="24" spans="1:7" ht="30" x14ac:dyDescent="0.25">
      <c r="A24" s="170" t="s">
        <v>825</v>
      </c>
      <c r="C24" s="175" t="s">
        <v>548</v>
      </c>
      <c r="E24" s="182" t="str">
        <v>BOM Handoff to Construction (F)</v>
      </c>
      <c r="G24" t="s">
        <v>825</v>
      </c>
    </row>
    <row r="25" spans="1:7" x14ac:dyDescent="0.25">
      <c r="A25" s="170" t="s">
        <v>826</v>
      </c>
      <c r="C25" s="175" t="s">
        <v>571</v>
      </c>
      <c r="E25" s="182" t="str">
        <v>BOM Handoff to Construction (A)</v>
      </c>
      <c r="G25" t="s">
        <v>826</v>
      </c>
    </row>
    <row r="26" spans="1:7" ht="30" x14ac:dyDescent="0.25">
      <c r="A26" s="170" t="s">
        <v>827</v>
      </c>
      <c r="C26" s="174" t="s">
        <v>572</v>
      </c>
      <c r="E26" s="182" t="str">
        <v>RFPs Received (F)</v>
      </c>
      <c r="G26" t="s">
        <v>827</v>
      </c>
    </row>
    <row r="27" spans="1:7" ht="30" x14ac:dyDescent="0.25">
      <c r="A27" s="170" t="s">
        <v>828</v>
      </c>
      <c r="C27" s="175" t="s">
        <v>504</v>
      </c>
      <c r="E27" s="182" t="str">
        <v>RFPs Received (A)</v>
      </c>
      <c r="G27" t="s">
        <v>828</v>
      </c>
    </row>
    <row r="28" spans="1:7" ht="30" x14ac:dyDescent="0.25">
      <c r="A28" s="170" t="s">
        <v>829</v>
      </c>
      <c r="C28" s="175" t="s">
        <v>573</v>
      </c>
      <c r="E28" s="182" t="str">
        <v>GC Awarded (F)</v>
      </c>
      <c r="G28" t="s">
        <v>829</v>
      </c>
    </row>
    <row r="29" spans="1:7" ht="30" x14ac:dyDescent="0.25">
      <c r="A29" s="170" t="s">
        <v>830</v>
      </c>
      <c r="C29" s="174" t="s">
        <v>574</v>
      </c>
      <c r="E29" s="182" t="str">
        <v xml:space="preserve">GC Awarded (A) </v>
      </c>
      <c r="G29" t="s">
        <v>830</v>
      </c>
    </row>
    <row r="30" spans="1:7" ht="75" x14ac:dyDescent="0.25">
      <c r="A30" s="170" t="s">
        <v>831</v>
      </c>
      <c r="C30" s="175" t="s">
        <v>519</v>
      </c>
      <c r="E30" s="181" t="str">
        <v>OEM Name</v>
      </c>
      <c r="G30" t="s">
        <v>831</v>
      </c>
    </row>
    <row r="31" spans="1:7" ht="30" x14ac:dyDescent="0.25">
      <c r="A31" s="170" t="s">
        <v>832</v>
      </c>
      <c r="C31" s="175" t="s">
        <v>575</v>
      </c>
      <c r="E31" s="181" t="str">
        <v>GC Name</v>
      </c>
      <c r="G31" t="s">
        <v>832</v>
      </c>
    </row>
    <row r="32" spans="1:7" ht="45" x14ac:dyDescent="0.25">
      <c r="A32" s="170" t="s">
        <v>833</v>
      </c>
      <c r="C32" s="174" t="s">
        <v>576</v>
      </c>
      <c r="E32" t="str">
        <v>Pre-Construction Site Walk with GC (F)</v>
      </c>
      <c r="G32" t="s">
        <v>833</v>
      </c>
    </row>
    <row r="33" spans="1:7" ht="30" x14ac:dyDescent="0.25">
      <c r="A33" s="170" t="s">
        <v>834</v>
      </c>
      <c r="C33" s="175" t="s">
        <v>520</v>
      </c>
      <c r="E33" t="str">
        <v>Pre-Construction Site with GC (A)</v>
      </c>
      <c r="G33" t="s">
        <v>834</v>
      </c>
    </row>
    <row r="34" spans="1:7" ht="30" x14ac:dyDescent="0.25">
      <c r="A34" s="170" t="s">
        <v>835</v>
      </c>
      <c r="C34" s="175" t="s">
        <v>565</v>
      </c>
      <c r="E34" t="str">
        <v>BOM Review with GC (F)</v>
      </c>
      <c r="G34" t="s">
        <v>835</v>
      </c>
    </row>
    <row r="35" spans="1:7" ht="30" x14ac:dyDescent="0.25">
      <c r="A35" s="170" t="s">
        <v>836</v>
      </c>
      <c r="C35" s="174" t="s">
        <v>566</v>
      </c>
      <c r="E35" t="str">
        <v>BOM Review with GC (A)</v>
      </c>
      <c r="G35" t="s">
        <v>836</v>
      </c>
    </row>
    <row r="36" spans="1:7" ht="30" x14ac:dyDescent="0.25">
      <c r="A36" s="170" t="s">
        <v>837</v>
      </c>
      <c r="C36" s="175" t="s">
        <v>510</v>
      </c>
      <c r="E36" t="str">
        <v>Materials Ordered (F)</v>
      </c>
      <c r="G36" t="s">
        <v>837</v>
      </c>
    </row>
    <row r="37" spans="1:7" ht="30" x14ac:dyDescent="0.25">
      <c r="A37" s="170" t="s">
        <v>838</v>
      </c>
      <c r="C37" s="175" t="s">
        <v>898</v>
      </c>
      <c r="E37" t="str">
        <v>Materials Ordered (A)</v>
      </c>
      <c r="G37" t="s">
        <v>838</v>
      </c>
    </row>
    <row r="38" spans="1:7" ht="30" x14ac:dyDescent="0.25">
      <c r="A38" s="170" t="s">
        <v>839</v>
      </c>
      <c r="C38" s="174" t="s">
        <v>568</v>
      </c>
      <c r="E38" t="str">
        <v xml:space="preserve">Materials Received (F) </v>
      </c>
      <c r="G38" t="s">
        <v>839</v>
      </c>
    </row>
    <row r="39" spans="1:7" ht="30" x14ac:dyDescent="0.25">
      <c r="A39" s="170" t="s">
        <v>840</v>
      </c>
      <c r="C39" s="175" t="s">
        <v>511</v>
      </c>
      <c r="E39" t="str">
        <v>Materials Received (A)</v>
      </c>
      <c r="G39" t="s">
        <v>840</v>
      </c>
    </row>
    <row r="40" spans="1:7" x14ac:dyDescent="0.25">
      <c r="A40" s="170" t="s">
        <v>841</v>
      </c>
      <c r="C40" s="175" t="s">
        <v>569</v>
      </c>
      <c r="E40" t="str">
        <v>Request for RTP Submitted (F)</v>
      </c>
      <c r="G40" t="s">
        <v>841</v>
      </c>
    </row>
    <row r="41" spans="1:7" ht="30" x14ac:dyDescent="0.25">
      <c r="A41" s="170" t="s">
        <v>842</v>
      </c>
      <c r="C41" s="174" t="s">
        <v>570</v>
      </c>
      <c r="E41" t="str">
        <v xml:space="preserve">Request for RTP Submitted (A) </v>
      </c>
      <c r="G41" t="s">
        <v>842</v>
      </c>
    </row>
    <row r="42" spans="1:7" ht="30" x14ac:dyDescent="0.25">
      <c r="A42" s="170" t="s">
        <v>843</v>
      </c>
      <c r="C42" s="175" t="s">
        <v>513</v>
      </c>
      <c r="E42" t="str">
        <v>Title Signoff (F)</v>
      </c>
      <c r="G42" t="s">
        <v>843</v>
      </c>
    </row>
    <row r="43" spans="1:7" ht="30" x14ac:dyDescent="0.25">
      <c r="A43" s="170" t="s">
        <v>844</v>
      </c>
      <c r="C43" s="175" t="s">
        <v>577</v>
      </c>
      <c r="E43" t="str">
        <v>Title Signoff (A)</v>
      </c>
      <c r="G43" t="s">
        <v>844</v>
      </c>
    </row>
    <row r="44" spans="1:7" ht="45" x14ac:dyDescent="0.25">
      <c r="A44" s="170" t="s">
        <v>845</v>
      </c>
      <c r="C44" s="174" t="s">
        <v>578</v>
      </c>
      <c r="E44" t="str">
        <v>Zoning Signoff (F)</v>
      </c>
      <c r="G44" t="s">
        <v>845</v>
      </c>
    </row>
    <row r="45" spans="1:7" ht="30" x14ac:dyDescent="0.25">
      <c r="A45" s="170" t="s">
        <v>846</v>
      </c>
      <c r="C45" s="175" t="s">
        <v>514</v>
      </c>
      <c r="E45" t="str">
        <v>Zoning Signoff (A)</v>
      </c>
      <c r="G45" t="s">
        <v>846</v>
      </c>
    </row>
    <row r="46" spans="1:7" ht="30" x14ac:dyDescent="0.25">
      <c r="A46" s="170" t="s">
        <v>847</v>
      </c>
      <c r="C46" s="175" t="s">
        <v>579</v>
      </c>
      <c r="E46" t="str">
        <v>Lease Signoff (F)</v>
      </c>
      <c r="G46" t="s">
        <v>847</v>
      </c>
    </row>
    <row r="47" spans="1:7" ht="30" x14ac:dyDescent="0.25">
      <c r="A47" s="170" t="s">
        <v>848</v>
      </c>
      <c r="C47" s="174" t="s">
        <v>580</v>
      </c>
      <c r="E47" t="str">
        <v>Lease Signoff (A)</v>
      </c>
      <c r="G47" t="s">
        <v>848</v>
      </c>
    </row>
    <row r="48" spans="1:7" ht="30" x14ac:dyDescent="0.25">
      <c r="A48" s="170" t="s">
        <v>849</v>
      </c>
      <c r="C48" s="175" t="s">
        <v>515</v>
      </c>
      <c r="E48" t="str">
        <v>Licensing Signoff (F)</v>
      </c>
      <c r="G48" t="s">
        <v>849</v>
      </c>
    </row>
    <row r="49" spans="1:7" ht="30" x14ac:dyDescent="0.25">
      <c r="A49" s="170" t="s">
        <v>850</v>
      </c>
      <c r="C49" s="175" t="s">
        <v>581</v>
      </c>
      <c r="E49" t="str">
        <v>Licensing Signoff (A)</v>
      </c>
      <c r="G49" t="s">
        <v>850</v>
      </c>
    </row>
    <row r="50" spans="1:7" ht="30" x14ac:dyDescent="0.25">
      <c r="A50" s="170" t="s">
        <v>851</v>
      </c>
      <c r="C50" s="174" t="s">
        <v>582</v>
      </c>
      <c r="E50" t="str">
        <v>Asbestos Testing Required</v>
      </c>
      <c r="G50" t="s">
        <v>851</v>
      </c>
    </row>
    <row r="51" spans="1:7" ht="30" x14ac:dyDescent="0.25">
      <c r="A51" s="170" t="s">
        <v>852</v>
      </c>
      <c r="C51" s="175" t="s">
        <v>516</v>
      </c>
      <c r="E51" t="str">
        <v>Asbestos Testing Complete (F)</v>
      </c>
      <c r="G51" t="s">
        <v>852</v>
      </c>
    </row>
    <row r="52" spans="1:7" ht="30" x14ac:dyDescent="0.25">
      <c r="A52" s="170" t="s">
        <v>853</v>
      </c>
      <c r="C52" s="175" t="s">
        <v>583</v>
      </c>
      <c r="E52" t="str">
        <v>Asbestos Testing Complete (A)</v>
      </c>
      <c r="G52" t="s">
        <v>853</v>
      </c>
    </row>
    <row r="53" spans="1:7" ht="30" x14ac:dyDescent="0.25">
      <c r="A53" s="170" t="s">
        <v>854</v>
      </c>
      <c r="C53" s="174" t="s">
        <v>584</v>
      </c>
      <c r="E53" t="str">
        <v>NPA Signoff (F)</v>
      </c>
      <c r="G53" t="s">
        <v>854</v>
      </c>
    </row>
    <row r="54" spans="1:7" ht="60" x14ac:dyDescent="0.25">
      <c r="A54" s="170" t="s">
        <v>855</v>
      </c>
      <c r="C54" s="175" t="s">
        <v>588</v>
      </c>
      <c r="E54" t="str">
        <v>NPA Signoff (A)</v>
      </c>
      <c r="G54" t="s">
        <v>855</v>
      </c>
    </row>
    <row r="55" spans="1:7" ht="45" x14ac:dyDescent="0.25">
      <c r="A55" s="170" t="s">
        <v>856</v>
      </c>
      <c r="C55" s="175" t="s">
        <v>589</v>
      </c>
      <c r="E55" t="str">
        <v>NEPA Signoff (F)</v>
      </c>
      <c r="G55" t="s">
        <v>856</v>
      </c>
    </row>
    <row r="56" spans="1:7" ht="60" x14ac:dyDescent="0.25">
      <c r="A56" s="170" t="s">
        <v>857</v>
      </c>
      <c r="C56" s="174" t="s">
        <v>585</v>
      </c>
      <c r="E56" t="str">
        <v>NEPA Signoff (A)</v>
      </c>
      <c r="G56" t="s">
        <v>857</v>
      </c>
    </row>
    <row r="57" spans="1:7" ht="30" x14ac:dyDescent="0.25">
      <c r="A57" s="170" t="s">
        <v>858</v>
      </c>
      <c r="C57" s="175" t="s">
        <v>590</v>
      </c>
      <c r="E57" t="str">
        <v>RTP Approved (F)</v>
      </c>
      <c r="G57" t="s">
        <v>858</v>
      </c>
    </row>
    <row r="58" spans="1:7" x14ac:dyDescent="0.25">
      <c r="A58" s="170" t="s">
        <v>859</v>
      </c>
      <c r="C58" s="175" t="s">
        <v>586</v>
      </c>
      <c r="E58" t="str">
        <v>RTP Approved (A)</v>
      </c>
      <c r="G58" t="s">
        <v>859</v>
      </c>
    </row>
    <row r="59" spans="1:7" ht="30" x14ac:dyDescent="0.25">
      <c r="A59" s="170" t="s">
        <v>860</v>
      </c>
      <c r="C59" s="174" t="s">
        <v>587</v>
      </c>
      <c r="E59" s="181" t="str">
        <v>Circuit Needed</v>
      </c>
      <c r="G59" t="s">
        <v>860</v>
      </c>
    </row>
    <row r="60" spans="1:7" ht="30" x14ac:dyDescent="0.25">
      <c r="A60" s="170" t="s">
        <v>237</v>
      </c>
      <c r="C60" s="175" t="s">
        <v>591</v>
      </c>
      <c r="E60" s="181" t="str">
        <v>Circuit Provider</v>
      </c>
      <c r="G60" t="s">
        <v>237</v>
      </c>
    </row>
    <row r="61" spans="1:7" ht="30" x14ac:dyDescent="0.25">
      <c r="A61" s="170" t="s">
        <v>861</v>
      </c>
      <c r="C61" s="175" t="s">
        <v>592</v>
      </c>
      <c r="E61" s="182" t="str">
        <v>Circuit Installed (F)</v>
      </c>
      <c r="G61" t="s">
        <v>861</v>
      </c>
    </row>
    <row r="62" spans="1:7" ht="45" x14ac:dyDescent="0.25">
      <c r="A62" s="170" t="s">
        <v>862</v>
      </c>
      <c r="C62" s="174" t="s">
        <v>593</v>
      </c>
      <c r="E62" s="182" t="str">
        <v>Circuit Installed (A)</v>
      </c>
      <c r="G62" t="s">
        <v>862</v>
      </c>
    </row>
    <row r="63" spans="1:7" ht="75" x14ac:dyDescent="0.25">
      <c r="A63" s="170" t="s">
        <v>863</v>
      </c>
      <c r="C63" s="175" t="s">
        <v>506</v>
      </c>
      <c r="E63" s="182" t="str">
        <v>Construction Kick-Off Call (F)</v>
      </c>
      <c r="G63" t="s">
        <v>863</v>
      </c>
    </row>
    <row r="64" spans="1:7" ht="30" x14ac:dyDescent="0.25">
      <c r="A64" s="170" t="s">
        <v>864</v>
      </c>
      <c r="C64" s="175" t="s">
        <v>594</v>
      </c>
      <c r="E64" s="182" t="str">
        <v>Construction Kick-Off Call (A)</v>
      </c>
      <c r="G64" t="s">
        <v>864</v>
      </c>
    </row>
    <row r="65" spans="1:7" ht="45" x14ac:dyDescent="0.25">
      <c r="A65" s="170" t="s">
        <v>865</v>
      </c>
      <c r="C65" s="174" t="s">
        <v>595</v>
      </c>
      <c r="E65" s="182" t="str">
        <v>Construction Start (F)</v>
      </c>
      <c r="G65" t="s">
        <v>865</v>
      </c>
    </row>
    <row r="66" spans="1:7" ht="45" x14ac:dyDescent="0.25">
      <c r="A66" s="170" t="s">
        <v>866</v>
      </c>
      <c r="C66" s="175" t="s">
        <v>507</v>
      </c>
      <c r="E66" s="182" t="str">
        <v>Construction Start (A)</v>
      </c>
      <c r="G66" t="s">
        <v>866</v>
      </c>
    </row>
    <row r="67" spans="1:7" ht="30" x14ac:dyDescent="0.25">
      <c r="A67" s="170" t="s">
        <v>867</v>
      </c>
      <c r="C67" s="175" t="s">
        <v>597</v>
      </c>
      <c r="E67" s="181" t="str">
        <v>Construction % Complete</v>
      </c>
      <c r="G67" t="s">
        <v>867</v>
      </c>
    </row>
    <row r="68" spans="1:7" ht="60" x14ac:dyDescent="0.25">
      <c r="A68" s="170" t="s">
        <v>868</v>
      </c>
      <c r="C68" s="174" t="s">
        <v>596</v>
      </c>
      <c r="E68" t="str">
        <v>Construction Complete (F)</v>
      </c>
      <c r="G68" t="s">
        <v>868</v>
      </c>
    </row>
    <row r="69" spans="1:7" ht="45" x14ac:dyDescent="0.25">
      <c r="A69" s="170" t="s">
        <v>869</v>
      </c>
      <c r="C69" s="175" t="s">
        <v>508</v>
      </c>
      <c r="E69" t="str">
        <v>Construction Complete (A)</v>
      </c>
      <c r="G69" t="s">
        <v>869</v>
      </c>
    </row>
    <row r="70" spans="1:7" x14ac:dyDescent="0.25">
      <c r="A70" s="170" t="s">
        <v>870</v>
      </c>
      <c r="C70" s="175" t="s">
        <v>598</v>
      </c>
      <c r="E70" t="str">
        <v>Integration Date (F)</v>
      </c>
      <c r="G70" t="s">
        <v>870</v>
      </c>
    </row>
    <row r="71" spans="1:7" x14ac:dyDescent="0.25">
      <c r="A71" s="170" t="s">
        <v>871</v>
      </c>
      <c r="C71" s="174" t="s">
        <v>644</v>
      </c>
      <c r="E71" t="str">
        <v>Integration Date (A)</v>
      </c>
      <c r="G71" t="s">
        <v>871</v>
      </c>
    </row>
    <row r="72" spans="1:7" x14ac:dyDescent="0.25">
      <c r="A72" s="170" t="s">
        <v>872</v>
      </c>
      <c r="C72" s="175" t="s">
        <v>489</v>
      </c>
      <c r="E72" s="182" t="str">
        <v>COP Received (F)</v>
      </c>
      <c r="G72" t="s">
        <v>872</v>
      </c>
    </row>
    <row r="73" spans="1:7" ht="30" x14ac:dyDescent="0.25">
      <c r="A73" s="170" t="s">
        <v>873</v>
      </c>
      <c r="C73" s="175" t="s">
        <v>435</v>
      </c>
      <c r="E73" s="182" t="str">
        <v>COP Received (A)</v>
      </c>
      <c r="G73" t="s">
        <v>873</v>
      </c>
    </row>
    <row r="74" spans="1:7" ht="30" x14ac:dyDescent="0.25">
      <c r="A74" s="170" t="s">
        <v>874</v>
      </c>
      <c r="C74" s="174" t="s">
        <v>599</v>
      </c>
      <c r="E74" s="182" t="str">
        <v>COP Sent to Network (F)</v>
      </c>
      <c r="G74" t="s">
        <v>874</v>
      </c>
    </row>
    <row r="75" spans="1:7" ht="30" x14ac:dyDescent="0.25">
      <c r="A75" s="170" t="s">
        <v>875</v>
      </c>
      <c r="C75" s="175" t="s">
        <v>657</v>
      </c>
      <c r="E75" s="182" t="str">
        <v>COP Sent to Network (A)</v>
      </c>
      <c r="G75" t="s">
        <v>875</v>
      </c>
    </row>
    <row r="76" spans="1:7" ht="30" x14ac:dyDescent="0.25">
      <c r="A76" s="170" t="s">
        <v>876</v>
      </c>
      <c r="C76" s="175" t="s">
        <v>600</v>
      </c>
      <c r="E76" s="182" t="str">
        <v>COP Accepted by Network (F)</v>
      </c>
      <c r="G76" t="s">
        <v>876</v>
      </c>
    </row>
    <row r="77" spans="1:7" ht="30" x14ac:dyDescent="0.25">
      <c r="A77" s="170" t="s">
        <v>877</v>
      </c>
      <c r="C77" s="174" t="s">
        <v>601</v>
      </c>
      <c r="E77" s="182" t="str">
        <v>COP Accepted by Network (A)</v>
      </c>
      <c r="G77" t="s">
        <v>877</v>
      </c>
    </row>
    <row r="78" spans="1:7" x14ac:dyDescent="0.25">
      <c r="A78" s="170" t="s">
        <v>878</v>
      </c>
      <c r="C78" s="175" t="s">
        <v>501</v>
      </c>
      <c r="E78" s="182" t="str">
        <v>COP Sent to Customer (F)</v>
      </c>
      <c r="G78" t="s">
        <v>878</v>
      </c>
    </row>
    <row r="79" spans="1:7" ht="30" x14ac:dyDescent="0.25">
      <c r="A79" s="170" t="s">
        <v>879</v>
      </c>
      <c r="C79" s="175" t="s">
        <v>602</v>
      </c>
      <c r="E79" s="182" t="str">
        <v>COP Sent to Customer (A)</v>
      </c>
      <c r="G79" t="s">
        <v>879</v>
      </c>
    </row>
    <row r="80" spans="1:7" ht="30" x14ac:dyDescent="0.25">
      <c r="A80" s="170" t="s">
        <v>880</v>
      </c>
      <c r="C80" s="174" t="s">
        <v>603</v>
      </c>
      <c r="E80" s="182" t="str">
        <v>COP Acceted by Customer (F)</v>
      </c>
      <c r="G80" t="s">
        <v>880</v>
      </c>
    </row>
    <row r="81" spans="1:7" x14ac:dyDescent="0.25">
      <c r="A81" s="170" t="s">
        <v>881</v>
      </c>
      <c r="C81" s="175" t="s">
        <v>545</v>
      </c>
      <c r="E81" s="182" t="str">
        <v>COP Accepted by Customer (A)</v>
      </c>
      <c r="G81" t="s">
        <v>881</v>
      </c>
    </row>
    <row r="82" spans="1:7" x14ac:dyDescent="0.25">
      <c r="A82" s="170" t="s">
        <v>254</v>
      </c>
      <c r="C82" s="175" t="s">
        <v>604</v>
      </c>
      <c r="E82" s="181" t="str">
        <v>Baseline FNE</v>
      </c>
      <c r="G82" t="s">
        <v>254</v>
      </c>
    </row>
    <row r="83" spans="1:7" ht="30" x14ac:dyDescent="0.25">
      <c r="A83" s="170" t="s">
        <v>882</v>
      </c>
      <c r="C83" s="174" t="s">
        <v>605</v>
      </c>
      <c r="E83" t="str">
        <v>FNE (F)</v>
      </c>
      <c r="G83" t="s">
        <v>882</v>
      </c>
    </row>
    <row r="84" spans="1:7" x14ac:dyDescent="0.25">
      <c r="A84" s="170" t="s">
        <v>883</v>
      </c>
      <c r="C84" s="175" t="s">
        <v>503</v>
      </c>
      <c r="E84" t="str">
        <v>FNE (A)</v>
      </c>
      <c r="G84" t="s">
        <v>883</v>
      </c>
    </row>
    <row r="85" spans="1:7" ht="30" x14ac:dyDescent="0.25">
      <c r="A85" s="170" t="s">
        <v>884</v>
      </c>
      <c r="C85" s="175" t="s">
        <v>606</v>
      </c>
      <c r="E85" s="182" t="str">
        <v>Handoff to Ops (F)</v>
      </c>
      <c r="G85" t="s">
        <v>884</v>
      </c>
    </row>
    <row r="86" spans="1:7" ht="45" x14ac:dyDescent="0.25">
      <c r="A86" s="170" t="s">
        <v>885</v>
      </c>
      <c r="C86" s="174" t="s">
        <v>607</v>
      </c>
      <c r="E86" s="182" t="str">
        <v>Handoff to Ops (A)</v>
      </c>
      <c r="G86" t="s">
        <v>885</v>
      </c>
    </row>
    <row r="87" spans="1:7" ht="30" x14ac:dyDescent="0.25">
      <c r="A87" s="170" t="s">
        <v>886</v>
      </c>
      <c r="C87" s="175" t="s">
        <v>555</v>
      </c>
      <c r="E87" s="181" t="str">
        <v>Customer POC</v>
      </c>
      <c r="G87" t="s">
        <v>886</v>
      </c>
    </row>
    <row r="88" spans="1:7" ht="30" x14ac:dyDescent="0.25">
      <c r="A88" s="170" t="s">
        <v>887</v>
      </c>
      <c r="C88" s="175" t="s">
        <v>608</v>
      </c>
      <c r="E88" s="181" t="str">
        <v>Landlord POC</v>
      </c>
      <c r="G88" t="s">
        <v>887</v>
      </c>
    </row>
    <row r="89" spans="1:7" ht="30" x14ac:dyDescent="0.25">
      <c r="A89" s="170" t="s">
        <v>888</v>
      </c>
      <c r="C89" s="174" t="s">
        <v>609</v>
      </c>
      <c r="E89" s="181" t="str">
        <v>Carrier(s) POC</v>
      </c>
      <c r="G89" t="s">
        <v>888</v>
      </c>
    </row>
    <row r="90" spans="1:7" ht="30" x14ac:dyDescent="0.25">
      <c r="A90" s="170" t="s">
        <v>889</v>
      </c>
      <c r="C90" s="175" t="s">
        <v>556</v>
      </c>
      <c r="E90" s="181" t="str">
        <v>GC POC</v>
      </c>
      <c r="G90" t="s">
        <v>889</v>
      </c>
    </row>
    <row r="91" spans="1:7" ht="30" x14ac:dyDescent="0.25">
      <c r="A91" s="170" t="s">
        <v>890</v>
      </c>
      <c r="C91" s="175" t="s">
        <v>610</v>
      </c>
      <c r="E91" s="181" t="str">
        <v>OEM POC</v>
      </c>
      <c r="G91" t="s">
        <v>890</v>
      </c>
    </row>
    <row r="92" spans="1:7" ht="30" x14ac:dyDescent="0.25">
      <c r="A92" s="170" t="s">
        <v>891</v>
      </c>
      <c r="C92" s="174" t="s">
        <v>611</v>
      </c>
      <c r="E92" s="181" t="str">
        <v>Vendor (POC)</v>
      </c>
      <c r="G92" t="s">
        <v>891</v>
      </c>
    </row>
    <row r="93" spans="1:7" ht="45" x14ac:dyDescent="0.25">
      <c r="A93" s="171"/>
      <c r="C93" s="175" t="s">
        <v>523</v>
      </c>
    </row>
    <row r="94" spans="1:7" ht="30" x14ac:dyDescent="0.25">
      <c r="A94" s="171"/>
      <c r="C94" s="175" t="s">
        <v>613</v>
      </c>
    </row>
    <row r="95" spans="1:7" ht="30" x14ac:dyDescent="0.25">
      <c r="A95" s="171"/>
      <c r="C95" s="174" t="s">
        <v>612</v>
      </c>
    </row>
    <row r="96" spans="1:7" ht="30" x14ac:dyDescent="0.25">
      <c r="A96" s="171"/>
      <c r="C96" s="175" t="s">
        <v>525</v>
      </c>
    </row>
    <row r="97" spans="1:3" ht="30" x14ac:dyDescent="0.25">
      <c r="A97" s="171"/>
      <c r="C97" s="175" t="s">
        <v>448</v>
      </c>
    </row>
    <row r="98" spans="1:3" ht="30" x14ac:dyDescent="0.25">
      <c r="A98" s="171"/>
      <c r="C98" s="174" t="s">
        <v>614</v>
      </c>
    </row>
    <row r="99" spans="1:3" ht="30" x14ac:dyDescent="0.25">
      <c r="A99" s="171"/>
      <c r="C99" s="175" t="s">
        <v>531</v>
      </c>
    </row>
    <row r="100" spans="1:3" x14ac:dyDescent="0.25">
      <c r="A100" s="171"/>
      <c r="C100" s="175" t="s">
        <v>615</v>
      </c>
    </row>
    <row r="101" spans="1:3" ht="30" x14ac:dyDescent="0.25">
      <c r="A101" s="171"/>
      <c r="C101" s="174" t="s">
        <v>616</v>
      </c>
    </row>
    <row r="102" spans="1:3" ht="45" x14ac:dyDescent="0.25">
      <c r="A102" s="171"/>
      <c r="C102" s="175" t="s">
        <v>526</v>
      </c>
    </row>
    <row r="103" spans="1:3" x14ac:dyDescent="0.25">
      <c r="A103" s="171"/>
      <c r="C103" s="175" t="s">
        <v>617</v>
      </c>
    </row>
    <row r="104" spans="1:3" ht="30" x14ac:dyDescent="0.25">
      <c r="A104" s="171"/>
      <c r="C104" s="174" t="s">
        <v>618</v>
      </c>
    </row>
    <row r="105" spans="1:3" x14ac:dyDescent="0.25">
      <c r="A105" s="171"/>
      <c r="C105" s="175" t="s">
        <v>532</v>
      </c>
    </row>
    <row r="106" spans="1:3" x14ac:dyDescent="0.25">
      <c r="A106" s="171"/>
      <c r="C106" s="175" t="s">
        <v>619</v>
      </c>
    </row>
    <row r="107" spans="1:3" ht="30" x14ac:dyDescent="0.25">
      <c r="A107" s="171"/>
      <c r="C107" s="174" t="s">
        <v>620</v>
      </c>
    </row>
    <row r="108" spans="1:3" x14ac:dyDescent="0.25">
      <c r="A108" s="171"/>
      <c r="C108" s="175" t="s">
        <v>527</v>
      </c>
    </row>
    <row r="109" spans="1:3" x14ac:dyDescent="0.25">
      <c r="A109" s="171"/>
      <c r="C109" s="175" t="s">
        <v>621</v>
      </c>
    </row>
    <row r="110" spans="1:3" ht="30" x14ac:dyDescent="0.25">
      <c r="A110" s="171"/>
      <c r="C110" s="174" t="s">
        <v>622</v>
      </c>
    </row>
    <row r="111" spans="1:3" x14ac:dyDescent="0.25">
      <c r="A111" s="171"/>
      <c r="C111" s="175" t="s">
        <v>203</v>
      </c>
    </row>
    <row r="112" spans="1:3" x14ac:dyDescent="0.25">
      <c r="A112" s="171"/>
      <c r="C112" s="175" t="s">
        <v>646</v>
      </c>
    </row>
    <row r="113" spans="1:3" x14ac:dyDescent="0.25">
      <c r="A113" s="171"/>
      <c r="C113" s="174" t="s">
        <v>647</v>
      </c>
    </row>
    <row r="114" spans="1:3" ht="30" x14ac:dyDescent="0.25">
      <c r="A114" s="171"/>
      <c r="C114" s="175" t="s">
        <v>528</v>
      </c>
    </row>
    <row r="115" spans="1:3" ht="45" x14ac:dyDescent="0.25">
      <c r="A115" s="171"/>
      <c r="C115" s="175" t="s">
        <v>623</v>
      </c>
    </row>
    <row r="116" spans="1:3" ht="60" x14ac:dyDescent="0.25">
      <c r="A116" s="171"/>
      <c r="C116" s="174" t="s">
        <v>624</v>
      </c>
    </row>
    <row r="117" spans="1:3" ht="30" x14ac:dyDescent="0.25">
      <c r="A117" s="171"/>
      <c r="C117" s="175" t="s">
        <v>651</v>
      </c>
    </row>
    <row r="118" spans="1:3" ht="30" x14ac:dyDescent="0.25">
      <c r="A118" s="171"/>
      <c r="C118" s="175" t="s">
        <v>468</v>
      </c>
    </row>
    <row r="119" spans="1:3" ht="30" x14ac:dyDescent="0.25">
      <c r="A119" s="171"/>
      <c r="C119" s="174" t="s">
        <v>652</v>
      </c>
    </row>
    <row r="120" spans="1:3" ht="45" x14ac:dyDescent="0.25">
      <c r="A120" s="171"/>
      <c r="C120" s="175" t="s">
        <v>533</v>
      </c>
    </row>
    <row r="121" spans="1:3" ht="30" x14ac:dyDescent="0.25">
      <c r="A121" s="171"/>
      <c r="C121" s="175" t="s">
        <v>627</v>
      </c>
    </row>
    <row r="122" spans="1:3" ht="30" x14ac:dyDescent="0.25">
      <c r="A122" s="171"/>
      <c r="C122" s="174" t="s">
        <v>628</v>
      </c>
    </row>
    <row r="123" spans="1:3" ht="45" x14ac:dyDescent="0.25">
      <c r="A123" s="171"/>
      <c r="C123" s="175" t="s">
        <v>534</v>
      </c>
    </row>
    <row r="124" spans="1:3" ht="30" x14ac:dyDescent="0.25">
      <c r="A124" s="171"/>
      <c r="C124" s="175" t="s">
        <v>629</v>
      </c>
    </row>
    <row r="125" spans="1:3" ht="30" x14ac:dyDescent="0.25">
      <c r="A125" s="171"/>
      <c r="C125" s="174" t="s">
        <v>630</v>
      </c>
    </row>
    <row r="126" spans="1:3" ht="30" x14ac:dyDescent="0.25">
      <c r="A126" s="171"/>
      <c r="C126" s="175" t="s">
        <v>535</v>
      </c>
    </row>
    <row r="127" spans="1:3" ht="30" x14ac:dyDescent="0.25">
      <c r="A127" s="171"/>
      <c r="C127" s="175" t="s">
        <v>631</v>
      </c>
    </row>
    <row r="128" spans="1:3" ht="30" x14ac:dyDescent="0.25">
      <c r="A128" s="171"/>
      <c r="C128" s="174" t="s">
        <v>632</v>
      </c>
    </row>
    <row r="129" spans="1:3" ht="30" x14ac:dyDescent="0.25">
      <c r="A129" s="171"/>
      <c r="C129" s="175" t="s">
        <v>653</v>
      </c>
    </row>
    <row r="130" spans="1:3" ht="30" x14ac:dyDescent="0.25">
      <c r="A130" s="171"/>
      <c r="C130" s="175" t="s">
        <v>625</v>
      </c>
    </row>
    <row r="131" spans="1:3" ht="45" x14ac:dyDescent="0.25">
      <c r="A131" s="171"/>
      <c r="C131" s="174" t="s">
        <v>626</v>
      </c>
    </row>
    <row r="132" spans="1:3" ht="75" x14ac:dyDescent="0.25">
      <c r="A132" s="171"/>
      <c r="C132" s="174" t="s">
        <v>658</v>
      </c>
    </row>
    <row r="133" spans="1:3" ht="30" x14ac:dyDescent="0.25">
      <c r="A133" s="171"/>
      <c r="C133" s="175" t="s">
        <v>540</v>
      </c>
    </row>
    <row r="134" spans="1:3" x14ac:dyDescent="0.25">
      <c r="A134" s="171"/>
      <c r="C134" s="175" t="s">
        <v>633</v>
      </c>
    </row>
    <row r="135" spans="1:3" ht="30" x14ac:dyDescent="0.25">
      <c r="A135" s="171"/>
      <c r="C135" s="174" t="s">
        <v>634</v>
      </c>
    </row>
    <row r="136" spans="1:3" x14ac:dyDescent="0.25">
      <c r="A136" s="171"/>
      <c r="C136" s="175" t="s">
        <v>536</v>
      </c>
    </row>
    <row r="137" spans="1:3" x14ac:dyDescent="0.25">
      <c r="A137" s="171"/>
      <c r="C137" s="175" t="s">
        <v>635</v>
      </c>
    </row>
    <row r="138" spans="1:3" ht="30" x14ac:dyDescent="0.25">
      <c r="A138" s="171"/>
      <c r="C138" s="174" t="s">
        <v>636</v>
      </c>
    </row>
    <row r="139" spans="1:3" ht="30" x14ac:dyDescent="0.25">
      <c r="A139" s="171"/>
      <c r="C139" s="175" t="s">
        <v>530</v>
      </c>
    </row>
    <row r="140" spans="1:3" ht="30" x14ac:dyDescent="0.25">
      <c r="A140" s="171"/>
      <c r="C140" s="175" t="s">
        <v>638</v>
      </c>
    </row>
    <row r="141" spans="1:3" ht="30" x14ac:dyDescent="0.25">
      <c r="A141" s="171"/>
      <c r="C141" s="174" t="s">
        <v>637</v>
      </c>
    </row>
    <row r="142" spans="1:3" ht="30" x14ac:dyDescent="0.25">
      <c r="A142" s="171"/>
      <c r="C142" s="175" t="s">
        <v>538</v>
      </c>
    </row>
    <row r="143" spans="1:3" ht="30" x14ac:dyDescent="0.25">
      <c r="A143" s="171"/>
      <c r="C143" s="175" t="s">
        <v>639</v>
      </c>
    </row>
    <row r="144" spans="1:3" ht="30" x14ac:dyDescent="0.25">
      <c r="A144" s="171"/>
      <c r="C144" s="174" t="s">
        <v>640</v>
      </c>
    </row>
    <row r="145" spans="1:3" x14ac:dyDescent="0.25">
      <c r="A145" s="171"/>
      <c r="C145" s="175" t="s">
        <v>642</v>
      </c>
    </row>
    <row r="146" spans="1:3" ht="30" x14ac:dyDescent="0.25">
      <c r="A146" s="171"/>
      <c r="C146" s="175" t="s">
        <v>643</v>
      </c>
    </row>
    <row r="147" spans="1:3" ht="30" x14ac:dyDescent="0.25">
      <c r="A147" s="171"/>
      <c r="C147" s="175" t="s">
        <v>654</v>
      </c>
    </row>
    <row r="148" spans="1:3" x14ac:dyDescent="0.25">
      <c r="A148" s="171"/>
    </row>
    <row r="149" spans="1:3" x14ac:dyDescent="0.25">
      <c r="A149" s="171"/>
    </row>
    <row r="150" spans="1:3" x14ac:dyDescent="0.25">
      <c r="A150" s="171"/>
    </row>
    <row r="151" spans="1:3" x14ac:dyDescent="0.25">
      <c r="A151" s="171"/>
    </row>
    <row r="152" spans="1:3" x14ac:dyDescent="0.25">
      <c r="A152" s="171"/>
    </row>
    <row r="153" spans="1:3" x14ac:dyDescent="0.25">
      <c r="A153" s="171"/>
    </row>
    <row r="154" spans="1:3" x14ac:dyDescent="0.25">
      <c r="A154" s="171"/>
    </row>
    <row r="155" spans="1:3" x14ac:dyDescent="0.25">
      <c r="A155" s="171"/>
    </row>
    <row r="156" spans="1:3" x14ac:dyDescent="0.25">
      <c r="A156" s="171"/>
    </row>
    <row r="157" spans="1:3" x14ac:dyDescent="0.25">
      <c r="A157" s="171"/>
    </row>
    <row r="158" spans="1:3" x14ac:dyDescent="0.25">
      <c r="A158" s="171"/>
    </row>
    <row r="159" spans="1:3" x14ac:dyDescent="0.25">
      <c r="A159" s="171"/>
    </row>
    <row r="160" spans="1:3" x14ac:dyDescent="0.25">
      <c r="A160" s="171"/>
    </row>
    <row r="161" spans="1:1" x14ac:dyDescent="0.25">
      <c r="A161" s="171"/>
    </row>
    <row r="162" spans="1:1" x14ac:dyDescent="0.25">
      <c r="A162" s="171"/>
    </row>
    <row r="163" spans="1:1" x14ac:dyDescent="0.25">
      <c r="A163" s="171"/>
    </row>
    <row r="164" spans="1:1" x14ac:dyDescent="0.25">
      <c r="A164" s="171"/>
    </row>
    <row r="165" spans="1:1" x14ac:dyDescent="0.25">
      <c r="A165" s="171"/>
    </row>
    <row r="166" spans="1:1" x14ac:dyDescent="0.25">
      <c r="A166" s="171"/>
    </row>
    <row r="167" spans="1:1" x14ac:dyDescent="0.25">
      <c r="A167" s="171"/>
    </row>
    <row r="168" spans="1:1" x14ac:dyDescent="0.25">
      <c r="A168" s="171"/>
    </row>
    <row r="169" spans="1:1" x14ac:dyDescent="0.25">
      <c r="A169" s="171"/>
    </row>
    <row r="170" spans="1:1" x14ac:dyDescent="0.25">
      <c r="A170" s="171"/>
    </row>
    <row r="171" spans="1:1" x14ac:dyDescent="0.25">
      <c r="A171" s="171"/>
    </row>
    <row r="172" spans="1:1" x14ac:dyDescent="0.25">
      <c r="A172" s="171"/>
    </row>
    <row r="173" spans="1:1" x14ac:dyDescent="0.25">
      <c r="A173" s="171"/>
    </row>
    <row r="174" spans="1:1" x14ac:dyDescent="0.25">
      <c r="A174" s="171"/>
    </row>
    <row r="175" spans="1:1" x14ac:dyDescent="0.25">
      <c r="A175" s="171"/>
    </row>
    <row r="176" spans="1:1" x14ac:dyDescent="0.25">
      <c r="A176" s="171"/>
    </row>
    <row r="177" spans="1:1" x14ac:dyDescent="0.25">
      <c r="A177" s="171"/>
    </row>
    <row r="178" spans="1:1" x14ac:dyDescent="0.25">
      <c r="A178" s="171"/>
    </row>
    <row r="179" spans="1:1" x14ac:dyDescent="0.25">
      <c r="A179" s="171"/>
    </row>
    <row r="180" spans="1:1" x14ac:dyDescent="0.25">
      <c r="A180" s="171"/>
    </row>
    <row r="181" spans="1:1" x14ac:dyDescent="0.25">
      <c r="A181" s="171"/>
    </row>
    <row r="182" spans="1:1" x14ac:dyDescent="0.25">
      <c r="A182" s="171"/>
    </row>
    <row r="183" spans="1:1" x14ac:dyDescent="0.25">
      <c r="A183" s="171"/>
    </row>
    <row r="184" spans="1:1" x14ac:dyDescent="0.25">
      <c r="A184" s="171"/>
    </row>
    <row r="185" spans="1:1" x14ac:dyDescent="0.25">
      <c r="A185" s="171"/>
    </row>
    <row r="186" spans="1:1" x14ac:dyDescent="0.25">
      <c r="A186" s="171"/>
    </row>
    <row r="187" spans="1:1" x14ac:dyDescent="0.25">
      <c r="A187" s="171"/>
    </row>
    <row r="188" spans="1:1" x14ac:dyDescent="0.25">
      <c r="A188" s="171"/>
    </row>
    <row r="189" spans="1:1" x14ac:dyDescent="0.25">
      <c r="A189" s="171"/>
    </row>
    <row r="190" spans="1:1" x14ac:dyDescent="0.25">
      <c r="A190" s="171"/>
    </row>
    <row r="191" spans="1:1" x14ac:dyDescent="0.25">
      <c r="A191" s="171"/>
    </row>
    <row r="192" spans="1:1" x14ac:dyDescent="0.25">
      <c r="A192" s="171"/>
    </row>
    <row r="193" spans="1:1" x14ac:dyDescent="0.25">
      <c r="A193" s="171"/>
    </row>
    <row r="194" spans="1:1" x14ac:dyDescent="0.25">
      <c r="A194" s="171"/>
    </row>
    <row r="195" spans="1:1" x14ac:dyDescent="0.25">
      <c r="A195" s="171"/>
    </row>
    <row r="196" spans="1:1" x14ac:dyDescent="0.25">
      <c r="A196" s="171"/>
    </row>
    <row r="197" spans="1:1" x14ac:dyDescent="0.25">
      <c r="A197" s="171"/>
    </row>
    <row r="198" spans="1:1" x14ac:dyDescent="0.25">
      <c r="A198" s="171"/>
    </row>
    <row r="199" spans="1:1" x14ac:dyDescent="0.25">
      <c r="A199" s="171"/>
    </row>
    <row r="200" spans="1:1" x14ac:dyDescent="0.25">
      <c r="A200" s="171"/>
    </row>
    <row r="201" spans="1:1" x14ac:dyDescent="0.25">
      <c r="A201" s="171"/>
    </row>
    <row r="202" spans="1:1" x14ac:dyDescent="0.25">
      <c r="A202" s="171"/>
    </row>
    <row r="203" spans="1:1" x14ac:dyDescent="0.25">
      <c r="A203" s="171"/>
    </row>
    <row r="204" spans="1:1" x14ac:dyDescent="0.25">
      <c r="A204" s="171"/>
    </row>
    <row r="205" spans="1:1" x14ac:dyDescent="0.25">
      <c r="A205" s="171"/>
    </row>
    <row r="206" spans="1:1" x14ac:dyDescent="0.25">
      <c r="A206" s="171"/>
    </row>
    <row r="207" spans="1:1" x14ac:dyDescent="0.25">
      <c r="A207" s="171"/>
    </row>
    <row r="208" spans="1:1" x14ac:dyDescent="0.25">
      <c r="A208" s="171"/>
    </row>
    <row r="209" spans="1:1" x14ac:dyDescent="0.25">
      <c r="A209" s="171"/>
    </row>
    <row r="210" spans="1:1" x14ac:dyDescent="0.25">
      <c r="A210" s="171"/>
    </row>
    <row r="211" spans="1:1" x14ac:dyDescent="0.25">
      <c r="A211" s="171"/>
    </row>
    <row r="212" spans="1:1" x14ac:dyDescent="0.25">
      <c r="A212" s="171"/>
    </row>
    <row r="213" spans="1:1" x14ac:dyDescent="0.25">
      <c r="A213" s="171"/>
    </row>
    <row r="214" spans="1:1" x14ac:dyDescent="0.25">
      <c r="A214" s="171"/>
    </row>
    <row r="215" spans="1:1" x14ac:dyDescent="0.25">
      <c r="A215" s="171"/>
    </row>
    <row r="216" spans="1:1" x14ac:dyDescent="0.25">
      <c r="A216" s="171"/>
    </row>
    <row r="217" spans="1:1" x14ac:dyDescent="0.25">
      <c r="A217" s="171"/>
    </row>
    <row r="218" spans="1:1" x14ac:dyDescent="0.25">
      <c r="A218" s="171"/>
    </row>
    <row r="219" spans="1:1" x14ac:dyDescent="0.25">
      <c r="A219" s="171"/>
    </row>
    <row r="220" spans="1:1" x14ac:dyDescent="0.25">
      <c r="A220" s="171"/>
    </row>
    <row r="221" spans="1:1" x14ac:dyDescent="0.25">
      <c r="A221" s="171"/>
    </row>
    <row r="222" spans="1:1" x14ac:dyDescent="0.25">
      <c r="A222" s="171"/>
    </row>
    <row r="223" spans="1:1" x14ac:dyDescent="0.25">
      <c r="A223" s="171"/>
    </row>
    <row r="224" spans="1:1" x14ac:dyDescent="0.25">
      <c r="A224" s="171"/>
    </row>
    <row r="225" spans="1:1" x14ac:dyDescent="0.25">
      <c r="A225" s="171"/>
    </row>
    <row r="226" spans="1:1" x14ac:dyDescent="0.25">
      <c r="A226" s="171"/>
    </row>
    <row r="227" spans="1:1" x14ac:dyDescent="0.25">
      <c r="A227" s="171"/>
    </row>
    <row r="228" spans="1:1" x14ac:dyDescent="0.25">
      <c r="A228" s="171"/>
    </row>
    <row r="229" spans="1:1" x14ac:dyDescent="0.25">
      <c r="A229" s="171"/>
    </row>
    <row r="230" spans="1:1" x14ac:dyDescent="0.25">
      <c r="A230" s="171"/>
    </row>
    <row r="231" spans="1:1" x14ac:dyDescent="0.25">
      <c r="A231" s="171"/>
    </row>
    <row r="232" spans="1:1" x14ac:dyDescent="0.25">
      <c r="A232" s="171"/>
    </row>
    <row r="233" spans="1:1" x14ac:dyDescent="0.25">
      <c r="A233" s="171"/>
    </row>
    <row r="234" spans="1:1" x14ac:dyDescent="0.25">
      <c r="A234" s="171"/>
    </row>
    <row r="235" spans="1:1" x14ac:dyDescent="0.25">
      <c r="A235" s="171"/>
    </row>
    <row r="236" spans="1:1" x14ac:dyDescent="0.25">
      <c r="A236" s="171"/>
    </row>
    <row r="237" spans="1:1" x14ac:dyDescent="0.25">
      <c r="A237" s="171"/>
    </row>
    <row r="238" spans="1:1" x14ac:dyDescent="0.25">
      <c r="A238" s="171"/>
    </row>
  </sheetData>
  <dataValidations count="2">
    <dataValidation type="textLength" allowBlank="1" showInputMessage="1" showErrorMessage="1" sqref="C133:C147 C2:C131" xr:uid="{11D4B6E8-B2EF-458C-9BD4-D19FE8481E8E}">
      <formula1>1</formula1>
      <formula2>70</formula2>
    </dataValidation>
    <dataValidation type="textLength" allowBlank="1" showInputMessage="1" showErrorMessage="1" sqref="C132" xr:uid="{673F34B9-C25A-489E-981E-CB16168415AE}">
      <formula1>1</formula1>
      <formula2>100</formula2>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186F221A73ED4BB678EDDFEAE4F0CD" ma:contentTypeVersion="5" ma:contentTypeDescription="Create a new document." ma:contentTypeScope="" ma:versionID="b2e254e7bb766edc5accf7a67b9ca3f2">
  <xsd:schema xmlns:xsd="http://www.w3.org/2001/XMLSchema" xmlns:xs="http://www.w3.org/2001/XMLSchema" xmlns:p="http://schemas.microsoft.com/office/2006/metadata/properties" xmlns:ns3="5932021e-cb5f-4b9e-af97-39db8fde911f" targetNamespace="http://schemas.microsoft.com/office/2006/metadata/properties" ma:root="true" ma:fieldsID="159ddaa00ee311cee315c106066ee43a" ns3:_="">
    <xsd:import namespace="5932021e-cb5f-4b9e-af97-39db8fde911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32021e-cb5f-4b9e-af97-39db8fde911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5932021e-cb5f-4b9e-af97-39db8fde911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46CB71-4ED4-4031-AE03-8B92A5EE7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32021e-cb5f-4b9e-af97-39db8fde91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C451-6CFB-4E18-9E1B-8D570B410853}">
  <ds:schemaRefs>
    <ds:schemaRef ds:uri="http://schemas.microsoft.com/office/2006/documentManagement/types"/>
    <ds:schemaRef ds:uri="http://schemas.microsoft.com/office/infopath/2007/PartnerControls"/>
    <ds:schemaRef ds:uri="http://purl.org/dc/dcmitype/"/>
    <ds:schemaRef ds:uri="http://purl.org/dc/terms/"/>
    <ds:schemaRef ds:uri="http://schemas.microsoft.com/office/2006/metadata/properties"/>
    <ds:schemaRef ds:uri="http://purl.org/dc/elements/1.1/"/>
    <ds:schemaRef ds:uri="http://www.w3.org/XML/1998/namespace"/>
    <ds:schemaRef ds:uri="http://schemas.openxmlformats.org/package/2006/metadata/core-properties"/>
    <ds:schemaRef ds:uri="5932021e-cb5f-4b9e-af97-39db8fde911f"/>
  </ds:schemaRefs>
</ds:datastoreItem>
</file>

<file path=customXml/itemProps3.xml><?xml version="1.0" encoding="utf-8"?>
<ds:datastoreItem xmlns:ds="http://schemas.openxmlformats.org/officeDocument/2006/customXml" ds:itemID="{8B26F3C9-4C09-494D-B5E2-4CCEFD7AEE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Prototype Tracker</vt:lpstr>
      <vt:lpstr>New</vt:lpstr>
      <vt:lpstr>PreSales Prototype</vt:lpstr>
      <vt:lpstr>Construction Prototype</vt:lpstr>
      <vt:lpstr>Old</vt:lpstr>
      <vt:lpstr>Departmental Milestones</vt:lpstr>
      <vt:lpstr>OV Milestones</vt:lpstr>
      <vt:lpstr>Construction Milestone (AC)</vt:lpstr>
    </vt:vector>
  </TitlesOfParts>
  <Manager/>
  <Company>SBA Communications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JBarron@sbasite.com</dc:creator>
  <cp:keywords/>
  <dc:description/>
  <cp:lastModifiedBy>Jason Barron</cp:lastModifiedBy>
  <cp:revision/>
  <dcterms:created xsi:type="dcterms:W3CDTF">2025-04-29T18:37:21Z</dcterms:created>
  <dcterms:modified xsi:type="dcterms:W3CDTF">2025-07-14T19:31:07Z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5b4670d-e072-4710-b365-f6deb833d23c_Enabled">
    <vt:lpwstr>true</vt:lpwstr>
  </property>
  <property fmtid="{D5CDD505-2E9C-101B-9397-08002B2CF9AE}" pid="3" name="MSIP_Label_85b4670d-e072-4710-b365-f6deb833d23c_SetDate">
    <vt:lpwstr>2025-04-29T18:51:33Z</vt:lpwstr>
  </property>
  <property fmtid="{D5CDD505-2E9C-101B-9397-08002B2CF9AE}" pid="4" name="MSIP_Label_85b4670d-e072-4710-b365-f6deb833d23c_Method">
    <vt:lpwstr>Standard</vt:lpwstr>
  </property>
  <property fmtid="{D5CDD505-2E9C-101B-9397-08002B2CF9AE}" pid="5" name="MSIP_Label_85b4670d-e072-4710-b365-f6deb833d23c_Name">
    <vt:lpwstr>SBA Internal Use Only</vt:lpwstr>
  </property>
  <property fmtid="{D5CDD505-2E9C-101B-9397-08002B2CF9AE}" pid="6" name="MSIP_Label_85b4670d-e072-4710-b365-f6deb833d23c_SiteId">
    <vt:lpwstr>c1c4381f-9e64-4bf3-9ec4-6fcf2888ad39</vt:lpwstr>
  </property>
  <property fmtid="{D5CDD505-2E9C-101B-9397-08002B2CF9AE}" pid="7" name="MSIP_Label_85b4670d-e072-4710-b365-f6deb833d23c_ActionId">
    <vt:lpwstr>19b0aa67-d4f2-4f20-a5f9-de16e38b295d</vt:lpwstr>
  </property>
  <property fmtid="{D5CDD505-2E9C-101B-9397-08002B2CF9AE}" pid="8" name="MSIP_Label_85b4670d-e072-4710-b365-f6deb833d23c_ContentBits">
    <vt:lpwstr>0</vt:lpwstr>
  </property>
  <property fmtid="{D5CDD505-2E9C-101B-9397-08002B2CF9AE}" pid="9" name="ContentTypeId">
    <vt:lpwstr>0x01010014186F221A73ED4BB678EDDFEAE4F0CD</vt:lpwstr>
  </property>
  <property fmtid="{D5CDD505-2E9C-101B-9397-08002B2CF9AE}" pid="10" name="MediaServiceImageTags">
    <vt:lpwstr/>
  </property>
</Properties>
</file>