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gron Belgium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<sst xmlns="http://schemas.openxmlformats.org/spreadsheetml/2006/main" count="90" uniqueCount="90">
  <si>
    <t xml:space="preserve">Activa</t>
  </si>
  <si>
    <t xml:space="preserve">Passiva</t>
  </si>
  <si>
    <t xml:space="preserve">Resultatenrekening</t>
  </si>
  <si>
    <t xml:space="preserve">Current ratio</t>
  </si>
  <si>
    <t xml:space="preserve">In rekening gebrachte BTW aan de vennootschap (aftrekbaar)</t>
  </si>
  <si>
    <t xml:space="preserve">20/28</t>
  </si>
  <si>
    <t xml:space="preserve">Vaste Activa</t>
  </si>
  <si>
    <t xml:space="preserve">10/15</t>
  </si>
  <si>
    <t xml:space="preserve">Eigen Vermogen</t>
  </si>
  <si>
    <t xml:space="preserve">70/76A</t>
  </si>
  <si>
    <t xml:space="preserve">Bedrijfsopbrengsten</t>
  </si>
  <si>
    <t xml:space="preserve">Netto bedrijfskapitaal</t>
  </si>
  <si>
    <t xml:space="preserve">In rekening gebrachte BTW door de vennootschap </t>
  </si>
  <si>
    <t xml:space="preserve">Immateriële vaste activa</t>
  </si>
  <si>
    <t xml:space="preserve">Kapitaal</t>
  </si>
  <si>
    <t xml:space="preserve">Omzet</t>
  </si>
  <si>
    <t xml:space="preserve">Behoefte aan bedrijfskapitaal</t>
  </si>
  <si>
    <t xml:space="preserve">22/27</t>
  </si>
  <si>
    <t xml:space="preserve">Materiële vaste activa</t>
  </si>
  <si>
    <t xml:space="preserve">Reserves</t>
  </si>
  <si>
    <t xml:space="preserve">Andere bedrijfsopbrengsten</t>
  </si>
  <si>
    <t xml:space="preserve">Netto thesaurie</t>
  </si>
  <si>
    <t xml:space="preserve">Financiële vaste activa</t>
  </si>
  <si>
    <t xml:space="preserve">76A</t>
  </si>
  <si>
    <t xml:space="preserve">Niet-recurrente bedrijfsopbrengsten</t>
  </si>
  <si>
    <t xml:space="preserve">Quick ratio</t>
  </si>
  <si>
    <t xml:space="preserve">Schulden Lange Termijn</t>
  </si>
  <si>
    <t xml:space="preserve">60/66A</t>
  </si>
  <si>
    <t xml:space="preserve">Bedrijfskosten</t>
  </si>
  <si>
    <t xml:space="preserve">29/58</t>
  </si>
  <si>
    <t xml:space="preserve">Vlottende activa</t>
  </si>
  <si>
    <t xml:space="preserve">Handelsgoederen, grond-en hulpstoffen</t>
  </si>
  <si>
    <t xml:space="preserve">Aantal dagen voorraad</t>
  </si>
  <si>
    <t xml:space="preserve">Voorraden en bestellingen in uitvoering</t>
  </si>
  <si>
    <t xml:space="preserve">42/48</t>
  </si>
  <si>
    <t xml:space="preserve">Schulden Korte Termijn</t>
  </si>
  <si>
    <t xml:space="preserve">Diensten en diverse goederen</t>
  </si>
  <si>
    <t xml:space="preserve">Aantal dagen klantencrediet</t>
  </si>
  <si>
    <t xml:space="preserve">40/41</t>
  </si>
  <si>
    <t xml:space="preserve">Handelsvorderingen</t>
  </si>
  <si>
    <t xml:space="preserve">Handelsschulden</t>
  </si>
  <si>
    <t xml:space="preserve">Bezoldigingen, sociale lasten en pensioenen</t>
  </si>
  <si>
    <t xml:space="preserve">Aantal dagen leverancierscrediet</t>
  </si>
  <si>
    <t xml:space="preserve">54/58</t>
  </si>
  <si>
    <t xml:space="preserve">Liquide middelen</t>
  </si>
  <si>
    <t xml:space="preserve">Schulden mbt belastingen en bezoldigingen</t>
  </si>
  <si>
    <t xml:space="preserve">Afschrijvingen en waardeverminderingen op materiële vaste activa</t>
  </si>
  <si>
    <t xml:space="preserve">490/1</t>
  </si>
  <si>
    <t xml:space="preserve">Overlopende rekeningen</t>
  </si>
  <si>
    <t xml:space="preserve">47/48</t>
  </si>
  <si>
    <t xml:space="preserve">Overige schulden op ten hoogste 1 jaar</t>
  </si>
  <si>
    <t xml:space="preserve">631/4</t>
  </si>
  <si>
    <t xml:space="preserve">Waardevermindering op voorraden</t>
  </si>
  <si>
    <t xml:space="preserve">635/8</t>
  </si>
  <si>
    <t xml:space="preserve">Voorzieningen voor risico's en kosten</t>
  </si>
  <si>
    <t xml:space="preserve">Te financieren periode</t>
  </si>
  <si>
    <t xml:space="preserve">20/58</t>
  </si>
  <si>
    <t xml:space="preserve">Totale Activa</t>
  </si>
  <si>
    <t xml:space="preserve">10/49</t>
  </si>
  <si>
    <t xml:space="preserve">Totale Passiva</t>
  </si>
  <si>
    <t xml:space="preserve">640/8</t>
  </si>
  <si>
    <t xml:space="preserve">Andere bedrijfskosten</t>
  </si>
  <si>
    <t xml:space="preserve">Bedrijfsresultaat</t>
  </si>
  <si>
    <t xml:space="preserve">Algemene schuldraad</t>
  </si>
  <si>
    <t xml:space="preserve">75/76B</t>
  </si>
  <si>
    <t xml:space="preserve">Financiële opbrengsten</t>
  </si>
  <si>
    <t xml:space="preserve">Graad van financiele onafhankelijkheid</t>
  </si>
  <si>
    <t xml:space="preserve">Recurrente financiële opbrengsten</t>
  </si>
  <si>
    <t xml:space="preserve">Interestdekking</t>
  </si>
  <si>
    <t xml:space="preserve">76B</t>
  </si>
  <si>
    <t xml:space="preserve">Niet-recurrente financiële opbrengsten</t>
  </si>
  <si>
    <t xml:space="preserve">Coverage ratio</t>
  </si>
  <si>
    <t xml:space="preserve">65/65B</t>
  </si>
  <si>
    <t xml:space="preserve">Financiële kosten</t>
  </si>
  <si>
    <t xml:space="preserve">Omloopsnelheid</t>
  </si>
  <si>
    <t xml:space="preserve">Recurrente financiële kosten</t>
  </si>
  <si>
    <t xml:space="preserve">Terugbetalingcapaciteit</t>
  </si>
  <si>
    <t xml:space="preserve">Belastbaar resultaat</t>
  </si>
  <si>
    <t xml:space="preserve">Netto-schuld/EBITDA</t>
  </si>
  <si>
    <t xml:space="preserve">Geen schulden dus niet berekenbaar</t>
  </si>
  <si>
    <t xml:space="preserve">67/77</t>
  </si>
  <si>
    <t xml:space="preserve">Belastingen op het resultaat</t>
  </si>
  <si>
    <t xml:space="preserve">Resultaat van het boekjaar</t>
  </si>
  <si>
    <t xml:space="preserve">Brutoverkoopmarge</t>
  </si>
  <si>
    <t xml:space="preserve">s</t>
  </si>
  <si>
    <t xml:space="preserve">Nettoverkoopmarge</t>
  </si>
  <si>
    <t xml:space="preserve">Brutorendabiliteit van totaal der activa voor belastingen</t>
  </si>
  <si>
    <t xml:space="preserve">Nettorendabiliteit van totaal der activa voor belastingen</t>
  </si>
  <si>
    <t xml:space="preserve">Rendabiliteit van het EV voor belastingen</t>
  </si>
  <si>
    <t xml:space="preserve">Rendabiliteit van het EV na belastingen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</si>
</sst>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#,##0"/>
    <numFmt numFmtId="167" formatCode="mmm\-yy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29"/>
  <sheetViews>
    <sheetView showFormulas="false" showGridLines="true" showRowColHeaders="true" showZeros="true" rightToLeft="false" tabSelected="true" showOutlineSymbols="true" defaultGridColor="true" view="normal" topLeftCell="M1" colorId="64" zoomScale="140" zoomScaleNormal="140" zoomScalePageLayoutView="100" workbookViewId="0">
      <selection pane="topLeft" activeCell="R23" activeCellId="0" sqref="R23"/>
    </sheetView>
  </sheetViews>
  <sheetFormatPr defaultColWidth="8.6796875" defaultRowHeight="14.25" zeroHeight="false" outlineLevelRow="0" outlineLevelCol="0"/>
  <cols>
    <col collapsed="false" customWidth="true" hidden="false" outlineLevel="0" max="2" min="2" style="1" width="19.88"/>
    <col collapsed="false" customWidth="true" hidden="false" outlineLevel="0" max="4" min="3" style="1" width="10.2"/>
    <col collapsed="false" customWidth="true" hidden="false" outlineLevel="0" max="7" min="7" style="1" width="38.21"/>
    <col collapsed="false" customWidth="true" hidden="false" outlineLevel="0" max="9" min="8" style="1" width="10.2"/>
    <col collapsed="false" customWidth="true" hidden="false" outlineLevel="0" max="12" min="12" style="1" width="36"/>
    <col collapsed="false" customWidth="true" hidden="false" outlineLevel="0" max="14" min="13" style="1" width="10.2"/>
    <col collapsed="false" customWidth="true" hidden="false" outlineLevel="0" max="17" min="17" style="1" width="46.52"/>
    <col collapsed="false" customWidth="true" hidden="false" outlineLevel="0" max="18" min="18" style="1" width="30.17"/>
    <col collapsed="false" customWidth="true" hidden="false" outlineLevel="0" max="19" min="19" style="1" width="19.78"/>
    <col collapsed="false" customWidth="true" hidden="false" outlineLevel="0" max="22" min="22" style="1" width="5.78"/>
    <col collapsed="false" customWidth="true" hidden="false" outlineLevel="0" max="23" min="23" style="1" width="53.18"/>
    <col collapsed="false" customWidth="true" hidden="false" outlineLevel="0" max="25" min="24" style="1" width="10.06"/>
  </cols>
  <sheetData>
    <row r="1" customFormat="false" ht="14.25" hidden="false" customHeight="false" outlineLevel="0" collapsed="false">
      <c r="B1" s="2" t="s">
        <v>0</v>
      </c>
      <c r="C1" s="3" t="n">
        <v>2022</v>
      </c>
      <c r="D1" s="3" t="n">
        <v>2021</v>
      </c>
      <c r="G1" s="2" t="s">
        <v>1</v>
      </c>
      <c r="H1" s="3" t="n">
        <v>2022</v>
      </c>
      <c r="I1" s="3" t="n">
        <v>2021</v>
      </c>
      <c r="L1" s="2" t="s">
        <v>2</v>
      </c>
      <c r="M1" s="3" t="n">
        <v>2022</v>
      </c>
      <c r="N1" s="3" t="n">
        <v>2021</v>
      </c>
      <c r="R1" s="3" t="n">
        <v>2022</v>
      </c>
      <c r="S1" s="3" t="n">
        <v>2021</v>
      </c>
      <c r="X1" s="3" t="n">
        <v>2022</v>
      </c>
      <c r="Y1" s="3" t="n">
        <v>2021</v>
      </c>
    </row>
    <row r="2" customFormat="false" ht="14.25" hidden="false" customHeight="false" outlineLevel="0" collapsed="false">
      <c r="Q2" s="2" t="s">
        <v>3</v>
      </c>
      <c r="R2" s="1" t="n">
        <f aca="false">C8/H9</f>
        <v>1.19180753117945</v>
      </c>
      <c r="S2" s="1" t="n">
        <f aca="false">D8/I9</f>
        <v>1.26440064596411</v>
      </c>
      <c r="V2" s="1" t="n">
        <v>9145</v>
      </c>
      <c r="W2" s="1" t="s">
        <v>4</v>
      </c>
      <c r="X2" s="4" t="n">
        <v>4274123</v>
      </c>
      <c r="Y2" s="4" t="n">
        <v>4221308</v>
      </c>
    </row>
    <row r="3" customFormat="false" ht="14.25" hidden="false" customHeight="false" outlineLevel="0" collapsed="false">
      <c r="A3" s="1" t="s">
        <v>5</v>
      </c>
      <c r="B3" s="2" t="s">
        <v>6</v>
      </c>
      <c r="C3" s="4" t="n">
        <f aca="false">SUM(C4:C6)</f>
        <v>2815437</v>
      </c>
      <c r="D3" s="4" t="n">
        <f aca="false">SUM(D4:D6)</f>
        <v>2109514</v>
      </c>
      <c r="F3" s="5" t="s">
        <v>7</v>
      </c>
      <c r="G3" s="2" t="s">
        <v>8</v>
      </c>
      <c r="H3" s="4" t="n">
        <f aca="false">SUM(H4:H5)</f>
        <v>4019439</v>
      </c>
      <c r="I3" s="4" t="n">
        <f aca="false">SUM(I4:I5)</f>
        <v>4164586</v>
      </c>
      <c r="K3" s="1" t="s">
        <v>9</v>
      </c>
      <c r="L3" s="2" t="s">
        <v>10</v>
      </c>
      <c r="M3" s="4" t="n">
        <f aca="false">SUM(M4:M6)</f>
        <v>25573310</v>
      </c>
      <c r="N3" s="4" t="n">
        <f aca="false">SUM(N4:N6)</f>
        <v>25837192</v>
      </c>
      <c r="Q3" s="2" t="s">
        <v>11</v>
      </c>
      <c r="R3" s="1" t="n">
        <f aca="false">H3 - C3</f>
        <v>1204002</v>
      </c>
      <c r="S3" s="1" t="n">
        <f aca="false">I3 - D3</f>
        <v>2055072</v>
      </c>
      <c r="V3" s="1" t="n">
        <v>9146</v>
      </c>
      <c r="W3" s="1" t="s">
        <v>12</v>
      </c>
      <c r="X3" s="4" t="n">
        <v>6972009</v>
      </c>
      <c r="Y3" s="4" t="n">
        <v>6157611</v>
      </c>
    </row>
    <row r="4" customFormat="false" ht="14.25" hidden="false" customHeight="false" outlineLevel="0" collapsed="false">
      <c r="A4" s="1" t="n">
        <v>21</v>
      </c>
      <c r="B4" s="1" t="s">
        <v>13</v>
      </c>
      <c r="C4" s="4" t="n">
        <v>136175</v>
      </c>
      <c r="D4" s="4" t="n">
        <v>128969</v>
      </c>
      <c r="F4" s="1" t="n">
        <v>10</v>
      </c>
      <c r="G4" s="1" t="s">
        <v>14</v>
      </c>
      <c r="H4" s="4" t="n">
        <v>300472</v>
      </c>
      <c r="I4" s="4" t="n">
        <v>300472</v>
      </c>
      <c r="K4" s="1" t="n">
        <v>70</v>
      </c>
      <c r="L4" s="1" t="s">
        <v>15</v>
      </c>
      <c r="M4" s="4" t="n">
        <f aca="false">23578760</f>
        <v>23578760</v>
      </c>
      <c r="N4" s="4" t="n">
        <v>23970332</v>
      </c>
      <c r="Q4" s="2" t="s">
        <v>16</v>
      </c>
      <c r="R4" s="1" t="n">
        <f aca="false">C9+ C10 + C12 - (H10 + H11 + H12)</f>
        <v>-935871</v>
      </c>
      <c r="S4" s="1" t="n">
        <f aca="false">D9+ D10 + D12 - (I10 + I11 + I12)</f>
        <v>-2833979</v>
      </c>
    </row>
    <row r="5" customFormat="false" ht="14.25" hidden="false" customHeight="false" outlineLevel="0" collapsed="false">
      <c r="A5" s="1" t="s">
        <v>17</v>
      </c>
      <c r="B5" s="1" t="s">
        <v>18</v>
      </c>
      <c r="C5" s="4" t="n">
        <v>2675315</v>
      </c>
      <c r="D5" s="4" t="n">
        <v>1976598</v>
      </c>
      <c r="F5" s="1" t="n">
        <v>13</v>
      </c>
      <c r="G5" s="1" t="s">
        <v>19</v>
      </c>
      <c r="H5" s="4" t="n">
        <v>3718967</v>
      </c>
      <c r="I5" s="4" t="n">
        <v>3864114</v>
      </c>
      <c r="K5" s="1" t="n">
        <v>74</v>
      </c>
      <c r="L5" s="1" t="s">
        <v>20</v>
      </c>
      <c r="M5" s="4" t="n">
        <f aca="false">1350460+644090</f>
        <v>1994550</v>
      </c>
      <c r="N5" s="4" t="n">
        <f aca="false">1607706+259111</f>
        <v>1866817</v>
      </c>
      <c r="Q5" s="2" t="s">
        <v>21</v>
      </c>
      <c r="R5" s="1" t="n">
        <f aca="false">R3 - R4</f>
        <v>2139873</v>
      </c>
      <c r="S5" s="1" t="n">
        <f aca="false">S3 - S4</f>
        <v>4889051</v>
      </c>
    </row>
    <row r="6" customFormat="false" ht="14.25" hidden="false" customHeight="false" outlineLevel="0" collapsed="false">
      <c r="A6" s="1" t="n">
        <v>28</v>
      </c>
      <c r="B6" s="1" t="s">
        <v>22</v>
      </c>
      <c r="C6" s="4" t="n">
        <v>3947</v>
      </c>
      <c r="D6" s="4" t="n">
        <v>3947</v>
      </c>
      <c r="K6" s="1" t="s">
        <v>23</v>
      </c>
      <c r="L6" s="1" t="s">
        <v>24</v>
      </c>
      <c r="M6" s="4" t="n">
        <v>0</v>
      </c>
      <c r="N6" s="4" t="n">
        <v>43</v>
      </c>
      <c r="Q6" s="2" t="s">
        <v>25</v>
      </c>
      <c r="R6" s="1" t="n">
        <f aca="false">(C8 - C9 - C12) / (H9)</f>
        <v>0.447802507228223</v>
      </c>
      <c r="S6" s="1" t="n">
        <f aca="false">(D8 - D9 - D12) / (I9)</f>
        <v>0.690841045070304</v>
      </c>
    </row>
    <row r="7" customFormat="false" ht="14.25" hidden="false" customHeight="false" outlineLevel="0" collapsed="false">
      <c r="F7" s="1" t="n">
        <v>17</v>
      </c>
      <c r="G7" s="2" t="s">
        <v>26</v>
      </c>
      <c r="H7" s="1" t="n">
        <v>0</v>
      </c>
      <c r="I7" s="1" t="n">
        <v>0</v>
      </c>
      <c r="K7" s="1" t="s">
        <v>27</v>
      </c>
      <c r="L7" s="2" t="s">
        <v>28</v>
      </c>
      <c r="M7" s="4" t="n">
        <f aca="false">SUM(M8:M14)</f>
        <v>25369227</v>
      </c>
      <c r="N7" s="4" t="n">
        <f aca="false">SUM(N8:N14)</f>
        <v>24670704</v>
      </c>
    </row>
    <row r="8" customFormat="false" ht="14.25" hidden="false" customHeight="false" outlineLevel="0" collapsed="false">
      <c r="A8" s="1" t="s">
        <v>29</v>
      </c>
      <c r="B8" s="2" t="s">
        <v>30</v>
      </c>
      <c r="C8" s="4" t="n">
        <f aca="false">SUM(C9:C12)</f>
        <v>7481132</v>
      </c>
      <c r="D8" s="4" t="n">
        <f aca="false">SUM(D9:D12)</f>
        <v>9827640</v>
      </c>
      <c r="K8" s="1" t="n">
        <v>60</v>
      </c>
      <c r="L8" s="1" t="s">
        <v>31</v>
      </c>
      <c r="M8" s="4" t="n">
        <v>13017039</v>
      </c>
      <c r="N8" s="4" t="n">
        <v>13508055</v>
      </c>
      <c r="Q8" s="2" t="s">
        <v>32</v>
      </c>
      <c r="R8" s="1" t="n">
        <f aca="false">C9 / ((M4 + M5 - (M15 - M6))/365)</f>
        <v>66.447030293828</v>
      </c>
      <c r="S8" s="1" t="n">
        <f aca="false">D9 / ((N4 + N5 - (N15 - N6))/365)</f>
        <v>65.1032824195045</v>
      </c>
    </row>
    <row r="9" customFormat="false" ht="14.25" hidden="false" customHeight="false" outlineLevel="0" collapsed="false">
      <c r="A9" s="1" t="n">
        <v>3</v>
      </c>
      <c r="B9" s="1" t="s">
        <v>33</v>
      </c>
      <c r="C9" s="4" t="n">
        <v>4618383</v>
      </c>
      <c r="D9" s="4" t="n">
        <v>4400394</v>
      </c>
      <c r="F9" s="1" t="s">
        <v>34</v>
      </c>
      <c r="G9" s="2" t="s">
        <v>35</v>
      </c>
      <c r="H9" s="4" t="n">
        <f aca="false">SUM(H10:H12)</f>
        <v>6277131</v>
      </c>
      <c r="I9" s="4" t="n">
        <f aca="false">SUM(I10:I12)</f>
        <v>7772568</v>
      </c>
      <c r="K9" s="1" t="n">
        <v>61</v>
      </c>
      <c r="L9" s="1" t="s">
        <v>36</v>
      </c>
      <c r="M9" s="4" t="n">
        <v>7121936</v>
      </c>
      <c r="N9" s="4" t="n">
        <v>6093236</v>
      </c>
      <c r="Q9" s="2" t="s">
        <v>37</v>
      </c>
      <c r="R9" s="1" t="n">
        <f aca="false">C10 / ((M4 + X3 + M5)/365)</f>
        <v>7.52583482128413</v>
      </c>
      <c r="S9" s="1" t="n">
        <f aca="false">D10 / ((N4 + Y3 + N5)/365)</f>
        <v>5.48226240796931</v>
      </c>
    </row>
    <row r="10" customFormat="false" ht="14.25" hidden="false" customHeight="false" outlineLevel="0" collapsed="false">
      <c r="A10" s="1" t="s">
        <v>38</v>
      </c>
      <c r="B10" s="1" t="s">
        <v>39</v>
      </c>
      <c r="C10" s="4" t="n">
        <f aca="false">671043</f>
        <v>671043</v>
      </c>
      <c r="D10" s="4" t="n">
        <v>480558</v>
      </c>
      <c r="F10" s="1" t="n">
        <v>44</v>
      </c>
      <c r="G10" s="1" t="s">
        <v>40</v>
      </c>
      <c r="H10" s="4" t="n">
        <v>4544359</v>
      </c>
      <c r="I10" s="4" t="n">
        <v>5569513</v>
      </c>
      <c r="K10" s="1" t="n">
        <v>62</v>
      </c>
      <c r="L10" s="1" t="s">
        <v>41</v>
      </c>
      <c r="M10" s="4" t="n">
        <v>4481967</v>
      </c>
      <c r="N10" s="4" t="n">
        <v>4136561</v>
      </c>
      <c r="Q10" s="2" t="s">
        <v>42</v>
      </c>
      <c r="R10" s="1" t="n">
        <f aca="false">H10 / ((M8 +  M9 + X2)/365)</f>
        <v>67.9426689312434</v>
      </c>
      <c r="S10" s="1" t="n">
        <f aca="false">I10 / ((N8 +  N9 + Y2)/365)</f>
        <v>85.3337725661251</v>
      </c>
    </row>
    <row r="11" customFormat="false" ht="14.25" hidden="false" customHeight="false" outlineLevel="0" collapsed="false">
      <c r="A11" s="1" t="s">
        <v>43</v>
      </c>
      <c r="B11" s="1" t="s">
        <v>44</v>
      </c>
      <c r="C11" s="4" t="n">
        <v>2139872</v>
      </c>
      <c r="D11" s="4" t="n">
        <v>4889051</v>
      </c>
      <c r="F11" s="1" t="n">
        <v>45</v>
      </c>
      <c r="G11" s="1" t="s">
        <v>45</v>
      </c>
      <c r="H11" s="4" t="n">
        <f aca="false">1730714+2058</f>
        <v>1732772</v>
      </c>
      <c r="I11" s="4" t="n">
        <f aca="false">2035862+2058</f>
        <v>2037920</v>
      </c>
      <c r="K11" s="1" t="n">
        <v>630</v>
      </c>
      <c r="L11" s="1" t="s">
        <v>46</v>
      </c>
      <c r="M11" s="4" t="n">
        <v>398894</v>
      </c>
      <c r="N11" s="4" t="n">
        <v>427598</v>
      </c>
    </row>
    <row r="12" customFormat="false" ht="14.25" hidden="false" customHeight="false" outlineLevel="0" collapsed="false">
      <c r="A12" s="1" t="s">
        <v>47</v>
      </c>
      <c r="B12" s="1" t="s">
        <v>48</v>
      </c>
      <c r="C12" s="4" t="n">
        <v>51834</v>
      </c>
      <c r="D12" s="4" t="n">
        <v>57637</v>
      </c>
      <c r="F12" s="1" t="s">
        <v>49</v>
      </c>
      <c r="G12" s="1" t="s">
        <v>50</v>
      </c>
      <c r="H12" s="4" t="n">
        <v>0</v>
      </c>
      <c r="I12" s="4" t="n">
        <v>165135</v>
      </c>
      <c r="K12" s="1" t="s">
        <v>51</v>
      </c>
      <c r="L12" s="1" t="s">
        <v>52</v>
      </c>
      <c r="M12" s="4" t="n">
        <v>304786</v>
      </c>
      <c r="N12" s="4" t="n">
        <v>465188</v>
      </c>
    </row>
    <row r="13" customFormat="false" ht="14.25" hidden="false" customHeight="false" outlineLevel="0" collapsed="false">
      <c r="K13" s="1" t="s">
        <v>53</v>
      </c>
      <c r="L13" s="1" t="s">
        <v>54</v>
      </c>
      <c r="M13" s="4" t="n">
        <v>0</v>
      </c>
      <c r="N13" s="4" t="n">
        <v>-253</v>
      </c>
      <c r="Q13" s="2" t="s">
        <v>55</v>
      </c>
      <c r="R13" s="1" t="n">
        <f aca="false">(C9 + C10 - H10) / M4</f>
        <v>0.0315990747605048</v>
      </c>
      <c r="S13" s="1" t="n">
        <f aca="false">(D9 + D10 - I10) / N4</f>
        <v>-0.0287255512355857</v>
      </c>
    </row>
    <row r="14" customFormat="false" ht="14.25" hidden="false" customHeight="false" outlineLevel="0" collapsed="false">
      <c r="A14" s="6" t="s">
        <v>56</v>
      </c>
      <c r="B14" s="1" t="s">
        <v>57</v>
      </c>
      <c r="C14" s="4" t="n">
        <f aca="false">C3+C8</f>
        <v>10296569</v>
      </c>
      <c r="D14" s="4" t="n">
        <f aca="false">D3+D8</f>
        <v>11937154</v>
      </c>
      <c r="F14" s="5" t="s">
        <v>58</v>
      </c>
      <c r="G14" s="1" t="s">
        <v>59</v>
      </c>
      <c r="H14" s="4" t="n">
        <f aca="false">H3+H7+H9</f>
        <v>10296570</v>
      </c>
      <c r="I14" s="4" t="n">
        <f aca="false">I3+I7+I9</f>
        <v>11937154</v>
      </c>
      <c r="K14" s="1" t="s">
        <v>60</v>
      </c>
      <c r="L14" s="1" t="s">
        <v>61</v>
      </c>
      <c r="M14" s="4" t="n">
        <v>44605</v>
      </c>
      <c r="N14" s="4" t="n">
        <v>40319</v>
      </c>
    </row>
    <row r="15" customFormat="false" ht="14.25" hidden="false" customHeight="false" outlineLevel="0" collapsed="false">
      <c r="K15" s="1" t="n">
        <v>9901</v>
      </c>
      <c r="L15" s="2" t="s">
        <v>62</v>
      </c>
      <c r="M15" s="4" t="n">
        <f aca="false">M3-M7</f>
        <v>204083</v>
      </c>
      <c r="N15" s="4" t="n">
        <f aca="false">N3-N7</f>
        <v>1166488</v>
      </c>
      <c r="Q15" s="2" t="s">
        <v>63</v>
      </c>
      <c r="R15" s="1" t="n">
        <f aca="false"> (H7 + H9 ) / H14</f>
        <v>0.609633207951774</v>
      </c>
      <c r="S15" s="1" t="n">
        <f aca="false"> (I7 + I9 ) / I14</f>
        <v>0.651124045145099</v>
      </c>
    </row>
    <row r="16" customFormat="false" ht="14.25" hidden="false" customHeight="false" outlineLevel="0" collapsed="false">
      <c r="K16" s="1" t="s">
        <v>64</v>
      </c>
      <c r="L16" s="2" t="s">
        <v>65</v>
      </c>
      <c r="M16" s="4" t="n">
        <f aca="false">SUM(M17:M18)</f>
        <v>9960</v>
      </c>
      <c r="N16" s="4" t="n">
        <f aca="false">SUM(N17:N18)</f>
        <v>27696</v>
      </c>
      <c r="Q16" s="2" t="s">
        <v>66</v>
      </c>
      <c r="R16" s="1" t="n">
        <f aca="false">((H3) / H14)</f>
        <v>0.390366792048226</v>
      </c>
      <c r="S16" s="1" t="n">
        <f aca="false">((I3) / I14)</f>
        <v>0.348875954854901</v>
      </c>
    </row>
    <row r="17" customFormat="false" ht="14.25" hidden="false" customHeight="false" outlineLevel="0" collapsed="false">
      <c r="K17" s="1" t="n">
        <v>75</v>
      </c>
      <c r="L17" s="1" t="s">
        <v>67</v>
      </c>
      <c r="M17" s="4" t="n">
        <v>3907</v>
      </c>
      <c r="N17" s="4" t="n">
        <v>5199</v>
      </c>
      <c r="Q17" s="7" t="s">
        <v>68</v>
      </c>
      <c r="R17" s="1" t="n">
        <f aca="false">(M21 + M20) / M20</f>
        <v>0.605529010045802</v>
      </c>
      <c r="S17" s="1" t="n">
        <f aca="false">(N21 + N20) / N20</f>
        <v>3.19715994581194</v>
      </c>
    </row>
    <row r="18" customFormat="false" ht="14.25" hidden="false" customHeight="false" outlineLevel="0" collapsed="false">
      <c r="K18" s="1" t="s">
        <v>69</v>
      </c>
      <c r="L18" s="1" t="s">
        <v>70</v>
      </c>
      <c r="M18" s="4" t="n">
        <v>6053</v>
      </c>
      <c r="N18" s="4" t="n">
        <v>22497</v>
      </c>
      <c r="Q18" s="7" t="s">
        <v>71</v>
      </c>
      <c r="R18" s="1" t="n">
        <f aca="false"> (M21 + M20 + M12 + M13 + M11) / M20</f>
        <v>2.59624421114572</v>
      </c>
      <c r="S18" s="1" t="n">
        <f aca="false"> (N21 + N20 + N12 + N13 + N11) / N20</f>
        <v>5.58671696375504</v>
      </c>
    </row>
    <row r="19" customFormat="false" ht="14.25" hidden="false" customHeight="false" outlineLevel="0" collapsed="false">
      <c r="K19" s="1" t="s">
        <v>72</v>
      </c>
      <c r="L19" s="2" t="s">
        <v>73</v>
      </c>
      <c r="M19" s="4" t="n">
        <f aca="false">M20</f>
        <v>353481</v>
      </c>
      <c r="N19" s="4" t="n">
        <f aca="false">N20</f>
        <v>373514</v>
      </c>
      <c r="Q19" s="2" t="s">
        <v>74</v>
      </c>
      <c r="R19" s="1" t="n">
        <f aca="false"> (M4 + M5) / H14</f>
        <v>2.48367271819645</v>
      </c>
      <c r="S19" s="1" t="n">
        <f aca="false"> (N4 + N5) / I14</f>
        <v>2.16443123712738</v>
      </c>
    </row>
    <row r="20" customFormat="false" ht="14.25" hidden="false" customHeight="false" outlineLevel="0" collapsed="false">
      <c r="K20" s="1" t="n">
        <v>65</v>
      </c>
      <c r="L20" s="1" t="s">
        <v>75</v>
      </c>
      <c r="M20" s="4" t="n">
        <v>353481</v>
      </c>
      <c r="N20" s="4" t="n">
        <v>373514</v>
      </c>
      <c r="Q20" s="2" t="s">
        <v>76</v>
      </c>
      <c r="R20" s="1" t="n">
        <f aca="false"> (H7 + H9) / (M21 + M11 + M12 + M13)</f>
        <v>11.1248914472868</v>
      </c>
      <c r="S20" s="1" t="n">
        <f aca="false"> (I7 + I9) / (N21 + N11 + N12 + N13)</f>
        <v>4.53686340731367</v>
      </c>
    </row>
    <row r="21" customFormat="false" ht="14.25" hidden="false" customHeight="false" outlineLevel="0" collapsed="false">
      <c r="K21" s="1" t="n">
        <v>9903</v>
      </c>
      <c r="L21" s="2" t="s">
        <v>77</v>
      </c>
      <c r="M21" s="4" t="n">
        <f aca="false">M15+M16-M19</f>
        <v>-139438</v>
      </c>
      <c r="N21" s="4" t="n">
        <f aca="false">N15+N16-N19</f>
        <v>820670</v>
      </c>
      <c r="Q21" s="2" t="s">
        <v>78</v>
      </c>
      <c r="R21" s="1" t="s">
        <v>79</v>
      </c>
    </row>
    <row r="22" customFormat="false" ht="14.25" hidden="false" customHeight="false" outlineLevel="0" collapsed="false">
      <c r="K22" s="1" t="s">
        <v>80</v>
      </c>
      <c r="L22" s="1" t="s">
        <v>81</v>
      </c>
      <c r="M22" s="4" t="n">
        <v>5709</v>
      </c>
      <c r="N22" s="4" t="n">
        <v>247747</v>
      </c>
      <c r="Q22" s="0"/>
    </row>
    <row r="23" customFormat="false" ht="14.25" hidden="false" customHeight="false" outlineLevel="0" collapsed="false">
      <c r="K23" s="1" t="n">
        <v>9904</v>
      </c>
      <c r="L23" s="2" t="s">
        <v>82</v>
      </c>
      <c r="M23" s="4" t="n">
        <f aca="false">M21-M22</f>
        <v>-145147</v>
      </c>
      <c r="N23" s="4" t="n">
        <f aca="false">N21-N22</f>
        <v>572923</v>
      </c>
      <c r="Q23" s="2" t="s">
        <v>83</v>
      </c>
      <c r="R23" s="1" t="s">
        <v>84</v>
      </c>
      <c r="S23" s="1" t="n">
        <f aca="false"> ((N15 - N6) + N11 + N12) / (N4 + N5)</f>
        <v>0.0797003957363872</v>
      </c>
    </row>
    <row r="24" customFormat="false" ht="14.25" hidden="false" customHeight="false" outlineLevel="0" collapsed="false">
      <c r="Q24" s="2" t="s">
        <v>85</v>
      </c>
      <c r="R24" s="1" t="n">
        <f aca="false"> (M15 - M6) / (M4 + M5)</f>
        <v>0.0079803122865206</v>
      </c>
      <c r="S24" s="1" t="n">
        <f aca="false"> (N15 - N6) / (N4 + N5)</f>
        <v>0.0451460414614631</v>
      </c>
    </row>
    <row r="25" customFormat="false" ht="14.25" hidden="false" customHeight="false" outlineLevel="0" collapsed="false">
      <c r="Q25" s="2" t="s">
        <v>86</v>
      </c>
      <c r="R25" s="1" t="n">
        <f aca="false"> (M21 + M20 + M11 + M12 + M13) / C14</f>
        <v>0.0891290098672674</v>
      </c>
      <c r="S25" s="1" t="n">
        <f aca="false"> (N21 + N20 + N11 + N12 + N13) / D14</f>
        <v>0.174808585027889</v>
      </c>
    </row>
    <row r="26" customFormat="false" ht="14.25" hidden="false" customHeight="false" outlineLevel="0" collapsed="false">
      <c r="Q26" s="2" t="s">
        <v>87</v>
      </c>
      <c r="R26" s="1" t="n">
        <f aca="false"> (M21 + M20) / C14</f>
        <v>0.0207877983433122</v>
      </c>
      <c r="S26" s="1" t="n">
        <f aca="false"> (N21 + N20) / D14</f>
        <v>0.100039255588057</v>
      </c>
    </row>
    <row r="27" customFormat="false" ht="14.25" hidden="false" customHeight="false" outlineLevel="0" collapsed="false">
      <c r="Q27" s="2" t="s">
        <v>88</v>
      </c>
      <c r="R27" s="1" t="n">
        <f aca="false"> M21 / H3</f>
        <v>-0.0346909108460161</v>
      </c>
      <c r="S27" s="1" t="n">
        <f aca="false"> N21 / I3</f>
        <v>0.197059203483852</v>
      </c>
    </row>
    <row r="28" customFormat="false" ht="14.25" hidden="false" customHeight="false" outlineLevel="0" collapsed="false">
      <c r="Q28" s="2" t="s">
        <v>89</v>
      </c>
      <c r="R28" s="1" t="n">
        <f aca="false"> M23 / H3</f>
        <v>-0.0361112583124162</v>
      </c>
      <c r="S28" s="1" t="n">
        <f aca="false"> N23 / I3</f>
        <v>0.137570217063593</v>
      </c>
    </row>
    <row r="29" customFormat="false" ht="14.25" hidden="false" customHeight="false" outlineLevel="0" collapsed="false">
      <c r="Q29" s="0"/>
      <c r="R29" s="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LibreOffice/24.2.7.2$Linux_X86_64 LibreOffice_project/420$Build-2</Application>
  <AppVersion>15.0000</AppVersion>
  <Company>Odisee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2024-02-26T14:54:48Z</dcterms:created>
  <dc:creator>Alain Praet</dc:creator>
  <dc:description/>
  <dc:language>en-US</dc:language>
  <cp:lastModifiedBy/>
  <dcterms:modified xsi:type="dcterms:W3CDTF">2025-03-04T16:28:58Z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