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job_apps\code\"/>
    </mc:Choice>
  </mc:AlternateContent>
  <xr:revisionPtr revIDLastSave="0" documentId="13_ncr:1_{319BF74E-B4E4-49A3-A2CF-A77B8E7E16F7}" xr6:coauthVersionLast="47" xr6:coauthVersionMax="47" xr10:uidLastSave="{00000000-0000-0000-0000-000000000000}"/>
  <bookViews>
    <workbookView xWindow="-98" yWindow="-98" windowWidth="28996" windowHeight="15796" tabRatio="672" firstSheet="2" activeTab="2" xr2:uid="{7789D5E3-136D-4E1D-8C30-CC4BB9CEF4C1}"/>
  </bookViews>
  <sheets>
    <sheet name="Sensitivity analysis diabetes" sheetId="10" r:id="rId1"/>
    <sheet name="Sensitivity analysis H-P" sheetId="9" r:id="rId2"/>
    <sheet name="Sensitivity analysis H-P clin" sheetId="12" r:id="rId3"/>
    <sheet name="Sample size playground" sheetId="6" r:id="rId4"/>
    <sheet name="Sample size estimation (equiv)" sheetId="13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9" l="1"/>
  <c r="K33" i="9"/>
  <c r="Q35" i="9"/>
  <c r="C32" i="13"/>
  <c r="C31" i="13"/>
  <c r="J30" i="13"/>
  <c r="C30" i="13"/>
  <c r="D29" i="13"/>
  <c r="C29" i="13"/>
  <c r="D28" i="13"/>
  <c r="E28" i="13" s="1"/>
  <c r="C28" i="13"/>
  <c r="C27" i="13"/>
  <c r="H21" i="13"/>
  <c r="G21" i="13"/>
  <c r="C17" i="13"/>
  <c r="D30" i="13" s="1"/>
  <c r="C16" i="13"/>
  <c r="E30" i="13" s="1"/>
  <c r="J15" i="13"/>
  <c r="J32" i="13" s="1"/>
  <c r="J14" i="13"/>
  <c r="C6" i="13"/>
  <c r="K32" i="13" l="1"/>
  <c r="K30" i="13"/>
  <c r="J28" i="13"/>
  <c r="K28" i="13" s="1"/>
  <c r="D31" i="13"/>
  <c r="E31" i="13"/>
  <c r="J31" i="13"/>
  <c r="K31" i="13" s="1"/>
  <c r="E29" i="13"/>
  <c r="D27" i="13"/>
  <c r="E27" i="13" s="1"/>
  <c r="J29" i="13"/>
  <c r="K29" i="13"/>
  <c r="D32" i="13"/>
  <c r="E32" i="13" s="1"/>
  <c r="J27" i="13"/>
  <c r="K27" i="13" s="1"/>
  <c r="U19" i="12" l="1"/>
  <c r="T19" i="12"/>
  <c r="S19" i="12"/>
  <c r="R19" i="12"/>
  <c r="Q19" i="12"/>
  <c r="N19" i="12"/>
  <c r="M19" i="12"/>
  <c r="L19" i="12"/>
  <c r="K19" i="12"/>
  <c r="J19" i="12"/>
  <c r="R32" i="9"/>
  <c r="T32" i="9"/>
  <c r="T33" i="9"/>
  <c r="R34" i="9"/>
  <c r="S37" i="9"/>
  <c r="T37" i="9"/>
  <c r="U37" i="9"/>
  <c r="Q30" i="9"/>
  <c r="N29" i="9"/>
  <c r="N32" i="9"/>
  <c r="N35" i="9"/>
  <c r="K36" i="9"/>
  <c r="J30" i="9"/>
  <c r="J31" i="9"/>
  <c r="J32" i="9"/>
  <c r="J33" i="9"/>
  <c r="J34" i="9"/>
  <c r="R27" i="9"/>
  <c r="S27" i="9"/>
  <c r="T27" i="9"/>
  <c r="U27" i="9"/>
  <c r="U32" i="9" s="1"/>
  <c r="Q27" i="9"/>
  <c r="Q29" i="9" s="1"/>
  <c r="K27" i="9"/>
  <c r="K35" i="9" s="1"/>
  <c r="L27" i="9"/>
  <c r="L35" i="9" s="1"/>
  <c r="M27" i="9"/>
  <c r="M35" i="9" s="1"/>
  <c r="N27" i="9"/>
  <c r="J27" i="9"/>
  <c r="D27" i="9"/>
  <c r="E27" i="9"/>
  <c r="F27" i="9"/>
  <c r="G27" i="9"/>
  <c r="C27" i="9"/>
  <c r="C19" i="12"/>
  <c r="D19" i="12"/>
  <c r="E19" i="12"/>
  <c r="F19" i="12"/>
  <c r="G19" i="12"/>
  <c r="C8" i="12"/>
  <c r="C8" i="10"/>
  <c r="N34" i="10"/>
  <c r="H34" i="10"/>
  <c r="B34" i="10"/>
  <c r="B72" i="10"/>
  <c r="C9" i="10"/>
  <c r="C7" i="9"/>
  <c r="T34" i="9" s="1"/>
  <c r="R7" i="9"/>
  <c r="R6" i="9"/>
  <c r="R5" i="9"/>
  <c r="C15" i="6"/>
  <c r="I14" i="6"/>
  <c r="I15" i="6" s="1"/>
  <c r="I13" i="6"/>
  <c r="C14" i="6"/>
  <c r="C13" i="6"/>
  <c r="E24" i="12" l="1"/>
  <c r="L29" i="12"/>
  <c r="S27" i="12"/>
  <c r="J25" i="12"/>
  <c r="Q29" i="12"/>
  <c r="L23" i="12"/>
  <c r="F24" i="12"/>
  <c r="G24" i="12"/>
  <c r="G28" i="12"/>
  <c r="M21" i="12"/>
  <c r="M25" i="12"/>
  <c r="M29" i="12"/>
  <c r="U24" i="12"/>
  <c r="S26" i="12"/>
  <c r="C23" i="12"/>
  <c r="T26" i="12"/>
  <c r="D21" i="12"/>
  <c r="D25" i="12"/>
  <c r="D29" i="12"/>
  <c r="N21" i="12"/>
  <c r="N25" i="12"/>
  <c r="N29" i="12"/>
  <c r="U23" i="12"/>
  <c r="S25" i="12"/>
  <c r="R24" i="12"/>
  <c r="E25" i="12"/>
  <c r="E29" i="12"/>
  <c r="K22" i="12"/>
  <c r="K26" i="12"/>
  <c r="J22" i="12"/>
  <c r="U22" i="12"/>
  <c r="S24" i="12"/>
  <c r="R25" i="12"/>
  <c r="F25" i="12"/>
  <c r="F29" i="12"/>
  <c r="L22" i="12"/>
  <c r="J23" i="12"/>
  <c r="S23" i="12"/>
  <c r="S21" i="12"/>
  <c r="J26" i="12"/>
  <c r="C24" i="12"/>
  <c r="E21" i="12"/>
  <c r="L26" i="12"/>
  <c r="U21" i="12"/>
  <c r="R26" i="12"/>
  <c r="T28" i="12"/>
  <c r="K23" i="12"/>
  <c r="K28" i="12"/>
  <c r="F21" i="12"/>
  <c r="G21" i="12"/>
  <c r="G25" i="12"/>
  <c r="G29" i="12"/>
  <c r="M22" i="12"/>
  <c r="M26" i="12"/>
  <c r="J24" i="12"/>
  <c r="T29" i="12"/>
  <c r="S22" i="12"/>
  <c r="R27" i="12"/>
  <c r="R28" i="12"/>
  <c r="K27" i="12"/>
  <c r="J21" i="12"/>
  <c r="D22" i="12"/>
  <c r="D26" i="12"/>
  <c r="C22" i="12"/>
  <c r="N22" i="12"/>
  <c r="N26" i="12"/>
  <c r="T27" i="12"/>
  <c r="L27" i="12"/>
  <c r="T23" i="12"/>
  <c r="E22" i="12"/>
  <c r="K24" i="12"/>
  <c r="F22" i="12"/>
  <c r="G22" i="12"/>
  <c r="G26" i="12"/>
  <c r="C25" i="12"/>
  <c r="M23" i="12"/>
  <c r="M27" i="12"/>
  <c r="J28" i="12"/>
  <c r="T25" i="12"/>
  <c r="Q27" i="12"/>
  <c r="D27" i="12"/>
  <c r="C26" i="12"/>
  <c r="N23" i="12"/>
  <c r="N27" i="12"/>
  <c r="J29" i="12"/>
  <c r="T24" i="12"/>
  <c r="E27" i="12"/>
  <c r="C27" i="12"/>
  <c r="D23" i="12"/>
  <c r="Q26" i="12"/>
  <c r="E23" i="12"/>
  <c r="F23" i="12"/>
  <c r="F27" i="12"/>
  <c r="C28" i="12"/>
  <c r="L24" i="12"/>
  <c r="L28" i="12"/>
  <c r="U29" i="12"/>
  <c r="T22" i="12"/>
  <c r="Q24" i="12"/>
  <c r="C29" i="12"/>
  <c r="M28" i="12"/>
  <c r="U28" i="12"/>
  <c r="Q23" i="12"/>
  <c r="R29" i="12"/>
  <c r="Q28" i="12"/>
  <c r="G23" i="12"/>
  <c r="G27" i="12"/>
  <c r="M24" i="12"/>
  <c r="T21" i="12"/>
  <c r="F26" i="12"/>
  <c r="R21" i="12"/>
  <c r="D24" i="12"/>
  <c r="D28" i="12"/>
  <c r="C21" i="12"/>
  <c r="N24" i="12"/>
  <c r="N28" i="12"/>
  <c r="U27" i="12"/>
  <c r="S29" i="12"/>
  <c r="Q22" i="12"/>
  <c r="E28" i="12"/>
  <c r="K21" i="12"/>
  <c r="K25" i="12"/>
  <c r="K29" i="12"/>
  <c r="U26" i="12"/>
  <c r="S28" i="12"/>
  <c r="Q21" i="12"/>
  <c r="F28" i="12"/>
  <c r="L21" i="12"/>
  <c r="L25" i="12"/>
  <c r="U25" i="12"/>
  <c r="R22" i="12"/>
  <c r="R23" i="12"/>
  <c r="E26" i="12"/>
  <c r="J27" i="12"/>
  <c r="Q25" i="12"/>
  <c r="C24" i="6"/>
  <c r="I34" i="10"/>
  <c r="K32" i="9"/>
  <c r="U31" i="9"/>
  <c r="R33" i="9"/>
  <c r="N37" i="9"/>
  <c r="N34" i="9"/>
  <c r="M31" i="9"/>
  <c r="Q37" i="9"/>
  <c r="U36" i="9"/>
  <c r="T31" i="9"/>
  <c r="S34" i="9"/>
  <c r="M37" i="9"/>
  <c r="M34" i="9"/>
  <c r="L31" i="9"/>
  <c r="Q36" i="9"/>
  <c r="T36" i="9"/>
  <c r="R31" i="9"/>
  <c r="M32" i="9"/>
  <c r="M29" i="9"/>
  <c r="L32" i="9"/>
  <c r="L29" i="9"/>
  <c r="K29" i="9"/>
  <c r="N31" i="9"/>
  <c r="R37" i="9"/>
  <c r="L37" i="9"/>
  <c r="L34" i="9"/>
  <c r="K31" i="9"/>
  <c r="R36" i="9"/>
  <c r="T30" i="9"/>
  <c r="J29" i="9"/>
  <c r="K37" i="9"/>
  <c r="N30" i="9"/>
  <c r="T35" i="9"/>
  <c r="R30" i="9"/>
  <c r="J37" i="9"/>
  <c r="N36" i="9"/>
  <c r="N33" i="9"/>
  <c r="Q33" i="9"/>
  <c r="T29" i="9"/>
  <c r="J36" i="9"/>
  <c r="M36" i="9"/>
  <c r="M33" i="9"/>
  <c r="L30" i="9"/>
  <c r="Q32" i="9"/>
  <c r="U34" i="9"/>
  <c r="R29" i="9"/>
  <c r="K34" i="9"/>
  <c r="Q34" i="9"/>
  <c r="M30" i="9"/>
  <c r="R35" i="9"/>
  <c r="J35" i="9"/>
  <c r="L36" i="9"/>
  <c r="L33" i="9"/>
  <c r="K30" i="9"/>
  <c r="Q31" i="9"/>
  <c r="S30" i="9"/>
  <c r="S35" i="9"/>
  <c r="S32" i="9"/>
  <c r="S33" i="9"/>
  <c r="S36" i="9"/>
  <c r="S31" i="9"/>
  <c r="S29" i="9"/>
  <c r="U33" i="9"/>
  <c r="U30" i="9"/>
  <c r="U29" i="9"/>
  <c r="U35" i="9"/>
  <c r="E37" i="9"/>
  <c r="C35" i="9"/>
  <c r="E36" i="9"/>
  <c r="E33" i="9"/>
  <c r="E30" i="9"/>
  <c r="C34" i="9"/>
  <c r="D36" i="9"/>
  <c r="D30" i="9"/>
  <c r="C31" i="9"/>
  <c r="E35" i="9"/>
  <c r="E32" i="9"/>
  <c r="E29" i="9"/>
  <c r="G29" i="9"/>
  <c r="C30" i="9"/>
  <c r="D35" i="9"/>
  <c r="D32" i="9"/>
  <c r="D29" i="9"/>
  <c r="F32" i="9"/>
  <c r="G37" i="9"/>
  <c r="G34" i="9"/>
  <c r="G31" i="9"/>
  <c r="C33" i="9"/>
  <c r="C32" i="9"/>
  <c r="F37" i="9"/>
  <c r="F34" i="9"/>
  <c r="F31" i="9"/>
  <c r="G35" i="9"/>
  <c r="E34" i="9"/>
  <c r="E31" i="9"/>
  <c r="G32" i="9"/>
  <c r="C29" i="9"/>
  <c r="D37" i="9"/>
  <c r="D34" i="9"/>
  <c r="D31" i="9"/>
  <c r="F35" i="9"/>
  <c r="C37" i="9"/>
  <c r="G36" i="9"/>
  <c r="G33" i="9"/>
  <c r="G30" i="9"/>
  <c r="F29" i="9"/>
  <c r="C36" i="9"/>
  <c r="F36" i="9"/>
  <c r="F33" i="9"/>
  <c r="F30" i="9"/>
  <c r="C72" i="10"/>
  <c r="C34" i="10"/>
  <c r="O34" i="10"/>
  <c r="C20" i="6"/>
  <c r="C26" i="6"/>
  <c r="C23" i="6"/>
  <c r="I19" i="6"/>
  <c r="C19" i="6"/>
  <c r="C22" i="6"/>
  <c r="C25" i="6"/>
  <c r="C21" i="6"/>
</calcChain>
</file>

<file path=xl/sharedStrings.xml><?xml version="1.0" encoding="utf-8"?>
<sst xmlns="http://schemas.openxmlformats.org/spreadsheetml/2006/main" count="301" uniqueCount="172">
  <si>
    <t>Treatment</t>
  </si>
  <si>
    <t>Sample size</t>
  </si>
  <si>
    <t>Parameters</t>
  </si>
  <si>
    <t>Alpha</t>
  </si>
  <si>
    <t>i.e. 95% significance</t>
  </si>
  <si>
    <t>Min detectable change</t>
  </si>
  <si>
    <t>Test power</t>
  </si>
  <si>
    <t>Test group sizes</t>
  </si>
  <si>
    <t>residual on the second stage of the tsls</t>
  </si>
  <si>
    <t>Pr(X=1)</t>
  </si>
  <si>
    <t>Pr(X=1|Z=1)</t>
  </si>
  <si>
    <t>Pr(X=1|Z=0)</t>
  </si>
  <si>
    <t>Pr(Z=1)</t>
  </si>
  <si>
    <t>Probability of treatment assignment (i.e. probability of being placed in test group)</t>
  </si>
  <si>
    <t>in outcome units</t>
  </si>
  <si>
    <t>Probability of treatment adoption conditional on assignment to test cohort</t>
  </si>
  <si>
    <t>Probability of treatment adoption conditional on assignment to control cohort</t>
  </si>
  <si>
    <t>Adjustment ratio</t>
  </si>
  <si>
    <t>Calculated parameters</t>
  </si>
  <si>
    <t>Critical value</t>
  </si>
  <si>
    <t>Difference in treatment uptake</t>
  </si>
  <si>
    <t>Pr(X=1|Z=1)-P(X=1|Z=0)</t>
  </si>
  <si>
    <t>Variance weighted uptake differential</t>
  </si>
  <si>
    <t>Weighted uplift</t>
  </si>
  <si>
    <t>Uptake differential</t>
  </si>
  <si>
    <t>Difference in treatment uptake between test and control, percentage points</t>
  </si>
  <si>
    <t>Test ratio</t>
  </si>
  <si>
    <t>Venexia M Walker, Neil M Davies, Frank Windmeijer, Stephen Burgess, Richard M Martin; Power calculator for instrumental variable analysis in pharmacoepidemiology. Int J Epidemiol 2017 dyx090. doi: 10.1093/ije/dyx090</t>
  </si>
  <si>
    <t>https://venexia.shinyapps.io/PharmIV/</t>
  </si>
  <si>
    <t>The point of this worksheet is to demonstrate that my method is equivalent to the method in this paper (which is way overcomplicated!)</t>
  </si>
  <si>
    <t>My method</t>
  </si>
  <si>
    <t>residual of the second stage of the tsls</t>
  </si>
  <si>
    <t>alpha</t>
  </si>
  <si>
    <t>SE^-1 * delta</t>
  </si>
  <si>
    <t>Residual SD</t>
  </si>
  <si>
    <t>Residual "variance"</t>
  </si>
  <si>
    <t xml:space="preserve">residual on the second stage of the tsls &lt;--- </t>
  </si>
  <si>
    <t>Input Parameters</t>
  </si>
  <si>
    <t>These are intermediate calculations derived from the input parameters</t>
  </si>
  <si>
    <t>They should NOT BE CHANGED</t>
  </si>
  <si>
    <t>Test group size</t>
  </si>
  <si>
    <t>Control group size</t>
  </si>
  <si>
    <t>Result</t>
  </si>
  <si>
    <t>Reference values</t>
  </si>
  <si>
    <t>Effect on treated</t>
  </si>
  <si>
    <t>This is FYI. Helps get a sense of plausibility</t>
  </si>
  <si>
    <t>0.1071 in the reduced data</t>
  </si>
  <si>
    <t>Connect devices</t>
  </si>
  <si>
    <t>Complete goals</t>
  </si>
  <si>
    <t>Scenario 1: Large health impacts</t>
  </si>
  <si>
    <t>5% reduction in body mass for anyone with BMI &gt; 25</t>
  </si>
  <si>
    <t>.4 improvement in subjective health rating (gsrh) for 20% of sample</t>
  </si>
  <si>
    <t>20% reduction in average alcohol consumption</t>
  </si>
  <si>
    <t>20% reduction in average coffee consumption</t>
  </si>
  <si>
    <t>20% average increase in physical activity (nrg)</t>
  </si>
  <si>
    <t>20% of sample with average sleep less than 8 hours set to exactly 8 hours</t>
  </si>
  <si>
    <t>Increase (decrease) the good (bad) nutrition questions by 20%</t>
  </si>
  <si>
    <t>Decrease mental health questions by 20% (better mental health)</t>
  </si>
  <si>
    <t>calculated from NHANES data</t>
  </si>
  <si>
    <t>1 - significance level</t>
  </si>
  <si>
    <t>share of individuals in test group versus control</t>
  </si>
  <si>
    <t>Scenario parameters</t>
  </si>
  <si>
    <t>Min detectable change (in ITT)</t>
  </si>
  <si>
    <t>Effect on treated (LATE)</t>
  </si>
  <si>
    <t>calculated from alpha</t>
  </si>
  <si>
    <t>2% reduction in body mass for anyone with BMI &gt; 25</t>
  </si>
  <si>
    <t>.2 improvement in subjective health rating (gsrh) for 10% of sample</t>
  </si>
  <si>
    <t>.1 improvement in subjective health rating (gsrh) for 3% of sample</t>
  </si>
  <si>
    <t>3% reduction in average alcohol consumption</t>
  </si>
  <si>
    <t>3% reduction in average coffee consumption</t>
  </si>
  <si>
    <t>3% average increase in physical activity (nrg)</t>
  </si>
  <si>
    <t>3% of sample with average sleep less than 8 hours set to exactly 8 hours</t>
  </si>
  <si>
    <t>Decrease mental health questions by 3% (better mental health)</t>
  </si>
  <si>
    <t>3% reduction in body mass for anyone with BMI &gt; 25</t>
  </si>
  <si>
    <t>10% reduction in average alcohol consumption</t>
  </si>
  <si>
    <t>10% reduction in average coffee consumption</t>
  </si>
  <si>
    <t>10% average increase in physical activity (nrg)</t>
  </si>
  <si>
    <t>10% of sample with average sleep less than 8 hours set to exactly 8 hours</t>
  </si>
  <si>
    <t>Increase (decrease) the good (bad) nutrition questions by 10%</t>
  </si>
  <si>
    <t>Decrease mental health questions by 10% (better mental health)</t>
  </si>
  <si>
    <t>Maximum uptake differentials</t>
  </si>
  <si>
    <t>Super users</t>
  </si>
  <si>
    <t>All pharm</t>
  </si>
  <si>
    <t>Burn points</t>
  </si>
  <si>
    <t>Weekly nutrition targets</t>
  </si>
  <si>
    <t>Residual SD ("noise")</t>
  </si>
  <si>
    <t>ACI</t>
  </si>
  <si>
    <t>NHANES</t>
  </si>
  <si>
    <t>"Noise" estimates</t>
  </si>
  <si>
    <t>Pull from "noise" estimates table to the right to switch between ACI and NHANES</t>
  </si>
  <si>
    <t>Average Treatment Effect (ATE)</t>
  </si>
  <si>
    <t>0.5% reduction in body mass for anyone with BMI &gt; 25</t>
  </si>
  <si>
    <t>1% reduction in average alcohol consumption</t>
  </si>
  <si>
    <t>0.05 improvement in subjective health rating (gsrh) for 1% of sample</t>
  </si>
  <si>
    <t>0.1 improvement in subjective health rating (gsrh) for 3% of sample</t>
  </si>
  <si>
    <t>0.2 improvement in subjective health rating (gsrh) for 10% of sample</t>
  </si>
  <si>
    <t>0.4 improvement in subjective health rating (gsrh) for 20% of sample</t>
  </si>
  <si>
    <t>1% reduction in average coffee consumption</t>
  </si>
  <si>
    <t>1% average increase in physical activity (nrg)</t>
  </si>
  <si>
    <t>1% of sample with average sleep less than 8 hours set to exactly 8 hours</t>
  </si>
  <si>
    <t>1% Increase (decrease) the good (bad) nutrition questions</t>
  </si>
  <si>
    <t>3% decrease in mental health questions by (better mental health)</t>
  </si>
  <si>
    <t>1% decrease in mental health questions by (better mental health)</t>
  </si>
  <si>
    <t>3% Increase (decrease) the good (bad) nutrition questions</t>
  </si>
  <si>
    <t>10% Increase (decrease) the good (bad) nutrition questions</t>
  </si>
  <si>
    <t>10% decrease in mental health questions by (better mental health)</t>
  </si>
  <si>
    <t>20% Increase (decrease) the good (bad) nutrition questions</t>
  </si>
  <si>
    <t>20% decrease in mental health questions by (better mental health)</t>
  </si>
  <si>
    <t>Caveats:</t>
  </si>
  <si>
    <t>Synthetic data</t>
  </si>
  <si>
    <t>Synthetic data may not follow "true" data generating process.</t>
  </si>
  <si>
    <t>E.g., the reduction in alcohol consumption and weight may not be consistent</t>
  </si>
  <si>
    <t>Diff in diff variance</t>
  </si>
  <si>
    <t>For the diff-in-diff, there is an additional source of variance (the first set of differences)</t>
  </si>
  <si>
    <t>This is not accounted for because we have no way to estimate it with present data</t>
  </si>
  <si>
    <t>Diabetes specific:</t>
  </si>
  <si>
    <t>20% decrease in A1C</t>
  </si>
  <si>
    <t>20% decrease in blood pressure for anyone with high blood pressure (&gt;130/&gt;90)</t>
  </si>
  <si>
    <t>20% decrease (increase) in bad (good) cholesterol measures</t>
  </si>
  <si>
    <t>5% decrease in waist measurement for BMI &gt; 25</t>
  </si>
  <si>
    <t>20% decrease in resting heart rate</t>
  </si>
  <si>
    <t>20% decrease in fasting blood glucose</t>
  </si>
  <si>
    <t>10% decrease in A1C</t>
  </si>
  <si>
    <t>10% decrease in blood pressure for anyone with high blood pressure (&gt;130/&gt;90)</t>
  </si>
  <si>
    <t>10% decrease (increase) in bad (good) cholesterol measures</t>
  </si>
  <si>
    <t>3% decrease in waist measurement for BMI &gt; 25</t>
  </si>
  <si>
    <t>10% decrease in resting heart rate</t>
  </si>
  <si>
    <t>10% decrease in fasting blood glucose</t>
  </si>
  <si>
    <t>3% decrease in A1C</t>
  </si>
  <si>
    <t>3% decrease in blood pressure for anyone with high blood pressure (&gt;130/&gt;90)</t>
  </si>
  <si>
    <t>3% decrease (increase) in bad (good) cholesterol measures</t>
  </si>
  <si>
    <t>3% decrease in resting heart rate</t>
  </si>
  <si>
    <t>2% decrease in waist measurement for BMI &gt; 25</t>
  </si>
  <si>
    <t>3% decrease in fasting blood glucose</t>
  </si>
  <si>
    <t>1% decrease in A1C</t>
  </si>
  <si>
    <t>1% decrease in blood pressure for anyone with high blood pressure (&gt;130/&gt;90)</t>
  </si>
  <si>
    <t>1% decrease (increase) in bad (good) cholesterol measures</t>
  </si>
  <si>
    <t>1% decrease in waist measurement for BMI &gt; 25</t>
  </si>
  <si>
    <t>1% decrease in resting heart rate</t>
  </si>
  <si>
    <t>1% decrease in fasting blood glucose</t>
  </si>
  <si>
    <t>Number of members in control group</t>
  </si>
  <si>
    <t>Number of members in test group</t>
  </si>
  <si>
    <t>Very Large health impacts</t>
  </si>
  <si>
    <t>Large health impacts</t>
  </si>
  <si>
    <t>Moderate health impacts</t>
  </si>
  <si>
    <t>Scenarios</t>
  </si>
  <si>
    <t>Small health impacts</t>
  </si>
  <si>
    <t>For reference</t>
  </si>
  <si>
    <t>Sensitivity Analysis -- Health and Pharmacy experiment</t>
  </si>
  <si>
    <t>Sensitivity analysis -- Diabetes Journey participation experiment</t>
  </si>
  <si>
    <r>
      <rPr>
        <sz val="11"/>
        <color theme="1"/>
        <rFont val="Calibri"/>
        <family val="2"/>
        <scheme val="minor"/>
      </rPr>
      <t xml:space="preserve">These are the </t>
    </r>
    <r>
      <rPr>
        <i/>
        <sz val="11"/>
        <color theme="1"/>
        <rFont val="Calibri"/>
        <family val="2"/>
        <scheme val="minor"/>
      </rPr>
      <t>final</t>
    </r>
    <r>
      <rPr>
        <sz val="11"/>
        <color theme="1"/>
        <rFont val="Calibri"/>
        <family val="2"/>
        <scheme val="minor"/>
      </rPr>
      <t xml:space="preserve"> sample sizes. A buffer should be added for attrition.</t>
    </r>
  </si>
  <si>
    <t>Attrition</t>
  </si>
  <si>
    <t>Increase (decrease) the good (bad) nutrition questions by 3%</t>
  </si>
  <si>
    <t>Users</t>
  </si>
  <si>
    <t>Action 1</t>
  </si>
  <si>
    <t>Action 2</t>
  </si>
  <si>
    <t>Action 3</t>
  </si>
  <si>
    <t>Action 4</t>
  </si>
  <si>
    <t>Residual SD estimates</t>
  </si>
  <si>
    <t>Large impacts</t>
  </si>
  <si>
    <t>Moderate impacts</t>
  </si>
  <si>
    <t>Small impacts</t>
  </si>
  <si>
    <t>Source 1</t>
  </si>
  <si>
    <t>Source 2</t>
  </si>
  <si>
    <t>Pull from table to the right to switch between sources</t>
  </si>
  <si>
    <t>Residual SD using Source 1:</t>
  </si>
  <si>
    <t>&lt;-- Expected sample size for (project)</t>
  </si>
  <si>
    <t>Two numbers are the same</t>
  </si>
  <si>
    <t>Sensitivity Analysis -- Encouragement design</t>
  </si>
  <si>
    <t>Note that this worksheet was for a project. All references to the true project were removed, leaving only the sensitivity analysis calculations.</t>
  </si>
  <si>
    <t>Test power by sample size for the following parameters</t>
  </si>
  <si>
    <t>Test power given sample size (Second experiment)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</si>
</sst>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00000000"/>
    <numFmt numFmtId="167" formatCode="0.0%"/>
    <numFmt numFmtId="168" formatCode="0.0000"/>
    <numFmt numFmtId="169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3" fillId="0" borderId="0" xfId="0" applyFont="1"/>
    <xf numFmtId="164" fontId="0" fillId="0" borderId="0" xfId="0" applyNumberFormat="1"/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left" indent="1"/>
    </xf>
    <xf numFmtId="0" fontId="0" fillId="0" borderId="2" xfId="0" applyBorder="1"/>
    <xf numFmtId="165" fontId="0" fillId="0" borderId="0" xfId="0" applyNumberFormat="1"/>
    <xf numFmtId="0" fontId="0" fillId="4" borderId="0" xfId="0" applyFill="1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4" fillId="0" borderId="0" xfId="2"/>
    <xf numFmtId="0" fontId="0" fillId="0" borderId="6" xfId="0" applyBorder="1"/>
    <xf numFmtId="166" fontId="0" fillId="0" borderId="0" xfId="0" applyNumberFormat="1"/>
    <xf numFmtId="2" fontId="0" fillId="4" borderId="5" xfId="0" applyNumberFormat="1" applyFill="1" applyBorder="1" applyAlignment="1">
      <alignment horizontal="left" indent="1"/>
    </xf>
    <xf numFmtId="2" fontId="0" fillId="4" borderId="1" xfId="0" applyNumberFormat="1" applyFill="1" applyBorder="1" applyAlignment="1">
      <alignment horizontal="left" indent="1"/>
    </xf>
    <xf numFmtId="0" fontId="0" fillId="3" borderId="4" xfId="0" applyFill="1" applyBorder="1" applyAlignment="1">
      <alignment horizontal="right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left" indent="1"/>
    </xf>
    <xf numFmtId="0" fontId="0" fillId="0" borderId="0" xfId="0" applyAlignment="1">
      <alignment horizontal="right"/>
    </xf>
    <xf numFmtId="0" fontId="0" fillId="5" borderId="0" xfId="0" applyFill="1"/>
    <xf numFmtId="167" fontId="0" fillId="5" borderId="0" xfId="1" applyNumberFormat="1" applyFont="1" applyFill="1"/>
    <xf numFmtId="0" fontId="0" fillId="6" borderId="0" xfId="0" applyFill="1"/>
    <xf numFmtId="0" fontId="0" fillId="5" borderId="7" xfId="0" applyFill="1" applyBorder="1" applyAlignment="1">
      <alignment horizontal="right"/>
    </xf>
    <xf numFmtId="9" fontId="0" fillId="5" borderId="5" xfId="1" applyFont="1" applyFill="1" applyBorder="1"/>
    <xf numFmtId="0" fontId="0" fillId="6" borderId="1" xfId="0" applyFill="1" applyBorder="1" applyAlignment="1">
      <alignment horizontal="left" indent="1"/>
    </xf>
    <xf numFmtId="0" fontId="0" fillId="6" borderId="7" xfId="0" applyFill="1" applyBorder="1"/>
    <xf numFmtId="0" fontId="0" fillId="6" borderId="5" xfId="0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7" borderId="0" xfId="0" applyFill="1"/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1" fillId="7" borderId="5" xfId="0" applyFont="1" applyFill="1" applyBorder="1"/>
    <xf numFmtId="0" fontId="0" fillId="7" borderId="7" xfId="0" applyFill="1" applyBorder="1"/>
    <xf numFmtId="0" fontId="0" fillId="7" borderId="3" xfId="0" applyFill="1" applyBorder="1"/>
    <xf numFmtId="0" fontId="3" fillId="7" borderId="1" xfId="0" applyFont="1" applyFill="1" applyBorder="1"/>
    <xf numFmtId="0" fontId="0" fillId="7" borderId="4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0" fillId="5" borderId="1" xfId="0" applyFill="1" applyBorder="1"/>
    <xf numFmtId="0" fontId="0" fillId="5" borderId="10" xfId="0" applyFill="1" applyBorder="1"/>
    <xf numFmtId="0" fontId="0" fillId="7" borderId="2" xfId="0" applyFill="1" applyBorder="1"/>
    <xf numFmtId="0" fontId="0" fillId="7" borderId="12" xfId="0" applyFill="1" applyBorder="1"/>
    <xf numFmtId="0" fontId="0" fillId="3" borderId="1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3" xfId="0" applyFill="1" applyBorder="1" applyAlignment="1">
      <alignment horizontal="left" indent="1"/>
    </xf>
    <xf numFmtId="167" fontId="0" fillId="5" borderId="1" xfId="1" applyNumberFormat="1" applyFont="1" applyFill="1" applyBorder="1"/>
    <xf numFmtId="167" fontId="0" fillId="5" borderId="10" xfId="1" applyNumberFormat="1" applyFont="1" applyFill="1" applyBorder="1"/>
    <xf numFmtId="0" fontId="0" fillId="8" borderId="8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0" fillId="3" borderId="4" xfId="0" applyNumberFormat="1" applyFill="1" applyBorder="1" applyAlignment="1">
      <alignment horizontal="left" indent="1"/>
    </xf>
    <xf numFmtId="164" fontId="0" fillId="2" borderId="5" xfId="0" applyNumberFormat="1" applyFill="1" applyBorder="1" applyAlignment="1">
      <alignment horizontal="left" inden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168" fontId="0" fillId="0" borderId="0" xfId="0" applyNumberFormat="1" applyAlignment="1">
      <alignment horizontal="left" indent="1"/>
    </xf>
    <xf numFmtId="167" fontId="0" fillId="0" borderId="0" xfId="1" applyNumberFormat="1" applyFont="1" applyFill="1" applyBorder="1"/>
    <xf numFmtId="0" fontId="0" fillId="9" borderId="1" xfId="0" applyFill="1" applyBorder="1"/>
    <xf numFmtId="0" fontId="0" fillId="9" borderId="10" xfId="0" applyFill="1" applyBorder="1"/>
    <xf numFmtId="0" fontId="0" fillId="9" borderId="17" xfId="0" applyFill="1" applyBorder="1"/>
    <xf numFmtId="0" fontId="0" fillId="9" borderId="11" xfId="0" applyFill="1" applyBorder="1"/>
    <xf numFmtId="169" fontId="0" fillId="3" borderId="4" xfId="0" applyNumberFormat="1" applyFill="1" applyBorder="1" applyAlignment="1">
      <alignment horizontal="left" indent="1"/>
    </xf>
    <xf numFmtId="167" fontId="0" fillId="5" borderId="13" xfId="1" applyNumberFormat="1" applyFont="1" applyFill="1" applyBorder="1"/>
    <xf numFmtId="167" fontId="0" fillId="5" borderId="11" xfId="1" applyNumberFormat="1" applyFont="1" applyFill="1" applyBorder="1"/>
    <xf numFmtId="0" fontId="0" fillId="7" borderId="10" xfId="0" applyFill="1" applyBorder="1"/>
    <xf numFmtId="167" fontId="0" fillId="5" borderId="5" xfId="1" applyNumberFormat="1" applyFont="1" applyFill="1" applyBorder="1"/>
    <xf numFmtId="167" fontId="0" fillId="5" borderId="17" xfId="1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2" fontId="0" fillId="3" borderId="11" xfId="0" applyNumberFormat="1" applyFill="1" applyBorder="1" applyAlignment="1">
      <alignment horizontal="left" indent="1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left" indent="1"/>
    </xf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6" fillId="7" borderId="1" xfId="0" applyFont="1" applyFill="1" applyBorder="1"/>
    <xf numFmtId="0" fontId="1" fillId="7" borderId="1" xfId="0" applyFont="1" applyFill="1" applyBorder="1"/>
    <xf numFmtId="0" fontId="7" fillId="7" borderId="1" xfId="0" applyFont="1" applyFill="1" applyBorder="1"/>
    <xf numFmtId="0" fontId="1" fillId="0" borderId="0" xfId="0" applyFont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venexia.shinyapps.io/PharmIV/" TargetMode="External"/><Relationship Id="rId1" Type="http://schemas.openxmlformats.org/officeDocument/2006/relationships/hyperlink" Target="https://doi.org/10.1093/ije/dyx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7721-0A53-47CC-8B40-0A535F913681}">
  <sheetPr>
    <tabColor theme="9" tint="0.39997558519241921"/>
  </sheetPr>
  <dimension ref="B1:R87"/>
  <sheetViews>
    <sheetView topLeftCell="A39" workbookViewId="0">
      <selection activeCell="J39" sqref="J39"/>
    </sheetView>
  </sheetViews>
  <sheetFormatPr defaultRowHeight="14.25" x14ac:dyDescent="0.45"/>
  <cols>
    <col min="2" max="2" width="25.59765625" customWidth="1"/>
    <col min="3" max="3" width="9.6640625" customWidth="1"/>
    <col min="6" max="6" width="10.86328125" customWidth="1"/>
    <col min="8" max="8" width="25.59765625" customWidth="1"/>
    <col min="9" max="9" width="9.9296875" customWidth="1"/>
    <col min="10" max="10" width="9.59765625" customWidth="1"/>
    <col min="12" max="12" width="10.265625" customWidth="1"/>
    <col min="14" max="14" width="25.59765625" customWidth="1"/>
    <col min="15" max="15" width="9.796875" customWidth="1"/>
    <col min="16" max="16" width="8.59765625" customWidth="1"/>
    <col min="18" max="18" width="10.796875" customWidth="1"/>
    <col min="20" max="20" width="25.59765625" customWidth="1"/>
  </cols>
  <sheetData>
    <row r="1" spans="2:18" x14ac:dyDescent="0.45">
      <c r="B1" s="2" t="s">
        <v>149</v>
      </c>
    </row>
    <row r="2" spans="2:18" x14ac:dyDescent="0.45">
      <c r="B2" s="2"/>
    </row>
    <row r="3" spans="2:18" ht="14.65" thickBot="1" x14ac:dyDescent="0.5">
      <c r="B3" s="102" t="s">
        <v>37</v>
      </c>
      <c r="C3" s="103"/>
      <c r="I3" s="2"/>
      <c r="J3" s="2"/>
      <c r="M3" s="2"/>
      <c r="N3" s="2"/>
      <c r="O3" s="2"/>
      <c r="P3" s="2"/>
    </row>
    <row r="4" spans="2:18" x14ac:dyDescent="0.45">
      <c r="B4" s="51" t="s">
        <v>85</v>
      </c>
      <c r="C4" s="65">
        <v>0.3198222</v>
      </c>
      <c r="D4" s="4" t="s">
        <v>58</v>
      </c>
      <c r="N4" s="25"/>
      <c r="O4" s="1"/>
      <c r="P4" s="1"/>
    </row>
    <row r="5" spans="2:18" x14ac:dyDescent="0.45">
      <c r="B5" s="51" t="s">
        <v>40</v>
      </c>
      <c r="C5" s="38">
        <v>5000</v>
      </c>
      <c r="D5" s="4" t="s">
        <v>141</v>
      </c>
      <c r="N5" s="25"/>
      <c r="O5" s="1"/>
      <c r="P5" s="1"/>
    </row>
    <row r="6" spans="2:18" x14ac:dyDescent="0.45">
      <c r="B6" s="52" t="s">
        <v>41</v>
      </c>
      <c r="C6" s="53">
        <v>5000</v>
      </c>
      <c r="D6" s="4" t="s">
        <v>140</v>
      </c>
      <c r="N6" s="25"/>
      <c r="O6" s="1"/>
      <c r="P6" s="68"/>
      <c r="Q6" s="86"/>
    </row>
    <row r="7" spans="2:18" x14ac:dyDescent="0.45">
      <c r="B7" s="51" t="s">
        <v>32</v>
      </c>
      <c r="C7" s="38">
        <v>0.05</v>
      </c>
      <c r="D7" s="4" t="s">
        <v>59</v>
      </c>
      <c r="I7" s="2"/>
      <c r="N7" s="25"/>
      <c r="O7" s="1"/>
      <c r="P7" s="68"/>
    </row>
    <row r="8" spans="2:18" x14ac:dyDescent="0.45">
      <c r="B8" s="36" t="s">
        <v>26</v>
      </c>
      <c r="C8" s="87">
        <f>C5/(C6+C5)</f>
        <v>0.5</v>
      </c>
      <c r="D8" s="4" t="s">
        <v>60</v>
      </c>
      <c r="N8" s="25"/>
      <c r="O8" s="1"/>
      <c r="P8" s="68"/>
    </row>
    <row r="9" spans="2:18" x14ac:dyDescent="0.45">
      <c r="B9" s="13" t="s">
        <v>19</v>
      </c>
      <c r="C9" s="19">
        <f>_xlfn.NORM.INV(1-C7/2,0,1)</f>
        <v>1.9599639845400536</v>
      </c>
      <c r="D9" s="4" t="s">
        <v>64</v>
      </c>
      <c r="N9" s="25"/>
      <c r="O9" s="1"/>
      <c r="P9" s="1"/>
    </row>
    <row r="11" spans="2:18" ht="14.65" thickBot="1" x14ac:dyDescent="0.5"/>
    <row r="12" spans="2:18" ht="14.65" thickBot="1" x14ac:dyDescent="0.5">
      <c r="B12" s="106" t="s">
        <v>145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8"/>
    </row>
    <row r="13" spans="2:18" x14ac:dyDescent="0.45">
      <c r="B13" s="99" t="s">
        <v>143</v>
      </c>
      <c r="C13" s="35"/>
      <c r="D13" s="35"/>
      <c r="E13" s="35"/>
      <c r="F13" s="43"/>
      <c r="H13" s="39" t="s">
        <v>144</v>
      </c>
      <c r="I13" s="40"/>
      <c r="J13" s="40"/>
      <c r="K13" s="40"/>
      <c r="L13" s="41"/>
      <c r="N13" s="100" t="s">
        <v>146</v>
      </c>
      <c r="O13" s="35"/>
      <c r="P13" s="35"/>
      <c r="Q13" s="35"/>
      <c r="R13" s="43"/>
    </row>
    <row r="14" spans="2:18" x14ac:dyDescent="0.45">
      <c r="B14" s="42" t="s">
        <v>73</v>
      </c>
      <c r="C14" s="35"/>
      <c r="D14" s="35"/>
      <c r="E14" s="35"/>
      <c r="F14" s="43"/>
      <c r="H14" s="42" t="s">
        <v>65</v>
      </c>
      <c r="I14" s="35"/>
      <c r="J14" s="35"/>
      <c r="K14" s="35"/>
      <c r="L14" s="43"/>
      <c r="N14" s="42" t="s">
        <v>91</v>
      </c>
      <c r="O14" s="35"/>
      <c r="P14" s="35"/>
      <c r="Q14" s="35"/>
      <c r="R14" s="43"/>
    </row>
    <row r="15" spans="2:18" x14ac:dyDescent="0.45">
      <c r="B15" s="42" t="s">
        <v>95</v>
      </c>
      <c r="C15" s="35"/>
      <c r="D15" s="35"/>
      <c r="E15" s="35"/>
      <c r="F15" s="43"/>
      <c r="H15" s="42" t="s">
        <v>94</v>
      </c>
      <c r="I15" s="35"/>
      <c r="J15" s="35"/>
      <c r="K15" s="35"/>
      <c r="L15" s="43"/>
      <c r="N15" s="42" t="s">
        <v>93</v>
      </c>
      <c r="O15" s="35"/>
      <c r="P15" s="35"/>
      <c r="Q15" s="35"/>
      <c r="R15" s="43"/>
    </row>
    <row r="16" spans="2:18" x14ac:dyDescent="0.45">
      <c r="B16" s="42" t="s">
        <v>74</v>
      </c>
      <c r="C16" s="35"/>
      <c r="D16" s="35"/>
      <c r="E16" s="35"/>
      <c r="F16" s="43"/>
      <c r="H16" s="42" t="s">
        <v>68</v>
      </c>
      <c r="I16" s="35"/>
      <c r="J16" s="35"/>
      <c r="K16" s="35"/>
      <c r="L16" s="43"/>
      <c r="N16" s="42" t="s">
        <v>92</v>
      </c>
      <c r="O16" s="35"/>
      <c r="P16" s="35"/>
      <c r="Q16" s="35"/>
      <c r="R16" s="43"/>
    </row>
    <row r="17" spans="2:18" x14ac:dyDescent="0.45">
      <c r="B17" s="42" t="s">
        <v>75</v>
      </c>
      <c r="C17" s="35"/>
      <c r="D17" s="35"/>
      <c r="E17" s="35"/>
      <c r="F17" s="43"/>
      <c r="H17" s="42" t="s">
        <v>69</v>
      </c>
      <c r="I17" s="35"/>
      <c r="J17" s="35"/>
      <c r="K17" s="35"/>
      <c r="L17" s="43"/>
      <c r="N17" s="42" t="s">
        <v>97</v>
      </c>
      <c r="O17" s="35"/>
      <c r="P17" s="35"/>
      <c r="Q17" s="35"/>
      <c r="R17" s="43"/>
    </row>
    <row r="18" spans="2:18" x14ac:dyDescent="0.45">
      <c r="B18" s="42" t="s">
        <v>76</v>
      </c>
      <c r="C18" s="35"/>
      <c r="D18" s="35"/>
      <c r="E18" s="35"/>
      <c r="F18" s="43"/>
      <c r="H18" s="42" t="s">
        <v>70</v>
      </c>
      <c r="I18" s="35"/>
      <c r="J18" s="35"/>
      <c r="K18" s="35"/>
      <c r="L18" s="43"/>
      <c r="N18" s="42" t="s">
        <v>98</v>
      </c>
      <c r="O18" s="35"/>
      <c r="P18" s="35"/>
      <c r="Q18" s="35"/>
      <c r="R18" s="43"/>
    </row>
    <row r="19" spans="2:18" x14ac:dyDescent="0.45">
      <c r="B19" s="42" t="s">
        <v>77</v>
      </c>
      <c r="C19" s="35"/>
      <c r="D19" s="35"/>
      <c r="E19" s="35"/>
      <c r="F19" s="43"/>
      <c r="H19" s="42" t="s">
        <v>71</v>
      </c>
      <c r="I19" s="35"/>
      <c r="J19" s="35"/>
      <c r="K19" s="35"/>
      <c r="L19" s="43"/>
      <c r="N19" s="42" t="s">
        <v>99</v>
      </c>
      <c r="O19" s="35"/>
      <c r="P19" s="35"/>
      <c r="Q19" s="35"/>
      <c r="R19" s="43"/>
    </row>
    <row r="20" spans="2:18" x14ac:dyDescent="0.45">
      <c r="B20" s="42" t="s">
        <v>104</v>
      </c>
      <c r="C20" s="35"/>
      <c r="D20" s="35"/>
      <c r="E20" s="35"/>
      <c r="F20" s="43"/>
      <c r="H20" s="42" t="s">
        <v>103</v>
      </c>
      <c r="I20" s="35"/>
      <c r="J20" s="35"/>
      <c r="K20" s="35"/>
      <c r="L20" s="43"/>
      <c r="N20" s="42" t="s">
        <v>100</v>
      </c>
      <c r="O20" s="35"/>
      <c r="P20" s="35"/>
      <c r="Q20" s="35"/>
      <c r="R20" s="43"/>
    </row>
    <row r="21" spans="2:18" x14ac:dyDescent="0.45">
      <c r="B21" s="42" t="s">
        <v>105</v>
      </c>
      <c r="C21" s="35"/>
      <c r="D21" s="35"/>
      <c r="E21" s="35"/>
      <c r="F21" s="43"/>
      <c r="H21" s="42" t="s">
        <v>101</v>
      </c>
      <c r="I21" s="35"/>
      <c r="J21" s="35"/>
      <c r="K21" s="35"/>
      <c r="L21" s="43"/>
      <c r="N21" s="42" t="s">
        <v>102</v>
      </c>
      <c r="O21" s="35"/>
      <c r="P21" s="35"/>
      <c r="Q21" s="35"/>
      <c r="R21" s="43"/>
    </row>
    <row r="22" spans="2:18" x14ac:dyDescent="0.45">
      <c r="B22" s="42"/>
      <c r="C22" s="35"/>
      <c r="D22" s="35"/>
      <c r="E22" s="35"/>
      <c r="F22" s="43"/>
      <c r="H22" s="42"/>
      <c r="I22" s="35"/>
      <c r="J22" s="35"/>
      <c r="K22" s="35"/>
      <c r="L22" s="43"/>
      <c r="N22" s="42"/>
      <c r="O22" s="35"/>
      <c r="P22" s="35"/>
      <c r="Q22" s="35"/>
      <c r="R22" s="43"/>
    </row>
    <row r="23" spans="2:18" x14ac:dyDescent="0.45">
      <c r="B23" s="42" t="s">
        <v>115</v>
      </c>
      <c r="C23" s="35"/>
      <c r="D23" s="35"/>
      <c r="E23" s="35"/>
      <c r="F23" s="43"/>
      <c r="H23" s="42" t="s">
        <v>115</v>
      </c>
      <c r="I23" s="35"/>
      <c r="J23" s="35"/>
      <c r="K23" s="35"/>
      <c r="L23" s="43"/>
      <c r="N23" s="42" t="s">
        <v>115</v>
      </c>
      <c r="O23" s="35"/>
      <c r="P23" s="35"/>
      <c r="Q23" s="35"/>
      <c r="R23" s="43"/>
    </row>
    <row r="24" spans="2:18" x14ac:dyDescent="0.45">
      <c r="B24" s="42" t="s">
        <v>122</v>
      </c>
      <c r="C24" s="35"/>
      <c r="D24" s="35"/>
      <c r="E24" s="35"/>
      <c r="F24" s="43"/>
      <c r="H24" s="42" t="s">
        <v>128</v>
      </c>
      <c r="I24" s="35"/>
      <c r="J24" s="35"/>
      <c r="K24" s="35"/>
      <c r="L24" s="43"/>
      <c r="N24" s="98" t="s">
        <v>134</v>
      </c>
      <c r="O24" s="35"/>
      <c r="P24" s="35"/>
      <c r="Q24" s="35"/>
      <c r="R24" s="43"/>
    </row>
    <row r="25" spans="2:18" x14ac:dyDescent="0.45">
      <c r="B25" s="42" t="s">
        <v>123</v>
      </c>
      <c r="C25" s="35"/>
      <c r="D25" s="35"/>
      <c r="E25" s="35"/>
      <c r="F25" s="43"/>
      <c r="H25" s="42" t="s">
        <v>129</v>
      </c>
      <c r="I25" s="35"/>
      <c r="J25" s="35"/>
      <c r="K25" s="35"/>
      <c r="L25" s="43"/>
      <c r="N25" s="42" t="s">
        <v>135</v>
      </c>
      <c r="O25" s="35"/>
      <c r="P25" s="35"/>
      <c r="Q25" s="35"/>
      <c r="R25" s="43"/>
    </row>
    <row r="26" spans="2:18" x14ac:dyDescent="0.45">
      <c r="B26" s="42" t="s">
        <v>124</v>
      </c>
      <c r="C26" s="35"/>
      <c r="D26" s="35"/>
      <c r="E26" s="35"/>
      <c r="F26" s="43"/>
      <c r="H26" s="42" t="s">
        <v>130</v>
      </c>
      <c r="I26" s="35"/>
      <c r="J26" s="35"/>
      <c r="K26" s="35"/>
      <c r="L26" s="43"/>
      <c r="N26" s="42" t="s">
        <v>136</v>
      </c>
      <c r="O26" s="35"/>
      <c r="P26" s="35"/>
      <c r="Q26" s="35"/>
      <c r="R26" s="43"/>
    </row>
    <row r="27" spans="2:18" x14ac:dyDescent="0.45">
      <c r="B27" s="42" t="s">
        <v>125</v>
      </c>
      <c r="C27" s="35"/>
      <c r="D27" s="35"/>
      <c r="E27" s="35"/>
      <c r="F27" s="43"/>
      <c r="H27" s="42" t="s">
        <v>132</v>
      </c>
      <c r="I27" s="35"/>
      <c r="J27" s="35"/>
      <c r="K27" s="35"/>
      <c r="L27" s="43"/>
      <c r="N27" s="42" t="s">
        <v>137</v>
      </c>
      <c r="O27" s="35"/>
      <c r="P27" s="35"/>
      <c r="Q27" s="35"/>
      <c r="R27" s="43"/>
    </row>
    <row r="28" spans="2:18" x14ac:dyDescent="0.45">
      <c r="B28" s="42" t="s">
        <v>126</v>
      </c>
      <c r="C28" s="35"/>
      <c r="D28" s="35"/>
      <c r="E28" s="35"/>
      <c r="F28" s="43"/>
      <c r="H28" s="42" t="s">
        <v>131</v>
      </c>
      <c r="I28" s="35"/>
      <c r="J28" s="35"/>
      <c r="K28" s="35"/>
      <c r="L28" s="43"/>
      <c r="N28" s="42" t="s">
        <v>138</v>
      </c>
      <c r="O28" s="35"/>
      <c r="P28" s="35"/>
      <c r="Q28" s="35"/>
      <c r="R28" s="43"/>
    </row>
    <row r="29" spans="2:18" x14ac:dyDescent="0.45">
      <c r="B29" s="42" t="s">
        <v>127</v>
      </c>
      <c r="C29" s="35"/>
      <c r="D29" s="35"/>
      <c r="E29" s="35"/>
      <c r="F29" s="43"/>
      <c r="H29" s="42" t="s">
        <v>133</v>
      </c>
      <c r="I29" s="35"/>
      <c r="J29" s="35"/>
      <c r="K29" s="35"/>
      <c r="L29" s="43"/>
      <c r="N29" s="98" t="s">
        <v>139</v>
      </c>
      <c r="O29" s="35"/>
      <c r="P29" s="35"/>
      <c r="Q29" s="35"/>
      <c r="R29" s="43"/>
    </row>
    <row r="30" spans="2:18" x14ac:dyDescent="0.45">
      <c r="B30" s="44"/>
      <c r="C30" s="35"/>
      <c r="D30" s="35"/>
      <c r="E30" s="35"/>
      <c r="F30" s="43"/>
      <c r="H30" s="44"/>
      <c r="I30" s="35"/>
      <c r="J30" s="35"/>
      <c r="K30" s="35"/>
      <c r="L30" s="43"/>
      <c r="N30" s="44"/>
      <c r="O30" s="35"/>
      <c r="P30" s="35"/>
      <c r="Q30" s="35"/>
      <c r="R30" s="43"/>
    </row>
    <row r="31" spans="2:18" x14ac:dyDescent="0.45">
      <c r="B31" s="84" t="s">
        <v>61</v>
      </c>
      <c r="C31" s="85"/>
      <c r="D31" s="35"/>
      <c r="E31" s="35"/>
      <c r="F31" s="43"/>
      <c r="H31" s="84" t="s">
        <v>61</v>
      </c>
      <c r="I31" s="85"/>
      <c r="J31" s="35"/>
      <c r="K31" s="35"/>
      <c r="L31" s="43"/>
      <c r="N31" s="104" t="s">
        <v>61</v>
      </c>
      <c r="O31" s="105"/>
      <c r="P31" s="35"/>
      <c r="Q31" s="35"/>
      <c r="R31" s="43"/>
    </row>
    <row r="32" spans="2:18" x14ac:dyDescent="0.45">
      <c r="B32" s="45" t="s">
        <v>90</v>
      </c>
      <c r="C32" s="66">
        <v>-0.1732756</v>
      </c>
      <c r="E32" s="35"/>
      <c r="F32" s="43"/>
      <c r="H32" s="45" t="s">
        <v>90</v>
      </c>
      <c r="I32" s="66">
        <v>-6.2094549999999998E-2</v>
      </c>
      <c r="K32" s="35"/>
      <c r="L32" s="43"/>
      <c r="N32" s="45" t="s">
        <v>90</v>
      </c>
      <c r="O32" s="66">
        <v>-2.6621789999999999E-2</v>
      </c>
      <c r="Q32" s="35"/>
      <c r="R32" s="43"/>
    </row>
    <row r="33" spans="2:18" x14ac:dyDescent="0.45">
      <c r="B33" s="46" t="s">
        <v>1</v>
      </c>
      <c r="C33" s="46" t="s">
        <v>6</v>
      </c>
      <c r="D33" s="35"/>
      <c r="E33" s="35"/>
      <c r="F33" s="43"/>
      <c r="H33" s="46" t="s">
        <v>1</v>
      </c>
      <c r="I33" s="46" t="s">
        <v>6</v>
      </c>
      <c r="J33" s="35"/>
      <c r="K33" s="35"/>
      <c r="L33" s="43"/>
      <c r="N33" s="46" t="s">
        <v>1</v>
      </c>
      <c r="O33" s="46" t="s">
        <v>6</v>
      </c>
      <c r="P33" s="35"/>
      <c r="Q33" s="35"/>
      <c r="R33" s="43"/>
    </row>
    <row r="34" spans="2:18" x14ac:dyDescent="0.45">
      <c r="B34" s="47">
        <f>C5+C6</f>
        <v>10000</v>
      </c>
      <c r="C34" s="54">
        <f>1-_xlfn.NORM.DIST(0,-$C$9+SQRT(B34)*$C$32*SQRT($C$8*(1-$C$8))/$C$4,1,TRUE) +_xlfn.NORM.DIST(-$C$9 - SQRT(B34)*$C$32*SQRT($C$8*(1-$C$8))/$C$4,0,1,TRUE)</f>
        <v>1</v>
      </c>
      <c r="D34" s="35"/>
      <c r="E34" s="35"/>
      <c r="F34" s="43"/>
      <c r="H34" s="47">
        <f>C5+C6</f>
        <v>10000</v>
      </c>
      <c r="I34" s="54">
        <f>1-_xlfn.NORM.DIST(0,-$C$9+SQRT(H34)*$I$32*SQRT($C$8*(1-$C$8))/$C$4,1,TRUE) +_xlfn.NORM.DIST(-$C$9 - SQRT(H34)*$I$32*SQRT($C$8*(1-$C$8))/$C$4,0,1,TRUE)</f>
        <v>0.99999999999999534</v>
      </c>
      <c r="J34" s="35"/>
      <c r="K34" s="35"/>
      <c r="L34" s="43"/>
      <c r="N34" s="47">
        <f>C5+C6</f>
        <v>10000</v>
      </c>
      <c r="O34" s="54">
        <f>1-_xlfn.NORM.DIST(0,-$C$9+SQRT(N34)*$O$32*SQRT($C$8*(1-$C$8))/$C$4,1,TRUE) +_xlfn.NORM.DIST(-$C$9 - SQRT(N34)*$O$32*SQRT($C$8*(1-$C$8))/$C$4,0,1,TRUE)</f>
        <v>0.98616745910527659</v>
      </c>
      <c r="P34" s="35"/>
      <c r="Q34" s="35"/>
      <c r="R34" s="43"/>
    </row>
    <row r="35" spans="2:18" x14ac:dyDescent="0.45">
      <c r="B35" s="44"/>
      <c r="C35" s="35"/>
      <c r="D35" s="35"/>
      <c r="E35" s="35"/>
      <c r="F35" s="43"/>
      <c r="H35" s="44"/>
      <c r="I35" s="35"/>
      <c r="J35" s="35"/>
      <c r="K35" s="35"/>
      <c r="L35" s="43"/>
      <c r="N35" s="44"/>
      <c r="O35" s="35"/>
      <c r="P35" s="35"/>
      <c r="Q35" s="35"/>
      <c r="R35" s="43"/>
    </row>
    <row r="36" spans="2:18" x14ac:dyDescent="0.45">
      <c r="B36" s="81"/>
      <c r="C36" s="49"/>
      <c r="D36" s="49"/>
      <c r="E36" s="49"/>
      <c r="F36" s="50"/>
      <c r="H36" s="81"/>
      <c r="I36" s="49"/>
      <c r="J36" s="49"/>
      <c r="K36" s="49"/>
      <c r="L36" s="50"/>
      <c r="N36" s="81"/>
      <c r="O36" s="49"/>
      <c r="P36" s="49"/>
      <c r="Q36" s="49"/>
      <c r="R36" s="50"/>
    </row>
    <row r="37" spans="2:18" x14ac:dyDescent="0.45">
      <c r="C37" s="73"/>
      <c r="I37" s="73"/>
      <c r="O37" s="73"/>
    </row>
    <row r="38" spans="2:18" x14ac:dyDescent="0.45">
      <c r="B38" s="2" t="s">
        <v>108</v>
      </c>
      <c r="C38" s="73"/>
      <c r="I38" s="73"/>
      <c r="O38" s="73"/>
    </row>
    <row r="39" spans="2:18" x14ac:dyDescent="0.45">
      <c r="B39" t="s">
        <v>109</v>
      </c>
      <c r="C39" s="73" t="s">
        <v>110</v>
      </c>
    </row>
    <row r="40" spans="2:18" x14ac:dyDescent="0.45">
      <c r="C40" s="73" t="s">
        <v>111</v>
      </c>
    </row>
    <row r="41" spans="2:18" x14ac:dyDescent="0.45">
      <c r="B41" t="s">
        <v>112</v>
      </c>
      <c r="C41" s="73" t="s">
        <v>113</v>
      </c>
    </row>
    <row r="42" spans="2:18" x14ac:dyDescent="0.45">
      <c r="C42" s="73" t="s">
        <v>114</v>
      </c>
    </row>
    <row r="43" spans="2:18" x14ac:dyDescent="0.45">
      <c r="B43" t="s">
        <v>151</v>
      </c>
      <c r="C43" t="s">
        <v>150</v>
      </c>
    </row>
    <row r="44" spans="2:18" x14ac:dyDescent="0.45">
      <c r="C44" s="73"/>
    </row>
    <row r="45" spans="2:18" x14ac:dyDescent="0.45">
      <c r="C45" s="73"/>
      <c r="O45" s="73"/>
    </row>
    <row r="49" spans="2:16" x14ac:dyDescent="0.45">
      <c r="B49" s="2"/>
    </row>
    <row r="50" spans="2:16" x14ac:dyDescent="0.45">
      <c r="B50" s="3" t="s">
        <v>147</v>
      </c>
      <c r="C50" s="3"/>
      <c r="D50" s="11"/>
      <c r="E50" s="11"/>
      <c r="F50" s="11"/>
      <c r="M50" s="2"/>
      <c r="N50" s="2"/>
      <c r="O50" s="2"/>
      <c r="P50" s="2"/>
    </row>
    <row r="51" spans="2:16" x14ac:dyDescent="0.45">
      <c r="B51" s="99" t="s">
        <v>49</v>
      </c>
      <c r="C51" s="35"/>
      <c r="D51" s="35"/>
      <c r="E51" s="35"/>
      <c r="F51" s="43"/>
      <c r="N51" s="25"/>
      <c r="O51" s="1"/>
      <c r="P51" s="1"/>
    </row>
    <row r="52" spans="2:16" x14ac:dyDescent="0.45">
      <c r="B52" s="42" t="s">
        <v>50</v>
      </c>
      <c r="C52" s="35"/>
      <c r="D52" s="35"/>
      <c r="E52" s="35"/>
      <c r="F52" s="43"/>
      <c r="N52" s="25"/>
      <c r="O52" s="1"/>
      <c r="P52" s="1"/>
    </row>
    <row r="53" spans="2:16" x14ac:dyDescent="0.45">
      <c r="B53" s="42" t="s">
        <v>96</v>
      </c>
      <c r="C53" s="35"/>
      <c r="D53" s="35"/>
      <c r="E53" s="35"/>
      <c r="F53" s="43"/>
      <c r="N53" s="25"/>
      <c r="O53" s="1"/>
      <c r="P53" s="1"/>
    </row>
    <row r="54" spans="2:16" x14ac:dyDescent="0.45">
      <c r="B54" s="42" t="s">
        <v>52</v>
      </c>
      <c r="C54" s="35"/>
      <c r="D54" s="35"/>
      <c r="E54" s="35"/>
      <c r="F54" s="43"/>
      <c r="N54" s="25"/>
      <c r="O54" s="1"/>
      <c r="P54" s="1"/>
    </row>
    <row r="55" spans="2:16" x14ac:dyDescent="0.45">
      <c r="B55" s="42" t="s">
        <v>53</v>
      </c>
      <c r="C55" s="35"/>
      <c r="D55" s="35"/>
      <c r="E55" s="35"/>
      <c r="F55" s="43"/>
      <c r="N55" s="25"/>
      <c r="O55" s="1"/>
      <c r="P55" s="68"/>
    </row>
    <row r="56" spans="2:16" x14ac:dyDescent="0.45">
      <c r="B56" s="42" t="s">
        <v>54</v>
      </c>
      <c r="C56" s="35"/>
      <c r="D56" s="35"/>
      <c r="E56" s="35"/>
      <c r="F56" s="43"/>
      <c r="N56" s="25"/>
      <c r="O56" s="1"/>
      <c r="P56" s="68"/>
    </row>
    <row r="57" spans="2:16" x14ac:dyDescent="0.45">
      <c r="B57" s="42" t="s">
        <v>55</v>
      </c>
      <c r="C57" s="35"/>
      <c r="D57" s="35"/>
      <c r="E57" s="35"/>
      <c r="F57" s="43"/>
      <c r="N57" s="25"/>
      <c r="O57" s="1"/>
      <c r="P57" s="68"/>
    </row>
    <row r="58" spans="2:16" x14ac:dyDescent="0.45">
      <c r="B58" s="42" t="s">
        <v>106</v>
      </c>
      <c r="C58" s="35"/>
      <c r="D58" s="35"/>
      <c r="E58" s="35"/>
      <c r="F58" s="43"/>
      <c r="N58" s="25"/>
      <c r="O58" s="1"/>
      <c r="P58" s="1"/>
    </row>
    <row r="59" spans="2:16" x14ac:dyDescent="0.45">
      <c r="B59" s="42" t="s">
        <v>107</v>
      </c>
      <c r="C59" s="35"/>
      <c r="D59" s="35"/>
      <c r="E59" s="35"/>
      <c r="F59" s="43"/>
    </row>
    <row r="60" spans="2:16" x14ac:dyDescent="0.45">
      <c r="B60" s="42"/>
      <c r="C60" s="35"/>
      <c r="D60" s="35"/>
      <c r="E60" s="35"/>
      <c r="F60" s="43"/>
    </row>
    <row r="61" spans="2:16" x14ac:dyDescent="0.45">
      <c r="B61" s="42" t="s">
        <v>115</v>
      </c>
      <c r="C61" s="35"/>
      <c r="D61" s="35"/>
      <c r="E61" s="35"/>
      <c r="F61" s="43"/>
      <c r="N61" s="2"/>
    </row>
    <row r="62" spans="2:16" x14ac:dyDescent="0.45">
      <c r="B62" s="42" t="s">
        <v>116</v>
      </c>
      <c r="C62" s="35"/>
      <c r="D62" s="35"/>
      <c r="E62" s="35"/>
      <c r="F62" s="43"/>
      <c r="N62" s="4"/>
    </row>
    <row r="63" spans="2:16" x14ac:dyDescent="0.45">
      <c r="B63" s="42" t="s">
        <v>117</v>
      </c>
      <c r="C63" s="35"/>
      <c r="D63" s="35"/>
      <c r="E63" s="35"/>
      <c r="F63" s="43"/>
      <c r="N63" s="4"/>
    </row>
    <row r="64" spans="2:16" x14ac:dyDescent="0.45">
      <c r="B64" s="42" t="s">
        <v>118</v>
      </c>
      <c r="C64" s="35"/>
      <c r="D64" s="35"/>
      <c r="E64" s="35"/>
      <c r="F64" s="43"/>
      <c r="H64" s="4"/>
      <c r="N64" s="4"/>
    </row>
    <row r="65" spans="2:16" x14ac:dyDescent="0.45">
      <c r="B65" s="42" t="s">
        <v>119</v>
      </c>
      <c r="C65" s="35"/>
      <c r="D65" s="35"/>
      <c r="E65" s="35"/>
      <c r="F65" s="43"/>
      <c r="H65" s="4"/>
      <c r="N65" s="4"/>
    </row>
    <row r="66" spans="2:16" x14ac:dyDescent="0.45">
      <c r="B66" s="42" t="s">
        <v>120</v>
      </c>
      <c r="C66" s="35"/>
      <c r="D66" s="35"/>
      <c r="E66" s="35"/>
      <c r="F66" s="43"/>
      <c r="H66" s="4"/>
      <c r="N66" s="4"/>
    </row>
    <row r="67" spans="2:16" x14ac:dyDescent="0.45">
      <c r="B67" s="42" t="s">
        <v>121</v>
      </c>
      <c r="C67" s="35"/>
      <c r="D67" s="35"/>
      <c r="E67" s="35"/>
      <c r="F67" s="43"/>
      <c r="H67" s="4"/>
      <c r="N67" s="4"/>
    </row>
    <row r="68" spans="2:16" x14ac:dyDescent="0.45">
      <c r="B68" s="44"/>
      <c r="C68" s="35"/>
      <c r="D68" s="35"/>
      <c r="E68" s="35"/>
      <c r="F68" s="43"/>
      <c r="H68" s="4"/>
      <c r="N68" s="4"/>
    </row>
    <row r="69" spans="2:16" x14ac:dyDescent="0.45">
      <c r="B69" s="104" t="s">
        <v>61</v>
      </c>
      <c r="C69" s="105"/>
      <c r="D69" s="35"/>
      <c r="E69" s="35"/>
      <c r="F69" s="43"/>
      <c r="H69" s="4"/>
      <c r="N69" s="4"/>
    </row>
    <row r="70" spans="2:16" x14ac:dyDescent="0.45">
      <c r="B70" s="45" t="s">
        <v>90</v>
      </c>
      <c r="C70" s="66">
        <v>-0.3291907</v>
      </c>
      <c r="E70" s="35"/>
      <c r="F70" s="43"/>
    </row>
    <row r="71" spans="2:16" x14ac:dyDescent="0.45">
      <c r="B71" s="46" t="s">
        <v>1</v>
      </c>
      <c r="C71" s="46" t="s">
        <v>6</v>
      </c>
      <c r="D71" s="35"/>
      <c r="E71" s="35"/>
      <c r="F71" s="43"/>
    </row>
    <row r="72" spans="2:16" x14ac:dyDescent="0.45">
      <c r="B72" s="47">
        <f>C5+C6</f>
        <v>10000</v>
      </c>
      <c r="C72" s="54">
        <f>1-_xlfn.NORM.DIST(0,-$C$9+SQRT(B72)*$C$70*SQRT($C$8*(1-$C$8))/$C$4,1,TRUE) +_xlfn.NORM.DIST(-$C$9 - SQRT(B72)*$C$70*SQRT($C$8*(1-$C$8))/$C$4,0,1,TRUE)</f>
        <v>1</v>
      </c>
      <c r="D72" s="35"/>
      <c r="E72" s="35"/>
      <c r="F72" s="43"/>
      <c r="H72" s="101"/>
      <c r="I72" s="101"/>
      <c r="N72" s="101"/>
      <c r="O72" s="101"/>
    </row>
    <row r="73" spans="2:16" x14ac:dyDescent="0.45">
      <c r="B73" s="44"/>
      <c r="C73" s="35"/>
      <c r="D73" s="35"/>
      <c r="E73" s="35"/>
      <c r="F73" s="43"/>
      <c r="H73" s="25"/>
      <c r="I73" s="69"/>
      <c r="N73" s="25"/>
      <c r="O73" s="69"/>
    </row>
    <row r="74" spans="2:16" x14ac:dyDescent="0.45">
      <c r="B74" s="81"/>
      <c r="C74" s="49"/>
      <c r="D74" s="49"/>
      <c r="E74" s="49"/>
      <c r="F74" s="50"/>
      <c r="H74" s="25"/>
      <c r="I74" s="72"/>
      <c r="J74" s="4"/>
      <c r="N74" s="25"/>
      <c r="O74" s="72"/>
      <c r="P74" s="4"/>
    </row>
    <row r="78" spans="2:16" x14ac:dyDescent="0.45">
      <c r="B78" s="67"/>
      <c r="C78" s="67"/>
      <c r="H78" s="67"/>
      <c r="I78" s="67"/>
      <c r="N78" s="67"/>
      <c r="O78" s="67"/>
    </row>
    <row r="79" spans="2:16" x14ac:dyDescent="0.45">
      <c r="C79" s="73"/>
      <c r="I79" s="73"/>
      <c r="O79" s="73"/>
    </row>
    <row r="80" spans="2:16" x14ac:dyDescent="0.45">
      <c r="C80" s="73"/>
      <c r="I80" s="73"/>
      <c r="O80" s="73"/>
    </row>
    <row r="81" spans="3:15" x14ac:dyDescent="0.45">
      <c r="C81" s="73"/>
      <c r="I81" s="73"/>
      <c r="O81" s="73"/>
    </row>
    <row r="82" spans="3:15" x14ac:dyDescent="0.45">
      <c r="C82" s="73"/>
      <c r="I82" s="73"/>
      <c r="O82" s="73"/>
    </row>
    <row r="83" spans="3:15" x14ac:dyDescent="0.45">
      <c r="C83" s="73"/>
      <c r="I83" s="73"/>
      <c r="O83" s="73"/>
    </row>
    <row r="84" spans="3:15" x14ac:dyDescent="0.45">
      <c r="C84" s="73"/>
      <c r="I84" s="73"/>
      <c r="O84" s="73"/>
    </row>
    <row r="85" spans="3:15" x14ac:dyDescent="0.45">
      <c r="C85" s="73"/>
      <c r="I85" s="73"/>
      <c r="O85" s="73"/>
    </row>
    <row r="86" spans="3:15" x14ac:dyDescent="0.45">
      <c r="C86" s="73"/>
      <c r="I86" s="73"/>
      <c r="O86" s="73"/>
    </row>
    <row r="87" spans="3:15" x14ac:dyDescent="0.45">
      <c r="C87" s="73"/>
      <c r="I87" s="73"/>
      <c r="O87" s="73"/>
    </row>
  </sheetData>
  <mergeCells count="6">
    <mergeCell ref="H72:I72"/>
    <mergeCell ref="N72:O72"/>
    <mergeCell ref="B3:C3"/>
    <mergeCell ref="B69:C69"/>
    <mergeCell ref="N31:O31"/>
    <mergeCell ref="B12:R12"/>
  </mergeCells>
  <pageMargins left="0.7" right="0.7" top="0.75" bottom="0.75" header="0.3" footer="0.3"/>
  <headerFooter>
    <oddFooter>&amp;C_x000D_&amp;1#&amp;"Calibri"&amp;10&amp;K000000 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5A44-9EA9-49BA-BCA3-7404BD531A46}">
  <sheetPr>
    <tabColor theme="9" tint="0.39997558519241921"/>
  </sheetPr>
  <dimension ref="B1:U76"/>
  <sheetViews>
    <sheetView workbookViewId="0">
      <selection activeCell="I71" sqref="I71"/>
    </sheetView>
  </sheetViews>
  <sheetFormatPr defaultRowHeight="14.25" x14ac:dyDescent="0.45"/>
  <cols>
    <col min="2" max="2" width="25.59765625" customWidth="1"/>
    <col min="3" max="3" width="9.6640625" customWidth="1"/>
    <col min="9" max="9" width="25.59765625" customWidth="1"/>
    <col min="10" max="10" width="9.9296875" customWidth="1"/>
    <col min="11" max="11" width="9.59765625" customWidth="1"/>
    <col min="16" max="16" width="25.59765625" customWidth="1"/>
    <col min="17" max="17" width="9.796875" customWidth="1"/>
    <col min="18" max="18" width="8.59765625" customWidth="1"/>
  </cols>
  <sheetData>
    <row r="1" spans="2:21" x14ac:dyDescent="0.45">
      <c r="B1" s="2" t="s">
        <v>148</v>
      </c>
    </row>
    <row r="2" spans="2:21" x14ac:dyDescent="0.45">
      <c r="B2" s="2"/>
    </row>
    <row r="3" spans="2:21" ht="14.65" thickBot="1" x14ac:dyDescent="0.5">
      <c r="B3" s="102" t="s">
        <v>37</v>
      </c>
      <c r="C3" s="103"/>
      <c r="L3" s="118" t="s">
        <v>88</v>
      </c>
      <c r="M3" s="119"/>
      <c r="N3" s="67"/>
      <c r="O3" s="2"/>
      <c r="P3" s="109" t="s">
        <v>80</v>
      </c>
      <c r="Q3" s="110"/>
      <c r="R3" s="111"/>
    </row>
    <row r="4" spans="2:21" x14ac:dyDescent="0.45">
      <c r="B4" s="51" t="s">
        <v>85</v>
      </c>
      <c r="C4" s="78">
        <v>0.15131800000000001</v>
      </c>
      <c r="D4" s="4" t="s">
        <v>89</v>
      </c>
      <c r="L4" s="74" t="s">
        <v>86</v>
      </c>
      <c r="M4" s="76">
        <v>0.15131800000000001</v>
      </c>
      <c r="P4" s="56" t="s">
        <v>0</v>
      </c>
      <c r="Q4" s="63" t="s">
        <v>81</v>
      </c>
      <c r="R4" s="64" t="s">
        <v>82</v>
      </c>
    </row>
    <row r="5" spans="2:21" x14ac:dyDescent="0.45">
      <c r="B5" s="51" t="s">
        <v>32</v>
      </c>
      <c r="C5" s="38">
        <v>0.05</v>
      </c>
      <c r="D5" s="4" t="s">
        <v>59</v>
      </c>
      <c r="L5" s="75" t="s">
        <v>87</v>
      </c>
      <c r="M5" s="77">
        <v>0.20653070000000001</v>
      </c>
      <c r="P5" s="57" t="s">
        <v>47</v>
      </c>
      <c r="Q5" s="59">
        <v>0.65</v>
      </c>
      <c r="R5" s="60" t="e">
        <f>1-#REF!/(#REF!+#REF!)</f>
        <v>#REF!</v>
      </c>
    </row>
    <row r="6" spans="2:21" x14ac:dyDescent="0.45">
      <c r="B6" s="36" t="s">
        <v>26</v>
      </c>
      <c r="C6" s="37">
        <v>0.5</v>
      </c>
      <c r="D6" s="4" t="s">
        <v>60</v>
      </c>
      <c r="P6" s="57" t="s">
        <v>48</v>
      </c>
      <c r="Q6" s="59">
        <v>0.61</v>
      </c>
      <c r="R6" s="60" t="e">
        <f>1-#REF!/(#REF! +#REF!)</f>
        <v>#REF!</v>
      </c>
    </row>
    <row r="7" spans="2:21" x14ac:dyDescent="0.45">
      <c r="B7" s="96" t="s">
        <v>19</v>
      </c>
      <c r="C7" s="95">
        <f>_xlfn.NORM.INV(1-C5/2,0,1)</f>
        <v>1.9599639845400536</v>
      </c>
      <c r="D7" s="4" t="s">
        <v>64</v>
      </c>
      <c r="P7" s="57" t="s">
        <v>83</v>
      </c>
      <c r="Q7" s="59">
        <v>0.9</v>
      </c>
      <c r="R7" s="60" t="e">
        <f>1-#REF!/(#REF! +#REF!)</f>
        <v>#REF!</v>
      </c>
    </row>
    <row r="8" spans="2:21" x14ac:dyDescent="0.45">
      <c r="P8" s="58" t="s">
        <v>84</v>
      </c>
      <c r="Q8" s="61">
        <v>1</v>
      </c>
      <c r="R8" s="62">
        <v>1</v>
      </c>
    </row>
    <row r="10" spans="2:21" x14ac:dyDescent="0.45">
      <c r="B10" s="115" t="s">
        <v>145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7"/>
    </row>
    <row r="11" spans="2:21" x14ac:dyDescent="0.45">
      <c r="B11" s="99" t="s">
        <v>142</v>
      </c>
      <c r="C11" s="35"/>
      <c r="D11" s="35"/>
      <c r="E11" s="35"/>
      <c r="F11" s="35"/>
      <c r="G11" s="43"/>
      <c r="I11" s="99" t="s">
        <v>143</v>
      </c>
      <c r="J11" s="35"/>
      <c r="K11" s="35"/>
      <c r="L11" s="35"/>
      <c r="M11" s="35"/>
      <c r="N11" s="43"/>
      <c r="P11" s="99" t="s">
        <v>144</v>
      </c>
      <c r="Q11" s="35"/>
      <c r="R11" s="35"/>
      <c r="S11" s="35"/>
      <c r="T11" s="35"/>
      <c r="U11" s="43"/>
    </row>
    <row r="12" spans="2:21" x14ac:dyDescent="0.45">
      <c r="B12" s="42" t="s">
        <v>50</v>
      </c>
      <c r="C12" s="35"/>
      <c r="D12" s="35"/>
      <c r="E12" s="35"/>
      <c r="F12" s="35"/>
      <c r="G12" s="43"/>
      <c r="I12" s="42" t="s">
        <v>73</v>
      </c>
      <c r="J12" s="35"/>
      <c r="K12" s="35"/>
      <c r="L12" s="35"/>
      <c r="M12" s="35"/>
      <c r="N12" s="43"/>
      <c r="P12" s="42" t="s">
        <v>65</v>
      </c>
      <c r="Q12" s="35"/>
      <c r="R12" s="35"/>
      <c r="S12" s="35"/>
      <c r="T12" s="35"/>
      <c r="U12" s="43"/>
    </row>
    <row r="13" spans="2:21" x14ac:dyDescent="0.45">
      <c r="B13" s="42" t="s">
        <v>51</v>
      </c>
      <c r="C13" s="35"/>
      <c r="D13" s="35"/>
      <c r="E13" s="35"/>
      <c r="F13" s="35"/>
      <c r="G13" s="43"/>
      <c r="I13" s="42" t="s">
        <v>66</v>
      </c>
      <c r="J13" s="35"/>
      <c r="K13" s="35"/>
      <c r="L13" s="35"/>
      <c r="M13" s="35"/>
      <c r="N13" s="43"/>
      <c r="P13" s="42" t="s">
        <v>67</v>
      </c>
      <c r="Q13" s="35"/>
      <c r="R13" s="35"/>
      <c r="S13" s="35"/>
      <c r="T13" s="35"/>
      <c r="U13" s="43"/>
    </row>
    <row r="14" spans="2:21" x14ac:dyDescent="0.45">
      <c r="B14" s="42" t="s">
        <v>52</v>
      </c>
      <c r="C14" s="35"/>
      <c r="D14" s="35"/>
      <c r="E14" s="35"/>
      <c r="F14" s="35"/>
      <c r="G14" s="43"/>
      <c r="I14" s="42" t="s">
        <v>74</v>
      </c>
      <c r="J14" s="35"/>
      <c r="K14" s="35"/>
      <c r="L14" s="35"/>
      <c r="M14" s="35"/>
      <c r="N14" s="43"/>
      <c r="P14" s="42" t="s">
        <v>68</v>
      </c>
      <c r="Q14" s="35"/>
      <c r="R14" s="35"/>
      <c r="S14" s="35"/>
      <c r="T14" s="35"/>
      <c r="U14" s="43"/>
    </row>
    <row r="15" spans="2:21" x14ac:dyDescent="0.45">
      <c r="B15" s="42" t="s">
        <v>53</v>
      </c>
      <c r="C15" s="35"/>
      <c r="D15" s="35"/>
      <c r="E15" s="35"/>
      <c r="F15" s="35"/>
      <c r="G15" s="43"/>
      <c r="I15" s="42" t="s">
        <v>75</v>
      </c>
      <c r="J15" s="35"/>
      <c r="K15" s="35"/>
      <c r="L15" s="35"/>
      <c r="M15" s="35"/>
      <c r="N15" s="43"/>
      <c r="P15" s="42" t="s">
        <v>69</v>
      </c>
      <c r="Q15" s="35"/>
      <c r="R15" s="35"/>
      <c r="S15" s="35"/>
      <c r="T15" s="35"/>
      <c r="U15" s="43"/>
    </row>
    <row r="16" spans="2:21" x14ac:dyDescent="0.45">
      <c r="B16" s="42" t="s">
        <v>54</v>
      </c>
      <c r="C16" s="35"/>
      <c r="D16" s="35"/>
      <c r="E16" s="35"/>
      <c r="F16" s="35"/>
      <c r="G16" s="43"/>
      <c r="I16" s="42" t="s">
        <v>76</v>
      </c>
      <c r="J16" s="35"/>
      <c r="K16" s="35"/>
      <c r="L16" s="35"/>
      <c r="M16" s="35"/>
      <c r="N16" s="43"/>
      <c r="P16" s="42" t="s">
        <v>70</v>
      </c>
      <c r="Q16" s="35"/>
      <c r="R16" s="35"/>
      <c r="S16" s="35"/>
      <c r="T16" s="35"/>
      <c r="U16" s="43"/>
    </row>
    <row r="17" spans="2:21" x14ac:dyDescent="0.45">
      <c r="B17" s="42" t="s">
        <v>55</v>
      </c>
      <c r="C17" s="35"/>
      <c r="D17" s="35"/>
      <c r="E17" s="35"/>
      <c r="F17" s="35"/>
      <c r="G17" s="43"/>
      <c r="I17" s="42" t="s">
        <v>77</v>
      </c>
      <c r="J17" s="35"/>
      <c r="K17" s="35"/>
      <c r="L17" s="35"/>
      <c r="M17" s="35"/>
      <c r="N17" s="43"/>
      <c r="P17" s="42" t="s">
        <v>71</v>
      </c>
      <c r="Q17" s="35"/>
      <c r="R17" s="35"/>
      <c r="S17" s="35"/>
      <c r="T17" s="35"/>
      <c r="U17" s="43"/>
    </row>
    <row r="18" spans="2:21" x14ac:dyDescent="0.45">
      <c r="B18" s="42" t="s">
        <v>56</v>
      </c>
      <c r="C18" s="35"/>
      <c r="D18" s="35"/>
      <c r="E18" s="35"/>
      <c r="F18" s="35"/>
      <c r="G18" s="43"/>
      <c r="I18" s="42" t="s">
        <v>78</v>
      </c>
      <c r="J18" s="35"/>
      <c r="K18" s="35"/>
      <c r="L18" s="35"/>
      <c r="M18" s="35"/>
      <c r="N18" s="43"/>
      <c r="P18" s="42" t="s">
        <v>152</v>
      </c>
      <c r="Q18" s="35"/>
      <c r="R18" s="35"/>
      <c r="S18" s="35"/>
      <c r="T18" s="35"/>
      <c r="U18" s="43"/>
    </row>
    <row r="19" spans="2:21" x14ac:dyDescent="0.45">
      <c r="B19" s="42" t="s">
        <v>57</v>
      </c>
      <c r="C19" s="35"/>
      <c r="D19" s="35"/>
      <c r="E19" s="35"/>
      <c r="F19" s="35"/>
      <c r="G19" s="43"/>
      <c r="I19" s="42" t="s">
        <v>79</v>
      </c>
      <c r="J19" s="35"/>
      <c r="K19" s="35"/>
      <c r="L19" s="35"/>
      <c r="M19" s="35"/>
      <c r="N19" s="43"/>
      <c r="P19" s="42" t="s">
        <v>72</v>
      </c>
      <c r="Q19" s="35"/>
      <c r="R19" s="35"/>
      <c r="S19" s="35"/>
      <c r="T19" s="35"/>
      <c r="U19" s="43"/>
    </row>
    <row r="20" spans="2:21" x14ac:dyDescent="0.45">
      <c r="B20" s="44"/>
      <c r="C20" s="35"/>
      <c r="D20" s="35"/>
      <c r="E20" s="35"/>
      <c r="F20" s="35"/>
      <c r="G20" s="43"/>
      <c r="I20" s="44"/>
      <c r="J20" s="35"/>
      <c r="K20" s="35"/>
      <c r="L20" s="35"/>
      <c r="M20" s="35"/>
      <c r="N20" s="43"/>
      <c r="P20" s="44"/>
      <c r="Q20" s="35"/>
      <c r="R20" s="35"/>
      <c r="S20" s="35"/>
      <c r="T20" s="35"/>
      <c r="U20" s="43"/>
    </row>
    <row r="21" spans="2:21" x14ac:dyDescent="0.45">
      <c r="B21" s="44"/>
      <c r="C21" s="35"/>
      <c r="D21" s="35"/>
      <c r="E21" s="35"/>
      <c r="F21" s="35"/>
      <c r="G21" s="43"/>
      <c r="I21" s="44"/>
      <c r="J21" s="35"/>
      <c r="K21" s="35"/>
      <c r="L21" s="35"/>
      <c r="M21" s="35"/>
      <c r="N21" s="43"/>
      <c r="P21" s="44"/>
      <c r="Q21" s="35"/>
      <c r="R21" s="35"/>
      <c r="S21" s="35"/>
      <c r="T21" s="35"/>
      <c r="U21" s="43"/>
    </row>
    <row r="22" spans="2:21" x14ac:dyDescent="0.45">
      <c r="B22" s="104" t="s">
        <v>61</v>
      </c>
      <c r="C22" s="105"/>
      <c r="D22" s="35"/>
      <c r="E22" s="35"/>
      <c r="F22" s="35"/>
      <c r="G22" s="43"/>
      <c r="I22" s="104" t="s">
        <v>61</v>
      </c>
      <c r="J22" s="105"/>
      <c r="K22" s="35"/>
      <c r="L22" s="35"/>
      <c r="M22" s="35"/>
      <c r="N22" s="43"/>
      <c r="P22" s="104" t="s">
        <v>61</v>
      </c>
      <c r="Q22" s="105"/>
      <c r="R22" s="35"/>
      <c r="S22" s="35"/>
      <c r="T22" s="35"/>
      <c r="U22" s="43"/>
    </row>
    <row r="23" spans="2:21" x14ac:dyDescent="0.45">
      <c r="B23" s="45" t="s">
        <v>63</v>
      </c>
      <c r="C23" s="66">
        <v>-2.7690579999999999E-2</v>
      </c>
      <c r="E23" s="35"/>
      <c r="F23" s="35"/>
      <c r="G23" s="43"/>
      <c r="I23" s="45" t="s">
        <v>63</v>
      </c>
      <c r="J23" s="66">
        <v>-1.866172E-2</v>
      </c>
      <c r="L23" s="35"/>
      <c r="M23" s="35"/>
      <c r="N23" s="43"/>
      <c r="P23" s="45" t="s">
        <v>63</v>
      </c>
      <c r="Q23" s="66">
        <v>-1.3366930000000001E-2</v>
      </c>
      <c r="S23" s="35"/>
      <c r="T23" s="35"/>
      <c r="U23" s="43"/>
    </row>
    <row r="24" spans="2:21" x14ac:dyDescent="0.45">
      <c r="B24" s="44"/>
      <c r="C24" s="35"/>
      <c r="D24" s="35"/>
      <c r="E24" s="35"/>
      <c r="F24" s="35"/>
      <c r="G24" s="43"/>
      <c r="I24" s="44"/>
      <c r="J24" s="35"/>
      <c r="K24" s="35"/>
      <c r="L24" s="35"/>
      <c r="M24" s="35"/>
      <c r="N24" s="43"/>
      <c r="P24" s="44"/>
      <c r="Q24" s="35"/>
      <c r="R24" s="35"/>
      <c r="S24" s="35"/>
      <c r="T24" s="35"/>
      <c r="U24" s="43"/>
    </row>
    <row r="25" spans="2:21" x14ac:dyDescent="0.45">
      <c r="B25" s="44"/>
      <c r="C25" s="35"/>
      <c r="D25" s="35"/>
      <c r="E25" s="35"/>
      <c r="F25" s="35"/>
      <c r="G25" s="43"/>
      <c r="I25" s="44"/>
      <c r="J25" s="35"/>
      <c r="K25" s="35"/>
      <c r="L25" s="35"/>
      <c r="M25" s="49"/>
      <c r="N25" s="50"/>
      <c r="P25" s="44"/>
      <c r="Q25" s="35"/>
      <c r="R25" s="35"/>
      <c r="S25" s="35"/>
      <c r="T25" s="35"/>
      <c r="U25" s="50"/>
    </row>
    <row r="26" spans="2:21" x14ac:dyDescent="0.45">
      <c r="B26" s="89" t="s">
        <v>24</v>
      </c>
      <c r="C26" s="90">
        <v>0.2</v>
      </c>
      <c r="D26" s="91">
        <v>0.4</v>
      </c>
      <c r="E26" s="90">
        <v>0.6</v>
      </c>
      <c r="F26" s="90">
        <v>0.8</v>
      </c>
      <c r="G26" s="91">
        <v>1</v>
      </c>
      <c r="I26" s="89" t="s">
        <v>24</v>
      </c>
      <c r="J26" s="90">
        <v>0.2</v>
      </c>
      <c r="K26" s="91">
        <v>0.4</v>
      </c>
      <c r="L26" s="90">
        <v>0.6</v>
      </c>
      <c r="M26" s="90">
        <v>0.8</v>
      </c>
      <c r="N26" s="91">
        <v>1</v>
      </c>
      <c r="P26" s="89" t="s">
        <v>24</v>
      </c>
      <c r="Q26" s="90">
        <v>0.2</v>
      </c>
      <c r="R26" s="91">
        <v>0.4</v>
      </c>
      <c r="S26" s="90">
        <v>0.6</v>
      </c>
      <c r="T26" s="90">
        <v>0.8</v>
      </c>
      <c r="U26" s="91">
        <v>1</v>
      </c>
    </row>
    <row r="27" spans="2:21" x14ac:dyDescent="0.45">
      <c r="B27" s="88" t="s">
        <v>62</v>
      </c>
      <c r="C27" s="92">
        <f>$C$23*C26</f>
        <v>-5.538116E-3</v>
      </c>
      <c r="D27" s="92">
        <f t="shared" ref="D27:G27" si="0">$C$23*D26</f>
        <v>-1.1076232E-2</v>
      </c>
      <c r="E27" s="92">
        <f t="shared" si="0"/>
        <v>-1.6614347999999998E-2</v>
      </c>
      <c r="F27" s="92">
        <f t="shared" si="0"/>
        <v>-2.2152464E-2</v>
      </c>
      <c r="G27" s="93">
        <f t="shared" si="0"/>
        <v>-2.7690579999999999E-2</v>
      </c>
      <c r="I27" s="88" t="s">
        <v>62</v>
      </c>
      <c r="J27" s="92">
        <f>$J$23*J26</f>
        <v>-3.7323440000000003E-3</v>
      </c>
      <c r="K27" s="92">
        <f t="shared" ref="K27:N27" si="1">$J$23*K26</f>
        <v>-7.4646880000000006E-3</v>
      </c>
      <c r="L27" s="92">
        <f t="shared" si="1"/>
        <v>-1.1197031999999999E-2</v>
      </c>
      <c r="M27" s="92">
        <f t="shared" si="1"/>
        <v>-1.4929376000000001E-2</v>
      </c>
      <c r="N27" s="93">
        <f t="shared" si="1"/>
        <v>-1.866172E-2</v>
      </c>
      <c r="P27" s="88" t="s">
        <v>62</v>
      </c>
      <c r="Q27" s="92">
        <f>$Q$23*Q26</f>
        <v>-2.6733860000000003E-3</v>
      </c>
      <c r="R27" s="92">
        <f t="shared" ref="R27:U27" si="2">$Q$23*R26</f>
        <v>-5.3467720000000005E-3</v>
      </c>
      <c r="S27" s="92">
        <f t="shared" si="2"/>
        <v>-8.0201579999999995E-3</v>
      </c>
      <c r="T27" s="92">
        <f t="shared" si="2"/>
        <v>-1.0693544000000001E-2</v>
      </c>
      <c r="U27" s="93">
        <f t="shared" si="2"/>
        <v>-1.3366930000000001E-2</v>
      </c>
    </row>
    <row r="28" spans="2:21" x14ac:dyDescent="0.45">
      <c r="B28" s="46" t="s">
        <v>1</v>
      </c>
      <c r="C28" s="112" t="s">
        <v>6</v>
      </c>
      <c r="D28" s="113"/>
      <c r="E28" s="113"/>
      <c r="F28" s="113"/>
      <c r="G28" s="114"/>
      <c r="I28" s="46" t="s">
        <v>1</v>
      </c>
      <c r="J28" s="112" t="s">
        <v>6</v>
      </c>
      <c r="K28" s="113"/>
      <c r="L28" s="113"/>
      <c r="M28" s="113"/>
      <c r="N28" s="114"/>
      <c r="P28" s="46" t="s">
        <v>1</v>
      </c>
      <c r="Q28" s="112" t="s">
        <v>6</v>
      </c>
      <c r="R28" s="113"/>
      <c r="S28" s="113"/>
      <c r="T28" s="113"/>
      <c r="U28" s="114"/>
    </row>
    <row r="29" spans="2:21" x14ac:dyDescent="0.45">
      <c r="B29" s="47">
        <v>1000</v>
      </c>
      <c r="C29" s="54">
        <f t="shared" ref="C29:G37" si="3">1-_xlfn.NORM.DIST(0,-$C$7+SQRT($B29)*C$27*C$26*SQRT($C$6*(1-$C$6))/$C$4,1,TRUE) +_xlfn.NORM.DIST(-$C$7 - SQRT($B29)*C$27*C$26*SQRT($C$6*(1-$C$6))/$C$4,0,1,TRUE)</f>
        <v>5.1535835656750593E-2</v>
      </c>
      <c r="D29" s="54">
        <f t="shared" si="3"/>
        <v>7.4892788859873785E-2</v>
      </c>
      <c r="E29" s="54">
        <f t="shared" si="3"/>
        <v>0.18056517041466005</v>
      </c>
      <c r="F29" s="54">
        <f t="shared" si="3"/>
        <v>0.4569973320846904</v>
      </c>
      <c r="G29" s="79">
        <f t="shared" si="3"/>
        <v>0.8247082963165302</v>
      </c>
      <c r="I29" s="47">
        <v>1000</v>
      </c>
      <c r="J29" s="82">
        <f>1-_xlfn.NORM.DIST(0,-$C$7+SQRT($I29)*J$27*J$26*SQRT($C$6*(1-$C$6))/$C$4,1,TRUE) +_xlfn.NORM.DIST(-$C$7 - SQRT($I29)*J$27*J$26*SQRT($C$6*(1-$C$6))/$C$4,0,1,TRUE)</f>
        <v>5.0697208971456728E-2</v>
      </c>
      <c r="K29" s="82">
        <f t="shared" ref="K29:N29" si="4">1-_xlfn.NORM.DIST(0,-$C$7+SQRT($I29)*K$27*K$26*SQRT($C$6*(1-$C$6))/$C$4,1,TRUE) +_xlfn.NORM.DIST(-$C$7 - SQRT($I29)*K$27*K$26*SQRT($C$6*(1-$C$6))/$C$4,0,1,TRUE)</f>
        <v>6.1224190196635976E-2</v>
      </c>
      <c r="L29" s="82">
        <f t="shared" si="4"/>
        <v>0.10808573418809596</v>
      </c>
      <c r="M29" s="82">
        <f t="shared" si="4"/>
        <v>0.2389088127351397</v>
      </c>
      <c r="N29" s="83">
        <f t="shared" si="4"/>
        <v>0.49606484524425398</v>
      </c>
      <c r="P29" s="47">
        <v>1000</v>
      </c>
      <c r="Q29" s="82">
        <f>1-_xlfn.NORM.DIST(0,-$C$7+SQRT($P29)*Q$27*Q$26*SQRT($C$6*(1-$C$6))/$C$4,1,TRUE) +_xlfn.NORM.DIST(-$C$7 - SQRT($P29)*Q$27*Q$26*SQRT($C$6*(1-$C$6))/$C$4,0,1,TRUE)</f>
        <v>5.0357629281424884E-2</v>
      </c>
      <c r="R29" s="82">
        <f t="shared" ref="R29:U29" si="5">1-_xlfn.NORM.DIST(0,-$C$7+SQRT($P29)*R$27*R$26*SQRT($C$6*(1-$C$6))/$C$4,1,TRUE) +_xlfn.NORM.DIST(-$C$7 - SQRT($P29)*R$27*R$26*SQRT($C$6*(1-$C$6))/$C$4,0,1,TRUE)</f>
        <v>5.5740510340456753E-2</v>
      </c>
      <c r="S29" s="82">
        <f t="shared" si="5"/>
        <v>7.9431610331979985E-2</v>
      </c>
      <c r="T29" s="82">
        <f t="shared" si="5"/>
        <v>0.14535786795661285</v>
      </c>
      <c r="U29" s="82">
        <f t="shared" si="5"/>
        <v>0.28703068397349868</v>
      </c>
    </row>
    <row r="30" spans="2:21" x14ac:dyDescent="0.45">
      <c r="B30" s="47">
        <v>2500</v>
      </c>
      <c r="C30" s="54">
        <f t="shared" si="3"/>
        <v>5.3844907155820743E-2</v>
      </c>
      <c r="D30" s="54">
        <f t="shared" si="3"/>
        <v>0.11327900118273079</v>
      </c>
      <c r="E30" s="54">
        <f t="shared" si="3"/>
        <v>0.37729506186385903</v>
      </c>
      <c r="F30" s="54">
        <f t="shared" si="3"/>
        <v>0.83347110613386033</v>
      </c>
      <c r="G30" s="79">
        <f t="shared" si="3"/>
        <v>0.99553777258558551</v>
      </c>
      <c r="I30" s="47">
        <v>2500</v>
      </c>
      <c r="J30" s="54">
        <f t="shared" ref="J30:N37" si="6">1-_xlfn.NORM.DIST(0,-$C$7+SQRT($I30)*J$27*J$26*SQRT($C$6*(1-$C$6))/$C$4,1,TRUE) +_xlfn.NORM.DIST(-$C$7 - SQRT($I30)*J$27*J$26*SQRT($C$6*(1-$C$6))/$C$4,0,1,TRUE)</f>
        <v>5.1744129217780821E-2</v>
      </c>
      <c r="K30" s="54">
        <f t="shared" si="6"/>
        <v>7.8313378560387711E-2</v>
      </c>
      <c r="L30" s="54">
        <f t="shared" si="6"/>
        <v>0.19872937729682336</v>
      </c>
      <c r="M30" s="54">
        <f t="shared" si="6"/>
        <v>0.50534019968457133</v>
      </c>
      <c r="N30" s="79">
        <f t="shared" si="6"/>
        <v>0.86933067118389173</v>
      </c>
      <c r="P30" s="47">
        <v>2500</v>
      </c>
      <c r="Q30" s="54">
        <f t="shared" ref="Q30:U37" si="7">1-_xlfn.NORM.DIST(0,-$C$7+SQRT($P30)*Q$27*Q$26*SQRT($C$6*(1-$C$6))/$C$4,1,TRUE) +_xlfn.NORM.DIST(-$C$7 - SQRT($P30)*Q$27*Q$26*SQRT($C$6*(1-$C$6))/$C$4,0,1,TRUE)</f>
        <v>5.0894365574507716E-2</v>
      </c>
      <c r="R30" s="54">
        <f t="shared" si="7"/>
        <v>6.4421958291798226E-2</v>
      </c>
      <c r="S30" s="54">
        <f t="shared" si="7"/>
        <v>0.12495754478826017</v>
      </c>
      <c r="T30" s="54">
        <f t="shared" si="7"/>
        <v>0.29270595666358229</v>
      </c>
      <c r="U30" s="54">
        <f t="shared" si="7"/>
        <v>0.59812339552372162</v>
      </c>
    </row>
    <row r="31" spans="2:21" x14ac:dyDescent="0.45">
      <c r="B31" s="47">
        <v>5000</v>
      </c>
      <c r="C31" s="54">
        <f t="shared" si="3"/>
        <v>5.770721347072319E-2</v>
      </c>
      <c r="D31" s="54">
        <f t="shared" si="3"/>
        <v>0.17891106930932374</v>
      </c>
      <c r="E31" s="54">
        <f t="shared" si="3"/>
        <v>0.64401744496824309</v>
      </c>
      <c r="F31" s="54">
        <f t="shared" si="3"/>
        <v>0.98539947015920726</v>
      </c>
      <c r="G31" s="79">
        <f t="shared" si="3"/>
        <v>0.99999675739004668</v>
      </c>
      <c r="I31" s="47">
        <v>5000</v>
      </c>
      <c r="J31" s="54">
        <f t="shared" si="6"/>
        <v>5.349191686366947E-2</v>
      </c>
      <c r="K31" s="54">
        <f t="shared" si="6"/>
        <v>0.10735229782825913</v>
      </c>
      <c r="L31" s="54">
        <f t="shared" si="6"/>
        <v>0.34838128734430979</v>
      </c>
      <c r="M31" s="54">
        <f t="shared" si="6"/>
        <v>0.79690859003052394</v>
      </c>
      <c r="N31" s="79">
        <f t="shared" si="6"/>
        <v>0.99180992140362845</v>
      </c>
      <c r="P31" s="47">
        <v>5000</v>
      </c>
      <c r="Q31" s="54">
        <f t="shared" si="7"/>
        <v>5.1789701540309277E-2</v>
      </c>
      <c r="R31" s="54">
        <f t="shared" si="7"/>
        <v>7.9063038058115251E-2</v>
      </c>
      <c r="S31" s="54">
        <f t="shared" si="7"/>
        <v>0.20270404772390518</v>
      </c>
      <c r="T31" s="54">
        <f t="shared" si="7"/>
        <v>0.51553943039289418</v>
      </c>
      <c r="U31" s="54">
        <f t="shared" si="7"/>
        <v>0.87762789826467646</v>
      </c>
    </row>
    <row r="32" spans="2:21" x14ac:dyDescent="0.45">
      <c r="B32" s="47">
        <v>7000</v>
      </c>
      <c r="C32" s="54">
        <f t="shared" si="3"/>
        <v>6.0809176298329382E-2</v>
      </c>
      <c r="D32" s="54">
        <f t="shared" si="3"/>
        <v>0.23185719674680308</v>
      </c>
      <c r="E32" s="54">
        <f t="shared" si="3"/>
        <v>0.78696572392656072</v>
      </c>
      <c r="F32" s="54">
        <f t="shared" si="3"/>
        <v>0.99835580322518103</v>
      </c>
      <c r="G32" s="79">
        <f t="shared" si="3"/>
        <v>0.9999999938424402</v>
      </c>
      <c r="I32" s="47">
        <v>7000</v>
      </c>
      <c r="J32" s="54">
        <f t="shared" si="6"/>
        <v>5.4892742286066595E-2</v>
      </c>
      <c r="K32" s="54">
        <f t="shared" si="6"/>
        <v>0.13096604053478128</v>
      </c>
      <c r="L32" s="54">
        <f t="shared" si="6"/>
        <v>0.45918321994962197</v>
      </c>
      <c r="M32" s="54">
        <f t="shared" si="6"/>
        <v>0.91018696452527181</v>
      </c>
      <c r="N32" s="79">
        <f t="shared" si="6"/>
        <v>0.99931097417379899</v>
      </c>
      <c r="P32" s="47">
        <v>7000</v>
      </c>
      <c r="Q32" s="54">
        <f t="shared" si="7"/>
        <v>5.2506663738929524E-2</v>
      </c>
      <c r="R32" s="54">
        <f t="shared" si="7"/>
        <v>9.0913482794934289E-2</v>
      </c>
      <c r="S32" s="54">
        <f t="shared" si="7"/>
        <v>0.26497066680631776</v>
      </c>
      <c r="T32" s="54">
        <f t="shared" si="7"/>
        <v>0.6572999888045491</v>
      </c>
      <c r="U32" s="54">
        <f t="shared" si="7"/>
        <v>0.95866718929523631</v>
      </c>
    </row>
    <row r="33" spans="2:21" x14ac:dyDescent="0.45">
      <c r="B33" s="47">
        <v>10000</v>
      </c>
      <c r="C33" s="54">
        <f t="shared" si="3"/>
        <v>6.5481594554911024E-2</v>
      </c>
      <c r="D33" s="54">
        <f>1-_xlfn.NORM.DIST(0,-$C$7+SQRT($B33)*D$27*D$26*SQRT($C$6*(1-$C$6))/$C$4,1,TRUE) +_xlfn.NORM.DIST(-$C$7 - SQRT($B33)*D$27*D$26*SQRT($C$6*(1-$C$6))/$C$4,0,1,TRUE)</f>
        <v>0.31025707007451753</v>
      </c>
      <c r="E33" s="54">
        <f t="shared" si="3"/>
        <v>0.90889207933225769</v>
      </c>
      <c r="F33" s="54">
        <f t="shared" si="3"/>
        <v>0.99995108386956344</v>
      </c>
      <c r="G33" s="79">
        <f t="shared" si="3"/>
        <v>0.99999999999967559</v>
      </c>
      <c r="I33" s="47">
        <v>10000</v>
      </c>
      <c r="J33" s="54">
        <f t="shared" si="6"/>
        <v>5.6998237103640707E-2</v>
      </c>
      <c r="K33" s="54">
        <f>1-_xlfn.NORM.DIST(0,-$C$7+SQRT($I33)*K$27*K$26*SQRT($C$6*(1-$C$6))/$C$4,1,TRUE) +_xlfn.NORM.DIST(-$C$7 - SQRT($I33)*K$27*K$26*SQRT($C$6*(1-$C$6))/$C$4,0,1,TRUE)</f>
        <v>0.16679834481599248</v>
      </c>
      <c r="L33" s="54">
        <f t="shared" si="6"/>
        <v>0.60255835528381108</v>
      </c>
      <c r="M33" s="54">
        <f t="shared" si="6"/>
        <v>0.97651255245851742</v>
      </c>
      <c r="N33" s="79">
        <f t="shared" si="6"/>
        <v>0.99998702802688444</v>
      </c>
      <c r="P33" s="47">
        <v>10000</v>
      </c>
      <c r="Q33" s="54">
        <f t="shared" si="7"/>
        <v>5.3583253388875124E-2</v>
      </c>
      <c r="R33" s="54">
        <f>1-_xlfn.NORM.DIST(0,-$C$7+SQRT($P33)*R$27*R$26*SQRT($C$6*(1-$C$6))/$C$4,1,TRUE) +_xlfn.NORM.DIST(-$C$7 - SQRT($P33)*R$27*R$26*SQRT($C$6*(1-$C$6))/$C$4,0,1,TRUE)</f>
        <v>0.10888412035670345</v>
      </c>
      <c r="S33" s="54">
        <f t="shared" si="7"/>
        <v>0.3559197148124732</v>
      </c>
      <c r="T33" s="54">
        <f t="shared" si="7"/>
        <v>0.80697773984447396</v>
      </c>
      <c r="U33" s="54">
        <f t="shared" si="7"/>
        <v>0.99299233235856554</v>
      </c>
    </row>
    <row r="34" spans="2:21" x14ac:dyDescent="0.45">
      <c r="B34" s="47">
        <v>12000</v>
      </c>
      <c r="C34" s="54">
        <f t="shared" si="3"/>
        <v>6.8609078716699842E-2</v>
      </c>
      <c r="D34" s="54">
        <f t="shared" si="3"/>
        <v>0.3610028344660054</v>
      </c>
      <c r="E34" s="54">
        <f t="shared" si="3"/>
        <v>0.95035980500462525</v>
      </c>
      <c r="F34" s="54">
        <f t="shared" si="3"/>
        <v>0.99999580182679548</v>
      </c>
      <c r="G34" s="79">
        <f t="shared" si="3"/>
        <v>0.99999999999999967</v>
      </c>
      <c r="I34" s="47">
        <v>12000</v>
      </c>
      <c r="J34" s="54">
        <f t="shared" si="6"/>
        <v>5.8404695511835074E-2</v>
      </c>
      <c r="K34" s="54">
        <f t="shared" si="6"/>
        <v>0.19083365190837667</v>
      </c>
      <c r="L34" s="54">
        <f t="shared" si="6"/>
        <v>0.68147640778941831</v>
      </c>
      <c r="M34" s="54">
        <f t="shared" si="6"/>
        <v>0.99094104802279159</v>
      </c>
      <c r="N34" s="79">
        <f t="shared" si="6"/>
        <v>0.99999918654165498</v>
      </c>
      <c r="P34" s="47">
        <v>12000</v>
      </c>
      <c r="Q34" s="54">
        <f t="shared" si="7"/>
        <v>5.4301738250253764E-2</v>
      </c>
      <c r="R34" s="54">
        <f t="shared" si="7"/>
        <v>0.12097415475965478</v>
      </c>
      <c r="S34" s="54">
        <f t="shared" si="7"/>
        <v>0.4137669698732237</v>
      </c>
      <c r="T34" s="54">
        <f t="shared" si="7"/>
        <v>0.87214986525141247</v>
      </c>
      <c r="U34" s="54">
        <f t="shared" si="7"/>
        <v>0.99800173398698511</v>
      </c>
    </row>
    <row r="35" spans="2:21" x14ac:dyDescent="0.45">
      <c r="B35" s="47">
        <v>15000</v>
      </c>
      <c r="C35" s="54">
        <f t="shared" si="3"/>
        <v>7.3318361450354641E-2</v>
      </c>
      <c r="D35" s="54">
        <f t="shared" si="3"/>
        <v>0.43378135742331642</v>
      </c>
      <c r="E35" s="54">
        <f t="shared" si="3"/>
        <v>0.98097223792323962</v>
      </c>
      <c r="F35" s="54">
        <f t="shared" si="3"/>
        <v>0.99999990658364013</v>
      </c>
      <c r="G35" s="79">
        <f t="shared" si="3"/>
        <v>1</v>
      </c>
      <c r="I35" s="47">
        <v>15000</v>
      </c>
      <c r="J35" s="54">
        <f t="shared" si="6"/>
        <v>6.0518503319909572E-2</v>
      </c>
      <c r="K35" s="54">
        <f t="shared" si="6"/>
        <v>0.22691151841074228</v>
      </c>
      <c r="L35" s="54">
        <f t="shared" si="6"/>
        <v>0.77602976530006917</v>
      </c>
      <c r="M35" s="54">
        <f t="shared" si="6"/>
        <v>0.99797011570148331</v>
      </c>
      <c r="N35" s="79">
        <f t="shared" si="6"/>
        <v>0.99999998879543284</v>
      </c>
      <c r="P35" s="47">
        <v>15000</v>
      </c>
      <c r="Q35" s="54">
        <f>1-_xlfn.NORM.DIST(0,-$C$7+SQRT($P35)*Q$27*Q$26*SQRT($C$6*(1-$C$6))/$C$4,1,TRUE) +_xlfn.NORM.DIST(-$C$7 - SQRT($P35)*Q$27*Q$26*SQRT($C$6*(1-$C$6))/$C$4,0,1,TRUE)</f>
        <v>5.5380593259346418E-2</v>
      </c>
      <c r="R35" s="54">
        <f t="shared" si="7"/>
        <v>0.13924044033257862</v>
      </c>
      <c r="S35" s="54">
        <f t="shared" si="7"/>
        <v>0.49504172276622382</v>
      </c>
      <c r="T35" s="54">
        <f t="shared" si="7"/>
        <v>0.93346603274312423</v>
      </c>
      <c r="U35" s="54">
        <f t="shared" si="7"/>
        <v>0.99971921927977481</v>
      </c>
    </row>
    <row r="36" spans="2:21" x14ac:dyDescent="0.45">
      <c r="B36" s="47">
        <v>20000</v>
      </c>
      <c r="C36" s="54">
        <f t="shared" si="3"/>
        <v>8.1212853303296501E-2</v>
      </c>
      <c r="D36" s="54">
        <f t="shared" si="3"/>
        <v>0.54398128277452307</v>
      </c>
      <c r="E36" s="54">
        <f t="shared" si="3"/>
        <v>0.99651581633274411</v>
      </c>
      <c r="F36" s="54">
        <f t="shared" si="3"/>
        <v>0.99999999987047095</v>
      </c>
      <c r="G36" s="79">
        <f t="shared" si="3"/>
        <v>1</v>
      </c>
      <c r="I36" s="47">
        <v>20000</v>
      </c>
      <c r="J36" s="54">
        <f t="shared" si="6"/>
        <v>6.4052263328358658E-2</v>
      </c>
      <c r="K36" s="54">
        <f t="shared" si="6"/>
        <v>0.28654594598634731</v>
      </c>
      <c r="L36" s="54">
        <f t="shared" si="6"/>
        <v>0.88089063966099668</v>
      </c>
      <c r="M36" s="54">
        <f t="shared" si="6"/>
        <v>0.99985338939375235</v>
      </c>
      <c r="N36" s="79">
        <f t="shared" si="6"/>
        <v>0.99999999999313038</v>
      </c>
      <c r="P36" s="47">
        <v>20000</v>
      </c>
      <c r="Q36" s="54">
        <f t="shared" si="7"/>
        <v>5.7181659228654459E-2</v>
      </c>
      <c r="R36" s="54">
        <f t="shared" si="7"/>
        <v>0.16993090872396252</v>
      </c>
      <c r="S36" s="54">
        <f t="shared" si="7"/>
        <v>0.6136153287353443</v>
      </c>
      <c r="T36" s="54">
        <f t="shared" si="7"/>
        <v>0.97920992316356659</v>
      </c>
      <c r="U36" s="54">
        <f t="shared" si="7"/>
        <v>0.9999909196979736</v>
      </c>
    </row>
    <row r="37" spans="2:21" x14ac:dyDescent="0.45">
      <c r="B37" s="48">
        <v>50000</v>
      </c>
      <c r="C37" s="55">
        <f t="shared" si="3"/>
        <v>0.12954587466711179</v>
      </c>
      <c r="D37" s="55">
        <f t="shared" si="3"/>
        <v>0.90550409447224156</v>
      </c>
      <c r="E37" s="55">
        <f t="shared" si="3"/>
        <v>0.99999996768257926</v>
      </c>
      <c r="F37" s="55">
        <f t="shared" si="3"/>
        <v>1</v>
      </c>
      <c r="G37" s="80">
        <f t="shared" si="3"/>
        <v>1</v>
      </c>
      <c r="I37" s="48">
        <v>50000</v>
      </c>
      <c r="J37" s="55">
        <f t="shared" si="6"/>
        <v>8.5513520696334694E-2</v>
      </c>
      <c r="K37" s="55">
        <f t="shared" si="6"/>
        <v>0.59724839250344108</v>
      </c>
      <c r="L37" s="55">
        <f t="shared" si="6"/>
        <v>0.99866722087782467</v>
      </c>
      <c r="M37" s="55">
        <f t="shared" si="6"/>
        <v>0.99999999999666744</v>
      </c>
      <c r="N37" s="80">
        <f t="shared" si="6"/>
        <v>1</v>
      </c>
      <c r="P37" s="48">
        <v>50000</v>
      </c>
      <c r="Q37" s="55">
        <f t="shared" si="7"/>
        <v>6.8062880949528448E-2</v>
      </c>
      <c r="R37" s="55">
        <f t="shared" si="7"/>
        <v>0.35226565757625888</v>
      </c>
      <c r="S37" s="55">
        <f t="shared" si="7"/>
        <v>0.94470189036933438</v>
      </c>
      <c r="T37" s="55">
        <f t="shared" si="7"/>
        <v>0.99999352340693881</v>
      </c>
      <c r="U37" s="55">
        <f t="shared" si="7"/>
        <v>0.99999999999999878</v>
      </c>
    </row>
    <row r="39" spans="2:21" x14ac:dyDescent="0.45">
      <c r="B39" s="2" t="s">
        <v>108</v>
      </c>
      <c r="C39" s="73"/>
    </row>
    <row r="40" spans="2:21" x14ac:dyDescent="0.45">
      <c r="B40" t="s">
        <v>109</v>
      </c>
      <c r="C40" s="73" t="s">
        <v>110</v>
      </c>
    </row>
    <row r="41" spans="2:21" x14ac:dyDescent="0.45">
      <c r="C41" s="73" t="s">
        <v>111</v>
      </c>
    </row>
    <row r="42" spans="2:21" x14ac:dyDescent="0.45">
      <c r="B42" t="s">
        <v>151</v>
      </c>
      <c r="C42" t="s">
        <v>150</v>
      </c>
      <c r="O42" s="2"/>
      <c r="P42" s="2"/>
      <c r="Q42" s="2"/>
      <c r="R42" s="2"/>
    </row>
    <row r="43" spans="2:21" x14ac:dyDescent="0.45">
      <c r="B43" s="25"/>
      <c r="C43" s="69"/>
      <c r="D43" s="4"/>
      <c r="P43" s="25"/>
      <c r="Q43" s="1"/>
      <c r="R43" s="1"/>
    </row>
    <row r="44" spans="2:21" x14ac:dyDescent="0.45">
      <c r="B44" s="25"/>
      <c r="C44" s="70"/>
      <c r="D44" s="4"/>
      <c r="P44" s="25"/>
      <c r="Q44" s="1"/>
      <c r="R44" s="68"/>
    </row>
    <row r="45" spans="2:21" x14ac:dyDescent="0.45">
      <c r="B45" s="25"/>
      <c r="C45" s="70"/>
      <c r="D45" s="4"/>
      <c r="P45" s="25"/>
      <c r="Q45" s="1"/>
      <c r="R45" s="68"/>
    </row>
    <row r="46" spans="2:21" x14ac:dyDescent="0.45">
      <c r="B46" s="25"/>
      <c r="C46" s="70"/>
      <c r="D46" s="4"/>
      <c r="P46" s="25"/>
      <c r="Q46" s="1"/>
      <c r="R46" s="68"/>
    </row>
    <row r="47" spans="2:21" x14ac:dyDescent="0.45">
      <c r="B47" s="25"/>
      <c r="C47" s="71"/>
      <c r="D47" s="4"/>
      <c r="P47" s="25"/>
      <c r="Q47" s="1"/>
      <c r="R47" s="1"/>
    </row>
    <row r="50" spans="2:18" x14ac:dyDescent="0.45">
      <c r="B50" s="2"/>
      <c r="I50" s="2"/>
      <c r="P50" s="2"/>
    </row>
    <row r="51" spans="2:18" x14ac:dyDescent="0.45">
      <c r="B51" s="4"/>
      <c r="I51" s="4"/>
      <c r="P51" s="4"/>
    </row>
    <row r="52" spans="2:18" x14ac:dyDescent="0.45">
      <c r="B52" s="4"/>
      <c r="I52" s="4"/>
      <c r="P52" s="4"/>
    </row>
    <row r="53" spans="2:18" x14ac:dyDescent="0.45">
      <c r="B53" s="4"/>
      <c r="I53" s="4"/>
      <c r="P53" s="4"/>
    </row>
    <row r="54" spans="2:18" x14ac:dyDescent="0.45">
      <c r="B54" s="4"/>
      <c r="I54" s="4"/>
      <c r="P54" s="4"/>
    </row>
    <row r="55" spans="2:18" x14ac:dyDescent="0.45">
      <c r="B55" s="4"/>
      <c r="I55" s="4"/>
      <c r="P55" s="4"/>
    </row>
    <row r="56" spans="2:18" x14ac:dyDescent="0.45">
      <c r="B56" s="4"/>
      <c r="I56" s="4"/>
      <c r="P56" s="4"/>
    </row>
    <row r="57" spans="2:18" x14ac:dyDescent="0.45">
      <c r="B57" s="4"/>
      <c r="I57" s="4"/>
      <c r="P57" s="4"/>
    </row>
    <row r="58" spans="2:18" x14ac:dyDescent="0.45">
      <c r="B58" s="4"/>
      <c r="I58" s="4"/>
      <c r="P58" s="4"/>
    </row>
    <row r="61" spans="2:18" x14ac:dyDescent="0.45">
      <c r="B61" s="101"/>
      <c r="C61" s="101"/>
      <c r="I61" s="2"/>
      <c r="J61" s="2"/>
      <c r="P61" s="101"/>
      <c r="Q61" s="101"/>
    </row>
    <row r="62" spans="2:18" x14ac:dyDescent="0.45">
      <c r="B62" s="25"/>
      <c r="C62" s="69"/>
      <c r="I62" s="25"/>
      <c r="J62" s="69"/>
      <c r="P62" s="25"/>
      <c r="Q62" s="69"/>
    </row>
    <row r="63" spans="2:18" x14ac:dyDescent="0.45">
      <c r="B63" s="25"/>
      <c r="C63" s="72"/>
      <c r="D63" s="4"/>
      <c r="I63" s="25"/>
      <c r="J63" s="72"/>
      <c r="K63" s="4"/>
      <c r="P63" s="25"/>
      <c r="Q63" s="72"/>
      <c r="R63" s="4"/>
    </row>
    <row r="67" spans="2:17" x14ac:dyDescent="0.45">
      <c r="B67" s="67"/>
      <c r="C67" s="67"/>
      <c r="I67" s="67"/>
      <c r="J67" s="67"/>
      <c r="P67" s="67"/>
      <c r="Q67" s="67"/>
    </row>
    <row r="68" spans="2:17" x14ac:dyDescent="0.45">
      <c r="C68" s="73"/>
      <c r="J68" s="73"/>
      <c r="Q68" s="73"/>
    </row>
    <row r="69" spans="2:17" x14ac:dyDescent="0.45">
      <c r="C69" s="73"/>
      <c r="J69" s="73"/>
      <c r="Q69" s="73"/>
    </row>
    <row r="70" spans="2:17" x14ac:dyDescent="0.45">
      <c r="C70" s="73"/>
      <c r="J70" s="73"/>
      <c r="Q70" s="73"/>
    </row>
    <row r="71" spans="2:17" x14ac:dyDescent="0.45">
      <c r="C71" s="73"/>
      <c r="J71" s="73"/>
      <c r="Q71" s="73"/>
    </row>
    <row r="72" spans="2:17" x14ac:dyDescent="0.45">
      <c r="C72" s="73"/>
      <c r="J72" s="73"/>
      <c r="Q72" s="73"/>
    </row>
    <row r="73" spans="2:17" x14ac:dyDescent="0.45">
      <c r="C73" s="73"/>
      <c r="J73" s="73"/>
      <c r="Q73" s="73"/>
    </row>
    <row r="74" spans="2:17" x14ac:dyDescent="0.45">
      <c r="C74" s="73"/>
      <c r="J74" s="73"/>
      <c r="Q74" s="73"/>
    </row>
    <row r="75" spans="2:17" x14ac:dyDescent="0.45">
      <c r="C75" s="73"/>
      <c r="J75" s="73"/>
      <c r="Q75" s="73"/>
    </row>
    <row r="76" spans="2:17" x14ac:dyDescent="0.45">
      <c r="C76" s="73"/>
      <c r="J76" s="73"/>
      <c r="Q76" s="73"/>
    </row>
  </sheetData>
  <mergeCells count="12">
    <mergeCell ref="B61:C61"/>
    <mergeCell ref="P61:Q61"/>
    <mergeCell ref="B3:C3"/>
    <mergeCell ref="P3:R3"/>
    <mergeCell ref="B22:C22"/>
    <mergeCell ref="I22:J22"/>
    <mergeCell ref="P22:Q22"/>
    <mergeCell ref="J28:N28"/>
    <mergeCell ref="B10:U10"/>
    <mergeCell ref="L3:M3"/>
    <mergeCell ref="C28:G28"/>
    <mergeCell ref="Q28:U28"/>
  </mergeCells>
  <pageMargins left="0.7" right="0.7" top="0.75" bottom="0.75" header="0.3" footer="0.3"/>
  <headerFooter>
    <oddFooter>&amp;C_x000D_&amp;1#&amp;"Calibri"&amp;10&amp;K000000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C00C-7F6A-4D28-824F-57E4F816FBD2}">
  <sheetPr>
    <tabColor theme="9" tint="0.39997558519241921"/>
  </sheetPr>
  <dimension ref="B1:U29"/>
  <sheetViews>
    <sheetView tabSelected="1" workbookViewId="0">
      <selection activeCell="H4" sqref="H4"/>
    </sheetView>
  </sheetViews>
  <sheetFormatPr defaultRowHeight="14.25" x14ac:dyDescent="0.45"/>
  <cols>
    <col min="2" max="2" width="25.59765625" customWidth="1"/>
    <col min="3" max="3" width="9.6640625" customWidth="1"/>
    <col min="9" max="9" width="25.59765625" customWidth="1"/>
    <col min="10" max="10" width="9.9296875" customWidth="1"/>
    <col min="11" max="11" width="9.59765625" customWidth="1"/>
    <col min="13" max="13" width="14.06640625" customWidth="1"/>
    <col min="16" max="16" width="25.59765625" customWidth="1"/>
    <col min="17" max="17" width="9.796875" customWidth="1"/>
    <col min="18" max="18" width="8.59765625" customWidth="1"/>
  </cols>
  <sheetData>
    <row r="1" spans="2:21" x14ac:dyDescent="0.45">
      <c r="B1" s="2" t="s">
        <v>168</v>
      </c>
    </row>
    <row r="2" spans="2:21" x14ac:dyDescent="0.45">
      <c r="B2" s="2" t="s">
        <v>169</v>
      </c>
    </row>
    <row r="3" spans="2:21" x14ac:dyDescent="0.45">
      <c r="B3" s="2"/>
    </row>
    <row r="4" spans="2:21" ht="14.65" thickBot="1" x14ac:dyDescent="0.5">
      <c r="B4" s="102" t="s">
        <v>37</v>
      </c>
      <c r="C4" s="103"/>
      <c r="L4" s="118" t="s">
        <v>158</v>
      </c>
      <c r="M4" s="119"/>
      <c r="N4" s="67"/>
      <c r="O4" s="2"/>
      <c r="P4" s="109" t="s">
        <v>80</v>
      </c>
      <c r="Q4" s="110"/>
      <c r="R4" s="111"/>
    </row>
    <row r="5" spans="2:21" x14ac:dyDescent="0.45">
      <c r="B5" s="51" t="s">
        <v>85</v>
      </c>
      <c r="C5" s="78">
        <v>0.15131800000000001</v>
      </c>
      <c r="D5" s="4" t="s">
        <v>164</v>
      </c>
      <c r="L5" s="74" t="s">
        <v>162</v>
      </c>
      <c r="M5" s="76">
        <v>0.15131800000000001</v>
      </c>
      <c r="P5" s="56" t="s">
        <v>0</v>
      </c>
      <c r="Q5" s="63" t="s">
        <v>153</v>
      </c>
      <c r="R5" s="64"/>
    </row>
    <row r="6" spans="2:21" x14ac:dyDescent="0.45">
      <c r="B6" s="51" t="s">
        <v>32</v>
      </c>
      <c r="C6" s="38">
        <v>0.05</v>
      </c>
      <c r="D6" s="4" t="s">
        <v>59</v>
      </c>
      <c r="L6" s="75" t="s">
        <v>163</v>
      </c>
      <c r="M6" s="77">
        <v>0.2715785</v>
      </c>
      <c r="P6" s="57" t="s">
        <v>154</v>
      </c>
      <c r="Q6" s="59">
        <v>0.65</v>
      </c>
      <c r="R6" s="60"/>
    </row>
    <row r="7" spans="2:21" x14ac:dyDescent="0.45">
      <c r="B7" s="36" t="s">
        <v>26</v>
      </c>
      <c r="C7" s="37">
        <v>0.5</v>
      </c>
      <c r="D7" s="4" t="s">
        <v>60</v>
      </c>
      <c r="P7" s="57" t="s">
        <v>155</v>
      </c>
      <c r="Q7" s="59">
        <v>0.61</v>
      </c>
      <c r="R7" s="60"/>
    </row>
    <row r="8" spans="2:21" x14ac:dyDescent="0.45">
      <c r="B8" s="97" t="s">
        <v>19</v>
      </c>
      <c r="C8" s="95">
        <f>_xlfn.NORM.INV(1-C6/2,0,1)</f>
        <v>1.9599639845400536</v>
      </c>
      <c r="D8" s="4" t="s">
        <v>64</v>
      </c>
      <c r="P8" s="57" t="s">
        <v>156</v>
      </c>
      <c r="Q8" s="59">
        <v>0.9</v>
      </c>
      <c r="R8" s="60"/>
    </row>
    <row r="9" spans="2:21" x14ac:dyDescent="0.45">
      <c r="P9" s="58" t="s">
        <v>157</v>
      </c>
      <c r="Q9" s="61">
        <v>1</v>
      </c>
      <c r="R9" s="62"/>
    </row>
    <row r="11" spans="2:21" x14ac:dyDescent="0.45">
      <c r="B11" s="115" t="s">
        <v>145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7"/>
    </row>
    <row r="12" spans="2:21" x14ac:dyDescent="0.45">
      <c r="B12" s="99" t="s">
        <v>159</v>
      </c>
      <c r="C12" s="35"/>
      <c r="D12" s="35"/>
      <c r="E12" s="35"/>
      <c r="F12" s="35"/>
      <c r="G12" s="43"/>
      <c r="I12" s="99" t="s">
        <v>160</v>
      </c>
      <c r="J12" s="35"/>
      <c r="K12" s="35"/>
      <c r="L12" s="35"/>
      <c r="M12" s="35"/>
      <c r="N12" s="43"/>
      <c r="P12" s="100" t="s">
        <v>161</v>
      </c>
      <c r="Q12" s="35"/>
      <c r="R12" s="35"/>
      <c r="S12" s="35"/>
      <c r="T12" s="35"/>
      <c r="U12" s="43"/>
    </row>
    <row r="13" spans="2:21" x14ac:dyDescent="0.45">
      <c r="B13" s="44"/>
      <c r="C13" s="35"/>
      <c r="D13" s="35"/>
      <c r="E13" s="35"/>
      <c r="F13" s="35"/>
      <c r="G13" s="43"/>
      <c r="I13" s="44"/>
      <c r="J13" s="35"/>
      <c r="K13" s="35"/>
      <c r="L13" s="35"/>
      <c r="M13" s="35"/>
      <c r="N13" s="43"/>
      <c r="P13" s="44"/>
      <c r="Q13" s="35"/>
      <c r="R13" s="35"/>
      <c r="S13" s="35"/>
      <c r="T13" s="35"/>
      <c r="U13" s="43"/>
    </row>
    <row r="14" spans="2:21" x14ac:dyDescent="0.45">
      <c r="B14" s="104" t="s">
        <v>61</v>
      </c>
      <c r="C14" s="105"/>
      <c r="D14" s="35"/>
      <c r="E14" s="35"/>
      <c r="F14" s="35"/>
      <c r="G14" s="43"/>
      <c r="I14" s="104" t="s">
        <v>61</v>
      </c>
      <c r="J14" s="105"/>
      <c r="K14" s="35"/>
      <c r="L14" s="35"/>
      <c r="M14" s="35"/>
      <c r="N14" s="43"/>
      <c r="P14" s="104" t="s">
        <v>61</v>
      </c>
      <c r="Q14" s="105"/>
      <c r="R14" s="35"/>
      <c r="S14" s="35"/>
      <c r="T14" s="35"/>
      <c r="U14" s="43"/>
    </row>
    <row r="15" spans="2:21" x14ac:dyDescent="0.45">
      <c r="B15" s="45" t="s">
        <v>63</v>
      </c>
      <c r="C15" s="66">
        <v>-0.15753010000000001</v>
      </c>
      <c r="E15" s="35"/>
      <c r="F15" s="35"/>
      <c r="G15" s="43"/>
      <c r="I15" s="45" t="s">
        <v>63</v>
      </c>
      <c r="J15" s="66">
        <v>-5.905912E-2</v>
      </c>
      <c r="L15" s="35"/>
      <c r="M15" s="35"/>
      <c r="N15" s="43"/>
      <c r="P15" s="45" t="s">
        <v>63</v>
      </c>
      <c r="Q15" s="66">
        <v>-2.7725449999999999E-2</v>
      </c>
      <c r="S15" s="35"/>
      <c r="T15" s="35"/>
      <c r="U15" s="43"/>
    </row>
    <row r="16" spans="2:21" x14ac:dyDescent="0.45">
      <c r="B16" s="44"/>
      <c r="C16" s="35"/>
      <c r="D16" s="35"/>
      <c r="E16" s="35"/>
      <c r="F16" s="35"/>
      <c r="G16" s="43"/>
      <c r="I16" s="44"/>
      <c r="J16" s="35"/>
      <c r="K16" s="35"/>
      <c r="L16" s="35"/>
      <c r="M16" s="35"/>
      <c r="N16" s="43"/>
      <c r="P16" s="44"/>
      <c r="Q16" s="35"/>
      <c r="R16" s="35"/>
      <c r="S16" s="35"/>
      <c r="T16" s="35"/>
      <c r="U16" s="43"/>
    </row>
    <row r="17" spans="2:21" x14ac:dyDescent="0.45">
      <c r="B17" s="44"/>
      <c r="C17" s="35"/>
      <c r="D17" s="35"/>
      <c r="E17" s="35"/>
      <c r="F17" s="49"/>
      <c r="G17" s="50"/>
      <c r="I17" s="44"/>
      <c r="J17" s="35"/>
      <c r="K17" s="35"/>
      <c r="L17" s="35"/>
      <c r="M17" s="49"/>
      <c r="N17" s="50"/>
      <c r="P17" s="44"/>
      <c r="Q17" s="35"/>
      <c r="R17" s="35"/>
      <c r="S17" s="35"/>
      <c r="T17" s="49"/>
      <c r="U17" s="50"/>
    </row>
    <row r="18" spans="2:21" x14ac:dyDescent="0.45">
      <c r="B18" s="89" t="s">
        <v>24</v>
      </c>
      <c r="C18" s="90">
        <v>0.2</v>
      </c>
      <c r="D18" s="91">
        <v>0.4</v>
      </c>
      <c r="E18" s="90">
        <v>0.6</v>
      </c>
      <c r="F18" s="90">
        <v>0.8</v>
      </c>
      <c r="G18" s="91">
        <v>1</v>
      </c>
      <c r="I18" s="89" t="s">
        <v>24</v>
      </c>
      <c r="J18" s="90">
        <v>0.2</v>
      </c>
      <c r="K18" s="91">
        <v>0.4</v>
      </c>
      <c r="L18" s="90">
        <v>0.6</v>
      </c>
      <c r="M18" s="90">
        <v>0.8</v>
      </c>
      <c r="N18" s="91">
        <v>1</v>
      </c>
      <c r="P18" s="89" t="s">
        <v>24</v>
      </c>
      <c r="Q18" s="90">
        <v>0.2</v>
      </c>
      <c r="R18" s="91">
        <v>0.4</v>
      </c>
      <c r="S18" s="90">
        <v>0.6</v>
      </c>
      <c r="T18" s="90">
        <v>0.8</v>
      </c>
      <c r="U18" s="91">
        <v>1</v>
      </c>
    </row>
    <row r="19" spans="2:21" x14ac:dyDescent="0.45">
      <c r="B19" s="94" t="s">
        <v>62</v>
      </c>
      <c r="C19" s="92">
        <f>$C$15*C18</f>
        <v>-3.1506020000000003E-2</v>
      </c>
      <c r="D19" s="92">
        <f>$C$15*D18</f>
        <v>-6.3012040000000005E-2</v>
      </c>
      <c r="E19" s="92">
        <f>$C$15*E18</f>
        <v>-9.4518060000000001E-2</v>
      </c>
      <c r="F19" s="92">
        <f>$C$15*F18</f>
        <v>-0.12602408000000001</v>
      </c>
      <c r="G19" s="93">
        <f>$C$15*G18</f>
        <v>-0.15753010000000001</v>
      </c>
      <c r="I19" s="94" t="s">
        <v>62</v>
      </c>
      <c r="J19" s="92">
        <f>$J$15*J18</f>
        <v>-1.1811824E-2</v>
      </c>
      <c r="K19" s="92">
        <f>$J$15*K18</f>
        <v>-2.3623648000000001E-2</v>
      </c>
      <c r="L19" s="92">
        <f>$J$15*L18</f>
        <v>-3.5435471999999996E-2</v>
      </c>
      <c r="M19" s="92">
        <f>$J$15*M18</f>
        <v>-4.7247296000000001E-2</v>
      </c>
      <c r="N19" s="93">
        <f>$J$15*N18</f>
        <v>-5.905912E-2</v>
      </c>
      <c r="P19" s="94" t="s">
        <v>62</v>
      </c>
      <c r="Q19" s="92">
        <f>$Q$15*Q18</f>
        <v>-5.5450899999999999E-3</v>
      </c>
      <c r="R19" s="92">
        <f>$Q$15*R18</f>
        <v>-1.109018E-2</v>
      </c>
      <c r="S19" s="92">
        <f>$Q$15*S18</f>
        <v>-1.6635269999999997E-2</v>
      </c>
      <c r="T19" s="92">
        <f>$Q$15*T18</f>
        <v>-2.218036E-2</v>
      </c>
      <c r="U19" s="93">
        <f>$Q$15*U18</f>
        <v>-2.7725449999999999E-2</v>
      </c>
    </row>
    <row r="20" spans="2:21" x14ac:dyDescent="0.45">
      <c r="B20" s="46" t="s">
        <v>1</v>
      </c>
      <c r="C20" s="112" t="s">
        <v>6</v>
      </c>
      <c r="D20" s="113"/>
      <c r="E20" s="113"/>
      <c r="F20" s="113"/>
      <c r="G20" s="114"/>
      <c r="I20" s="46" t="s">
        <v>1</v>
      </c>
      <c r="J20" s="112" t="s">
        <v>6</v>
      </c>
      <c r="K20" s="113"/>
      <c r="L20" s="113"/>
      <c r="M20" s="113"/>
      <c r="N20" s="114"/>
      <c r="P20" s="46" t="s">
        <v>1</v>
      </c>
      <c r="Q20" s="112" t="s">
        <v>6</v>
      </c>
      <c r="R20" s="113"/>
      <c r="S20" s="113"/>
      <c r="T20" s="113"/>
      <c r="U20" s="114"/>
    </row>
    <row r="21" spans="2:21" x14ac:dyDescent="0.45">
      <c r="B21" s="47">
        <v>1000</v>
      </c>
      <c r="C21" s="79">
        <f>1-_xlfn.NORM.DIST(0,-$C$8+SQRT($B21)*C$19*C$18*SQRT($C$7*(1-$C$7))/$C$5,1,TRUE) +_xlfn.NORM.DIST(-$C$8 - SQRT($B21)*C$19*C$18*SQRT($C$7*(1-$C$7))/$C$5,0,1,TRUE)</f>
        <v>0.10095351098350379</v>
      </c>
      <c r="D21" s="79">
        <f>1-_xlfn.NORM.DIST(0,-$C$8+SQRT($B21)*D$19*D$18*SQRT($C$7*(1-$C$7))/$C$5,1,TRUE) +_xlfn.NORM.DIST(-$C$8 - SQRT($B21)*D$19*D$18*SQRT($C$7*(1-$C$7))/$C$5,0,1,TRUE)</f>
        <v>0.74975611831484734</v>
      </c>
      <c r="E21" s="79">
        <f>1-_xlfn.NORM.DIST(0,-$C$8+SQRT($B21)*E$19*E$18*SQRT($C$7*(1-$C$7))/$C$5,1,TRUE) +_xlfn.NORM.DIST(-$C$8 - SQRT($B21)*E$19*E$18*SQRT($C$7*(1-$C$7))/$C$5,0,1,TRUE)</f>
        <v>0.99996342723429821</v>
      </c>
      <c r="F21" s="79">
        <f>1-_xlfn.NORM.DIST(0,-$C$8+SQRT($B21)*F$19*F$18*SQRT($C$7*(1-$C$7))/$C$5,1,TRUE) +_xlfn.NORM.DIST(-$C$8 - SQRT($B21)*F$19*F$18*SQRT($C$7*(1-$C$7))/$C$5,0,1,TRUE)</f>
        <v>1</v>
      </c>
      <c r="G21" s="79">
        <f>1-_xlfn.NORM.DIST(0,-$C$8+SQRT($B21)*G$19*G$18*SQRT($C$7*(1-$C$7))/$C$5,1,TRUE) +_xlfn.NORM.DIST(-$C$8 - SQRT($B21)*G$19*G$18*SQRT($C$7*(1-$C$7))/$C$5,0,1,TRUE)</f>
        <v>1</v>
      </c>
      <c r="I21" s="47">
        <v>1000</v>
      </c>
      <c r="J21" s="79">
        <f>1-_xlfn.NORM.DIST(0,-$C$8+SQRT($I21)*J$19*J$18*SQRT($C$7*(1-$C$7))/$C$5,1,TRUE) +_xlfn.NORM.DIST(-$C$8 - SQRT($I21)*J$19*J$18*SQRT($C$7*(1-$C$7))/$C$5,0,1,TRUE)</f>
        <v>5.7009095715674557E-2</v>
      </c>
      <c r="K21" s="79">
        <f>1-_xlfn.NORM.DIST(0,-$C$8+SQRT($I21)*K$19*K$18*SQRT($C$7*(1-$C$7))/$C$5,1,TRUE) +_xlfn.NORM.DIST(-$C$8 - SQRT($I21)*K$19*K$18*SQRT($C$7*(1-$C$7))/$C$5,0,1,TRUE)</f>
        <v>0.16698376397180975</v>
      </c>
      <c r="L21" s="79">
        <f>1-_xlfn.NORM.DIST(0,-$C$8+SQRT($I21)*L$19*L$18*SQRT($C$7*(1-$C$7))/$C$5,1,TRUE) +_xlfn.NORM.DIST(-$C$8 - SQRT($I21)*L$19*L$18*SQRT($C$7*(1-$C$7))/$C$5,0,1,TRUE)</f>
        <v>0.60321938786380958</v>
      </c>
      <c r="M21" s="79">
        <f>1-_xlfn.NORM.DIST(0,-$C$8+SQRT($I21)*M$19*M$18*SQRT($C$7*(1-$C$7))/$C$5,1,TRUE) +_xlfn.NORM.DIST(-$C$8 - SQRT($I21)*M$19*M$18*SQRT($C$7*(1-$C$7))/$C$5,0,1,TRUE)</f>
        <v>0.97668109167431671</v>
      </c>
      <c r="N21" s="79">
        <f>1-_xlfn.NORM.DIST(0,-$C$8+SQRT($I21)*N$19*N$18*SQRT($C$7*(1-$C$7))/$C$5,1,TRUE) +_xlfn.NORM.DIST(-$C$8 - SQRT($I21)*N$19*N$18*SQRT($C$7*(1-$C$7))/$C$5,0,1,TRUE)</f>
        <v>0.99998729855145185</v>
      </c>
      <c r="P21" s="47">
        <v>1000</v>
      </c>
      <c r="Q21" s="79">
        <f>1-_xlfn.NORM.DIST(0,-$C$8+SQRT($P21)*Q$19*Q$18*SQRT($C$7*(1-$C$7))/$C$5,1,TRUE) +_xlfn.NORM.DIST(-$C$8 - SQRT($P21)*Q$19*Q$18*SQRT($C$7*(1-$C$7))/$C$5,0,1,TRUE)</f>
        <v>5.1539709772816716E-2</v>
      </c>
      <c r="R21" s="79">
        <f>1-_xlfn.NORM.DIST(0,-$C$8+SQRT($P21)*R$19*R$18*SQRT($C$7*(1-$C$7))/$C$5,1,TRUE) +_xlfn.NORM.DIST(-$C$8 - SQRT($P21)*R$19*R$18*SQRT($C$7*(1-$C$7))/$C$5,0,1,TRUE)</f>
        <v>7.4956320989420872E-2</v>
      </c>
      <c r="S21" s="79">
        <f>1-_xlfn.NORM.DIST(0,-$C$8+SQRT($P21)*S$19*S$18*SQRT($C$7*(1-$C$7))/$C$5,1,TRUE) +_xlfn.NORM.DIST(-$C$8 - SQRT($P21)*S$19*S$18*SQRT($C$7*(1-$C$7))/$C$5,0,1,TRUE)</f>
        <v>0.18090285735333758</v>
      </c>
      <c r="T21" s="79">
        <f>1-_xlfn.NORM.DIST(0,-$C$8+SQRT($P21)*T$19*T$18*SQRT($C$7*(1-$C$7))/$C$5,1,TRUE) +_xlfn.NORM.DIST(-$C$8 - SQRT($P21)*T$19*T$18*SQRT($C$7*(1-$C$7))/$C$5,0,1,TRUE)</f>
        <v>0.45792166908722043</v>
      </c>
      <c r="U21" s="79">
        <f>1-_xlfn.NORM.DIST(0,-$C$8+SQRT($P21)*U$19*U$18*SQRT($C$7*(1-$C$7))/$C$5,1,TRUE) +_xlfn.NORM.DIST(-$C$8 - SQRT($P21)*U$19*U$18*SQRT($C$7*(1-$C$7))/$C$5,0,1,TRUE)</f>
        <v>0.82564691229512466</v>
      </c>
    </row>
    <row r="22" spans="2:21" x14ac:dyDescent="0.45">
      <c r="B22" s="47">
        <v>2500</v>
      </c>
      <c r="C22" s="79">
        <f>1-_xlfn.NORM.DIST(0,-$C$8+SQRT($B22)*C$19*C$18*SQRT($C$7*(1-$C$7))/$C$5,1,TRUE) +_xlfn.NORM.DIST(-$C$8 - SQRT($B22)*C$19*C$18*SQRT($C$7*(1-$C$7))/$C$5,0,1,TRUE)</f>
        <v>0.18041653636607541</v>
      </c>
      <c r="D22" s="79">
        <f>1-_xlfn.NORM.DIST(0,-$C$8+SQRT($B22)*D$19*D$18*SQRT($C$7*(1-$C$7))/$C$5,1,TRUE) +_xlfn.NORM.DIST(-$C$8 - SQRT($B22)*D$19*D$18*SQRT($C$7*(1-$C$7))/$C$5,0,1,TRUE)</f>
        <v>0.9862465862762142</v>
      </c>
      <c r="E22" s="79">
        <f>1-_xlfn.NORM.DIST(0,-$C$8+SQRT($B22)*E$19*E$18*SQRT($C$7*(1-$C$7))/$C$5,1,TRUE) +_xlfn.NORM.DIST(-$C$8 - SQRT($B22)*E$19*E$18*SQRT($C$7*(1-$C$7))/$C$5,0,1,TRUE)</f>
        <v>0.99999999999993661</v>
      </c>
      <c r="F22" s="79">
        <f>1-_xlfn.NORM.DIST(0,-$C$8+SQRT($B22)*F$19*F$18*SQRT($C$7*(1-$C$7))/$C$5,1,TRUE) +_xlfn.NORM.DIST(-$C$8 - SQRT($B22)*F$19*F$18*SQRT($C$7*(1-$C$7))/$C$5,0,1,TRUE)</f>
        <v>1</v>
      </c>
      <c r="G22" s="79">
        <f>1-_xlfn.NORM.DIST(0,-$C$8+SQRT($B22)*G$19*G$18*SQRT($C$7*(1-$C$7))/$C$5,1,TRUE) +_xlfn.NORM.DIST(-$C$8 - SQRT($B22)*G$19*G$18*SQRT($C$7*(1-$C$7))/$C$5,0,1,TRUE)</f>
        <v>1</v>
      </c>
      <c r="I22" s="47">
        <v>2500</v>
      </c>
      <c r="J22" s="79">
        <f>1-_xlfn.NORM.DIST(0,-$C$8+SQRT($I22)*J$19*J$18*SQRT($C$7*(1-$C$7))/$C$5,1,TRUE) +_xlfn.NORM.DIST(-$C$8 - SQRT($I22)*J$19*J$18*SQRT($C$7*(1-$C$7))/$C$5,0,1,TRUE)</f>
        <v>6.7626524494525803E-2</v>
      </c>
      <c r="K22" s="79">
        <f>1-_xlfn.NORM.DIST(0,-$C$8+SQRT($I22)*K$19*K$18*SQRT($C$7*(1-$C$7))/$C$5,1,TRUE) +_xlfn.NORM.DIST(-$C$8 - SQRT($I22)*K$19*K$18*SQRT($C$7*(1-$C$7))/$C$5,0,1,TRUE)</f>
        <v>0.34524551600606923</v>
      </c>
      <c r="L22" s="79">
        <f>1-_xlfn.NORM.DIST(0,-$C$8+SQRT($I22)*L$19*L$18*SQRT($C$7*(1-$C$7))/$C$5,1,TRUE) +_xlfn.NORM.DIST(-$C$8 - SQRT($I22)*L$19*L$18*SQRT($C$7*(1-$C$7))/$C$5,0,1,TRUE)</f>
        <v>0.9397548153817632</v>
      </c>
      <c r="M22" s="79">
        <f>1-_xlfn.NORM.DIST(0,-$C$8+SQRT($I22)*M$19*M$18*SQRT($C$7*(1-$C$7))/$C$5,1,TRUE) +_xlfn.NORM.DIST(-$C$8 - SQRT($I22)*M$19*M$18*SQRT($C$7*(1-$C$7))/$C$5,0,1,TRUE)</f>
        <v>0.99999085501410578</v>
      </c>
      <c r="N22" s="79">
        <f>1-_xlfn.NORM.DIST(0,-$C$8+SQRT($I22)*N$19*N$18*SQRT($C$7*(1-$C$7))/$C$5,1,TRUE) +_xlfn.NORM.DIST(-$C$8 - SQRT($I22)*N$19*N$18*SQRT($C$7*(1-$C$7))/$C$5,0,1,TRUE)</f>
        <v>0.99999999999999689</v>
      </c>
      <c r="P22" s="47">
        <v>2500</v>
      </c>
      <c r="Q22" s="79">
        <f>1-_xlfn.NORM.DIST(0,-$C$8+SQRT($P22)*Q$19*Q$18*SQRT($C$7*(1-$C$7))/$C$5,1,TRUE) +_xlfn.NORM.DIST(-$C$8 - SQRT($P22)*Q$19*Q$18*SQRT($C$7*(1-$C$7))/$C$5,0,1,TRUE)</f>
        <v>5.3854619065372852E-2</v>
      </c>
      <c r="R22" s="79">
        <f>1-_xlfn.NORM.DIST(0,-$C$8+SQRT($P22)*R$19*R$18*SQRT($C$7*(1-$C$7))/$C$5,1,TRUE) +_xlfn.NORM.DIST(-$C$8 - SQRT($P22)*R$19*R$18*SQRT($C$7*(1-$C$7))/$C$5,0,1,TRUE)</f>
        <v>0.1134423112517378</v>
      </c>
      <c r="S22" s="79">
        <f>1-_xlfn.NORM.DIST(0,-$C$8+SQRT($P22)*S$19*S$18*SQRT($C$7*(1-$C$7))/$C$5,1,TRUE) +_xlfn.NORM.DIST(-$C$8 - SQRT($P22)*S$19*S$18*SQRT($C$7*(1-$C$7))/$C$5,0,1,TRUE)</f>
        <v>0.37808192778322058</v>
      </c>
      <c r="T22" s="79">
        <f>1-_xlfn.NORM.DIST(0,-$C$8+SQRT($P22)*T$19*T$18*SQRT($C$7*(1-$C$7))/$C$5,1,TRUE) +_xlfn.NORM.DIST(-$C$8 - SQRT($P22)*T$19*T$18*SQRT($C$7*(1-$C$7))/$C$5,0,1,TRUE)</f>
        <v>0.83439018158314704</v>
      </c>
      <c r="U22" s="79">
        <f>1-_xlfn.NORM.DIST(0,-$C$8+SQRT($P22)*U$19*U$18*SQRT($C$7*(1-$C$7))/$C$5,1,TRUE) +_xlfn.NORM.DIST(-$C$8 - SQRT($P22)*U$19*U$18*SQRT($C$7*(1-$C$7))/$C$5,0,1,TRUE)</f>
        <v>0.99561247153191101</v>
      </c>
    </row>
    <row r="23" spans="2:21" x14ac:dyDescent="0.45">
      <c r="B23" s="47">
        <v>5000</v>
      </c>
      <c r="C23" s="79">
        <f>1-_xlfn.NORM.DIST(0,-$C$8+SQRT($B23)*C$19*C$18*SQRT($C$7*(1-$C$7))/$C$5,1,TRUE) +_xlfn.NORM.DIST(-$C$8 - SQRT($B23)*C$19*C$18*SQRT($C$7*(1-$C$7))/$C$5,0,1,TRUE)</f>
        <v>0.31318321019409612</v>
      </c>
      <c r="D23" s="79">
        <f>1-_xlfn.NORM.DIST(0,-$C$8+SQRT($B23)*D$19*D$18*SQRT($C$7*(1-$C$7))/$C$5,1,TRUE) +_xlfn.NORM.DIST(-$C$8 - SQRT($B23)*D$19*D$18*SQRT($C$7*(1-$C$7))/$C$5,0,1,TRUE)</f>
        <v>0.99995737183033317</v>
      </c>
      <c r="E23" s="79">
        <f>1-_xlfn.NORM.DIST(0,-$C$8+SQRT($B23)*E$19*E$18*SQRT($C$7*(1-$C$7))/$C$5,1,TRUE) +_xlfn.NORM.DIST(-$C$8 - SQRT($B23)*E$19*E$18*SQRT($C$7*(1-$C$7))/$C$5,0,1,TRUE)</f>
        <v>1</v>
      </c>
      <c r="F23" s="79">
        <f>1-_xlfn.NORM.DIST(0,-$C$8+SQRT($B23)*F$19*F$18*SQRT($C$7*(1-$C$7))/$C$5,1,TRUE) +_xlfn.NORM.DIST(-$C$8 - SQRT($B23)*F$19*F$18*SQRT($C$7*(1-$C$7))/$C$5,0,1,TRUE)</f>
        <v>1</v>
      </c>
      <c r="G23" s="79">
        <f>1-_xlfn.NORM.DIST(0,-$C$8+SQRT($B23)*G$19*G$18*SQRT($C$7*(1-$C$7))/$C$5,1,TRUE) +_xlfn.NORM.DIST(-$C$8 - SQRT($B23)*G$19*G$18*SQRT($C$7*(1-$C$7))/$C$5,0,1,TRUE)</f>
        <v>1</v>
      </c>
      <c r="I23" s="47">
        <v>5000</v>
      </c>
      <c r="J23" s="79">
        <f>1-_xlfn.NORM.DIST(0,-$C$8+SQRT($I23)*J$19*J$18*SQRT($C$7*(1-$C$7))/$C$5,1,TRUE) +_xlfn.NORM.DIST(-$C$8 - SQRT($I23)*J$19*J$18*SQRT($C$7*(1-$C$7))/$C$5,0,1,TRUE)</f>
        <v>8.5569320607857782E-2</v>
      </c>
      <c r="K23" s="79">
        <f>1-_xlfn.NORM.DIST(0,-$C$8+SQRT($I23)*K$19*K$18*SQRT($C$7*(1-$C$7))/$C$5,1,TRUE) +_xlfn.NORM.DIST(-$C$8 - SQRT($I23)*K$19*K$18*SQRT($C$7*(1-$C$7))/$C$5,0,1,TRUE)</f>
        <v>0.59790762370741668</v>
      </c>
      <c r="L23" s="79">
        <f>1-_xlfn.NORM.DIST(0,-$C$8+SQRT($I23)*L$19*L$18*SQRT($C$7*(1-$C$7))/$C$5,1,TRUE) +_xlfn.NORM.DIST(-$C$8 - SQRT($I23)*L$19*L$18*SQRT($C$7*(1-$C$7))/$C$5,0,1,TRUE)</f>
        <v>0.99868391866477824</v>
      </c>
      <c r="M23" s="79">
        <f>1-_xlfn.NORM.DIST(0,-$C$8+SQRT($I23)*M$19*M$18*SQRT($C$7*(1-$C$7))/$C$5,1,TRUE) +_xlfn.NORM.DIST(-$C$8 - SQRT($I23)*M$19*M$18*SQRT($C$7*(1-$C$7))/$C$5,0,1,TRUE)</f>
        <v>0.99999999999682287</v>
      </c>
      <c r="N23" s="79">
        <f>1-_xlfn.NORM.DIST(0,-$C$8+SQRT($I23)*N$19*N$18*SQRT($C$7*(1-$C$7))/$C$5,1,TRUE) +_xlfn.NORM.DIST(-$C$8 - SQRT($I23)*N$19*N$18*SQRT($C$7*(1-$C$7))/$C$5,0,1,TRUE)</f>
        <v>1</v>
      </c>
      <c r="P23" s="47">
        <v>5000</v>
      </c>
      <c r="Q23" s="79">
        <f>1-_xlfn.NORM.DIST(0,-$C$8+SQRT($P23)*Q$19*Q$18*SQRT($C$7*(1-$C$7))/$C$5,1,TRUE) +_xlfn.NORM.DIST(-$C$8 - SQRT($P23)*Q$19*Q$18*SQRT($C$7*(1-$C$7))/$C$5,0,1,TRUE)</f>
        <v>5.7726723547294252E-2</v>
      </c>
      <c r="R23" s="79">
        <f>1-_xlfn.NORM.DIST(0,-$C$8+SQRT($P23)*R$19*R$18*SQRT($C$7*(1-$C$7))/$C$5,1,TRUE) +_xlfn.NORM.DIST(-$C$8 - SQRT($P23)*R$19*R$18*SQRT($C$7*(1-$C$7))/$C$5,0,1,TRUE)</f>
        <v>0.17924453047627706</v>
      </c>
      <c r="S23" s="79">
        <f>1-_xlfn.NORM.DIST(0,-$C$8+SQRT($P23)*S$19*S$18*SQRT($C$7*(1-$C$7))/$C$5,1,TRUE) +_xlfn.NORM.DIST(-$C$8 - SQRT($P23)*S$19*S$18*SQRT($C$7*(1-$C$7))/$C$5,0,1,TRUE)</f>
        <v>0.64510976097101513</v>
      </c>
      <c r="T23" s="79">
        <f>1-_xlfn.NORM.DIST(0,-$C$8+SQRT($P23)*T$19*T$18*SQRT($C$7*(1-$C$7))/$C$5,1,TRUE) +_xlfn.NORM.DIST(-$C$8 - SQRT($P23)*T$19*T$18*SQRT($C$7*(1-$C$7))/$C$5,0,1,TRUE)</f>
        <v>0.98559131312595405</v>
      </c>
      <c r="U23" s="79">
        <f>1-_xlfn.NORM.DIST(0,-$C$8+SQRT($P23)*U$19*U$18*SQRT($C$7*(1-$C$7))/$C$5,1,TRUE) +_xlfn.NORM.DIST(-$C$8 - SQRT($P23)*U$19*U$18*SQRT($C$7*(1-$C$7))/$C$5,0,1,TRUE)</f>
        <v>0.99999687966236228</v>
      </c>
    </row>
    <row r="24" spans="2:21" x14ac:dyDescent="0.45">
      <c r="B24" s="47">
        <v>7000</v>
      </c>
      <c r="C24" s="79">
        <f>1-_xlfn.NORM.DIST(0,-$C$8+SQRT($B24)*C$19*C$18*SQRT($C$7*(1-$C$7))/$C$5,1,TRUE) +_xlfn.NORM.DIST(-$C$8 - SQRT($B24)*C$19*C$18*SQRT($C$7*(1-$C$7))/$C$5,0,1,TRUE)</f>
        <v>0.41384151966826443</v>
      </c>
      <c r="D24" s="79">
        <f>1-_xlfn.NORM.DIST(0,-$C$8+SQRT($B24)*D$19*D$18*SQRT($C$7*(1-$C$7))/$C$5,1,TRUE) +_xlfn.NORM.DIST(-$C$8 - SQRT($B24)*D$19*D$18*SQRT($C$7*(1-$C$7))/$C$5,0,1,TRUE)</f>
        <v>0.99999972514630864</v>
      </c>
      <c r="E24" s="79">
        <f>1-_xlfn.NORM.DIST(0,-$C$8+SQRT($B24)*E$19*E$18*SQRT($C$7*(1-$C$7))/$C$5,1,TRUE) +_xlfn.NORM.DIST(-$C$8 - SQRT($B24)*E$19*E$18*SQRT($C$7*(1-$C$7))/$C$5,0,1,TRUE)</f>
        <v>1</v>
      </c>
      <c r="F24" s="79">
        <f>1-_xlfn.NORM.DIST(0,-$C$8+SQRT($B24)*F$19*F$18*SQRT($C$7*(1-$C$7))/$C$5,1,TRUE) +_xlfn.NORM.DIST(-$C$8 - SQRT($B24)*F$19*F$18*SQRT($C$7*(1-$C$7))/$C$5,0,1,TRUE)</f>
        <v>1</v>
      </c>
      <c r="G24" s="79">
        <f>1-_xlfn.NORM.DIST(0,-$C$8+SQRT($B24)*G$19*G$18*SQRT($C$7*(1-$C$7))/$C$5,1,TRUE) +_xlfn.NORM.DIST(-$C$8 - SQRT($B24)*G$19*G$18*SQRT($C$7*(1-$C$7))/$C$5,0,1,TRUE)</f>
        <v>1</v>
      </c>
      <c r="I24" s="47">
        <v>7000</v>
      </c>
      <c r="J24" s="79">
        <f>1-_xlfn.NORM.DIST(0,-$C$8+SQRT($I24)*J$19*J$18*SQRT($C$7*(1-$C$7))/$C$5,1,TRUE) +_xlfn.NORM.DIST(-$C$8 - SQRT($I24)*J$19*J$18*SQRT($C$7*(1-$C$7))/$C$5,0,1,TRUE)</f>
        <v>0.10011516911112413</v>
      </c>
      <c r="K24" s="79">
        <f>1-_xlfn.NORM.DIST(0,-$C$8+SQRT($I24)*K$19*K$18*SQRT($C$7*(1-$C$7))/$C$5,1,TRUE) +_xlfn.NORM.DIST(-$C$8 - SQRT($I24)*K$19*K$18*SQRT($C$7*(1-$C$7))/$C$5,0,1,TRUE)</f>
        <v>0.74293412364667644</v>
      </c>
      <c r="L24" s="79">
        <f>1-_xlfn.NORM.DIST(0,-$C$8+SQRT($I24)*L$19*L$18*SQRT($C$7*(1-$C$7))/$C$5,1,TRUE) +_xlfn.NORM.DIST(-$C$8 - SQRT($I24)*L$19*L$18*SQRT($C$7*(1-$C$7))/$C$5,0,1,TRUE)</f>
        <v>0.99995533404592818</v>
      </c>
      <c r="M24" s="79">
        <f>1-_xlfn.NORM.DIST(0,-$C$8+SQRT($I24)*M$19*M$18*SQRT($C$7*(1-$C$7))/$C$5,1,TRUE) +_xlfn.NORM.DIST(-$C$8 - SQRT($I24)*M$19*M$18*SQRT($C$7*(1-$C$7))/$C$5,0,1,TRUE)</f>
        <v>1</v>
      </c>
      <c r="N24" s="79">
        <f>1-_xlfn.NORM.DIST(0,-$C$8+SQRT($I24)*N$19*N$18*SQRT($C$7*(1-$C$7))/$C$5,1,TRUE) +_xlfn.NORM.DIST(-$C$8 - SQRT($I24)*N$19*N$18*SQRT($C$7*(1-$C$7))/$C$5,0,1,TRUE)</f>
        <v>1</v>
      </c>
      <c r="P24" s="47">
        <v>7000</v>
      </c>
      <c r="Q24" s="79">
        <f>1-_xlfn.NORM.DIST(0,-$C$8+SQRT($P24)*Q$19*Q$18*SQRT($C$7*(1-$C$7))/$C$5,1,TRUE) +_xlfn.NORM.DIST(-$C$8 - SQRT($P24)*Q$19*Q$18*SQRT($C$7*(1-$C$7))/$C$5,0,1,TRUE)</f>
        <v>6.0836583928177583E-2</v>
      </c>
      <c r="R24" s="79">
        <f>1-_xlfn.NORM.DIST(0,-$C$8+SQRT($P24)*R$19*R$18*SQRT($C$7*(1-$C$7))/$C$5,1,TRUE) +_xlfn.NORM.DIST(-$C$8 - SQRT($P24)*R$19*R$18*SQRT($C$7*(1-$C$7))/$C$5,0,1,TRUE)</f>
        <v>0.23232325064991222</v>
      </c>
      <c r="S24" s="79">
        <f>1-_xlfn.NORM.DIST(0,-$C$8+SQRT($P24)*S$19*S$18*SQRT($C$7*(1-$C$7))/$C$5,1,TRUE) +_xlfn.NORM.DIST(-$C$8 - SQRT($P24)*S$19*S$18*SQRT($C$7*(1-$C$7))/$C$5,0,1,TRUE)</f>
        <v>0.787972931102778</v>
      </c>
      <c r="T24" s="79">
        <f>1-_xlfn.NORM.DIST(0,-$C$8+SQRT($P24)*T$19*T$18*SQRT($C$7*(1-$C$7))/$C$5,1,TRUE) +_xlfn.NORM.DIST(-$C$8 - SQRT($P24)*T$19*T$18*SQRT($C$7*(1-$C$7))/$C$5,0,1,TRUE)</f>
        <v>0.99838824143792304</v>
      </c>
      <c r="U24" s="79">
        <f>1-_xlfn.NORM.DIST(0,-$C$8+SQRT($P24)*U$19*U$18*SQRT($C$7*(1-$C$7))/$C$5,1,TRUE) +_xlfn.NORM.DIST(-$C$8 - SQRT($P24)*U$19*U$18*SQRT($C$7*(1-$C$7))/$C$5,0,1,TRUE)</f>
        <v>0.99999999418098695</v>
      </c>
    </row>
    <row r="25" spans="2:21" x14ac:dyDescent="0.45">
      <c r="B25" s="47">
        <v>10000</v>
      </c>
      <c r="C25" s="79">
        <f>1-_xlfn.NORM.DIST(0,-$C$8+SQRT($B25)*C$19*C$18*SQRT($C$7*(1-$C$7))/$C$5,1,TRUE) +_xlfn.NORM.DIST(-$C$8 - SQRT($B25)*C$19*C$18*SQRT($C$7*(1-$C$7))/$C$5,0,1,TRUE)</f>
        <v>0.54863343750380011</v>
      </c>
      <c r="D25" s="79">
        <f>1-_xlfn.NORM.DIST(0,-$C$8+SQRT($B25)*D$19*D$18*SQRT($C$7*(1-$C$7))/$C$5,1,TRUE) +_xlfn.NORM.DIST(-$C$8 - SQRT($B25)*D$19*D$18*SQRT($C$7*(1-$C$7))/$C$5,0,1,TRUE)</f>
        <v>0.99999999990453359</v>
      </c>
      <c r="E25" s="79">
        <f>1-_xlfn.NORM.DIST(0,-$C$8+SQRT($B25)*E$19*E$18*SQRT($C$7*(1-$C$7))/$C$5,1,TRUE) +_xlfn.NORM.DIST(-$C$8 - SQRT($B25)*E$19*E$18*SQRT($C$7*(1-$C$7))/$C$5,0,1,TRUE)</f>
        <v>1</v>
      </c>
      <c r="F25" s="79">
        <f>1-_xlfn.NORM.DIST(0,-$C$8+SQRT($B25)*F$19*F$18*SQRT($C$7*(1-$C$7))/$C$5,1,TRUE) +_xlfn.NORM.DIST(-$C$8 - SQRT($B25)*F$19*F$18*SQRT($C$7*(1-$C$7))/$C$5,0,1,TRUE)</f>
        <v>1</v>
      </c>
      <c r="G25" s="79">
        <f>1-_xlfn.NORM.DIST(0,-$C$8+SQRT($B25)*G$19*G$18*SQRT($C$7*(1-$C$7))/$C$5,1,TRUE) +_xlfn.NORM.DIST(-$C$8 - SQRT($B25)*G$19*G$18*SQRT($C$7*(1-$C$7))/$C$5,0,1,TRUE)</f>
        <v>1</v>
      </c>
      <c r="I25" s="47">
        <v>10000</v>
      </c>
      <c r="J25" s="79">
        <f>1-_xlfn.NORM.DIST(0,-$C$8+SQRT($I25)*J$19*J$18*SQRT($C$7*(1-$C$7))/$C$5,1,TRUE) +_xlfn.NORM.DIST(-$C$8 - SQRT($I25)*J$19*J$18*SQRT($C$7*(1-$C$7))/$C$5,0,1,TRUE)</f>
        <v>0.12219258629087809</v>
      </c>
      <c r="K25" s="79">
        <f>1-_xlfn.NORM.DIST(0,-$C$8+SQRT($I25)*K$19*K$18*SQRT($C$7*(1-$C$7))/$C$5,1,TRUE) +_xlfn.NORM.DIST(-$C$8 - SQRT($I25)*K$19*K$18*SQRT($C$7*(1-$C$7))/$C$5,0,1,TRUE)</f>
        <v>0.87746781559792053</v>
      </c>
      <c r="L25" s="79">
        <f>1-_xlfn.NORM.DIST(0,-$C$8+SQRT($I25)*L$19*L$18*SQRT($C$7*(1-$C$7))/$C$5,1,TRUE) +_xlfn.NORM.DIST(-$C$8 - SQRT($I25)*L$19*L$18*SQRT($C$7*(1-$C$7))/$C$5,0,1,TRUE)</f>
        <v>0.9999997962290994</v>
      </c>
      <c r="M25" s="79">
        <f>1-_xlfn.NORM.DIST(0,-$C$8+SQRT($I25)*M$19*M$18*SQRT($C$7*(1-$C$7))/$C$5,1,TRUE) +_xlfn.NORM.DIST(-$C$8 - SQRT($I25)*M$19*M$18*SQRT($C$7*(1-$C$7))/$C$5,0,1,TRUE)</f>
        <v>1</v>
      </c>
      <c r="N25" s="79">
        <f>1-_xlfn.NORM.DIST(0,-$C$8+SQRT($I25)*N$19*N$18*SQRT($C$7*(1-$C$7))/$C$5,1,TRUE) +_xlfn.NORM.DIST(-$C$8 - SQRT($I25)*N$19*N$18*SQRT($C$7*(1-$C$7))/$C$5,0,1,TRUE)</f>
        <v>1</v>
      </c>
      <c r="P25" s="47">
        <v>10000</v>
      </c>
      <c r="Q25" s="79">
        <f>1-_xlfn.NORM.DIST(0,-$C$8+SQRT($P25)*Q$19*Q$18*SQRT($C$7*(1-$C$7))/$C$5,1,TRUE) +_xlfn.NORM.DIST(-$C$8 - SQRT($P25)*Q$19*Q$18*SQRT($C$7*(1-$C$7))/$C$5,0,1,TRUE)</f>
        <v>6.5520941463236837E-2</v>
      </c>
      <c r="R25" s="79">
        <f>1-_xlfn.NORM.DIST(0,-$C$8+SQRT($P25)*R$19*R$18*SQRT($C$7*(1-$C$7))/$C$5,1,TRUE) +_xlfn.NORM.DIST(-$C$8 - SQRT($P25)*R$19*R$18*SQRT($C$7*(1-$C$7))/$C$5,0,1,TRUE)</f>
        <v>0.31090562021622759</v>
      </c>
      <c r="S25" s="79">
        <f>1-_xlfn.NORM.DIST(0,-$C$8+SQRT($P25)*S$19*S$18*SQRT($C$7*(1-$C$7))/$C$5,1,TRUE) +_xlfn.NORM.DIST(-$C$8 - SQRT($P25)*S$19*S$18*SQRT($C$7*(1-$C$7))/$C$5,0,1,TRUE)</f>
        <v>0.9095699337386024</v>
      </c>
      <c r="T25" s="79">
        <f>1-_xlfn.NORM.DIST(0,-$C$8+SQRT($P25)*T$19*T$18*SQRT($C$7*(1-$C$7))/$C$5,1,TRUE) +_xlfn.NORM.DIST(-$C$8 - SQRT($P25)*T$19*T$18*SQRT($C$7*(1-$C$7))/$C$5,0,1,TRUE)</f>
        <v>0.99995255115550963</v>
      </c>
      <c r="U25" s="79">
        <f>1-_xlfn.NORM.DIST(0,-$C$8+SQRT($P25)*U$19*U$18*SQRT($C$7*(1-$C$7))/$C$5,1,TRUE) +_xlfn.NORM.DIST(-$C$8 - SQRT($P25)*U$19*U$18*SQRT($C$7*(1-$C$7))/$C$5,0,1,TRUE)</f>
        <v>0.99999999999970191</v>
      </c>
    </row>
    <row r="26" spans="2:21" x14ac:dyDescent="0.45">
      <c r="B26" s="47">
        <v>12000</v>
      </c>
      <c r="C26" s="79">
        <f>1-_xlfn.NORM.DIST(0,-$C$8+SQRT($B26)*C$19*C$18*SQRT($C$7*(1-$C$7))/$C$5,1,TRUE) +_xlfn.NORM.DIST(-$C$8 - SQRT($B26)*C$19*C$18*SQRT($C$7*(1-$C$7))/$C$5,0,1,TRUE)</f>
        <v>0.62585648174154951</v>
      </c>
      <c r="D26" s="79">
        <f>1-_xlfn.NORM.DIST(0,-$C$8+SQRT($B26)*D$19*D$18*SQRT($C$7*(1-$C$7))/$C$5,1,TRUE) +_xlfn.NORM.DIST(-$C$8 - SQRT($B26)*D$19*D$18*SQRT($C$7*(1-$C$7))/$C$5,0,1,TRUE)</f>
        <v>0.99999999999960643</v>
      </c>
      <c r="E26" s="79">
        <f>1-_xlfn.NORM.DIST(0,-$C$8+SQRT($B26)*E$19*E$18*SQRT($C$7*(1-$C$7))/$C$5,1,TRUE) +_xlfn.NORM.DIST(-$C$8 - SQRT($B26)*E$19*E$18*SQRT($C$7*(1-$C$7))/$C$5,0,1,TRUE)</f>
        <v>1</v>
      </c>
      <c r="F26" s="79">
        <f>1-_xlfn.NORM.DIST(0,-$C$8+SQRT($B26)*F$19*F$18*SQRT($C$7*(1-$C$7))/$C$5,1,TRUE) +_xlfn.NORM.DIST(-$C$8 - SQRT($B26)*F$19*F$18*SQRT($C$7*(1-$C$7))/$C$5,0,1,TRUE)</f>
        <v>1</v>
      </c>
      <c r="G26" s="79">
        <f>1-_xlfn.NORM.DIST(0,-$C$8+SQRT($B26)*G$19*G$18*SQRT($C$7*(1-$C$7))/$C$5,1,TRUE) +_xlfn.NORM.DIST(-$C$8 - SQRT($B26)*G$19*G$18*SQRT($C$7*(1-$C$7))/$C$5,0,1,TRUE)</f>
        <v>1</v>
      </c>
      <c r="I26" s="47">
        <v>12000</v>
      </c>
      <c r="J26" s="79">
        <f>1-_xlfn.NORM.DIST(0,-$C$8+SQRT($I26)*J$19*J$18*SQRT($C$7*(1-$C$7))/$C$5,1,TRUE) +_xlfn.NORM.DIST(-$C$8 - SQRT($I26)*J$19*J$18*SQRT($C$7*(1-$C$7))/$C$5,0,1,TRUE)</f>
        <v>0.13704767889624891</v>
      </c>
      <c r="K26" s="79">
        <f>1-_xlfn.NORM.DIST(0,-$C$8+SQRT($I26)*K$19*K$18*SQRT($C$7*(1-$C$7))/$C$5,1,TRUE) +_xlfn.NORM.DIST(-$C$8 - SQRT($I26)*K$19*K$18*SQRT($C$7*(1-$C$7))/$C$5,0,1,TRUE)</f>
        <v>0.92791499561629032</v>
      </c>
      <c r="L26" s="79">
        <f>1-_xlfn.NORM.DIST(0,-$C$8+SQRT($I26)*L$19*L$18*SQRT($C$7*(1-$C$7))/$C$5,1,TRUE) +_xlfn.NORM.DIST(-$C$8 - SQRT($I26)*L$19*L$18*SQRT($C$7*(1-$C$7))/$C$5,0,1,TRUE)</f>
        <v>0.99999999515128279</v>
      </c>
      <c r="M26" s="79">
        <f>1-_xlfn.NORM.DIST(0,-$C$8+SQRT($I26)*M$19*M$18*SQRT($C$7*(1-$C$7))/$C$5,1,TRUE) +_xlfn.NORM.DIST(-$C$8 - SQRT($I26)*M$19*M$18*SQRT($C$7*(1-$C$7))/$C$5,0,1,TRUE)</f>
        <v>1</v>
      </c>
      <c r="N26" s="79">
        <f>1-_xlfn.NORM.DIST(0,-$C$8+SQRT($I26)*N$19*N$18*SQRT($C$7*(1-$C$7))/$C$5,1,TRUE) +_xlfn.NORM.DIST(-$C$8 - SQRT($I26)*N$19*N$18*SQRT($C$7*(1-$C$7))/$C$5,0,1,TRUE)</f>
        <v>1</v>
      </c>
      <c r="P26" s="47">
        <v>12000</v>
      </c>
      <c r="Q26" s="79">
        <f>1-_xlfn.NORM.DIST(0,-$C$8+SQRT($P26)*Q$19*Q$18*SQRT($C$7*(1-$C$7))/$C$5,1,TRUE) +_xlfn.NORM.DIST(-$C$8 - SQRT($P26)*Q$19*Q$18*SQRT($C$7*(1-$C$7))/$C$5,0,1,TRUE)</f>
        <v>6.865644379317834E-2</v>
      </c>
      <c r="R26" s="79">
        <f>1-_xlfn.NORM.DIST(0,-$C$8+SQRT($P26)*R$19*R$18*SQRT($C$7*(1-$C$7))/$C$5,1,TRUE) +_xlfn.NORM.DIST(-$C$8 - SQRT($P26)*R$19*R$18*SQRT($C$7*(1-$C$7))/$C$5,0,1,TRUE)</f>
        <v>0.36175782268723167</v>
      </c>
      <c r="S26" s="79">
        <f>1-_xlfn.NORM.DIST(0,-$C$8+SQRT($P26)*S$19*S$18*SQRT($C$7*(1-$C$7))/$C$5,1,TRUE) +_xlfn.NORM.DIST(-$C$8 - SQRT($P26)*S$19*S$18*SQRT($C$7*(1-$C$7))/$C$5,0,1,TRUE)</f>
        <v>0.95082400398641165</v>
      </c>
      <c r="T26" s="79">
        <f>1-_xlfn.NORM.DIST(0,-$C$8+SQRT($P26)*T$19*T$18*SQRT($C$7*(1-$C$7))/$C$5,1,TRUE) +_xlfn.NORM.DIST(-$C$8 - SQRT($P26)*T$19*T$18*SQRT($C$7*(1-$C$7))/$C$5,0,1,TRUE)</f>
        <v>0.99999595707885047</v>
      </c>
      <c r="U26" s="79">
        <f>1-_xlfn.NORM.DIST(0,-$C$8+SQRT($P26)*U$19*U$18*SQRT($C$7*(1-$C$7))/$C$5,1,TRUE) +_xlfn.NORM.DIST(-$C$8 - SQRT($P26)*U$19*U$18*SQRT($C$7*(1-$C$7))/$C$5,0,1,TRUE)</f>
        <v>0.99999999999999967</v>
      </c>
    </row>
    <row r="27" spans="2:21" x14ac:dyDescent="0.45">
      <c r="B27" s="47">
        <v>15000</v>
      </c>
      <c r="C27" s="79">
        <f>1-_xlfn.NORM.DIST(0,-$C$8+SQRT($B27)*C$19*C$18*SQRT($C$7*(1-$C$7))/$C$5,1,TRUE) +_xlfn.NORM.DIST(-$C$8 - SQRT($B27)*C$19*C$18*SQRT($C$7*(1-$C$7))/$C$5,0,1,TRUE)</f>
        <v>0.72243652377080103</v>
      </c>
      <c r="D27" s="79">
        <f>1-_xlfn.NORM.DIST(0,-$C$8+SQRT($B27)*D$19*D$18*SQRT($C$7*(1-$C$7))/$C$5,1,TRUE) +_xlfn.NORM.DIST(-$C$8 - SQRT($B27)*D$19*D$18*SQRT($C$7*(1-$C$7))/$C$5,0,1,TRUE)</f>
        <v>0.99999999999999989</v>
      </c>
      <c r="E27" s="79">
        <f>1-_xlfn.NORM.DIST(0,-$C$8+SQRT($B27)*E$19*E$18*SQRT($C$7*(1-$C$7))/$C$5,1,TRUE) +_xlfn.NORM.DIST(-$C$8 - SQRT($B27)*E$19*E$18*SQRT($C$7*(1-$C$7))/$C$5,0,1,TRUE)</f>
        <v>1</v>
      </c>
      <c r="F27" s="79">
        <f>1-_xlfn.NORM.DIST(0,-$C$8+SQRT($B27)*F$19*F$18*SQRT($C$7*(1-$C$7))/$C$5,1,TRUE) +_xlfn.NORM.DIST(-$C$8 - SQRT($B27)*F$19*F$18*SQRT($C$7*(1-$C$7))/$C$5,0,1,TRUE)</f>
        <v>1</v>
      </c>
      <c r="G27" s="79">
        <f>1-_xlfn.NORM.DIST(0,-$C$8+SQRT($B27)*G$19*G$18*SQRT($C$7*(1-$C$7))/$C$5,1,TRUE) +_xlfn.NORM.DIST(-$C$8 - SQRT($B27)*G$19*G$18*SQRT($C$7*(1-$C$7))/$C$5,0,1,TRUE)</f>
        <v>1</v>
      </c>
      <c r="I27" s="47">
        <v>15000</v>
      </c>
      <c r="J27" s="79">
        <f>1-_xlfn.NORM.DIST(0,-$C$8+SQRT($I27)*J$19*J$18*SQRT($C$7*(1-$C$7))/$C$5,1,TRUE) +_xlfn.NORM.DIST(-$C$8 - SQRT($I27)*J$19*J$18*SQRT($C$7*(1-$C$7))/$C$5,0,1,TRUE)</f>
        <v>0.15947825449701586</v>
      </c>
      <c r="K27" s="79">
        <f>1-_xlfn.NORM.DIST(0,-$C$8+SQRT($I27)*K$19*K$18*SQRT($C$7*(1-$C$7))/$C$5,1,TRUE) +_xlfn.NORM.DIST(-$C$8 - SQRT($I27)*K$19*K$18*SQRT($C$7*(1-$C$7))/$C$5,0,1,TRUE)</f>
        <v>0.96885040354688257</v>
      </c>
      <c r="L27" s="79">
        <f>1-_xlfn.NORM.DIST(0,-$C$8+SQRT($I27)*L$19*L$18*SQRT($C$7*(1-$C$7))/$C$5,1,TRUE) +_xlfn.NORM.DIST(-$C$8 - SQRT($I27)*L$19*L$18*SQRT($C$7*(1-$C$7))/$C$5,0,1,TRUE)</f>
        <v>0.99999999998476852</v>
      </c>
      <c r="M27" s="79">
        <f>1-_xlfn.NORM.DIST(0,-$C$8+SQRT($I27)*M$19*M$18*SQRT($C$7*(1-$C$7))/$C$5,1,TRUE) +_xlfn.NORM.DIST(-$C$8 - SQRT($I27)*M$19*M$18*SQRT($C$7*(1-$C$7))/$C$5,0,1,TRUE)</f>
        <v>1</v>
      </c>
      <c r="N27" s="79">
        <f>1-_xlfn.NORM.DIST(0,-$C$8+SQRT($I27)*N$19*N$18*SQRT($C$7*(1-$C$7))/$C$5,1,TRUE) +_xlfn.NORM.DIST(-$C$8 - SQRT($I27)*N$19*N$18*SQRT($C$7*(1-$C$7))/$C$5,0,1,TRUE)</f>
        <v>1</v>
      </c>
      <c r="P27" s="47">
        <v>15000</v>
      </c>
      <c r="Q27" s="79">
        <f>1-_xlfn.NORM.DIST(0,-$C$8+SQRT($P27)*Q$19*Q$18*SQRT($C$7*(1-$C$7))/$C$5,1,TRUE) +_xlfn.NORM.DIST(-$C$8 - SQRT($P27)*Q$19*Q$18*SQRT($C$7*(1-$C$7))/$C$5,0,1,TRUE)</f>
        <v>7.337783616467887E-2</v>
      </c>
      <c r="R27" s="79">
        <f>1-_xlfn.NORM.DIST(0,-$C$8+SQRT($P27)*R$19*R$18*SQRT($C$7*(1-$C$7))/$C$5,1,TRUE) +_xlfn.NORM.DIST(-$C$8 - SQRT($P27)*R$19*R$18*SQRT($C$7*(1-$C$7))/$C$5,0,1,TRUE)</f>
        <v>0.43466902580960431</v>
      </c>
      <c r="S27" s="79">
        <f>1-_xlfn.NORM.DIST(0,-$C$8+SQRT($P27)*S$19*S$18*SQRT($C$7*(1-$C$7))/$C$5,1,TRUE) +_xlfn.NORM.DIST(-$C$8 - SQRT($P27)*S$19*S$18*SQRT($C$7*(1-$C$7))/$C$5,0,1,TRUE)</f>
        <v>0.98120677798435507</v>
      </c>
      <c r="T27" s="79">
        <f>1-_xlfn.NORM.DIST(0,-$C$8+SQRT($P27)*T$19*T$18*SQRT($C$7*(1-$C$7))/$C$5,1,TRUE) +_xlfn.NORM.DIST(-$C$8 - SQRT($P27)*T$19*T$18*SQRT($C$7*(1-$C$7))/$C$5,0,1,TRUE)</f>
        <v>0.9999999110271458</v>
      </c>
      <c r="U27" s="79">
        <f>1-_xlfn.NORM.DIST(0,-$C$8+SQRT($P27)*U$19*U$18*SQRT($C$7*(1-$C$7))/$C$5,1,TRUE) +_xlfn.NORM.DIST(-$C$8 - SQRT($P27)*U$19*U$18*SQRT($C$7*(1-$C$7))/$C$5,0,1,TRUE)</f>
        <v>1</v>
      </c>
    </row>
    <row r="28" spans="2:21" x14ac:dyDescent="0.45">
      <c r="B28" s="47">
        <v>20000</v>
      </c>
      <c r="C28" s="79">
        <f>1-_xlfn.NORM.DIST(0,-$C$8+SQRT($B28)*C$19*C$18*SQRT($C$7*(1-$C$7))/$C$5,1,TRUE) +_xlfn.NORM.DIST(-$C$8 - SQRT($B28)*C$19*C$18*SQRT($C$7*(1-$C$7))/$C$5,0,1,TRUE)</f>
        <v>0.83758509898184186</v>
      </c>
      <c r="D28" s="79">
        <f>1-_xlfn.NORM.DIST(0,-$C$8+SQRT($B28)*D$19*D$18*SQRT($C$7*(1-$C$7))/$C$5,1,TRUE) +_xlfn.NORM.DIST(-$C$8 - SQRT($B28)*D$19*D$18*SQRT($C$7*(1-$C$7))/$C$5,0,1,TRUE)</f>
        <v>1</v>
      </c>
      <c r="E28" s="79">
        <f>1-_xlfn.NORM.DIST(0,-$C$8+SQRT($B28)*E$19*E$18*SQRT($C$7*(1-$C$7))/$C$5,1,TRUE) +_xlfn.NORM.DIST(-$C$8 - SQRT($B28)*E$19*E$18*SQRT($C$7*(1-$C$7))/$C$5,0,1,TRUE)</f>
        <v>1</v>
      </c>
      <c r="F28" s="79">
        <f>1-_xlfn.NORM.DIST(0,-$C$8+SQRT($B28)*F$19*F$18*SQRT($C$7*(1-$C$7))/$C$5,1,TRUE) +_xlfn.NORM.DIST(-$C$8 - SQRT($B28)*F$19*F$18*SQRT($C$7*(1-$C$7))/$C$5,0,1,TRUE)</f>
        <v>1</v>
      </c>
      <c r="G28" s="79">
        <f>1-_xlfn.NORM.DIST(0,-$C$8+SQRT($B28)*G$19*G$18*SQRT($C$7*(1-$C$7))/$C$5,1,TRUE) +_xlfn.NORM.DIST(-$C$8 - SQRT($B28)*G$19*G$18*SQRT($C$7*(1-$C$7))/$C$5,0,1,TRUE)</f>
        <v>1</v>
      </c>
      <c r="I28" s="47">
        <v>20000</v>
      </c>
      <c r="J28" s="79">
        <f>1-_xlfn.NORM.DIST(0,-$C$8+SQRT($I28)*J$19*J$18*SQRT($C$7*(1-$C$7))/$C$5,1,TRUE) +_xlfn.NORM.DIST(-$C$8 - SQRT($I28)*J$19*J$18*SQRT($C$7*(1-$C$7))/$C$5,0,1,TRUE)</f>
        <v>0.19708175927941185</v>
      </c>
      <c r="K28" s="79">
        <f>1-_xlfn.NORM.DIST(0,-$C$8+SQRT($I28)*K$19*K$18*SQRT($C$7*(1-$C$7))/$C$5,1,TRUE) +_xlfn.NORM.DIST(-$C$8 - SQRT($I28)*K$19*K$18*SQRT($C$7*(1-$C$7))/$C$5,0,1,TRUE)</f>
        <v>0.99297053904245147</v>
      </c>
      <c r="L28" s="79">
        <f>1-_xlfn.NORM.DIST(0,-$C$8+SQRT($I28)*L$19*L$18*SQRT($C$7*(1-$C$7))/$C$5,1,TRUE) +_xlfn.NORM.DIST(-$C$8 - SQRT($I28)*L$19*L$18*SQRT($C$7*(1-$C$7))/$C$5,0,1,TRUE)</f>
        <v>0.99999999999999922</v>
      </c>
      <c r="M28" s="79">
        <f>1-_xlfn.NORM.DIST(0,-$C$8+SQRT($I28)*M$19*M$18*SQRT($C$7*(1-$C$7))/$C$5,1,TRUE) +_xlfn.NORM.DIST(-$C$8 - SQRT($I28)*M$19*M$18*SQRT($C$7*(1-$C$7))/$C$5,0,1,TRUE)</f>
        <v>1</v>
      </c>
      <c r="N28" s="79">
        <f>1-_xlfn.NORM.DIST(0,-$C$8+SQRT($I28)*N$19*N$18*SQRT($C$7*(1-$C$7))/$C$5,1,TRUE) +_xlfn.NORM.DIST(-$C$8 - SQRT($I28)*N$19*N$18*SQRT($C$7*(1-$C$7))/$C$5,0,1,TRUE)</f>
        <v>1</v>
      </c>
      <c r="P28" s="47">
        <v>20000</v>
      </c>
      <c r="Q28" s="79">
        <f>1-_xlfn.NORM.DIST(0,-$C$8+SQRT($P28)*Q$19*Q$18*SQRT($C$7*(1-$C$7))/$C$5,1,TRUE) +_xlfn.NORM.DIST(-$C$8 - SQRT($P28)*Q$19*Q$18*SQRT($C$7*(1-$C$7))/$C$5,0,1,TRUE)</f>
        <v>8.1292712233128242E-2</v>
      </c>
      <c r="R28" s="79">
        <f>1-_xlfn.NORM.DIST(0,-$C$8+SQRT($P28)*R$19*R$18*SQRT($C$7*(1-$C$7))/$C$5,1,TRUE) +_xlfn.NORM.DIST(-$C$8 - SQRT($P28)*R$19*R$18*SQRT($C$7*(1-$C$7))/$C$5,0,1,TRUE)</f>
        <v>0.54501460962531145</v>
      </c>
      <c r="S28" s="79">
        <f>1-_xlfn.NORM.DIST(0,-$C$8+SQRT($P28)*S$19*S$18*SQRT($C$7*(1-$C$7))/$C$5,1,TRUE) +_xlfn.NORM.DIST(-$C$8 - SQRT($P28)*S$19*S$18*SQRT($C$7*(1-$C$7))/$C$5,0,1,TRUE)</f>
        <v>0.99657673522861856</v>
      </c>
      <c r="T28" s="79">
        <f>1-_xlfn.NORM.DIST(0,-$C$8+SQRT($P28)*T$19*T$18*SQRT($C$7*(1-$C$7))/$C$5,1,TRUE) +_xlfn.NORM.DIST(-$C$8 - SQRT($P28)*T$19*T$18*SQRT($C$7*(1-$C$7))/$C$5,0,1,TRUE)</f>
        <v>0.99999999987893207</v>
      </c>
      <c r="U28" s="79">
        <f>1-_xlfn.NORM.DIST(0,-$C$8+SQRT($P28)*U$19*U$18*SQRT($C$7*(1-$C$7))/$C$5,1,TRUE) +_xlfn.NORM.DIST(-$C$8 - SQRT($P28)*U$19*U$18*SQRT($C$7*(1-$C$7))/$C$5,0,1,TRUE)</f>
        <v>1</v>
      </c>
    </row>
    <row r="29" spans="2:21" x14ac:dyDescent="0.45">
      <c r="B29" s="48">
        <v>50000</v>
      </c>
      <c r="C29" s="80">
        <f>1-_xlfn.NORM.DIST(0,-$C$8+SQRT($B29)*C$19*C$18*SQRT($C$7*(1-$C$7))/$C$5,1,TRUE) +_xlfn.NORM.DIST(-$C$8 - SQRT($B29)*C$19*C$18*SQRT($C$7*(1-$C$7))/$C$5,0,1,TRUE)</f>
        <v>0.99648867006298159</v>
      </c>
      <c r="D29" s="80">
        <f>1-_xlfn.NORM.DIST(0,-$C$8+SQRT($B29)*D$19*D$18*SQRT($C$7*(1-$C$7))/$C$5,1,TRUE) +_xlfn.NORM.DIST(-$C$8 - SQRT($B29)*D$19*D$18*SQRT($C$7*(1-$C$7))/$C$5,0,1,TRUE)</f>
        <v>1</v>
      </c>
      <c r="E29" s="80">
        <f>1-_xlfn.NORM.DIST(0,-$C$8+SQRT($B29)*E$19*E$18*SQRT($C$7*(1-$C$7))/$C$5,1,TRUE) +_xlfn.NORM.DIST(-$C$8 - SQRT($B29)*E$19*E$18*SQRT($C$7*(1-$C$7))/$C$5,0,1,TRUE)</f>
        <v>1</v>
      </c>
      <c r="F29" s="80">
        <f>1-_xlfn.NORM.DIST(0,-$C$8+SQRT($B29)*F$19*F$18*SQRT($C$7*(1-$C$7))/$C$5,1,TRUE) +_xlfn.NORM.DIST(-$C$8 - SQRT($B29)*F$19*F$18*SQRT($C$7*(1-$C$7))/$C$5,0,1,TRUE)</f>
        <v>1</v>
      </c>
      <c r="G29" s="80">
        <f>1-_xlfn.NORM.DIST(0,-$C$8+SQRT($B29)*G$19*G$18*SQRT($C$7*(1-$C$7))/$C$5,1,TRUE) +_xlfn.NORM.DIST(-$C$8 - SQRT($B29)*G$19*G$18*SQRT($C$7*(1-$C$7))/$C$5,0,1,TRUE)</f>
        <v>1</v>
      </c>
      <c r="I29" s="48">
        <v>50000</v>
      </c>
      <c r="J29" s="80">
        <f>1-_xlfn.NORM.DIST(0,-$C$8+SQRT($I29)*J$19*J$18*SQRT($C$7*(1-$C$7))/$C$5,1,TRUE) +_xlfn.NORM.DIST(-$C$8 - SQRT($I29)*J$19*J$18*SQRT($C$7*(1-$C$7))/$C$5,0,1,TRUE)</f>
        <v>0.41518485929506083</v>
      </c>
      <c r="K29" s="80">
        <f>1-_xlfn.NORM.DIST(0,-$C$8+SQRT($I29)*K$19*K$18*SQRT($C$7*(1-$C$7))/$C$5,1,TRUE) +_xlfn.NORM.DIST(-$C$8 - SQRT($I29)*K$19*K$18*SQRT($C$7*(1-$C$7))/$C$5,0,1,TRUE)</f>
        <v>0.99999974418555904</v>
      </c>
      <c r="L29" s="80">
        <f>1-_xlfn.NORM.DIST(0,-$C$8+SQRT($I29)*L$19*L$18*SQRT($C$7*(1-$C$7))/$C$5,1,TRUE) +_xlfn.NORM.DIST(-$C$8 - SQRT($I29)*L$19*L$18*SQRT($C$7*(1-$C$7))/$C$5,0,1,TRUE)</f>
        <v>1</v>
      </c>
      <c r="M29" s="80">
        <f>1-_xlfn.NORM.DIST(0,-$C$8+SQRT($I29)*M$19*M$18*SQRT($C$7*(1-$C$7))/$C$5,1,TRUE) +_xlfn.NORM.DIST(-$C$8 - SQRT($I29)*M$19*M$18*SQRT($C$7*(1-$C$7))/$C$5,0,1,TRUE)</f>
        <v>1</v>
      </c>
      <c r="N29" s="80">
        <f>1-_xlfn.NORM.DIST(0,-$C$8+SQRT($I29)*N$19*N$18*SQRT($C$7*(1-$C$7))/$C$5,1,TRUE) +_xlfn.NORM.DIST(-$C$8 - SQRT($I29)*N$19*N$18*SQRT($C$7*(1-$C$7))/$C$5,0,1,TRUE)</f>
        <v>1</v>
      </c>
      <c r="P29" s="48">
        <v>50000</v>
      </c>
      <c r="Q29" s="80">
        <f>1-_xlfn.NORM.DIST(0,-$C$8+SQRT($P29)*Q$19*Q$18*SQRT($C$7*(1-$C$7))/$C$5,1,TRUE) +_xlfn.NORM.DIST(-$C$8 - SQRT($P29)*Q$19*Q$18*SQRT($C$7*(1-$C$7))/$C$5,0,1,TRUE)</f>
        <v>0.12975163617065755</v>
      </c>
      <c r="R29" s="80">
        <f>1-_xlfn.NORM.DIST(0,-$C$8+SQRT($P29)*R$19*R$18*SQRT($C$7*(1-$C$7))/$C$5,1,TRUE) +_xlfn.NORM.DIST(-$C$8 - SQRT($P29)*R$19*R$18*SQRT($C$7*(1-$C$7))/$C$5,0,1,TRUE)</f>
        <v>0.90619622859809279</v>
      </c>
      <c r="S29" s="80">
        <f>1-_xlfn.NORM.DIST(0,-$C$8+SQRT($P29)*S$19*S$18*SQRT($C$7*(1-$C$7))/$C$5,1,TRUE) +_xlfn.NORM.DIST(-$C$8 - SQRT($P29)*S$19*S$18*SQRT($C$7*(1-$C$7))/$C$5,0,1,TRUE)</f>
        <v>0.99999996931378277</v>
      </c>
      <c r="T29" s="80">
        <f>1-_xlfn.NORM.DIST(0,-$C$8+SQRT($P29)*T$19*T$18*SQRT($C$7*(1-$C$7))/$C$5,1,TRUE) +_xlfn.NORM.DIST(-$C$8 - SQRT($P29)*T$19*T$18*SQRT($C$7*(1-$C$7))/$C$5,0,1,TRUE)</f>
        <v>1</v>
      </c>
      <c r="U29" s="80">
        <f>1-_xlfn.NORM.DIST(0,-$C$8+SQRT($P29)*U$19*U$18*SQRT($C$7*(1-$C$7))/$C$5,1,TRUE) +_xlfn.NORM.DIST(-$C$8 - SQRT($P29)*U$19*U$18*SQRT($C$7*(1-$C$7))/$C$5,0,1,TRUE)</f>
        <v>1</v>
      </c>
    </row>
  </sheetData>
  <mergeCells count="10">
    <mergeCell ref="B4:C4"/>
    <mergeCell ref="L4:M4"/>
    <mergeCell ref="P4:R4"/>
    <mergeCell ref="B14:C14"/>
    <mergeCell ref="I14:J14"/>
    <mergeCell ref="B11:U11"/>
    <mergeCell ref="P14:Q14"/>
    <mergeCell ref="C20:G20"/>
    <mergeCell ref="J20:N20"/>
    <mergeCell ref="Q20:U20"/>
  </mergeCells>
  <pageMargins left="0.7" right="0.7" top="0.75" bottom="0.75" header="0.3" footer="0.3"/>
  <headerFooter>
    <oddFooter>&amp;C_x000D_&amp;1#&amp;"Calibri"&amp;10&amp;K000000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99F4-7C8C-42F4-B2C8-441AC823D6AF}">
  <sheetPr>
    <tabColor theme="9" tint="0.39997558519241921"/>
  </sheetPr>
  <dimension ref="B2:M36"/>
  <sheetViews>
    <sheetView workbookViewId="0">
      <selection activeCell="K20" sqref="K20"/>
    </sheetView>
  </sheetViews>
  <sheetFormatPr defaultRowHeight="14.25" x14ac:dyDescent="0.45"/>
  <cols>
    <col min="1" max="1" width="9.06640625" customWidth="1"/>
    <col min="2" max="2" width="20.59765625" customWidth="1"/>
    <col min="3" max="3" width="12.59765625" customWidth="1"/>
    <col min="4" max="4" width="18.1328125" customWidth="1"/>
    <col min="5" max="5" width="18.33203125" customWidth="1"/>
    <col min="6" max="6" width="18.1328125" customWidth="1"/>
    <col min="7" max="7" width="24.3984375" customWidth="1"/>
    <col min="8" max="8" width="21" customWidth="1"/>
    <col min="9" max="9" width="14.265625" customWidth="1"/>
    <col min="10" max="11" width="22.3984375" customWidth="1"/>
    <col min="12" max="12" width="16.1328125" customWidth="1"/>
    <col min="13" max="13" width="20.3984375" customWidth="1"/>
  </cols>
  <sheetData>
    <row r="2" spans="2:13" x14ac:dyDescent="0.45">
      <c r="B2" s="2" t="s">
        <v>170</v>
      </c>
      <c r="H2" s="2" t="s">
        <v>171</v>
      </c>
    </row>
    <row r="4" spans="2:13" x14ac:dyDescent="0.45">
      <c r="B4" s="105" t="s">
        <v>37</v>
      </c>
      <c r="C4" s="105"/>
      <c r="H4" s="105" t="s">
        <v>37</v>
      </c>
      <c r="I4" s="105"/>
      <c r="K4" s="121" t="s">
        <v>43</v>
      </c>
      <c r="L4" s="121"/>
    </row>
    <row r="5" spans="2:13" x14ac:dyDescent="0.45">
      <c r="B5" s="6" t="s">
        <v>34</v>
      </c>
      <c r="C5" s="8">
        <v>21.2</v>
      </c>
      <c r="D5" s="4" t="s">
        <v>31</v>
      </c>
      <c r="H5" s="6" t="s">
        <v>34</v>
      </c>
      <c r="I5" s="8">
        <v>0.5</v>
      </c>
      <c r="K5" s="32" t="s">
        <v>165</v>
      </c>
      <c r="L5" s="33">
        <v>0.11219999999999999</v>
      </c>
      <c r="M5" t="s">
        <v>46</v>
      </c>
    </row>
    <row r="6" spans="2:13" x14ac:dyDescent="0.45">
      <c r="B6" s="9" t="s">
        <v>24</v>
      </c>
      <c r="C6" s="10">
        <v>0.5</v>
      </c>
      <c r="D6" s="4" t="s">
        <v>25</v>
      </c>
      <c r="H6" s="9" t="s">
        <v>5</v>
      </c>
      <c r="I6" s="10">
        <v>2.5000000000000001E-2</v>
      </c>
      <c r="K6" s="28"/>
      <c r="L6" s="31"/>
    </row>
    <row r="7" spans="2:13" x14ac:dyDescent="0.45">
      <c r="B7" s="9" t="s">
        <v>5</v>
      </c>
      <c r="C7" s="10">
        <v>1.4E-2</v>
      </c>
      <c r="D7" s="4" t="s">
        <v>14</v>
      </c>
      <c r="H7" s="21" t="s">
        <v>32</v>
      </c>
      <c r="I7" s="22">
        <v>0.05</v>
      </c>
    </row>
    <row r="8" spans="2:13" x14ac:dyDescent="0.45">
      <c r="B8" s="21" t="s">
        <v>32</v>
      </c>
      <c r="C8" s="22">
        <v>0.05</v>
      </c>
      <c r="D8" s="4" t="s">
        <v>4</v>
      </c>
      <c r="H8" s="23" t="s">
        <v>40</v>
      </c>
      <c r="I8" s="24">
        <v>5000</v>
      </c>
    </row>
    <row r="9" spans="2:13" x14ac:dyDescent="0.45">
      <c r="B9" s="23" t="s">
        <v>26</v>
      </c>
      <c r="C9" s="24">
        <v>0.5</v>
      </c>
      <c r="D9" s="4" t="s">
        <v>13</v>
      </c>
      <c r="H9" s="23" t="s">
        <v>41</v>
      </c>
      <c r="I9" s="24">
        <v>5000</v>
      </c>
    </row>
    <row r="12" spans="2:13" x14ac:dyDescent="0.45">
      <c r="B12" s="122" t="s">
        <v>18</v>
      </c>
      <c r="C12" s="122"/>
      <c r="D12" s="4" t="s">
        <v>38</v>
      </c>
      <c r="H12" s="122" t="s">
        <v>18</v>
      </c>
      <c r="I12" s="122"/>
    </row>
    <row r="13" spans="2:13" x14ac:dyDescent="0.45">
      <c r="B13" s="13" t="s">
        <v>19</v>
      </c>
      <c r="C13" s="19">
        <f>_xlfn.NORM.INV(1-C8/2,0,1)</f>
        <v>1.9599639845400536</v>
      </c>
      <c r="D13" s="4" t="s">
        <v>39</v>
      </c>
      <c r="H13" s="13" t="s">
        <v>19</v>
      </c>
      <c r="I13" s="19">
        <f>_xlfn.NORM.INV(1-I7/2,I87,1)</f>
        <v>1.9599639845400536</v>
      </c>
    </row>
    <row r="14" spans="2:13" x14ac:dyDescent="0.45">
      <c r="B14" s="13" t="s">
        <v>33</v>
      </c>
      <c r="C14" s="20">
        <f>$C$7*$C$6*SQRT($C$9*(1-$C$9))/$C$5</f>
        <v>1.6509433962264152E-4</v>
      </c>
      <c r="H14" s="13" t="s">
        <v>26</v>
      </c>
      <c r="I14" s="20">
        <f>I8/(I8+I9)</f>
        <v>0.5</v>
      </c>
    </row>
    <row r="15" spans="2:13" x14ac:dyDescent="0.45">
      <c r="B15" s="13" t="s">
        <v>44</v>
      </c>
      <c r="C15" s="20">
        <f>C7/C6</f>
        <v>2.8000000000000001E-2</v>
      </c>
      <c r="D15" s="4" t="s">
        <v>45</v>
      </c>
      <c r="H15" s="13" t="s">
        <v>33</v>
      </c>
      <c r="I15" s="20">
        <f>$I$6*SQRT($I$14*(1-$I$14))/$I$5</f>
        <v>2.5000000000000001E-2</v>
      </c>
    </row>
    <row r="18" spans="2:9" x14ac:dyDescent="0.45">
      <c r="B18" s="34" t="s">
        <v>1</v>
      </c>
      <c r="C18" s="34" t="s">
        <v>6</v>
      </c>
      <c r="H18" s="120" t="s">
        <v>42</v>
      </c>
      <c r="I18" s="120"/>
    </row>
    <row r="19" spans="2:9" x14ac:dyDescent="0.45">
      <c r="B19" s="26">
        <v>1000</v>
      </c>
      <c r="C19" s="27">
        <f>1-_xlfn.NORM.DIST(0,-$C$13+SQRT(B19)*$C$14,1,TRUE) +_xlfn.NORM.DIST(-$C$13 - SQRT(B19)*$C$14,0,1,TRUE)</f>
        <v>5.0003122203236466E-2</v>
      </c>
      <c r="H19" s="29" t="s">
        <v>6</v>
      </c>
      <c r="I19" s="30">
        <f>1-_xlfn.NORM.DIST(0,-$I$13+SQRT(I8+I9)*$I$15,1,TRUE) +_xlfn.NORM.DIST(-$I$13 - SQRT(I8+I9)*$I$15,0,1,TRUE)</f>
        <v>0.70541800111380037</v>
      </c>
    </row>
    <row r="20" spans="2:9" x14ac:dyDescent="0.45">
      <c r="B20" s="26">
        <v>2500</v>
      </c>
      <c r="C20" s="27">
        <f t="shared" ref="C20:C26" si="0">_xlfn.NORM.DIST(-$C$13+SQRT(B20)*$C$14,0,1,TRUE) +_xlfn.NORM.DIST(-$C$13 - SQRT(B20)*$C$14,0,1,TRUE)</f>
        <v>5.0007805530467707E-2</v>
      </c>
    </row>
    <row r="21" spans="2:9" x14ac:dyDescent="0.45">
      <c r="B21" s="26">
        <v>5000</v>
      </c>
      <c r="C21" s="27">
        <f t="shared" si="0"/>
        <v>5.0015611135521124E-2</v>
      </c>
      <c r="D21" t="s">
        <v>166</v>
      </c>
    </row>
    <row r="22" spans="2:9" x14ac:dyDescent="0.45">
      <c r="B22" s="26">
        <v>10000</v>
      </c>
      <c r="C22" s="27">
        <f t="shared" si="0"/>
        <v>5.0031222569364264E-2</v>
      </c>
      <c r="H22" s="18"/>
    </row>
    <row r="23" spans="2:9" x14ac:dyDescent="0.45">
      <c r="B23" s="26">
        <v>12000</v>
      </c>
      <c r="C23" s="27">
        <f t="shared" si="0"/>
        <v>5.0037467226422348E-2</v>
      </c>
      <c r="H23" s="18"/>
    </row>
    <row r="24" spans="2:9" x14ac:dyDescent="0.45">
      <c r="B24" s="26">
        <v>15000</v>
      </c>
      <c r="C24" s="27">
        <f t="shared" si="0"/>
        <v>5.0046834301487687E-2</v>
      </c>
      <c r="H24" s="18"/>
    </row>
    <row r="25" spans="2:9" x14ac:dyDescent="0.45">
      <c r="B25" s="26">
        <v>20000</v>
      </c>
      <c r="C25" s="27">
        <f t="shared" si="0"/>
        <v>5.0062446331849565E-2</v>
      </c>
    </row>
    <row r="26" spans="2:9" x14ac:dyDescent="0.45">
      <c r="B26" s="26">
        <v>50000</v>
      </c>
      <c r="C26" s="27">
        <f t="shared" si="0"/>
        <v>5.0156124774685749E-2</v>
      </c>
    </row>
    <row r="32" spans="2:9" x14ac:dyDescent="0.45">
      <c r="B32" s="2"/>
      <c r="D32" s="4"/>
    </row>
    <row r="33" spans="3:3" x14ac:dyDescent="0.45">
      <c r="C33" s="12"/>
    </row>
    <row r="34" spans="3:3" x14ac:dyDescent="0.45">
      <c r="C34" s="12"/>
    </row>
    <row r="36" spans="3:3" x14ac:dyDescent="0.45">
      <c r="C36" s="25"/>
    </row>
  </sheetData>
  <mergeCells count="6">
    <mergeCell ref="K4:L4"/>
    <mergeCell ref="H18:I18"/>
    <mergeCell ref="B4:C4"/>
    <mergeCell ref="B12:C12"/>
    <mergeCell ref="H4:I4"/>
    <mergeCell ref="H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0DFC-C915-4E36-96FF-8F6C4A5D33AA}">
  <sheetPr>
    <tabColor theme="5"/>
  </sheetPr>
  <dimension ref="B2:K32"/>
  <sheetViews>
    <sheetView workbookViewId="0">
      <selection activeCell="G33" sqref="G33"/>
    </sheetView>
  </sheetViews>
  <sheetFormatPr defaultRowHeight="14.25" x14ac:dyDescent="0.45"/>
  <cols>
    <col min="2" max="2" width="20.59765625" customWidth="1"/>
    <col min="3" max="3" width="22" customWidth="1"/>
    <col min="4" max="4" width="21" customWidth="1"/>
    <col min="5" max="5" width="23.1328125" customWidth="1"/>
    <col min="6" max="6" width="18.1328125" customWidth="1"/>
    <col min="7" max="7" width="24.3984375" customWidth="1"/>
    <col min="8" max="8" width="16.86328125" customWidth="1"/>
    <col min="9" max="11" width="22.3984375" customWidth="1"/>
    <col min="12" max="12" width="16.1328125" customWidth="1"/>
    <col min="13" max="13" width="20.3984375" customWidth="1"/>
  </cols>
  <sheetData>
    <row r="2" spans="2:11" x14ac:dyDescent="0.45">
      <c r="B2" t="s">
        <v>29</v>
      </c>
    </row>
    <row r="3" spans="2:11" x14ac:dyDescent="0.45">
      <c r="B3" s="16" t="s">
        <v>27</v>
      </c>
    </row>
    <row r="4" spans="2:11" x14ac:dyDescent="0.45">
      <c r="B4" s="16" t="s">
        <v>28</v>
      </c>
      <c r="I4" s="17" t="s">
        <v>30</v>
      </c>
    </row>
    <row r="5" spans="2:11" x14ac:dyDescent="0.45">
      <c r="B5" s="105" t="s">
        <v>2</v>
      </c>
      <c r="C5" s="105"/>
      <c r="I5" s="105" t="s">
        <v>2</v>
      </c>
      <c r="J5" s="105"/>
    </row>
    <row r="6" spans="2:11" x14ac:dyDescent="0.45">
      <c r="B6" s="6" t="s">
        <v>35</v>
      </c>
      <c r="C6" s="8">
        <f>0.2</f>
        <v>0.2</v>
      </c>
      <c r="D6" s="4" t="s">
        <v>36</v>
      </c>
      <c r="I6" s="6" t="s">
        <v>34</v>
      </c>
      <c r="J6" s="8">
        <v>0.2</v>
      </c>
      <c r="K6" s="4" t="s">
        <v>8</v>
      </c>
    </row>
    <row r="7" spans="2:11" x14ac:dyDescent="0.45">
      <c r="B7" s="7" t="s">
        <v>3</v>
      </c>
      <c r="C7" s="8">
        <v>0.05</v>
      </c>
      <c r="D7" s="4" t="s">
        <v>4</v>
      </c>
      <c r="I7" s="7" t="s">
        <v>3</v>
      </c>
      <c r="J7" s="8">
        <v>0.05</v>
      </c>
      <c r="K7" s="4" t="s">
        <v>4</v>
      </c>
    </row>
    <row r="8" spans="2:11" x14ac:dyDescent="0.45">
      <c r="B8" s="9" t="s">
        <v>10</v>
      </c>
      <c r="C8" s="10">
        <v>0.4</v>
      </c>
      <c r="D8" s="4" t="s">
        <v>15</v>
      </c>
      <c r="I8" s="9" t="s">
        <v>21</v>
      </c>
      <c r="J8" s="10">
        <v>0.1</v>
      </c>
      <c r="K8" s="4" t="s">
        <v>20</v>
      </c>
    </row>
    <row r="9" spans="2:11" x14ac:dyDescent="0.45">
      <c r="B9" s="9" t="s">
        <v>11</v>
      </c>
      <c r="C9" s="10">
        <v>0.3</v>
      </c>
      <c r="D9" s="4" t="s">
        <v>16</v>
      </c>
      <c r="G9" t="s">
        <v>9</v>
      </c>
      <c r="I9" s="9" t="s">
        <v>12</v>
      </c>
      <c r="J9" s="10">
        <v>0.5</v>
      </c>
      <c r="K9" s="4" t="s">
        <v>13</v>
      </c>
    </row>
    <row r="10" spans="2:11" x14ac:dyDescent="0.45">
      <c r="B10" s="9" t="s">
        <v>12</v>
      </c>
      <c r="C10" s="10">
        <v>0.5</v>
      </c>
      <c r="D10" s="4" t="s">
        <v>13</v>
      </c>
      <c r="I10" s="9" t="s">
        <v>5</v>
      </c>
      <c r="J10" s="10">
        <v>0.3</v>
      </c>
      <c r="K10" s="4" t="s">
        <v>14</v>
      </c>
    </row>
    <row r="11" spans="2:11" x14ac:dyDescent="0.45">
      <c r="B11" s="9" t="s">
        <v>5</v>
      </c>
      <c r="C11" s="10">
        <v>0.3</v>
      </c>
      <c r="D11" s="4" t="s">
        <v>14</v>
      </c>
    </row>
    <row r="13" spans="2:11" x14ac:dyDescent="0.45">
      <c r="I13" s="123" t="s">
        <v>18</v>
      </c>
      <c r="J13" s="123"/>
    </row>
    <row r="14" spans="2:11" x14ac:dyDescent="0.45">
      <c r="I14" s="13" t="s">
        <v>19</v>
      </c>
      <c r="J14" s="15">
        <f>_xlfn.NORM.INV(1-J7/2,0,1)</f>
        <v>1.9599639845400536</v>
      </c>
    </row>
    <row r="15" spans="2:11" x14ac:dyDescent="0.45">
      <c r="B15" s="123" t="s">
        <v>18</v>
      </c>
      <c r="C15" s="123"/>
      <c r="I15" s="13" t="s">
        <v>22</v>
      </c>
      <c r="J15" s="14">
        <f>$J$8*SQRT($J$9*(1-$J$9))</f>
        <v>0.05</v>
      </c>
    </row>
    <row r="16" spans="2:11" x14ac:dyDescent="0.45">
      <c r="B16" s="14" t="s">
        <v>19</v>
      </c>
      <c r="C16" s="15">
        <f>_xlfn.NORM.INV(1-C7/2,0,1)</f>
        <v>1.9599639845400536</v>
      </c>
    </row>
    <row r="17" spans="2:11" x14ac:dyDescent="0.45">
      <c r="B17" s="14" t="s">
        <v>9</v>
      </c>
      <c r="C17" s="14">
        <f>C9*(1-C10)+C8*C10</f>
        <v>0.35</v>
      </c>
    </row>
    <row r="20" spans="2:11" x14ac:dyDescent="0.45">
      <c r="G20" t="s">
        <v>167</v>
      </c>
    </row>
    <row r="21" spans="2:11" x14ac:dyDescent="0.45">
      <c r="G21">
        <f>SQRT(C10*(1-C10))*(C8-C9)</f>
        <v>5.0000000000000017E-2</v>
      </c>
      <c r="H21">
        <f>$C$10*($C$8-$C$17)/SQRT($C$10*(1-$C$10))</f>
        <v>5.0000000000000044E-2</v>
      </c>
    </row>
    <row r="22" spans="2:11" x14ac:dyDescent="0.45">
      <c r="B22" s="4"/>
    </row>
    <row r="26" spans="2:11" x14ac:dyDescent="0.45">
      <c r="B26" s="3" t="s">
        <v>1</v>
      </c>
      <c r="C26" s="3" t="s">
        <v>7</v>
      </c>
      <c r="D26" s="11" t="s">
        <v>17</v>
      </c>
      <c r="E26" s="3" t="s">
        <v>6</v>
      </c>
      <c r="J26" s="11" t="s">
        <v>23</v>
      </c>
      <c r="K26" s="3" t="s">
        <v>6</v>
      </c>
    </row>
    <row r="27" spans="2:11" x14ac:dyDescent="0.45">
      <c r="B27">
        <v>1000</v>
      </c>
      <c r="C27">
        <f>B27/2</f>
        <v>500</v>
      </c>
      <c r="D27" s="5">
        <f>$C$11*$C$10*($C$8-$C$17)*SQRT(B27)/($C$6*SQRT($C$10*(1-$C$10)))</f>
        <v>2.3717082451262863</v>
      </c>
      <c r="E27" s="12">
        <f t="shared" ref="E27:E32" si="0">100*(_xlfn.NORM.DIST(-$C$16+D27,0,1,TRUE) +_xlfn.NORM.DIST(-$C$16 - D27,0,1,TRUE))</f>
        <v>65.97439590495955</v>
      </c>
      <c r="J27">
        <f>SQRT(B27)*$J$10*$J$15/$J$6</f>
        <v>2.3717082451262845</v>
      </c>
      <c r="K27">
        <f>100*(_xlfn.NORM.DIST(-$J$14+J27,0,1,TRUE) +_xlfn.NORM.DIST(-$J$14 - J27,0,1,TRUE))</f>
        <v>65.974395904959493</v>
      </c>
    </row>
    <row r="28" spans="2:11" x14ac:dyDescent="0.45">
      <c r="B28">
        <v>2500</v>
      </c>
      <c r="C28">
        <f t="shared" ref="C28:C32" si="1">B28/2</f>
        <v>1250</v>
      </c>
      <c r="D28" s="5">
        <f t="shared" ref="D28:D32" si="2">$C$11*$C$10*($C$8-$C$17)*SQRT(B28)/($C$6*SQRT($C$10*(1-$C$10)))</f>
        <v>3.7500000000000031</v>
      </c>
      <c r="E28" s="12">
        <f t="shared" si="0"/>
        <v>96.327594478456319</v>
      </c>
      <c r="J28">
        <f t="shared" ref="J28:J32" si="3">SQRT(B28)*$J$10*$J$15/$J$6</f>
        <v>3.75</v>
      </c>
      <c r="K28">
        <f t="shared" ref="K28:K32" si="4">100*(_xlfn.NORM.DIST(-$J$14+J28,0,1,TRUE) +_xlfn.NORM.DIST(-$J$14 - J28,0,1,TRUE))</f>
        <v>96.327594478456277</v>
      </c>
    </row>
    <row r="29" spans="2:11" x14ac:dyDescent="0.45">
      <c r="B29">
        <v>5000</v>
      </c>
      <c r="C29">
        <f t="shared" si="1"/>
        <v>2500</v>
      </c>
      <c r="D29" s="5">
        <f t="shared" si="2"/>
        <v>5.3033008588991111</v>
      </c>
      <c r="E29" s="12">
        <f t="shared" si="0"/>
        <v>99.95861132740967</v>
      </c>
      <c r="J29">
        <f t="shared" si="3"/>
        <v>5.3033008588991066</v>
      </c>
      <c r="K29">
        <f t="shared" si="4"/>
        <v>99.95861132740967</v>
      </c>
    </row>
    <row r="30" spans="2:11" x14ac:dyDescent="0.45">
      <c r="B30">
        <v>10000</v>
      </c>
      <c r="C30">
        <f t="shared" si="1"/>
        <v>5000</v>
      </c>
      <c r="D30" s="5">
        <f t="shared" si="2"/>
        <v>7.5000000000000062</v>
      </c>
      <c r="E30" s="12">
        <f t="shared" si="0"/>
        <v>99.999998487952766</v>
      </c>
      <c r="J30">
        <f t="shared" si="3"/>
        <v>7.5</v>
      </c>
      <c r="K30">
        <f t="shared" si="4"/>
        <v>99.999998487952766</v>
      </c>
    </row>
    <row r="31" spans="2:11" x14ac:dyDescent="0.45">
      <c r="B31">
        <v>20000</v>
      </c>
      <c r="C31">
        <f t="shared" si="1"/>
        <v>10000</v>
      </c>
      <c r="D31" s="5">
        <f t="shared" si="2"/>
        <v>10.606601717798222</v>
      </c>
      <c r="E31" s="12">
        <f t="shared" si="0"/>
        <v>100</v>
      </c>
      <c r="J31">
        <f t="shared" si="3"/>
        <v>10.606601717798213</v>
      </c>
      <c r="K31">
        <f t="shared" si="4"/>
        <v>100</v>
      </c>
    </row>
    <row r="32" spans="2:11" x14ac:dyDescent="0.45">
      <c r="B32">
        <v>50000</v>
      </c>
      <c r="C32">
        <f t="shared" si="1"/>
        <v>25000</v>
      </c>
      <c r="D32" s="5">
        <f t="shared" si="2"/>
        <v>16.770509831248436</v>
      </c>
      <c r="E32" s="12">
        <f t="shared" si="0"/>
        <v>100</v>
      </c>
      <c r="J32">
        <f t="shared" si="3"/>
        <v>16.770509831248422</v>
      </c>
      <c r="K32">
        <f t="shared" si="4"/>
        <v>100</v>
      </c>
    </row>
  </sheetData>
  <mergeCells count="4">
    <mergeCell ref="B5:C5"/>
    <mergeCell ref="I5:J5"/>
    <mergeCell ref="I13:J13"/>
    <mergeCell ref="B15:C15"/>
  </mergeCells>
  <hyperlinks>
    <hyperlink ref="B3" r:id="rId1" display="https://doi.org/10.1093/ije/dyx090" xr:uid="{A4F9D436-59DA-4926-9793-845F9AA97F80}"/>
    <hyperlink ref="B4" r:id="rId2" xr:uid="{2DFE1C7D-AF45-4A8C-87DA-EF192F76437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 xmlns="a6dfe2b5-9c9e-40a4-b3e4-d670f4b58a7b" xsi:nil="true"/>
    <lcf76f155ced4ddcb4097134ff3c332f xmlns="a6dfe2b5-9c9e-40a4-b3e4-d670f4b58a7b">
      <Terms xmlns="http://schemas.microsoft.com/office/infopath/2007/PartnerControls"/>
    </lcf76f155ced4ddcb4097134ff3c332f>
    <TaxCatchAll xmlns="6486dae2-6c66-4a9b-865f-88d1968b16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B445592EF9841876CFD4876DB75D0" ma:contentTypeVersion="18" ma:contentTypeDescription="Create a new document." ma:contentTypeScope="" ma:versionID="231414b4346f350971a455657523ec5e">
  <xsd:schema xmlns:xsd="http://www.w3.org/2001/XMLSchema" xmlns:xs="http://www.w3.org/2001/XMLSchema" xmlns:p="http://schemas.microsoft.com/office/2006/metadata/properties" xmlns:ns2="a6dfe2b5-9c9e-40a4-b3e4-d670f4b58a7b" xmlns:ns3="6486dae2-6c66-4a9b-865f-88d1968b1653" targetNamespace="http://schemas.microsoft.com/office/2006/metadata/properties" ma:root="true" ma:fieldsID="1e82bf404e567397b7bf4c5e6a8ff3b6" ns2:_="" ns3:_="">
    <xsd:import namespace="a6dfe2b5-9c9e-40a4-b3e4-d670f4b58a7b"/>
    <xsd:import namespace="6486dae2-6c66-4a9b-865f-88d1968b16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Filesiz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fe2b5-9c9e-40a4-b3e4-d670f4b58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Filesize" ma:index="18" nillable="true" ma:displayName="Filesize" ma:format="Dropdown" ma:internalName="Filesize" ma:percentage="FALSE">
      <xsd:simpleType>
        <xsd:restriction base="dms:Number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158265e-6c30-4551-8646-dffcd83d58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6dae2-6c66-4a9b-865f-88d1968b16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1bbf06a-418c-4c9c-b140-f0ad5cbf75ee}" ma:internalName="TaxCatchAll" ma:showField="CatchAllData" ma:web="6486dae2-6c66-4a9b-865f-88d1968b16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3CECA7-DD0B-4F7B-A11D-55EA7D1BF4AE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6486dae2-6c66-4a9b-865f-88d1968b1653"/>
    <ds:schemaRef ds:uri="a6dfe2b5-9c9e-40a4-b3e4-d670f4b58a7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E67F40F-29CC-493B-A38D-00F586D52E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448729-5E17-49EA-8A3B-F512B442E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dfe2b5-9c9e-40a4-b3e4-d670f4b58a7b"/>
    <ds:schemaRef ds:uri="6486dae2-6c66-4a9b-865f-88d1968b16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analysis diabetes</vt:lpstr>
      <vt:lpstr>Sensitivity analysis H-P</vt:lpstr>
      <vt:lpstr>Sensitivity analysis H-P clin</vt:lpstr>
      <vt:lpstr>Sample size playground</vt:lpstr>
      <vt:lpstr>Sample size estimation (equiv)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Tinnen Lam</dc:creator>
  <cp:keywords/>
  <dc:description/>
  <cp:lastModifiedBy>Jason Premo</cp:lastModifiedBy>
  <cp:revision/>
  <dcterms:created xsi:type="dcterms:W3CDTF">2023-11-22T15:39:19Z</dcterms:created>
  <dcterms:modified xsi:type="dcterms:W3CDTF">2025-03-31T18:05:00Z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a8a6ec-262f-4cc0-befe-9b4753855296_Enabled">
    <vt:lpwstr>true</vt:lpwstr>
  </property>
  <property fmtid="{D5CDD505-2E9C-101B-9397-08002B2CF9AE}" pid="3" name="MSIP_Label_e3a8a6ec-262f-4cc0-befe-9b4753855296_SetDate">
    <vt:lpwstr>2023-12-04T16:25:40Z</vt:lpwstr>
  </property>
  <property fmtid="{D5CDD505-2E9C-101B-9397-08002B2CF9AE}" pid="4" name="MSIP_Label_e3a8a6ec-262f-4cc0-befe-9b4753855296_Method">
    <vt:lpwstr>Privileged</vt:lpwstr>
  </property>
  <property fmtid="{D5CDD505-2E9C-101B-9397-08002B2CF9AE}" pid="5" name="MSIP_Label_e3a8a6ec-262f-4cc0-befe-9b4753855296_Name">
    <vt:lpwstr>e3a8a6ec-262f-4cc0-befe-9b4753855296</vt:lpwstr>
  </property>
  <property fmtid="{D5CDD505-2E9C-101B-9397-08002B2CF9AE}" pid="6" name="MSIP_Label_e3a8a6ec-262f-4cc0-befe-9b4753855296_SiteId">
    <vt:lpwstr>6cf6dc61-aaec-4d60-8dd0-2007ec95b05e</vt:lpwstr>
  </property>
  <property fmtid="{D5CDD505-2E9C-101B-9397-08002B2CF9AE}" pid="7" name="MSIP_Label_e3a8a6ec-262f-4cc0-befe-9b4753855296_ActionId">
    <vt:lpwstr>0dab2e7d-cbc8-4af2-aa89-ac93b25dd121</vt:lpwstr>
  </property>
  <property fmtid="{D5CDD505-2E9C-101B-9397-08002B2CF9AE}" pid="8" name="MSIP_Label_e3a8a6ec-262f-4cc0-befe-9b4753855296_ContentBits">
    <vt:lpwstr>2</vt:lpwstr>
  </property>
  <property fmtid="{D5CDD505-2E9C-101B-9397-08002B2CF9AE}" pid="9" name="ContentTypeId">
    <vt:lpwstr>0x010100E4BB445592EF9841876CFD4876DB75D0</vt:lpwstr>
  </property>
  <property fmtid="{D5CDD505-2E9C-101B-9397-08002B2CF9AE}" pid="10" name="MediaServiceImageTags">
    <vt:lpwstr/>
  </property>
</Properties>
</file>