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Inputs" sheetId="3" state="visible" r:id="rId5"/>
    <sheet name="Flow" sheetId="4" state="visible" r:id="rId6"/>
    <sheet name="HMB" sheetId="5" state="visible" r:id="rId7"/>
    <sheet name="Dryer Models" sheetId="6" state="visible" r:id="rId8"/>
    <sheet name="Equipment" sheetId="7" state="visible" r:id="rId9"/>
    <sheet name="Tables" sheetId="8" state="visible" r:id="rId10"/>
    <sheet name="Emissions" sheetId="9" state="visible" r:id="rId11"/>
    <sheet name="Biochar Reactor" sheetId="10" state="visible" r:id="rId12"/>
    <sheet name="Metric" sheetId="11" state="visible" r:id="rId13"/>
    <sheet name="Cases" sheetId="12" state="visible" r:id="rId14"/>
  </sheets>
  <definedNames>
    <definedName function="false" hidden="false" localSheetId="3" name="_xlnm.Print_Area" vbProcedure="false">Flow!$A$1:$BQ$48</definedName>
    <definedName function="false" hidden="false" localSheetId="1" name="_xlnm.Print_Area" vbProcedure="false">Summary!$B$1:$E$45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<sst xmlns="http://schemas.openxmlformats.org/spreadsheetml/2006/main" count="946" uniqueCount="639">
  <si>
    <t xml:space="preserve">MCE DRYER HEAT &amp; MASS BALANCE CALCULATOR  ·  Rev A  ·  8 Sep 2026</t>
  </si>
  <si>
    <t xml:space="preserve">What this is: a rebuilt, formula-driven replacement for the calculation half of Prozus report NT-HMB-2025-001 Rev 0 (the Input/CALC/COMB/FLOW/DESIGN/Burner/Emiss. sheets). Every number recalculates from the Inputs sheet. Nothing is pasted.</t>
  </si>
  <si>
    <t xml:space="preserve">It follows MCE's own quoting method (Drying Rates Calculator, Feb 2026 notes): theoretical Btu per lb water from product inlet temperature, 1,750 Btu/lb with losses for a rotary drum, drum airflow at 350 fpm face velocity, 10 in WC fan static, 5,000 fpm duct velocity, and adds a rigorous energy balance beside it so the two can be compared on every job.</t>
  </si>
  <si>
    <t xml:space="preserve">HOW TO USE</t>
  </si>
  <si>
    <t xml:space="preserve">1. Enter the job on the Inputs sheet. Blue cells are inputs; black cells are formulas; green cells pull from another sheet; yellow cells are model data MCE still has to fill in.</t>
  </si>
  <si>
    <t xml:space="preserve">2. Read the HMB sheet: mass balance, MCE duty vs rigorous duty, combustion, airflow, energy closure (must be zero).</t>
  </si>
  <si>
    <t xml:space="preserve">3. Read the Equipment sheet: selected dryer model, burner, fan, duct, cyclone inlet, airlocks, annual fuel.</t>
  </si>
  <si>
    <t xml:space="preserve">4. Flow sheet is the live schematic: burner, make-up air, mixed inlet gas, feed, drum, exhaust and cyclone, fan and stack, product, fines and the optional reactor, each block showing its current numbers. Summary sheet is the one-page hand-off for quoting. Metric sheet mirrors the key results in SI units. Emissions sheet gives potential-to-emit.</t>
  </si>
  <si>
    <t xml:space="preserve">4b. Biochar Reactor sheet sizes a slow-pyrolysis or torrefaction rotary reactor on the dryer product (or a manual feed): char yield, volatiles energy, autothermal check, auxiliary fuel or surplus heat, reactor length by residence time and by indirect heat flux. Set the coupling switch on Inputs to Yes to credit the surplus against dryer fuel.</t>
  </si>
  <si>
    <t xml:space="preserve">4c. Drum length is sized, not just checked: the HMB sheet gives the length required at the selected diameter for the residence-time and fill targets, and the Summary shows whether to extend past the standard length.</t>
  </si>
  <si>
    <t xml:space="preserve">5. Dryer Models: ten standard single-pass sizes plus a custom row; ten triple-pass rows on the same shells with a placeholder airflow factor (yellow) plus a custom row; Z8 eight-pass rows from the original workbook. A model is selected automatically as the smallest of the chosen type that meets both airflow and evaporation with the design margin. Burners are sized to the heat loading; a burner cap is optional per row.</t>
  </si>
  <si>
    <t xml:space="preserve">WHAT WAS WRONG IN THE ORIGINAL (kept here so it is not repeated)</t>
  </si>
  <si>
    <t xml:space="preserve">- CALC F4:F15, H4, I39:I45, B47, D48 were pasted values from a 9,000 lb/hr-evaporation job while Input said 1,333 lb/hr; burner, fan, duct and emissions were 6.5x too big.</t>
  </si>
  <si>
    <t xml:space="preserve">- The enthalpy 'iteration' for inlet temperature never converged (flag read INLET TEMP IS NOT CORRECT). Replaced by a closed-form gas-mass balance from the chosen inlet temperature.</t>
  </si>
  <si>
    <t xml:space="preserve">- Five different dryer models were named for one case. Replaced by one selection from the model table.</t>
  </si>
  <si>
    <t xml:space="preserve">- Drum hold-up used 1.5 minutes of product. Replaced by residence time input.</t>
  </si>
  <si>
    <t xml:space="preserve">- Cyclone efficiency 99.965% and PM10 = 0.007% of PM. Replaced by inputs with realistic defaults to be confirmed against AP-42.</t>
  </si>
  <si>
    <t xml:space="preserve">- The Prozus rotary dryer / thermal reactor sheets are not carried over: they are on a different basis (35% MC, feed at 100 C, solids to 375 C in the dryer) and their fuel figure is 1.9x high. Their case is recorded on the Cases sheet so it can be rerun here.</t>
  </si>
  <si>
    <t xml:space="preserve">ASSUMPTIONS AND SOURCES</t>
  </si>
  <si>
    <t xml:space="preserve">- 1,750 Btu/lb rotary drum energy factor, 1,500 infrared, 1,875 flash tube: Jason Shipley, Drying Rates Calculator and 7 Feb 2026 meeting notes.</t>
  </si>
  <si>
    <t xml:space="preserve">- Theoretical energy 1.01 x (212 - T_in) + 970.4 Btu/lb: Drying Rates Calculator.</t>
  </si>
  <si>
    <t xml:space="preserve">- Fuel table HHV, density and excess air: original Input sheet F5:I10. Stoichiometric air for dry wood 5.82 lb/lb from the original COMB sheet (C 47.5 / H 5.4 / O 34.7). Other fuels: standard values, see comments.</t>
  </si>
  <si>
    <t xml:space="preserve">- Single-pass standard sizes 3x12, 3x20, 4x20, 5x25, 6x30, 7x35, 8x40, 10x50, 12x60, 13x60, any size on request, burner sized to the heat loading, drum inlet up to 900 F: J. Shipley, 9 Sep 2026. Triple-pass rows use the same shells; Baker-Rullman ratings to be loaded when available (site not reachable from the build session).</t>
  </si>
  <si>
    <t xml:space="preserve">- Z8 eight-pass sizes and ACFM max: original Input sheet K8:L18.</t>
  </si>
  <si>
    <t xml:space="preserve">- Airlock capacities: original DESIGN sheet K8:N19.</t>
  </si>
  <si>
    <t xml:space="preserve">- Emission factors are placeholders marked for confirmation against EPA AP-42 for the actual fuel and material.</t>
  </si>
  <si>
    <t xml:space="preserve">UNITS: imperial throughout; the Metric sheet converts. Moisture contents are wet basis unless labeled otherwise.</t>
  </si>
  <si>
    <t xml:space="preserve">Prepared by MCE Engineering with Claude. Internal tool, not a customer document.</t>
  </si>
  <si>
    <t xml:space="preserve">DRYER SIZING SUMMARY  ·  for quoting</t>
  </si>
  <si>
    <t xml:space="preserve">PROCESS</t>
  </si>
  <si>
    <t xml:space="preserve">Material</t>
  </si>
  <si>
    <t xml:space="preserve">Wet feed</t>
  </si>
  <si>
    <t xml:space="preserve">lb/hr</t>
  </si>
  <si>
    <t xml:space="preserve">Moisture in → out (wet basis)</t>
  </si>
  <si>
    <t xml:space="preserve">Dried product</t>
  </si>
  <si>
    <t xml:space="preserve">Water evaporated</t>
  </si>
  <si>
    <t xml:space="preserve">Dryer type</t>
  </si>
  <si>
    <t xml:space="preserve">Drum inlet / exhaust gas</t>
  </si>
  <si>
    <t xml:space="preserve">°F</t>
  </si>
  <si>
    <t xml:space="preserve">HEAT</t>
  </si>
  <si>
    <t xml:space="preserve">Total Btu of system (MCE, 1,750 basis)</t>
  </si>
  <si>
    <t xml:space="preserve">MMBtu/hr</t>
  </si>
  <si>
    <t xml:space="preserve">Rigorous check</t>
  </si>
  <si>
    <t xml:space="preserve">Btu per lb water, rigorous</t>
  </si>
  <si>
    <t xml:space="preserve">Btu/lb</t>
  </si>
  <si>
    <t xml:space="preserve">Check</t>
  </si>
  <si>
    <t xml:space="preserve">Fuel</t>
  </si>
  <si>
    <t xml:space="preserve">Purchased fuel</t>
  </si>
  <si>
    <t xml:space="preserve">Reactor heat credited</t>
  </si>
  <si>
    <t xml:space="preserve">DRYER</t>
  </si>
  <si>
    <t xml:space="preserve">Model</t>
  </si>
  <si>
    <t xml:space="preserve">Drum diameter</t>
  </si>
  <si>
    <t xml:space="preserve">ft</t>
  </si>
  <si>
    <t xml:space="preserve">Standard length</t>
  </si>
  <si>
    <t xml:space="preserve">Length to quote</t>
  </si>
  <si>
    <t xml:space="preserve">Length note</t>
  </si>
  <si>
    <t xml:space="preserve">Residence time at quoted length and fill target</t>
  </si>
  <si>
    <t xml:space="preserve">min</t>
  </si>
  <si>
    <t xml:space="preserve">Evaporative loading at standard length</t>
  </si>
  <si>
    <t xml:space="preserve">lb/hr·ft³</t>
  </si>
  <si>
    <t xml:space="preserve">Airflow utilization</t>
  </si>
  <si>
    <t xml:space="preserve">EQUIPMENT</t>
  </si>
  <si>
    <t xml:space="preserve">Burner, with margin</t>
  </si>
  <si>
    <t xml:space="preserve">Burner face area</t>
  </si>
  <si>
    <t xml:space="preserve">in²</t>
  </si>
  <si>
    <t xml:space="preserve">Exhaust fan</t>
  </si>
  <si>
    <t xml:space="preserve">ACFM</t>
  </si>
  <si>
    <t xml:space="preserve">Fan static / motor</t>
  </si>
  <si>
    <t xml:space="preserve">Exhaust duct</t>
  </si>
  <si>
    <t xml:space="preserve">in</t>
  </si>
  <si>
    <t xml:space="preserve">Cyclone inlet area (for the cyclone calculator)</t>
  </si>
  <si>
    <t xml:space="preserve">Discharge / infeed airlock</t>
  </si>
  <si>
    <t xml:space="preserve">Infeed screw</t>
  </si>
  <si>
    <t xml:space="preserve">ANNUAL</t>
  </si>
  <si>
    <t xml:space="preserve">Operating hours</t>
  </si>
  <si>
    <t xml:space="preserve">h/yr</t>
  </si>
  <si>
    <t xml:space="preserve">tons/yr</t>
  </si>
  <si>
    <t xml:space="preserve">Purchased fuel energy</t>
  </si>
  <si>
    <t xml:space="preserve">MMBtu/yr</t>
  </si>
  <si>
    <t xml:space="preserve">Fuel cost</t>
  </si>
  <si>
    <t xml:space="preserve">$/yr</t>
  </si>
  <si>
    <t xml:space="preserve">Fuel cost per ton</t>
  </si>
  <si>
    <t xml:space="preserve">$/ton</t>
  </si>
  <si>
    <t xml:space="preserve">Every value on this page is a link to Inputs, HMB, Equipment or Biochar Reactor. Change nothing here.</t>
  </si>
  <si>
    <t xml:space="preserve">INPUTS  ·  blue = enter, black = calculated, green = from another sheet</t>
  </si>
  <si>
    <t xml:space="preserve">JOB</t>
  </si>
  <si>
    <t xml:space="preserve">DRYER TYPE</t>
  </si>
  <si>
    <t xml:space="preserve">Energy factor Btu/lb</t>
  </si>
  <si>
    <t xml:space="preserve">Note</t>
  </si>
  <si>
    <t xml:space="preserve">Case name</t>
  </si>
  <si>
    <t xml:space="preserve">LETEK DCG / Bachoco - chicken manure digestate, 140 MT/day (case A: 70% MC press cake)</t>
  </si>
  <si>
    <t xml:space="preserve">Shows on the Flow sheet, top left</t>
  </si>
  <si>
    <t xml:space="preserve">Customer</t>
  </si>
  <si>
    <t xml:space="preserve">LETEK DCG - Bachoco layer farms</t>
  </si>
  <si>
    <t xml:space="preserve">Flow sheet header, centre</t>
  </si>
  <si>
    <t xml:space="preserve">Single-pass rotary drum</t>
  </si>
  <si>
    <t xml:space="preserve">MCE standard, confirmed J. Shipley 9 Sep 2026</t>
  </si>
  <si>
    <t xml:space="preserve">Customer location</t>
  </si>
  <si>
    <t xml:space="preserve">Merida, Yucatan, Mexico</t>
  </si>
  <si>
    <t xml:space="preserve">Triple-pass rotary drum</t>
  </si>
  <si>
    <t xml:space="preserve">Prepared by</t>
  </si>
  <si>
    <t xml:space="preserve">MCE Engineering</t>
  </si>
  <si>
    <t xml:space="preserve">Z8 eight-pass</t>
  </si>
  <si>
    <t xml:space="preserve">Document number</t>
  </si>
  <si>
    <t xml:space="preserve">MCE-HMB-2026-002</t>
  </si>
  <si>
    <t xml:space="preserve">Infrared</t>
  </si>
  <si>
    <t xml:space="preserve">7 Feb 2026 notes</t>
  </si>
  <si>
    <t xml:space="preserve">Revision</t>
  </si>
  <si>
    <t xml:space="preserve">A</t>
  </si>
  <si>
    <t xml:space="preserve">Flash tube</t>
  </si>
  <si>
    <t xml:space="preserve">1,850–1,900 per notes</t>
  </si>
  <si>
    <t xml:space="preserve">Date</t>
  </si>
  <si>
    <t xml:space="preserve">Formula; overwrite with a fixed date when issued</t>
  </si>
  <si>
    <t xml:space="preserve">chicken manure digestate cake (screw-pressed)</t>
  </si>
  <si>
    <t xml:space="preserve">FUEL TABLE</t>
  </si>
  <si>
    <t xml:space="preserve">MATERIAL AND THROUGHPUT</t>
  </si>
  <si>
    <t xml:space="preserve">HHV Btu/lb</t>
  </si>
  <si>
    <t xml:space="preserve">lb/ft³</t>
  </si>
  <si>
    <t xml:space="preserve">Excess air</t>
  </si>
  <si>
    <t xml:space="preserve">Stoich air lb/lb</t>
  </si>
  <si>
    <t xml:space="preserve">H2O lb/lb fuel</t>
  </si>
  <si>
    <t xml:space="preserve">CO2 lb/lb fuel</t>
  </si>
  <si>
    <t xml:space="preserve">Source</t>
  </si>
  <si>
    <t xml:space="preserve">Wet feed rate</t>
  </si>
  <si>
    <t xml:space="preserve">Enter wet feed OR set to =C? from dry product below; this is the governing input</t>
  </si>
  <si>
    <t xml:space="preserve">Natural Gas</t>
  </si>
  <si>
    <t xml:space="preserve">Original Input F6:I6; stoich from original CALC G25</t>
  </si>
  <si>
    <t xml:space="preserve">Moisture in, wet basis</t>
  </si>
  <si>
    <t xml:space="preserve">Fraction, e.g. 0.50</t>
  </si>
  <si>
    <t xml:space="preserve">Propane</t>
  </si>
  <si>
    <t xml:space="preserve">Original Input F8:I8; stoich standard</t>
  </si>
  <si>
    <t xml:space="preserve">Moisture out, wet basis</t>
  </si>
  <si>
    <t xml:space="preserve">#2 Fuel Oil</t>
  </si>
  <si>
    <t xml:space="preserve">Original Input F9:I9; stoich standard</t>
  </si>
  <si>
    <t xml:space="preserve">Product temperature in</t>
  </si>
  <si>
    <t xml:space="preserve">Drying Rates Calculator uses 40 °F for winter feed; 60 °F typical</t>
  </si>
  <si>
    <t xml:space="preserve">Biomass (wet, 8,500)</t>
  </si>
  <si>
    <t xml:space="preserve">Original Input F7:I7 had 200% excess air; reduced to 100%, confirm</t>
  </si>
  <si>
    <t xml:space="preserve">Product temperature out</t>
  </si>
  <si>
    <t xml:space="preserve">Dried material discharge temperature</t>
  </si>
  <si>
    <t xml:space="preserve">Dry Wood</t>
  </si>
  <si>
    <t xml:space="preserve">Original Input F10:I10; stoich, H2O, CO2 from original COMB L32, L42+L54, L41</t>
  </si>
  <si>
    <t xml:space="preserve">Specific heat of dry solids</t>
  </si>
  <si>
    <t xml:space="preserve">Btu/lb·°F</t>
  </si>
  <si>
    <t xml:space="preserve">Dry wood 0.32–0.40; original sheets used 0.55 (wet) and 0.23 (Prozus)</t>
  </si>
  <si>
    <t xml:space="preserve">Biogas 55% CH4</t>
  </si>
  <si>
    <t xml:space="preserve">Placeholder for dual-fuel jobs; enter analysis when known</t>
  </si>
  <si>
    <t xml:space="preserve">Bulk density, dried product</t>
  </si>
  <si>
    <t xml:space="preserve">Used for airlock and screw sizing</t>
  </si>
  <si>
    <t xml:space="preserve">Bulk density, wet feed</t>
  </si>
  <si>
    <t xml:space="preserve">Drum residence time target</t>
  </si>
  <si>
    <t xml:space="preserve">Sizes the drum length; 10–30 min single pass, longer for fluffy or sticky product</t>
  </si>
  <si>
    <t xml:space="preserve">Drum fill target</t>
  </si>
  <si>
    <t xml:space="preserve">fraction of drum volume</t>
  </si>
  <si>
    <t xml:space="preserve">5–15% normal; sets the length needed for the residence time</t>
  </si>
  <si>
    <t xml:space="preserve">SITE</t>
  </si>
  <si>
    <t xml:space="preserve">Elevation</t>
  </si>
  <si>
    <t xml:space="preserve">Ambient temperature</t>
  </si>
  <si>
    <t xml:space="preserve">Ambient humidity</t>
  </si>
  <si>
    <t xml:space="preserve">lb H2O/lb dry air</t>
  </si>
  <si>
    <t xml:space="preserve">Florida summer ~0.015; original had 0.002</t>
  </si>
  <si>
    <t xml:space="preserve">DRYER AND FUEL</t>
  </si>
  <si>
    <t xml:space="preserve">Pick from list (dropdown): Single-pass rotary drum, Triple-pass rotary drum, Z8 eight-pass, Infrared, Flash tube</t>
  </si>
  <si>
    <t xml:space="preserve">MCE energy factor</t>
  </si>
  <si>
    <t xml:space="preserve">Btu/lb water</t>
  </si>
  <si>
    <t xml:space="preserve">From the dryer type table at right</t>
  </si>
  <si>
    <t xml:space="preserve">Pick from list (dropdown): see fuel table at right</t>
  </si>
  <si>
    <t xml:space="preserve">Fuel heating value</t>
  </si>
  <si>
    <t xml:space="preserve">Excess air at burner</t>
  </si>
  <si>
    <t xml:space="preserve">fraction</t>
  </si>
  <si>
    <t xml:space="preserve">Stoichiometric air</t>
  </si>
  <si>
    <t xml:space="preserve">lb air/lb fuel</t>
  </si>
  <si>
    <t xml:space="preserve">Water formed per lb fuel</t>
  </si>
  <si>
    <t xml:space="preserve">lb H2O/lb fuel</t>
  </si>
  <si>
    <t xml:space="preserve">Includes fuel moisture for wood</t>
  </si>
  <si>
    <t xml:space="preserve">CO2 per lb fuel</t>
  </si>
  <si>
    <t xml:space="preserve">lb/lb fuel</t>
  </si>
  <si>
    <t xml:space="preserve">Dryer inlet gas temperature</t>
  </si>
  <si>
    <t xml:space="preserve">Design choice, up to the maximum below. Lower it for heat-sensitive product.</t>
  </si>
  <si>
    <t xml:space="preserve">Maximum drum inlet gas temperature</t>
  </si>
  <si>
    <t xml:space="preserve">MCE design limit, J. Shipley 9 Sep 2026</t>
  </si>
  <si>
    <t xml:space="preserve">Dryer exhaust gas temperature</t>
  </si>
  <si>
    <t xml:space="preserve">Original 180 °F; 200–230 °F for high-moisture feeds</t>
  </si>
  <si>
    <t xml:space="preserve">Combustion efficiency</t>
  </si>
  <si>
    <t xml:space="preserve">Original Input H3</t>
  </si>
  <si>
    <t xml:space="preserve">Shell and radiation loss</t>
  </si>
  <si>
    <t xml:space="preserve">fraction of fired duty</t>
  </si>
  <si>
    <t xml:space="preserve">Air in-leakage at seals</t>
  </si>
  <si>
    <t xml:space="preserve">fraction of hot gas</t>
  </si>
  <si>
    <t xml:space="preserve">Adds to exhaust volume only</t>
  </si>
  <si>
    <t xml:space="preserve">$/MMBtu</t>
  </si>
  <si>
    <t xml:space="preserve">Assumption for the annual line; change per site</t>
  </si>
  <si>
    <t xml:space="preserve">AIR HANDLING AND MARGINS</t>
  </si>
  <si>
    <t xml:space="preserve">Drum face velocity for airflow rating</t>
  </si>
  <si>
    <t xml:space="preserve">fpm</t>
  </si>
  <si>
    <t xml:space="preserve">MCE rule: drum cross-section × 350 fpm = design ACFM (7 Feb 2026 notes)</t>
  </si>
  <si>
    <t xml:space="preserve">Fan static pressure</t>
  </si>
  <si>
    <t xml:space="preserve">in WC</t>
  </si>
  <si>
    <t xml:space="preserve">MCE rule of thumb for drum + duct + cyclone</t>
  </si>
  <si>
    <t xml:space="preserve">Fan static efficiency</t>
  </si>
  <si>
    <t xml:space="preserve">Duct velocity</t>
  </si>
  <si>
    <t xml:space="preserve">≥5,000 fpm wood and alfalfa; 4,500 for products under 12 lb/ft³</t>
  </si>
  <si>
    <t xml:space="preserve">Cyclone inlet velocity</t>
  </si>
  <si>
    <t xml:space="preserve">For the inlet-area line; final cyclone from the MCE cyclone calculator</t>
  </si>
  <si>
    <t xml:space="preserve">Minimum conveying air</t>
  </si>
  <si>
    <t xml:space="preserve">lb air/lb product</t>
  </si>
  <si>
    <t xml:space="preserve">Original Input A26</t>
  </si>
  <si>
    <t xml:space="preserve">Burner sizing margin</t>
  </si>
  <si>
    <t xml:space="preserve">Model selection margin on airflow and evaporation</t>
  </si>
  <si>
    <t xml:space="preserve">Burner face heat release</t>
  </si>
  <si>
    <t xml:space="preserve">Btu/hr per in²</t>
  </si>
  <si>
    <t xml:space="preserve">Drying Rates Calculator</t>
  </si>
  <si>
    <t xml:space="preserve">Triple-pass airflow factor vs single-pass of same OD</t>
  </si>
  <si>
    <t xml:space="preserve">PLACEHOLDER until the Baker-Rullman spec table is loaded; 1.0 rates a triple-pass drum like a single-pass of the same OD</t>
  </si>
  <si>
    <t xml:space="preserve">BIOCHAR REACTOR COUPLING</t>
  </si>
  <si>
    <t xml:space="preserve">Credit reactor surplus heat against dryer fuel?</t>
  </si>
  <si>
    <t xml:space="preserve">No</t>
  </si>
  <si>
    <t xml:space="preserve">Yes or No. Yes takes the surplus from the Biochar Reactor sheet off the purchased fuel</t>
  </si>
  <si>
    <t xml:space="preserve">OPERATION</t>
  </si>
  <si>
    <t xml:space="preserve">Hours per day</t>
  </si>
  <si>
    <t xml:space="preserve">h</t>
  </si>
  <si>
    <t xml:space="preserve">Days per year</t>
  </si>
  <si>
    <t xml:space="preserve">d</t>
  </si>
  <si>
    <t xml:space="preserve">Annual operating hours</t>
  </si>
  <si>
    <t xml:space="preserve">Prepared by:</t>
  </si>
  <si>
    <t xml:space="preserve">DEHYDRATION SYSTEM MASS-ENERGY BALANCE</t>
  </si>
  <si>
    <t xml:space="preserve">Exhaust Gases</t>
  </si>
  <si>
    <t xml:space="preserve"> ACFM</t>
  </si>
  <si>
    <t xml:space="preserve"> hp fan</t>
  </si>
  <si>
    <t xml:space="preserve"> feet (above sea level)</t>
  </si>
  <si>
    <t xml:space="preserve">Dryer Outlet Gases</t>
  </si>
  <si>
    <t xml:space="preserve">Fuel to Burner</t>
  </si>
  <si>
    <t xml:space="preserve"> Btu's/lb evaporation (rigorous)</t>
  </si>
  <si>
    <t xml:space="preserve"> deg F</t>
  </si>
  <si>
    <t xml:space="preserve"> </t>
  </si>
  <si>
    <t xml:space="preserve"> Btu/lb</t>
  </si>
  <si>
    <t xml:space="preserve"> lb/hr</t>
  </si>
  <si>
    <t xml:space="preserve">Make-Up Air</t>
  </si>
  <si>
    <t xml:space="preserve">Mixed Inlet Gases</t>
  </si>
  <si>
    <t xml:space="preserve"> MMBtu/hr</t>
  </si>
  <si>
    <t xml:space="preserve"> SCFM</t>
  </si>
  <si>
    <t xml:space="preserve">Wet Feed</t>
  </si>
  <si>
    <t xml:space="preserve"> moisture</t>
  </si>
  <si>
    <t xml:space="preserve">Combustion Air</t>
  </si>
  <si>
    <t xml:space="preserve"> lb/hr solids</t>
  </si>
  <si>
    <t xml:space="preserve">EVAPORATION RATE</t>
  </si>
  <si>
    <t xml:space="preserve"> lb/hr water</t>
  </si>
  <si>
    <t xml:space="preserve"> LB/HR H2O</t>
  </si>
  <si>
    <t xml:space="preserve"> lb/hr total</t>
  </si>
  <si>
    <t xml:space="preserve"> X-S air</t>
  </si>
  <si>
    <t xml:space="preserve">Dry Fuel (product burned)</t>
  </si>
  <si>
    <t xml:space="preserve">Dry Material</t>
  </si>
  <si>
    <t xml:space="preserve">Net Dry Product</t>
  </si>
  <si>
    <t xml:space="preserve">MIDWEST CUSTOM ENGINEERING, INC.  ·  Stuart, FL  ·  usemce.com</t>
  </si>
  <si>
    <t xml:space="preserve">Page 1/1</t>
  </si>
  <si>
    <t xml:space="preserve">HEAT AND MASS BALANCE  ·  imperial</t>
  </si>
  <si>
    <t xml:space="preserve">MASS BALANCE</t>
  </si>
  <si>
    <t xml:space="preserve">Dry solids</t>
  </si>
  <si>
    <t xml:space="preserve">Water in with feed</t>
  </si>
  <si>
    <t xml:space="preserve">Water remaining in product</t>
  </si>
  <si>
    <t xml:space="preserve">Governs everything below</t>
  </si>
  <si>
    <t xml:space="preserve">gal/hr</t>
  </si>
  <si>
    <t xml:space="preserve">Product</t>
  </si>
  <si>
    <t xml:space="preserve">TPH</t>
  </si>
  <si>
    <t xml:space="preserve">MCE METHOD (Drying Rates Calculator)</t>
  </si>
  <si>
    <t xml:space="preserve">Theoretical energy per lb water</t>
  </si>
  <si>
    <t xml:space="preserve">Sensible to 212 °F plus latent 970.4</t>
  </si>
  <si>
    <t xml:space="preserve">Energy factor with losses</t>
  </si>
  <si>
    <t xml:space="preserve">Total Btu of system (MCE)</t>
  </si>
  <si>
    <t xml:space="preserve">Btu/hr</t>
  </si>
  <si>
    <t xml:space="preserve">The number quoting has always used</t>
  </si>
  <si>
    <t xml:space="preserve">RIGOROUS BALANCE (check on the MCE factor)</t>
  </si>
  <si>
    <t xml:space="preserve">Heat dry solids</t>
  </si>
  <si>
    <t xml:space="preserve">Heat water remaining in product</t>
  </si>
  <si>
    <t xml:space="preserve">Heat evaporated water to 212 °F</t>
  </si>
  <si>
    <t xml:space="preserve">Vaporize</t>
  </si>
  <si>
    <t xml:space="preserve">Superheat vapor to exhaust temperature</t>
  </si>
  <si>
    <t xml:space="preserve">Negative if exhaust is below 212 °F, as in the original</t>
  </si>
  <si>
    <t xml:space="preserve">Product heating requirement</t>
  </si>
  <si>
    <t xml:space="preserve">Share of released heat given up by the gas</t>
  </si>
  <si>
    <t xml:space="preserve">(T_in − T_exhaust)/(T_in − T_ambient) × combustion efficiency</t>
  </si>
  <si>
    <t xml:space="preserve">Fired duty, rigorous</t>
  </si>
  <si>
    <t xml:space="preserve">Closed form; replaces the unconverged iteration in the original CALC</t>
  </si>
  <si>
    <t xml:space="preserve">Check against MCE factor</t>
  </si>
  <si>
    <t xml:space="preserve">Original FLOW G8 showed 11,788 Btu/lb and nobody looked</t>
  </si>
  <si>
    <t xml:space="preserve">Design fired duty used downstream</t>
  </si>
  <si>
    <t xml:space="preserve">Larger of the two, by policy</t>
  </si>
  <si>
    <t xml:space="preserve">COMBUSTION</t>
  </si>
  <si>
    <t xml:space="preserve">Fuel rate</t>
  </si>
  <si>
    <t xml:space="preserve">Reactor surplus heat credited</t>
  </si>
  <si>
    <t xml:space="preserve">From the Biochar Reactor sheet when coupling is Yes</t>
  </si>
  <si>
    <t xml:space="preserve">Purchased fuel duty</t>
  </si>
  <si>
    <t xml:space="preserve">Purchased fuel rate</t>
  </si>
  <si>
    <t xml:space="preserve">Fuel volume (all fired)</t>
  </si>
  <si>
    <t xml:space="preserve">ft³/min</t>
  </si>
  <si>
    <t xml:space="preserve">Gas fuels: ft³/min at standard; solid fuels: bulk ft³/min</t>
  </si>
  <si>
    <t xml:space="preserve">Combustion air</t>
  </si>
  <si>
    <t xml:space="preserve">Products of combustion</t>
  </si>
  <si>
    <t xml:space="preserve">Water in products of combustion</t>
  </si>
  <si>
    <t xml:space="preserve">Adiabatic products temperature, approx.</t>
  </si>
  <si>
    <t xml:space="preserve">cp 0.27 average; sanity only</t>
  </si>
  <si>
    <t xml:space="preserve">DRYER GAS FLOW</t>
  </si>
  <si>
    <t xml:space="preserve">Hot gas to dryer at inlet temperature</t>
  </si>
  <si>
    <t xml:space="preserve">Products of combustion plus dilution air, dry basis</t>
  </si>
  <si>
    <t xml:space="preserve">Dilution (make-up) air</t>
  </si>
  <si>
    <t xml:space="preserve">Must be positive; if negative the inlet temperature is above what this fuel and excess air can give</t>
  </si>
  <si>
    <t xml:space="preserve">Inlet temperature vs MCE maximum</t>
  </si>
  <si>
    <t xml:space="preserve">Dilution check</t>
  </si>
  <si>
    <t xml:space="preserve">Air in-leakage</t>
  </si>
  <si>
    <t xml:space="preserve">Exhaust dry gas</t>
  </si>
  <si>
    <t xml:space="preserve">Exhaust water vapor</t>
  </si>
  <si>
    <t xml:space="preserve">Exhaust total</t>
  </si>
  <si>
    <t xml:space="preserve">Exhaust humidity</t>
  </si>
  <si>
    <t xml:space="preserve">lb H2O/lb dry gas</t>
  </si>
  <si>
    <t xml:space="preserve">Elevation pressure ratio</t>
  </si>
  <si>
    <t xml:space="preserve">Standard atmosphere</t>
  </si>
  <si>
    <t xml:space="preserve">Dry gas density at exhaust temperature and elevation</t>
  </si>
  <si>
    <t xml:space="preserve">Water vapor density at exhaust temperature and elevation</t>
  </si>
  <si>
    <t xml:space="preserve">Exhaust volume at exhaust temperature</t>
  </si>
  <si>
    <t xml:space="preserve">Sizes the fan, cyclone and duct</t>
  </si>
  <si>
    <t xml:space="preserve">Exhaust volume, standard</t>
  </si>
  <si>
    <t xml:space="preserve">SCFM</t>
  </si>
  <si>
    <t xml:space="preserve">Hot gas to dryer, standard volume</t>
  </si>
  <si>
    <t xml:space="preserve">Make-up air, standard volume</t>
  </si>
  <si>
    <t xml:space="preserve">Combustion air volume at ambient</t>
  </si>
  <si>
    <t xml:space="preserve">Product burned as fuel</t>
  </si>
  <si>
    <t xml:space="preserve">When the dryer burns its own product</t>
  </si>
  <si>
    <t xml:space="preserve">Net dry product after fuel</t>
  </si>
  <si>
    <t xml:space="preserve">Inlet gas volume at inlet temperature</t>
  </si>
  <si>
    <t xml:space="preserve">Furnace outlet duct</t>
  </si>
  <si>
    <t xml:space="preserve">Conveying air ratio</t>
  </si>
  <si>
    <t xml:space="preserve">Conveying check</t>
  </si>
  <si>
    <t xml:space="preserve">ENERGY CLOSURE (must be zero)</t>
  </si>
  <si>
    <t xml:space="preserve">Fuel energy in</t>
  </si>
  <si>
    <t xml:space="preserve">Combustion inefficiency</t>
  </si>
  <si>
    <t xml:space="preserve">To product (heating and evaporation)</t>
  </si>
  <si>
    <t xml:space="preserve">Scaled when the MCE duty governs; the extra heat is real margin, not a balance error</t>
  </si>
  <si>
    <t xml:space="preserve">Shell loss</t>
  </si>
  <si>
    <t xml:space="preserve">Exhaust sensible heat, dry gas</t>
  </si>
  <si>
    <t xml:space="preserve">Residual</t>
  </si>
  <si>
    <t xml:space="preserve">Zero when the MCE and rigorous duties agree; otherwise equals the margin the MCE factor carries</t>
  </si>
  <si>
    <t xml:space="preserve">Residual as share of fuel</t>
  </si>
  <si>
    <t xml:space="preserve">DRUM CHECKS (selected model from Equipment sheet)</t>
  </si>
  <si>
    <t xml:space="preserve">Selected dryer</t>
  </si>
  <si>
    <t xml:space="preserve">Drum volume</t>
  </si>
  <si>
    <t xml:space="preserve">ft³</t>
  </si>
  <si>
    <t xml:space="preserve">Evaporative loading</t>
  </si>
  <si>
    <t xml:space="preserve">Single-pass practice 3–8 on biomass, 2–5 on sludge and manure</t>
  </si>
  <si>
    <t xml:space="preserve">Material in drum at residence time target</t>
  </si>
  <si>
    <t xml:space="preserve">Drum fill at standard length</t>
  </si>
  <si>
    <t xml:space="preserve">Original FLOW used 1.5 minutes of product and read 0.1%; 5–15% is normal</t>
  </si>
  <si>
    <t xml:space="preserve">Residence time at standard length and fill target</t>
  </si>
  <si>
    <t xml:space="preserve">Drum volume required for residence target at fill target</t>
  </si>
  <si>
    <t xml:space="preserve">Drum length required at selected diameter</t>
  </si>
  <si>
    <t xml:space="preserve">Extend the drum past the standard length when this is longer</t>
  </si>
  <si>
    <t xml:space="preserve">Drum length to quote</t>
  </si>
  <si>
    <t xml:space="preserve">DRYER MODELS  ·  one table, three types  ·  yellow = MCE to fill</t>
  </si>
  <si>
    <t xml:space="preserve">Reference evaporative loading for the volume-limited rating, lb/hr·ft³:</t>
  </si>
  <si>
    <t xml:space="preserve">Single-pass</t>
  </si>
  <si>
    <t xml:space="preserve">Triple-pass</t>
  </si>
  <si>
    <t xml:space="preserve">Z8</t>
  </si>
  <si>
    <t xml:space="preserve">Burners are sized to the heat loading, so drums rate on volume × reference loading; enter a burner cap only if a drum has a fixed burner. Design ACFM for single-pass = cross-section × face velocity. Triple-pass rows use the same shells times the triple-pass factor on Inputs until Baker-Rullman ratings are entered (yellow). Z8 uses the entered ACFM.</t>
  </si>
  <si>
    <t xml:space="preserve">Type</t>
  </si>
  <si>
    <t xml:space="preserve">Dia ft</t>
  </si>
  <si>
    <t xml:space="preserve">Length ft</t>
  </si>
  <si>
    <t xml:space="preserve">Cross-section ft²</t>
  </si>
  <si>
    <t xml:space="preserve">Volume ft³</t>
  </si>
  <si>
    <t xml:space="preserve">Design ACFM</t>
  </si>
  <si>
    <t xml:space="preserve">Burner cap MMBtu/hr (optional)</t>
  </si>
  <si>
    <t xml:space="preserve">Evap at burner cap lb/hr</t>
  </si>
  <si>
    <t xml:space="preserve">Evap at volume loading lb/hr</t>
  </si>
  <si>
    <t xml:space="preserve">Rated evap lb/hr</t>
  </si>
  <si>
    <t xml:space="preserve">Meets job? (row)</t>
  </si>
  <si>
    <t xml:space="preserve">Burner at rated evap MMBtu/hr</t>
  </si>
  <si>
    <t xml:space="preserve">Overall L×W×H in</t>
  </si>
  <si>
    <t xml:space="preserve">Fan hp</t>
  </si>
  <si>
    <t xml:space="preserve">Source / status</t>
  </si>
  <si>
    <t xml:space="preserve">XD-36 (3'×12')</t>
  </si>
  <si>
    <t xml:space="preserve">MCE standard size, J. Shipley 9 Sep 2026; burner sized to heat loading</t>
  </si>
  <si>
    <t xml:space="preserve">XD-36 (3'×20')</t>
  </si>
  <si>
    <t xml:space="preserve">XD-48 (4'×20')</t>
  </si>
  <si>
    <t xml:space="preserve">XD-60 (5'×25')</t>
  </si>
  <si>
    <t xml:space="preserve">XD-72 (6'×30')</t>
  </si>
  <si>
    <t xml:space="preserve">XD-84 (7'×35')</t>
  </si>
  <si>
    <t xml:space="preserve">XD-96 (8'×40')</t>
  </si>
  <si>
    <t xml:space="preserve">XD-120 (10'×50')</t>
  </si>
  <si>
    <t xml:space="preserve">XD-144 (12'×60')</t>
  </si>
  <si>
    <t xml:space="preserve">XD-156 (13'×60')</t>
  </si>
  <si>
    <t xml:space="preserve">Custom single-pass (enter dia × length)</t>
  </si>
  <si>
    <t xml:space="preserve">Any size can be built; enter drum OD and length</t>
  </si>
  <si>
    <t xml:space="preserve">TP-36 (3'×12')</t>
  </si>
  <si>
    <t xml:space="preserve">MCE will match the Baker-Rullman triple-pass models; ACFM = OD cross-section × face velocity × triple-pass factor until their ratings are entered</t>
  </si>
  <si>
    <t xml:space="preserve">TP-36 (3'×20')</t>
  </si>
  <si>
    <t xml:space="preserve">TP-48 (4'×20')</t>
  </si>
  <si>
    <t xml:space="preserve">TP-60 (5'×25')</t>
  </si>
  <si>
    <t xml:space="preserve">TP-72 (6'×30')</t>
  </si>
  <si>
    <t xml:space="preserve">TP-84 (7'×35')</t>
  </si>
  <si>
    <t xml:space="preserve">TP-96 (8'×40')</t>
  </si>
  <si>
    <t xml:space="preserve">TP-120 (10'×50')</t>
  </si>
  <si>
    <t xml:space="preserve">TP-144 (12'×60')</t>
  </si>
  <si>
    <t xml:space="preserve">TP-156 (13'×60')</t>
  </si>
  <si>
    <t xml:space="preserve">Custom triple-pass (enter dia × length)</t>
  </si>
  <si>
    <t xml:space="preserve">Any size can be built</t>
  </si>
  <si>
    <t xml:space="preserve">Z8 6'x24'</t>
  </si>
  <si>
    <t xml:space="preserve">Original Input K8:L18 ACFM max</t>
  </si>
  <si>
    <t xml:space="preserve">Z8 8'x35'</t>
  </si>
  <si>
    <t xml:space="preserve">Z8 10'x40'</t>
  </si>
  <si>
    <t xml:space="preserve">Z8 10'x50'</t>
  </si>
  <si>
    <t xml:space="preserve">Z8 12'x50'</t>
  </si>
  <si>
    <t xml:space="preserve">Z8 12'x60'</t>
  </si>
  <si>
    <t xml:space="preserve">Z8 12'x70'</t>
  </si>
  <si>
    <t xml:space="preserve">Z8 13'x60'</t>
  </si>
  <si>
    <t xml:space="preserve">Z8 14'x70'</t>
  </si>
  <si>
    <t xml:space="preserve">Z8 15'x70'</t>
  </si>
  <si>
    <t xml:space="preserve">EQUIPMENT SELECTION  ·  imperial</t>
  </si>
  <si>
    <t xml:space="preserve">Selected dryer (smallest of the chosen type that meets airflow and evaporation with margin)</t>
  </si>
  <si>
    <t xml:space="preserve">Drum length</t>
  </si>
  <si>
    <t xml:space="preserve">Model design airflow</t>
  </si>
  <si>
    <t xml:space="preserve">Model rated evaporation</t>
  </si>
  <si>
    <t xml:space="preserve">Model maximum burner</t>
  </si>
  <si>
    <t xml:space="preserve">Burner at model rated evaporation</t>
  </si>
  <si>
    <t xml:space="preserve">What the drum can use at reference loading; the job burner below is what it needs</t>
  </si>
  <si>
    <t xml:space="preserve">Drum length to quote (standard or extended for retention)</t>
  </si>
  <si>
    <t xml:space="preserve">Evaporation utilization</t>
  </si>
  <si>
    <t xml:space="preserve">BURNER</t>
  </si>
  <si>
    <t xml:space="preserve">Fired duty, design</t>
  </si>
  <si>
    <t xml:space="preserve">Burner size with margin</t>
  </si>
  <si>
    <t xml:space="preserve">Burner vs model maximum</t>
  </si>
  <si>
    <t xml:space="preserve">Burner face area at flux</t>
  </si>
  <si>
    <t xml:space="preserve">Drying Rates Calculator method</t>
  </si>
  <si>
    <t xml:space="preserve">48 in × 12 in burners</t>
  </si>
  <si>
    <t xml:space="preserve">count</t>
  </si>
  <si>
    <t xml:space="preserve">3.375 in × 40 in burners</t>
  </si>
  <si>
    <t xml:space="preserve">Oven-pack style burner index (MMBtu/hr × 100)</t>
  </si>
  <si>
    <t xml:space="preserve">470 MOP was picked for 5.7 MMBtu/hr in Feb 2026; confirm against the vendor curve</t>
  </si>
  <si>
    <t xml:space="preserve">FAN, DUCT, CYCLONE</t>
  </si>
  <si>
    <t xml:space="preserve">Exhaust fan volume</t>
  </si>
  <si>
    <t xml:space="preserve">At temperature</t>
  </si>
  <si>
    <t xml:space="preserve">Fan brake horsepower</t>
  </si>
  <si>
    <t xml:space="preserve">bhp</t>
  </si>
  <si>
    <t xml:space="preserve">Original DESIGN B29 used ACFM×18×5.2/33000×1.75</t>
  </si>
  <si>
    <t xml:space="preserve">Fan motor</t>
  </si>
  <si>
    <t xml:space="preserve">hp</t>
  </si>
  <si>
    <t xml:space="preserve">Next standard motor above bhp × 1.15</t>
  </si>
  <si>
    <t xml:space="preserve">Exhaust duct diameter at duct velocity</t>
  </si>
  <si>
    <t xml:space="preserve">Exhaust duct, even inches</t>
  </si>
  <si>
    <t xml:space="preserve">Actual velocity in selected duct</t>
  </si>
  <si>
    <t xml:space="preserve">Furnace-to-drum duct at inlet temperature</t>
  </si>
  <si>
    <t xml:space="preserve">Cyclone inlet area at inlet velocity</t>
  </si>
  <si>
    <t xml:space="preserve">Hand ACFM and temperature to the MCE cyclone calculator for the model</t>
  </si>
  <si>
    <t xml:space="preserve">Cyclone barrel, Lapple proportions (inlet = D/2 × D/4)</t>
  </si>
  <si>
    <t xml:space="preserve">Indicative only</t>
  </si>
  <si>
    <t xml:space="preserve">MATERIAL HANDLING</t>
  </si>
  <si>
    <t xml:space="preserve">Dried product volume</t>
  </si>
  <si>
    <t xml:space="preserve">Wet feed volume</t>
  </si>
  <si>
    <t xml:space="preserve">Discharge airlock (smallest with capacity ≥ product volume at 30% fill)</t>
  </si>
  <si>
    <t xml:space="preserve">Infeed airlock (≥ wet feed volume)</t>
  </si>
  <si>
    <t xml:space="preserve">Infeed screw (≥ wet feed ft³/hr at 30% fill)</t>
  </si>
  <si>
    <t xml:space="preserve">Water removed</t>
  </si>
  <si>
    <t xml:space="preserve">Fuel cost per ton of product</t>
  </si>
  <si>
    <t xml:space="preserve">REFERENCE TABLES</t>
  </si>
  <si>
    <t xml:space="preserve">Std motor hp</t>
  </si>
  <si>
    <t xml:space="preserve">Airlock size</t>
  </si>
  <si>
    <t xml:space="preserve">cf/rev</t>
  </si>
  <si>
    <t xml:space="preserve">rpm</t>
  </si>
  <si>
    <t xml:space="preserve">fill</t>
  </si>
  <si>
    <t xml:space="preserve">cf/min</t>
  </si>
  <si>
    <t xml:space="preserve">Screw size in</t>
  </si>
  <si>
    <t xml:space="preserve">cf/hr/rpm</t>
  </si>
  <si>
    <t xml:space="preserve">cf/hr @30%</t>
  </si>
  <si>
    <t xml:space="preserve">Source: original DESIGN K8:N19, 30% fill</t>
  </si>
  <si>
    <t xml:space="preserve">Source: original DESIGN K22:N32</t>
  </si>
  <si>
    <t xml:space="preserve">EMISSIONS ESTIMATE  ·  potential to emit  ·  factors are placeholders to confirm against EPA AP-42</t>
  </si>
  <si>
    <t xml:space="preserve">INPUTS (blue)</t>
  </si>
  <si>
    <t xml:space="preserve">NOx factor</t>
  </si>
  <si>
    <t xml:space="preserve">lb/MMBtu</t>
  </si>
  <si>
    <t xml:space="preserve">NG ~0.1; wood ~0.22; original COMB used 5.5% fuel N to NOx</t>
  </si>
  <si>
    <t xml:space="preserve">CO factor</t>
  </si>
  <si>
    <t xml:space="preserve">NG ~0.08; wood ~0.6</t>
  </si>
  <si>
    <t xml:space="preserve">SO2 factor</t>
  </si>
  <si>
    <t xml:space="preserve">NG ~0.0006; wood 0.025</t>
  </si>
  <si>
    <t xml:space="preserve">VOC factor</t>
  </si>
  <si>
    <t xml:space="preserve">lb/OD ton product</t>
  </si>
  <si>
    <t xml:space="preserve">Original Emiss. I29 (softwood shavings); AP-42 by species</t>
  </si>
  <si>
    <t xml:space="preserve">PM uncontrolled</t>
  </si>
  <si>
    <t xml:space="preserve">Rotary wood dryer AP-42 range ~1–6; original used product×(1−0.99965)</t>
  </si>
  <si>
    <t xml:space="preserve">Cyclone collection efficiency</t>
  </si>
  <si>
    <t xml:space="preserve">Original 99.965% is not achievable with a cyclone</t>
  </si>
  <si>
    <t xml:space="preserve">PM10 share of PM</t>
  </si>
  <si>
    <t xml:space="preserve">Original 0.007%</t>
  </si>
  <si>
    <t xml:space="preserve">HAP share of VOC</t>
  </si>
  <si>
    <t xml:space="preserve">Original Emiss. I33</t>
  </si>
  <si>
    <t xml:space="preserve">RESULTS</t>
  </si>
  <si>
    <t xml:space="preserve">Pollutant</t>
  </si>
  <si>
    <t xml:space="preserve">tons/yr at operating hours</t>
  </si>
  <si>
    <t xml:space="preserve">tons/yr PTE (8,760 h)</t>
  </si>
  <si>
    <t xml:space="preserve">lb/OD ton</t>
  </si>
  <si>
    <t xml:space="preserve">CO2</t>
  </si>
  <si>
    <t xml:space="preserve">NOx</t>
  </si>
  <si>
    <t xml:space="preserve">CO</t>
  </si>
  <si>
    <t xml:space="preserve">SO2</t>
  </si>
  <si>
    <t xml:space="preserve">VOC</t>
  </si>
  <si>
    <t xml:space="preserve">HAPs</t>
  </si>
  <si>
    <t xml:space="preserve">PM after cyclone</t>
  </si>
  <si>
    <t xml:space="preserve">PM10 after cyclone</t>
  </si>
  <si>
    <t xml:space="preserve">BIOCHAR REACTOR  ·  slow pyrolysis / torrefaction option  ·  imperial</t>
  </si>
  <si>
    <t xml:space="preserve">Mass and energy balance for an indirect-fired rotary reactor. Blue = input. Volatiles are burned in an afterburner; surplus heat can be credited to the dryer (Inputs: coupling = Yes).</t>
  </si>
  <si>
    <t xml:space="preserve">INPUTS</t>
  </si>
  <si>
    <t xml:space="preserve">CHAR YIELD GUIDE (wood, dry basis)</t>
  </si>
  <si>
    <t xml:space="preserve">Feed source</t>
  </si>
  <si>
    <t xml:space="preserve">Dryer product</t>
  </si>
  <si>
    <t xml:space="preserve">Dryer product (takes rate and moisture from HMB) or Manual (enter below)</t>
  </si>
  <si>
    <t xml:space="preserve">Solids temp °F</t>
  </si>
  <si>
    <t xml:space="preserve">Yield</t>
  </si>
  <si>
    <t xml:space="preserve">Manual feed rate, wet</t>
  </si>
  <si>
    <t xml:space="preserve">Used only when source = Manual</t>
  </si>
  <si>
    <t xml:space="preserve">Manual feed moisture, wet basis</t>
  </si>
  <si>
    <t xml:space="preserve">Feed temperature</t>
  </si>
  <si>
    <t xml:space="preserve">Dryer product arrives hot; ambient if from storage</t>
  </si>
  <si>
    <t xml:space="preserve">Feed heating value, dry basis</t>
  </si>
  <si>
    <t xml:space="preserve">Wood ~8,000–8,600 dry</t>
  </si>
  <si>
    <t xml:space="preserve">Ash, dry basis</t>
  </si>
  <si>
    <t xml:space="preserve">Reactor solids temperature</t>
  </si>
  <si>
    <t xml:space="preserve">500 °C = 932 °F slow pyrolysis; torrefaction 480–570 °F</t>
  </si>
  <si>
    <t xml:space="preserve">Char yield, dry basis</t>
  </si>
  <si>
    <t xml:space="preserve">fraction of dry feed</t>
  </si>
  <si>
    <t xml:space="preserve">MCE default, confirmed J. Shipley 9 Sep 2026. See table at right; Prozus report assumed 1.0, which is why its 67% product was wrong</t>
  </si>
  <si>
    <t xml:space="preserve">Char heating value</t>
  </si>
  <si>
    <t xml:space="preserve">Wood char 11,500–13,500 dry</t>
  </si>
  <si>
    <t xml:space="preserve">Torrefaction 480–570 °F keeps 70–85%; slow pyrolysis 840–1,100 °F gives 24–33%. Confirm on a sample.</t>
  </si>
  <si>
    <t xml:space="preserve">Reaction heat</t>
  </si>
  <si>
    <t xml:space="preserve">Btu/lb dry feed</t>
  </si>
  <si>
    <t xml:space="preserve">MCE default, confirmed J. Shipley 9 Sep 2026; + endothermic, wood slow pyrolysis roughly 0 to +200</t>
  </si>
  <si>
    <t xml:space="preserve">Specific heat, dry feed</t>
  </si>
  <si>
    <t xml:space="preserve">Volatile gas temperature leaving reactor</t>
  </si>
  <si>
    <t xml:space="preserve">Reactor shell loss</t>
  </si>
  <si>
    <t xml:space="preserve">fraction of demand</t>
  </si>
  <si>
    <t xml:space="preserve">Indirect fired, insulated</t>
  </si>
  <si>
    <t xml:space="preserve">Afterburner combustion efficiency</t>
  </si>
  <si>
    <t xml:space="preserve">Share of volatile energy recovered as hot gas</t>
  </si>
  <si>
    <t xml:space="preserve">Afterburner flue gas temperature</t>
  </si>
  <si>
    <t xml:space="preserve">Sets the gas volume available to the reactor jacket and dryer</t>
  </si>
  <si>
    <t xml:space="preserve">Jacket gas outlet temperature</t>
  </si>
  <si>
    <t xml:space="preserve">Flue gas leaves the reactor jacket above the solids temperature</t>
  </si>
  <si>
    <t xml:space="preserve">Residence time</t>
  </si>
  <si>
    <t xml:space="preserve">Slow pyrolysis 20–60 min; torrefaction 15–30</t>
  </si>
  <si>
    <t xml:space="preserve">Reactor fill</t>
  </si>
  <si>
    <t xml:space="preserve">Feed bulk density</t>
  </si>
  <si>
    <t xml:space="preserve">Reactor drum diameter</t>
  </si>
  <si>
    <t xml:space="preserve">Pick; length is sized below. Go up a size if L/D exceeds 10</t>
  </si>
  <si>
    <t xml:space="preserve">Allowable indirect shell heat flux</t>
  </si>
  <si>
    <t xml:space="preserve">Btu/hr·ft²</t>
  </si>
  <si>
    <t xml:space="preserve">MCE default, confirmed J. Shipley 9 Sep 2026; indirect rotary reactors 2,000–6,000</t>
  </si>
  <si>
    <t xml:space="preserve">Feed, wet</t>
  </si>
  <si>
    <t xml:space="preserve">Feed moisture</t>
  </si>
  <si>
    <t xml:space="preserve">Dry feed</t>
  </si>
  <si>
    <t xml:space="preserve">Water in feed</t>
  </si>
  <si>
    <t xml:space="preserve">Biochar out</t>
  </si>
  <si>
    <t xml:space="preserve">Volatiles + gas</t>
  </si>
  <si>
    <t xml:space="preserve">Char as share of wet feed</t>
  </si>
  <si>
    <t xml:space="preserve">ENERGY</t>
  </si>
  <si>
    <t xml:space="preserve">Heat dry feed to reactor temperature</t>
  </si>
  <si>
    <t xml:space="preserve">Evaporate and superheat feed moisture</t>
  </si>
  <si>
    <t xml:space="preserve">Heat volatiles to gas outlet temperature (above solids)</t>
  </si>
  <si>
    <t xml:space="preserve">Reactor heat demand incl. shell loss</t>
  </si>
  <si>
    <t xml:space="preserve">Reactor heat demand</t>
  </si>
  <si>
    <t xml:space="preserve">Energy in volatiles (HHV basis)</t>
  </si>
  <si>
    <t xml:space="preserve">Feed energy minus char energy; the standard estimate for pyrolysis gas plus tar</t>
  </si>
  <si>
    <t xml:space="preserve">Energy in volatiles</t>
  </si>
  <si>
    <t xml:space="preserve">Hot gas from afterburner</t>
  </si>
  <si>
    <t xml:space="preserve">Share of afterburner heat usable in the jacket</t>
  </si>
  <si>
    <t xml:space="preserve">Gas cools from flue temperature to jacket outlet; the rest leaves with the gas</t>
  </si>
  <si>
    <t xml:space="preserve">Heat deliverable to reactor through jacket</t>
  </si>
  <si>
    <t xml:space="preserve">Auxiliary fuel needed at reactor</t>
  </si>
  <si>
    <t xml:space="preserve">Zero means autothermal on its own volatiles</t>
  </si>
  <si>
    <t xml:space="preserve">Surplus heat available to dryer</t>
  </si>
  <si>
    <t xml:space="preserve">Afterburner gas beyond reactor demand; credited on HMB when coupling = Yes</t>
  </si>
  <si>
    <t xml:space="preserve">Status</t>
  </si>
  <si>
    <t xml:space="preserve">Afterburner flue gas mass</t>
  </si>
  <si>
    <t xml:space="preserve">Includes combustion and dilution air to hold the flue temperature</t>
  </si>
  <si>
    <t xml:space="preserve">Afterburner flue gas volume at flue temperature</t>
  </si>
  <si>
    <t xml:space="preserve">REACTOR SIZING</t>
  </si>
  <si>
    <t xml:space="preserve">Reactor volume for residence time at fill</t>
  </si>
  <si>
    <t xml:space="preserve">Cross-section at chosen diameter</t>
  </si>
  <si>
    <t xml:space="preserve">ft²</t>
  </si>
  <si>
    <t xml:space="preserve">Reactor length for residence time</t>
  </si>
  <si>
    <t xml:space="preserve">Shell area at that length</t>
  </si>
  <si>
    <t xml:space="preserve">Indirect heat flux at that shell area</t>
  </si>
  <si>
    <t xml:space="preserve">Reactor length for allowable heat flux</t>
  </si>
  <si>
    <t xml:space="preserve">Reactor length to quote (larger of the two)</t>
  </si>
  <si>
    <t xml:space="preserve">Length to diameter</t>
  </si>
  <si>
    <t xml:space="preserve">4–10 typical for rotary reactors; go up a diameter if above 10</t>
  </si>
  <si>
    <t xml:space="preserve">Heat transfer check</t>
  </si>
  <si>
    <t xml:space="preserve">METRIC SUMMARY  ·  converted from the imperial sheets</t>
  </si>
  <si>
    <t xml:space="preserve">MASS</t>
  </si>
  <si>
    <t xml:space="preserve">kg/h</t>
  </si>
  <si>
    <t xml:space="preserve">t/h</t>
  </si>
  <si>
    <t xml:space="preserve">Moisture in / out (wet basis)</t>
  </si>
  <si>
    <t xml:space="preserve">Theoretical energy per kg water</t>
  </si>
  <si>
    <t xml:space="preserve">kJ/kg</t>
  </si>
  <si>
    <t xml:space="preserve">Design fired duty</t>
  </si>
  <si>
    <t xml:space="preserve">GJ/h</t>
  </si>
  <si>
    <t xml:space="preserve">kW</t>
  </si>
  <si>
    <t xml:space="preserve">TEMPERATURES</t>
  </si>
  <si>
    <t xml:space="preserve">Product in / out</t>
  </si>
  <si>
    <t xml:space="preserve">°C</t>
  </si>
  <si>
    <t xml:space="preserve">Gas in / out</t>
  </si>
  <si>
    <t xml:space="preserve">GAS</t>
  </si>
  <si>
    <t xml:space="preserve">Hot gas to dryer</t>
  </si>
  <si>
    <t xml:space="preserve">m³/h</t>
  </si>
  <si>
    <t xml:space="preserve">Exhaust volume, normal (0 °C, 1 atm)</t>
  </si>
  <si>
    <t xml:space="preserve">Nm³/h</t>
  </si>
  <si>
    <t xml:space="preserve">Drum diameter × length</t>
  </si>
  <si>
    <t xml:space="preserve">m</t>
  </si>
  <si>
    <t xml:space="preserve">MW</t>
  </si>
  <si>
    <t xml:space="preserve">mm</t>
  </si>
  <si>
    <t xml:space="preserve">Pa</t>
  </si>
  <si>
    <t xml:space="preserve">REFERENCE CASES  ·  copy a column into Inputs to rerun</t>
  </si>
  <si>
    <t xml:space="preserve">Input</t>
  </si>
  <si>
    <t xml:space="preserve">Track B (this file default)</t>
  </si>
  <si>
    <t xml:space="preserve">Prozus track A</t>
  </si>
  <si>
    <t xml:space="preserve">LETEK digestate case A</t>
  </si>
  <si>
    <t xml:space="preserve">6x24 expected (2005 file)</t>
  </si>
  <si>
    <t xml:space="preserve">Wood shavings</t>
  </si>
  <si>
    <t xml:space="preserve">Biomass</t>
  </si>
  <si>
    <t xml:space="preserve">Chicken manure digestate cake</t>
  </si>
  <si>
    <t xml:space="preserve">Grapeskins</t>
  </si>
  <si>
    <t xml:space="preserve">Wet feed lb/hr</t>
  </si>
  <si>
    <t xml:space="preserve">Moisture in</t>
  </si>
  <si>
    <t xml:space="preserve">Moisture out</t>
  </si>
  <si>
    <t xml:space="preserve">Product temp in °F</t>
  </si>
  <si>
    <t xml:space="preserve">Product temp out °F</t>
  </si>
  <si>
    <t xml:space="preserve">Dryer inlet gas °F</t>
  </si>
  <si>
    <t xml:space="preserve">Exhaust gas °F</t>
  </si>
  <si>
    <t xml:space="preserve">Energy factor</t>
  </si>
  <si>
    <t xml:space="preserve">Original Input sheet basis</t>
  </si>
  <si>
    <t xml:space="preserve">Prozus used feed at 100 °C and solids out at 375 °C; not reproduced</t>
  </si>
  <si>
    <t xml:space="preserve">From LETEK PFD Rev A, 140 MT/day, 24 h</t>
  </si>
  <si>
    <t xml:space="preserve">624DryerExpected20051205.xlsx: 8,400 ACFM, 3.5 MMBtu/h observed</t>
  </si>
</sst>
</file>

<file path=xl/styles.xml><?xml version="1.0" encoding="utf-8"?>
<styleSheet xmlns="http://schemas.openxmlformats.org/spreadsheetml/2006/main">
  <numFmts count="11">
    <numFmt numFmtId="164" formatCode="General"/>
    <numFmt numFmtId="165" formatCode="#,##0"/>
    <numFmt numFmtId="166" formatCode="#,##0.00"/>
    <numFmt numFmtId="167" formatCode="#,##0.0"/>
    <numFmt numFmtId="168" formatCode="0%"/>
    <numFmt numFmtId="169" formatCode="\$#,##0"/>
    <numFmt numFmtId="170" formatCode="\$#,##0.00"/>
    <numFmt numFmtId="171" formatCode="mm/dd/yyyy"/>
    <numFmt numFmtId="172" formatCode="0.0%"/>
    <numFmt numFmtId="173" formatCode="0.000"/>
    <numFmt numFmtId="174" formatCode="0.0000"/>
  </numFmts>
  <fonts count="2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
      <sz val="10"/>
      <color rgb="FF0000FF"/>
      <name val="Arial"/>
      <family val="0"/>
      <charset val="1"/>
    </font>
    <font>
      <sz val="9"/>
      <name val="Arial"/>
      <family val="0"/>
      <charset val="1"/>
    </font>
    <font>
      <b val="true"/>
      <sz val="14"/>
      <name val="Arial"/>
      <family val="0"/>
      <charset val="1"/>
    </font>
    <font>
      <b val="true"/>
      <sz val="16"/>
      <name val="Arial"/>
      <family val="0"/>
      <charset val="1"/>
    </font>
    <font>
      <b val="true"/>
      <sz val="9"/>
      <name val="Arial"/>
      <family val="0"/>
      <charset val="1"/>
    </font>
    <font>
      <b val="true"/>
      <sz val="11"/>
      <name val="Arial"/>
      <family val="0"/>
      <charset val="1"/>
    </font>
    <font>
      <sz val="11"/>
      <name val="Arial"/>
      <family val="0"/>
      <charset val="1"/>
    </font>
    <font>
      <b val="true"/>
      <sz val="12"/>
      <name val="Arial"/>
      <family val="0"/>
      <charset val="1"/>
    </font>
    <font>
      <b val="true"/>
      <i val="true"/>
      <sz val="12"/>
      <name val="Arial"/>
      <family val="0"/>
      <charset val="1"/>
    </font>
    <font>
      <i val="true"/>
      <sz val="9"/>
      <name val="Arial"/>
      <family val="0"/>
      <charset val="1"/>
    </font>
  </fonts>
  <fills count="5">
    <fill>
      <patternFill patternType="none"/>
    </fill>
    <fill>
      <patternFill patternType="gray125"/>
    </fill>
    <fill>
      <patternFill patternType="solid">
        <fgColor rgb="FF575D5E"/>
        <bgColor rgb="FF555555"/>
      </patternFill>
    </fill>
    <fill>
      <patternFill patternType="solid">
        <fgColor rgb="FFE4E4E4"/>
        <bgColor rgb="FFCCFFCC"/>
      </patternFill>
    </fill>
    <fill>
      <patternFill patternType="solid">
        <fgColor rgb="FFFFFF00"/>
        <bgColor rgb="FFFFFF00"/>
      </patternFill>
    </fill>
  </fills>
  <borders count="7">
    <border diagonalUp="false" diagonalDown="false">
      <left/>
      <right/>
      <top/>
      <bottom/>
      <diagonal/>
    </border>
    <border diagonalUp="false" diagonalDown="false">
      <left style="thin">
        <color rgb="FFC8C7C7"/>
      </left>
      <right style="thin">
        <color rgb="FFC8C7C7"/>
      </right>
      <top style="thin">
        <color rgb="FFC8C7C7"/>
      </top>
      <bottom style="thin">
        <color rgb="FFC8C7C7"/>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72"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71" fontId="11" fillId="0" borderId="0"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14" fillId="4" borderId="2" xfId="0" applyFont="true" applyBorder="true" applyAlignment="true" applyProtection="false">
      <alignment horizontal="center" vertical="center" textRotation="0" wrapText="false" indent="0" shrinkToFit="false"/>
      <protection locked="true" hidden="false"/>
    </xf>
    <xf numFmtId="166" fontId="15" fillId="0" borderId="0"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5" fontId="17" fillId="0" borderId="3" xfId="0" applyFont="true" applyBorder="true" applyAlignment="true" applyProtection="false">
      <alignment horizontal="right" vertical="center" textRotation="0" wrapText="false" indent="0" shrinkToFit="false"/>
      <protection locked="true" hidden="false"/>
    </xf>
    <xf numFmtId="164" fontId="11" fillId="0" borderId="4" xfId="0" applyFont="true" applyBorder="true" applyAlignment="true" applyProtection="false">
      <alignment horizontal="left" vertical="center" textRotation="0" wrapText="false" indent="0" shrinkToFit="false"/>
      <protection locked="true" hidden="false"/>
    </xf>
    <xf numFmtId="166" fontId="16" fillId="0" borderId="0" xfId="0" applyFont="true" applyBorder="true" applyAlignment="true" applyProtection="false">
      <alignment horizontal="right" vertical="center" textRotation="0" wrapText="false" indent="0" shrinkToFit="false"/>
      <protection locked="true" hidden="false"/>
    </xf>
    <xf numFmtId="165" fontId="17" fillId="0" borderId="5" xfId="0" applyFont="true" applyBorder="true" applyAlignment="true" applyProtection="false">
      <alignment horizontal="right" vertical="center" textRotation="0" wrapText="false" indent="0" shrinkToFit="false"/>
      <protection locked="true" hidden="false"/>
    </xf>
    <xf numFmtId="164" fontId="11" fillId="0" borderId="6"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5" fontId="16" fillId="0" borderId="0" xfId="0" applyFont="true" applyBorder="true" applyAlignment="true" applyProtection="false">
      <alignment horizontal="right" vertical="center" textRotation="0" wrapText="false" indent="0" shrinkToFit="false"/>
      <protection locked="true" hidden="false"/>
    </xf>
    <xf numFmtId="165" fontId="18" fillId="0" borderId="0"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7" fillId="0" borderId="3" xfId="0" applyFont="true" applyBorder="true" applyAlignment="true" applyProtection="false">
      <alignment horizontal="right" vertical="center" textRotation="0" wrapText="false" indent="0" shrinkToFit="false"/>
      <protection locked="true" hidden="false"/>
    </xf>
    <xf numFmtId="166" fontId="17" fillId="0" borderId="5" xfId="0" applyFont="true" applyBorder="true" applyAlignment="true" applyProtection="false">
      <alignment horizontal="right" vertical="center" textRotation="0" wrapText="false" indent="0" shrinkToFit="false"/>
      <protection locked="true" hidden="false"/>
    </xf>
    <xf numFmtId="172" fontId="17" fillId="0" borderId="3" xfId="0" applyFont="true" applyBorder="true" applyAlignment="true" applyProtection="false">
      <alignment horizontal="right" vertical="center" textRotation="0" wrapText="false" indent="0" shrinkToFit="false"/>
      <protection locked="true" hidden="false"/>
    </xf>
    <xf numFmtId="165" fontId="17" fillId="0" borderId="0" xfId="0" applyFont="true" applyBorder="true" applyAlignment="true" applyProtection="false">
      <alignment horizontal="right" vertical="center" textRotation="0" wrapText="false" indent="0" shrinkToFit="false"/>
      <protection locked="true" hidden="false"/>
    </xf>
    <xf numFmtId="168" fontId="17" fillId="0" borderId="5"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right" vertical="center"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73" fontId="5"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74" fontId="5" fillId="0" borderId="1" xfId="0" applyFont="true" applyBorder="true" applyAlignment="true" applyProtection="false">
      <alignment horizontal="general" vertical="bottom" textRotation="0" wrapText="false" indent="0" shrinkToFit="false"/>
      <protection locked="true" hidden="false"/>
    </xf>
    <xf numFmtId="172" fontId="5"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5" fontId="0" fillId="4" borderId="1" xfId="0" applyFont="fals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4" fontId="10" fillId="0" borderId="1"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73" fontId="0" fillId="0" borderId="1" xfId="0" applyFont="false" applyBorder="true" applyAlignment="true" applyProtection="false">
      <alignment horizontal="general" vertical="bottom" textRotation="0" wrapText="false" indent="0" shrinkToFit="false"/>
      <protection locked="true" hidden="false"/>
    </xf>
    <xf numFmtId="174" fontId="0" fillId="0" borderId="1" xfId="0" applyFont="false" applyBorder="tru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7C7"/>
      <rgbColor rgb="FF808080"/>
      <rgbColor rgb="FF9999FF"/>
      <rgbColor rgb="FF993366"/>
      <rgbColor rgb="FFFFFFCC"/>
      <rgbColor rgb="FFCCFFFF"/>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75D5E"/>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37</xdr:row>
      <xdr:rowOff>0</xdr:rowOff>
    </xdr:from>
    <xdr:to>
      <xdr:col>15</xdr:col>
      <xdr:colOff>137520</xdr:colOff>
      <xdr:row>41</xdr:row>
      <xdr:rowOff>123120</xdr:rowOff>
    </xdr:to>
    <xdr:pic>
      <xdr:nvPicPr>
        <xdr:cNvPr id="0" name="Image 1" descr="Picture"/>
        <xdr:cNvPicPr/>
      </xdr:nvPicPr>
      <xdr:blipFill>
        <a:blip r:embed="rId1"/>
        <a:stretch/>
      </xdr:blipFill>
      <xdr:spPr>
        <a:xfrm>
          <a:off x="462240" y="7791480"/>
          <a:ext cx="3142440" cy="961200"/>
        </a:xfrm>
        <a:prstGeom prst="rect">
          <a:avLst/>
        </a:prstGeom>
        <a:ln w="0">
          <a:noFill/>
        </a:ln>
      </xdr:spPr>
    </xdr:pic>
    <xdr:clientData/>
  </xdr:twoCellAnchor>
  <xdr:twoCellAnchor editAs="oneCell">
    <xdr:from>
      <xdr:col>33</xdr:col>
      <xdr:colOff>0</xdr:colOff>
      <xdr:row>16</xdr:row>
      <xdr:rowOff>0</xdr:rowOff>
    </xdr:from>
    <xdr:to>
      <xdr:col>51</xdr:col>
      <xdr:colOff>1080</xdr:colOff>
      <xdr:row>23</xdr:row>
      <xdr:rowOff>208800</xdr:rowOff>
    </xdr:to>
    <xdr:pic>
      <xdr:nvPicPr>
        <xdr:cNvPr id="1" name="Image 2" descr="Picture"/>
        <xdr:cNvPicPr/>
      </xdr:nvPicPr>
      <xdr:blipFill>
        <a:blip r:embed="rId2"/>
        <a:stretch/>
      </xdr:blipFill>
      <xdr:spPr>
        <a:xfrm>
          <a:off x="7627680" y="3390840"/>
          <a:ext cx="4161600" cy="1675800"/>
        </a:xfrm>
        <a:prstGeom prst="rect">
          <a:avLst/>
        </a:prstGeom>
        <a:ln w="0">
          <a:noFill/>
        </a:ln>
      </xdr:spPr>
    </xdr:pic>
    <xdr:clientData/>
  </xdr:twoCellAnchor>
  <xdr:twoCellAnchor editAs="oneCell">
    <xdr:from>
      <xdr:col>57</xdr:col>
      <xdr:colOff>0</xdr:colOff>
      <xdr:row>14</xdr:row>
      <xdr:rowOff>0</xdr:rowOff>
    </xdr:from>
    <xdr:to>
      <xdr:col>61</xdr:col>
      <xdr:colOff>84600</xdr:colOff>
      <xdr:row>28</xdr:row>
      <xdr:rowOff>208800</xdr:rowOff>
    </xdr:to>
    <xdr:pic>
      <xdr:nvPicPr>
        <xdr:cNvPr id="2" name="Image 3" descr="Picture"/>
        <xdr:cNvPicPr/>
      </xdr:nvPicPr>
      <xdr:blipFill>
        <a:blip r:embed="rId3"/>
        <a:stretch/>
      </xdr:blipFill>
      <xdr:spPr>
        <a:xfrm>
          <a:off x="13174920" y="2971800"/>
          <a:ext cx="1009080" cy="3142440"/>
        </a:xfrm>
        <a:prstGeom prst="rect">
          <a:avLst/>
        </a:prstGeom>
        <a:ln w="0">
          <a:noFill/>
        </a:ln>
      </xdr:spPr>
    </xdr:pic>
    <xdr:clientData/>
  </xdr:twoCellAnchor>
  <xdr:twoCellAnchor editAs="oneCell">
    <xdr:from>
      <xdr:col>43</xdr:col>
      <xdr:colOff>0</xdr:colOff>
      <xdr:row>3</xdr:row>
      <xdr:rowOff>0</xdr:rowOff>
    </xdr:from>
    <xdr:to>
      <xdr:col>50</xdr:col>
      <xdr:colOff>19440</xdr:colOff>
      <xdr:row>9</xdr:row>
      <xdr:rowOff>65880</xdr:rowOff>
    </xdr:to>
    <xdr:pic>
      <xdr:nvPicPr>
        <xdr:cNvPr id="3" name="Image 4" descr="Picture"/>
        <xdr:cNvPicPr/>
      </xdr:nvPicPr>
      <xdr:blipFill>
        <a:blip r:embed="rId4"/>
        <a:stretch/>
      </xdr:blipFill>
      <xdr:spPr>
        <a:xfrm>
          <a:off x="9938880" y="666720"/>
          <a:ext cx="1637640" cy="1323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110"/>
  </cols>
  <sheetData>
    <row r="1" customFormat="false" ht="21.75" hidden="false" customHeight="true" outlineLevel="0" collapsed="false">
      <c r="B1" s="2" t="s">
        <v>0</v>
      </c>
    </row>
    <row r="2" customFormat="false" ht="15" hidden="false" customHeight="true" outlineLevel="0" collapsed="false">
      <c r="B2" s="3"/>
    </row>
    <row r="3" customFormat="false" ht="23.25" hidden="false" customHeight="true" outlineLevel="0" collapsed="false">
      <c r="B3" s="3" t="s">
        <v>1</v>
      </c>
    </row>
    <row r="4" customFormat="false" ht="34.5" hidden="false" customHeight="true" outlineLevel="0" collapsed="false">
      <c r="B4" s="3" t="s">
        <v>2</v>
      </c>
    </row>
    <row r="5" customFormat="false" ht="15" hidden="false" customHeight="true" outlineLevel="0" collapsed="false">
      <c r="B5" s="3"/>
    </row>
    <row r="6" customFormat="false" ht="15" hidden="false" customHeight="true" outlineLevel="0" collapsed="false">
      <c r="B6" s="4" t="s">
        <v>3</v>
      </c>
    </row>
    <row r="7" customFormat="false" ht="15" hidden="false" customHeight="true" outlineLevel="0" collapsed="false">
      <c r="B7" s="3" t="s">
        <v>4</v>
      </c>
    </row>
    <row r="8" customFormat="false" ht="15" hidden="false" customHeight="true" outlineLevel="0" collapsed="false">
      <c r="B8" s="3" t="s">
        <v>5</v>
      </c>
    </row>
    <row r="9" customFormat="false" ht="15" hidden="false" customHeight="true" outlineLevel="0" collapsed="false">
      <c r="B9" s="3" t="s">
        <v>6</v>
      </c>
    </row>
    <row r="10" customFormat="false" ht="23.25" hidden="false" customHeight="true" outlineLevel="0" collapsed="false">
      <c r="B10" s="3" t="s">
        <v>7</v>
      </c>
    </row>
    <row r="11" customFormat="false" ht="23.25" hidden="false" customHeight="true" outlineLevel="0" collapsed="false">
      <c r="B11" s="3" t="s">
        <v>8</v>
      </c>
    </row>
    <row r="12" customFormat="false" ht="23.25" hidden="false" customHeight="true" outlineLevel="0" collapsed="false">
      <c r="B12" s="3" t="s">
        <v>9</v>
      </c>
    </row>
    <row r="13" customFormat="false" ht="34.5" hidden="false" customHeight="true" outlineLevel="0" collapsed="false">
      <c r="B13" s="3" t="s">
        <v>10</v>
      </c>
    </row>
    <row r="14" customFormat="false" ht="15" hidden="false" customHeight="true" outlineLevel="0" collapsed="false">
      <c r="B14" s="3"/>
    </row>
    <row r="15" customFormat="false" ht="15" hidden="false" customHeight="true" outlineLevel="0" collapsed="false">
      <c r="B15" s="3" t="s">
        <v>11</v>
      </c>
    </row>
    <row r="16" customFormat="false" ht="15" hidden="false" customHeight="true" outlineLevel="0" collapsed="false">
      <c r="B16" s="3" t="s">
        <v>12</v>
      </c>
    </row>
    <row r="17" customFormat="false" ht="23.25" hidden="false" customHeight="true" outlineLevel="0" collapsed="false">
      <c r="B17" s="3" t="s">
        <v>13</v>
      </c>
    </row>
    <row r="18" customFormat="false" ht="15" hidden="false" customHeight="true" outlineLevel="0" collapsed="false">
      <c r="B18" s="3" t="s">
        <v>14</v>
      </c>
    </row>
    <row r="19" customFormat="false" ht="15" hidden="false" customHeight="true" outlineLevel="0" collapsed="false">
      <c r="B19" s="3" t="s">
        <v>15</v>
      </c>
    </row>
    <row r="20" customFormat="false" ht="15" hidden="false" customHeight="true" outlineLevel="0" collapsed="false">
      <c r="B20" s="3" t="s">
        <v>16</v>
      </c>
    </row>
    <row r="21" customFormat="false" ht="23.25" hidden="false" customHeight="true" outlineLevel="0" collapsed="false">
      <c r="B21" s="3" t="s">
        <v>17</v>
      </c>
    </row>
    <row r="22" customFormat="false" ht="15" hidden="false" customHeight="true" outlineLevel="0" collapsed="false">
      <c r="B22" s="3"/>
    </row>
    <row r="23" customFormat="false" ht="15" hidden="false" customHeight="true" outlineLevel="0" collapsed="false">
      <c r="B23" s="4" t="s">
        <v>18</v>
      </c>
    </row>
    <row r="24" customFormat="false" ht="15" hidden="false" customHeight="true" outlineLevel="0" collapsed="false">
      <c r="B24" s="3" t="s">
        <v>19</v>
      </c>
    </row>
    <row r="25" customFormat="false" ht="15" hidden="false" customHeight="true" outlineLevel="0" collapsed="false">
      <c r="B25" s="3" t="s">
        <v>20</v>
      </c>
    </row>
    <row r="26" customFormat="false" ht="23.25" hidden="false" customHeight="true" outlineLevel="0" collapsed="false">
      <c r="B26" s="3" t="s">
        <v>21</v>
      </c>
    </row>
    <row r="27" customFormat="false" ht="23.25" hidden="false" customHeight="true" outlineLevel="0" collapsed="false">
      <c r="B27" s="3" t="s">
        <v>22</v>
      </c>
    </row>
    <row r="28" customFormat="false" ht="15" hidden="false" customHeight="true" outlineLevel="0" collapsed="false">
      <c r="B28" s="3" t="s">
        <v>23</v>
      </c>
    </row>
    <row r="29" customFormat="false" ht="15" hidden="false" customHeight="true" outlineLevel="0" collapsed="false">
      <c r="B29" s="3" t="s">
        <v>24</v>
      </c>
    </row>
    <row r="30" customFormat="false" ht="15" hidden="false" customHeight="true" outlineLevel="0" collapsed="false">
      <c r="B30" s="3" t="s">
        <v>25</v>
      </c>
    </row>
    <row r="31" customFormat="false" ht="15" hidden="false" customHeight="true" outlineLevel="0" collapsed="false">
      <c r="B31" s="3"/>
    </row>
    <row r="32" customFormat="false" ht="15" hidden="false" customHeight="true" outlineLevel="0" collapsed="false">
      <c r="B32" s="3" t="s">
        <v>26</v>
      </c>
    </row>
    <row r="33" customFormat="false" ht="15" hidden="false" customHeight="true" outlineLevel="0" collapsed="false">
      <c r="B33"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8"/>
    <col collapsed="false" customWidth="true" hidden="false" outlineLevel="0" max="4" min="4" style="1" width="12"/>
    <col collapsed="false" customWidth="true" hidden="false" outlineLevel="0" max="5" min="5" style="1" width="52"/>
  </cols>
  <sheetData>
    <row r="1" customFormat="false" ht="15.75" hidden="false" customHeight="true" outlineLevel="0" collapsed="false">
      <c r="B1" s="5" t="s">
        <v>28</v>
      </c>
    </row>
    <row r="2" customFormat="false" ht="15" hidden="false" customHeight="true" outlineLevel="0" collapsed="false">
      <c r="B2" s="6" t="str">
        <f aca="false">Inputs!$C$4</f>
        <v>LETEK DCG / Bachoco - chicken manure digestate, 140 MT/day (case A: 70% MC press cake)</v>
      </c>
    </row>
    <row r="4" customFormat="false" ht="15" hidden="false" customHeight="true" outlineLevel="0" collapsed="false">
      <c r="B4" s="7" t="s">
        <v>29</v>
      </c>
      <c r="C4" s="8"/>
      <c r="D4" s="8"/>
      <c r="E4" s="8"/>
    </row>
    <row r="5" customFormat="false" ht="15" hidden="false" customHeight="true" outlineLevel="0" collapsed="false">
      <c r="B5" s="9" t="s">
        <v>30</v>
      </c>
      <c r="C5" s="10" t="str">
        <f aca="false">Inputs!$C$11</f>
        <v>chicken manure digestate cake (screw-pressed)</v>
      </c>
      <c r="D5" s="9"/>
    </row>
    <row r="6" customFormat="false" ht="15" hidden="false" customHeight="true" outlineLevel="0" collapsed="false">
      <c r="B6" s="9" t="s">
        <v>31</v>
      </c>
      <c r="C6" s="10" t="n">
        <f aca="false">Inputs!$C$13</f>
        <v>6430</v>
      </c>
      <c r="D6" s="9" t="s">
        <v>32</v>
      </c>
    </row>
    <row r="7" customFormat="false" ht="15" hidden="false" customHeight="true" outlineLevel="0" collapsed="false">
      <c r="B7" s="9" t="s">
        <v>33</v>
      </c>
      <c r="C7" s="10" t="str">
        <f aca="false">TEXT(Inputs!$C$14,"0%")&amp;" → "&amp;TEXT(Inputs!$C$15,"0%")</f>
        <v>70% → 15%</v>
      </c>
      <c r="D7" s="9"/>
    </row>
    <row r="8" customFormat="false" ht="15" hidden="false" customHeight="true" outlineLevel="0" collapsed="false">
      <c r="B8" s="11" t="s">
        <v>34</v>
      </c>
      <c r="C8" s="10" t="n">
        <f aca="false">HMB!$C$7</f>
        <v>2269.41176470588</v>
      </c>
      <c r="D8" s="9" t="s">
        <v>32</v>
      </c>
    </row>
    <row r="9" customFormat="false" ht="15" hidden="false" customHeight="true" outlineLevel="0" collapsed="false">
      <c r="B9" s="11" t="s">
        <v>35</v>
      </c>
      <c r="C9" s="10" t="n">
        <f aca="false">HMB!$C$9</f>
        <v>4160.58823529412</v>
      </c>
      <c r="D9" s="9" t="s">
        <v>32</v>
      </c>
    </row>
    <row r="10" customFormat="false" ht="15" hidden="false" customHeight="true" outlineLevel="0" collapsed="false">
      <c r="B10" s="9" t="s">
        <v>36</v>
      </c>
      <c r="C10" s="10" t="str">
        <f aca="false">Inputs!$C$28</f>
        <v>Single-pass rotary drum</v>
      </c>
      <c r="D10" s="9"/>
    </row>
    <row r="11" customFormat="false" ht="15" hidden="false" customHeight="true" outlineLevel="0" collapsed="false">
      <c r="B11" s="9" t="s">
        <v>37</v>
      </c>
      <c r="C11" s="10" t="str">
        <f aca="false">TEXT(Inputs!$C$36,"0")&amp;" / "&amp;TEXT(Inputs!$C$38,"0")</f>
        <v>900 / 230</v>
      </c>
      <c r="D11" s="9" t="s">
        <v>38</v>
      </c>
    </row>
    <row r="12" customFormat="false" ht="15" hidden="false" customHeight="true" outlineLevel="0" collapsed="false">
      <c r="B12" s="7" t="s">
        <v>39</v>
      </c>
      <c r="C12" s="8"/>
      <c r="D12" s="8"/>
      <c r="E12" s="8"/>
    </row>
    <row r="13" customFormat="false" ht="15" hidden="false" customHeight="true" outlineLevel="0" collapsed="false">
      <c r="B13" s="11" t="s">
        <v>40</v>
      </c>
      <c r="C13" s="12" t="n">
        <f aca="false">HMB!$C$16</f>
        <v>7.2810294117647</v>
      </c>
      <c r="D13" s="9" t="s">
        <v>41</v>
      </c>
    </row>
    <row r="14" customFormat="false" ht="15" hidden="false" customHeight="true" outlineLevel="0" collapsed="false">
      <c r="B14" s="9" t="s">
        <v>42</v>
      </c>
      <c r="C14" s="12" t="n">
        <f aca="false">HMB!$C$26</f>
        <v>6.60977587925188</v>
      </c>
      <c r="D14" s="9" t="s">
        <v>41</v>
      </c>
    </row>
    <row r="15" customFormat="false" ht="15" hidden="false" customHeight="true" outlineLevel="0" collapsed="false">
      <c r="B15" s="9" t="s">
        <v>43</v>
      </c>
      <c r="C15" s="10" t="n">
        <f aca="false">HMB!$C$27</f>
        <v>1588.66379113929</v>
      </c>
      <c r="D15" s="9" t="s">
        <v>44</v>
      </c>
    </row>
    <row r="16" customFormat="false" ht="15" hidden="false" customHeight="true" outlineLevel="0" collapsed="false">
      <c r="B16" s="9" t="s">
        <v>45</v>
      </c>
      <c r="C16" s="10" t="str">
        <f aca="false">HMB!$C$28</f>
        <v>WITHIN 15% OF MCE FACTOR</v>
      </c>
      <c r="D16" s="9"/>
    </row>
    <row r="17" customFormat="false" ht="15" hidden="false" customHeight="true" outlineLevel="0" collapsed="false">
      <c r="B17" s="9" t="s">
        <v>46</v>
      </c>
      <c r="C17" s="10" t="str">
        <f aca="false">Inputs!$C$30</f>
        <v>Propane</v>
      </c>
      <c r="D17" s="9"/>
    </row>
    <row r="18" customFormat="false" ht="15" hidden="false" customHeight="true" outlineLevel="0" collapsed="false">
      <c r="B18" s="9" t="s">
        <v>47</v>
      </c>
      <c r="C18" s="13" t="n">
        <f aca="false">HMB!$C$34</f>
        <v>365.880874963051</v>
      </c>
      <c r="D18" s="9" t="s">
        <v>32</v>
      </c>
    </row>
    <row r="19" customFormat="false" ht="15" hidden="false" customHeight="true" outlineLevel="0" collapsed="false">
      <c r="B19" s="9" t="s">
        <v>48</v>
      </c>
      <c r="C19" s="12" t="n">
        <f aca="false">HMB!$C$32/1000000</f>
        <v>0</v>
      </c>
      <c r="D19" s="9" t="s">
        <v>41</v>
      </c>
    </row>
    <row r="20" customFormat="false" ht="15" hidden="false" customHeight="true" outlineLevel="0" collapsed="false">
      <c r="B20" s="7" t="s">
        <v>49</v>
      </c>
      <c r="C20" s="8"/>
      <c r="D20" s="8"/>
      <c r="E20" s="8"/>
    </row>
    <row r="21" customFormat="false" ht="15" hidden="false" customHeight="true" outlineLevel="0" collapsed="false">
      <c r="B21" s="11" t="s">
        <v>50</v>
      </c>
      <c r="C21" s="10" t="str">
        <f aca="false">Equipment!$C$4</f>
        <v>XD-96 (8'×40')</v>
      </c>
      <c r="D21" s="9"/>
    </row>
    <row r="22" customFormat="false" ht="15" hidden="false" customHeight="true" outlineLevel="0" collapsed="false">
      <c r="B22" s="9" t="s">
        <v>51</v>
      </c>
      <c r="C22" s="13" t="n">
        <f aca="false">Equipment!$C$5</f>
        <v>8</v>
      </c>
      <c r="D22" s="9" t="s">
        <v>52</v>
      </c>
    </row>
    <row r="23" customFormat="false" ht="15" hidden="false" customHeight="true" outlineLevel="0" collapsed="false">
      <c r="B23" s="9" t="s">
        <v>53</v>
      </c>
      <c r="C23" s="13" t="n">
        <f aca="false">Equipment!$C$6</f>
        <v>40</v>
      </c>
      <c r="D23" s="9" t="s">
        <v>52</v>
      </c>
    </row>
    <row r="24" customFormat="false" ht="15" hidden="false" customHeight="true" outlineLevel="0" collapsed="false">
      <c r="B24" s="11" t="s">
        <v>54</v>
      </c>
      <c r="C24" s="10" t="n">
        <f aca="false">HMB!$C$80</f>
        <v>40</v>
      </c>
      <c r="D24" s="9" t="s">
        <v>52</v>
      </c>
    </row>
    <row r="25" customFormat="false" ht="15" hidden="false" customHeight="true" outlineLevel="0" collapsed="false">
      <c r="B25" s="9" t="s">
        <v>55</v>
      </c>
      <c r="C25" s="10" t="str">
        <f aca="false">HMB!$C$81</f>
        <v>STANDARD LENGTH GIVES THE RETENTION TIME</v>
      </c>
      <c r="D25" s="9"/>
    </row>
    <row r="26" customFormat="false" ht="15" hidden="false" customHeight="true" outlineLevel="0" collapsed="false">
      <c r="B26" s="9" t="s">
        <v>56</v>
      </c>
      <c r="C26" s="13" t="n">
        <f aca="false">IF(ISNUMBER(HMB!$C$80),HMB!$C$80*PI()/4*Equipment!$C$5^2*Inputs!$C$22/(Inputs!$C$13/60/Inputs!$C$20),"")</f>
        <v>103.188859788206</v>
      </c>
      <c r="D26" s="9" t="s">
        <v>57</v>
      </c>
    </row>
    <row r="27" customFormat="false" ht="15" hidden="false" customHeight="true" outlineLevel="0" collapsed="false">
      <c r="B27" s="9" t="s">
        <v>58</v>
      </c>
      <c r="C27" s="12" t="n">
        <f aca="false">HMB!$C$74</f>
        <v>2.06930682442826</v>
      </c>
      <c r="D27" s="9" t="s">
        <v>59</v>
      </c>
    </row>
    <row r="28" customFormat="false" ht="15" hidden="false" customHeight="true" outlineLevel="0" collapsed="false">
      <c r="B28" s="9" t="s">
        <v>60</v>
      </c>
      <c r="C28" s="14" t="n">
        <f aca="false">Equipment!$C$13</f>
        <v>0.735199714557378</v>
      </c>
      <c r="D28" s="9"/>
    </row>
    <row r="29" customFormat="false" ht="15" hidden="false" customHeight="true" outlineLevel="0" collapsed="false">
      <c r="B29" s="7" t="s">
        <v>61</v>
      </c>
      <c r="C29" s="8"/>
      <c r="D29" s="8"/>
      <c r="E29" s="8"/>
    </row>
    <row r="30" customFormat="false" ht="15" hidden="false" customHeight="true" outlineLevel="0" collapsed="false">
      <c r="B30" s="11" t="s">
        <v>62</v>
      </c>
      <c r="C30" s="12" t="n">
        <f aca="false">Equipment!$C$17</f>
        <v>8.73723529411764</v>
      </c>
      <c r="D30" s="9" t="s">
        <v>41</v>
      </c>
    </row>
    <row r="31" customFormat="false" ht="15" hidden="false" customHeight="true" outlineLevel="0" collapsed="false">
      <c r="B31" s="9" t="s">
        <v>63</v>
      </c>
      <c r="C31" s="10" t="n">
        <f aca="false">Equipment!$C$19</f>
        <v>7281.0294117647</v>
      </c>
      <c r="D31" s="9" t="s">
        <v>64</v>
      </c>
    </row>
    <row r="32" customFormat="false" ht="15" hidden="false" customHeight="true" outlineLevel="0" collapsed="false">
      <c r="B32" s="11" t="s">
        <v>65</v>
      </c>
      <c r="C32" s="10" t="n">
        <f aca="false">Equipment!$C$24</f>
        <v>12934.3089241787</v>
      </c>
      <c r="D32" s="9" t="s">
        <v>66</v>
      </c>
    </row>
    <row r="33" customFormat="false" ht="15" hidden="false" customHeight="true" outlineLevel="0" collapsed="false">
      <c r="B33" s="9" t="s">
        <v>67</v>
      </c>
      <c r="C33" s="10" t="str">
        <f aca="false">TEXT(Inputs!$C$45,"0.0")&amp;" in WC / "&amp;TEXT(Equipment!$C$27,"0")&amp;" hp"</f>
        <v>12.0 in WC / 50 hp</v>
      </c>
      <c r="D33" s="9"/>
    </row>
    <row r="34" customFormat="false" ht="15" hidden="false" customHeight="true" outlineLevel="0" collapsed="false">
      <c r="B34" s="9" t="s">
        <v>68</v>
      </c>
      <c r="C34" s="10" t="n">
        <f aca="false">Equipment!$C$29</f>
        <v>22</v>
      </c>
      <c r="D34" s="9" t="s">
        <v>69</v>
      </c>
    </row>
    <row r="35" customFormat="false" ht="15" hidden="false" customHeight="true" outlineLevel="0" collapsed="false">
      <c r="B35" s="9" t="s">
        <v>70</v>
      </c>
      <c r="C35" s="10" t="n">
        <f aca="false">Equipment!$C$32</f>
        <v>564.406207600526</v>
      </c>
      <c r="D35" s="9" t="s">
        <v>64</v>
      </c>
    </row>
    <row r="36" customFormat="false" ht="15" hidden="false" customHeight="true" outlineLevel="0" collapsed="false">
      <c r="B36" s="9" t="s">
        <v>71</v>
      </c>
      <c r="C36" s="10" t="str">
        <f aca="false">Equipment!$C$37&amp;" / "&amp;Equipment!$C$38</f>
        <v>1212 / 1212</v>
      </c>
      <c r="D36" s="9"/>
    </row>
    <row r="37" customFormat="false" ht="15" hidden="false" customHeight="true" outlineLevel="0" collapsed="false">
      <c r="B37" s="9" t="s">
        <v>72</v>
      </c>
      <c r="C37" s="10" t="n">
        <f aca="false">Equipment!$C$39</f>
        <v>9</v>
      </c>
      <c r="D37" s="9" t="s">
        <v>69</v>
      </c>
    </row>
    <row r="38" customFormat="false" ht="15" hidden="false" customHeight="true" outlineLevel="0" collapsed="false">
      <c r="B38" s="7" t="s">
        <v>73</v>
      </c>
      <c r="C38" s="8"/>
      <c r="D38" s="8"/>
      <c r="E38" s="8"/>
    </row>
    <row r="39" customFormat="false" ht="15" hidden="false" customHeight="true" outlineLevel="0" collapsed="false">
      <c r="B39" s="9" t="s">
        <v>74</v>
      </c>
      <c r="C39" s="10" t="n">
        <f aca="false">Equipment!$C$41</f>
        <v>8400</v>
      </c>
      <c r="D39" s="9" t="s">
        <v>75</v>
      </c>
    </row>
    <row r="40" customFormat="false" ht="15" hidden="false" customHeight="true" outlineLevel="0" collapsed="false">
      <c r="B40" s="9" t="s">
        <v>34</v>
      </c>
      <c r="C40" s="10" t="n">
        <f aca="false">Equipment!$C$42</f>
        <v>9531.52941176471</v>
      </c>
      <c r="D40" s="9" t="s">
        <v>76</v>
      </c>
    </row>
    <row r="41" customFormat="false" ht="15" hidden="false" customHeight="true" outlineLevel="0" collapsed="false">
      <c r="B41" s="9" t="s">
        <v>77</v>
      </c>
      <c r="C41" s="10" t="n">
        <f aca="false">Equipment!$C$45</f>
        <v>61160.6470588235</v>
      </c>
      <c r="D41" s="9" t="s">
        <v>78</v>
      </c>
    </row>
    <row r="42" customFormat="false" ht="15" hidden="false" customHeight="true" outlineLevel="0" collapsed="false">
      <c r="B42" s="9" t="s">
        <v>79</v>
      </c>
      <c r="C42" s="15" t="n">
        <f aca="false">Equipment!$C$46</f>
        <v>886829.382352941</v>
      </c>
      <c r="D42" s="9" t="s">
        <v>80</v>
      </c>
    </row>
    <row r="43" customFormat="false" ht="15" hidden="false" customHeight="true" outlineLevel="0" collapsed="false">
      <c r="B43" s="11" t="s">
        <v>81</v>
      </c>
      <c r="C43" s="16" t="n">
        <f aca="false">Equipment!$C$47</f>
        <v>93.0416666666666</v>
      </c>
      <c r="D43" s="9" t="s">
        <v>82</v>
      </c>
    </row>
    <row r="45" customFormat="false" ht="15" hidden="false" customHeight="true" outlineLevel="0" collapsed="false">
      <c r="B45" s="17"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3" min="3" style="1" width="14"/>
    <col collapsed="false" customWidth="true" hidden="false" outlineLevel="0" max="4" min="4" style="1" width="12"/>
    <col collapsed="false" customWidth="true" hidden="false" outlineLevel="0" max="5" min="5" style="1" width="60"/>
    <col collapsed="false" customWidth="true" hidden="false" outlineLevel="0" max="7" min="7" style="1" width="24"/>
    <col collapsed="false" customWidth="true" hidden="false" outlineLevel="0" max="8" min="8" style="1" width="12"/>
    <col collapsed="false" customWidth="true" hidden="false" outlineLevel="0" max="9" min="9" style="1" width="10"/>
    <col collapsed="false" customWidth="true" hidden="false" outlineLevel="0" max="13" min="10" style="1" width="13"/>
    <col collapsed="false" customWidth="true" hidden="false" outlineLevel="0" max="14" min="14" style="1" width="60"/>
  </cols>
  <sheetData>
    <row r="1" customFormat="false" ht="15.75" hidden="false" customHeight="true" outlineLevel="0" collapsed="false">
      <c r="B1" s="5" t="s">
        <v>84</v>
      </c>
    </row>
    <row r="3" customFormat="false" ht="15" hidden="false" customHeight="true" outlineLevel="0" collapsed="false">
      <c r="B3" s="7" t="s">
        <v>85</v>
      </c>
      <c r="C3" s="8"/>
      <c r="D3" s="8"/>
      <c r="E3" s="8"/>
      <c r="G3" s="11" t="s">
        <v>86</v>
      </c>
      <c r="H3" s="11" t="s">
        <v>87</v>
      </c>
      <c r="I3" s="11" t="s">
        <v>88</v>
      </c>
    </row>
    <row r="4" customFormat="false" ht="15" hidden="false" customHeight="true" outlineLevel="0" collapsed="false">
      <c r="B4" s="9" t="s">
        <v>89</v>
      </c>
      <c r="C4" s="18" t="s">
        <v>90</v>
      </c>
      <c r="D4" s="9"/>
      <c r="E4" s="17" t="s">
        <v>91</v>
      </c>
    </row>
    <row r="5" customFormat="false" ht="15" hidden="false" customHeight="true" outlineLevel="0" collapsed="false">
      <c r="B5" s="9" t="s">
        <v>92</v>
      </c>
      <c r="C5" s="18" t="s">
        <v>93</v>
      </c>
      <c r="D5" s="9"/>
      <c r="E5" s="17" t="s">
        <v>94</v>
      </c>
      <c r="G5" s="9" t="s">
        <v>95</v>
      </c>
      <c r="H5" s="19" t="n">
        <v>1750</v>
      </c>
      <c r="I5" s="17" t="s">
        <v>96</v>
      </c>
    </row>
    <row r="6" customFormat="false" ht="15" hidden="false" customHeight="true" outlineLevel="0" collapsed="false">
      <c r="B6" s="9" t="s">
        <v>97</v>
      </c>
      <c r="C6" s="18" t="s">
        <v>98</v>
      </c>
      <c r="D6" s="9"/>
      <c r="G6" s="9" t="s">
        <v>99</v>
      </c>
      <c r="H6" s="19" t="n">
        <v>1750</v>
      </c>
      <c r="I6" s="17" t="s">
        <v>96</v>
      </c>
    </row>
    <row r="7" customFormat="false" ht="15" hidden="false" customHeight="true" outlineLevel="0" collapsed="false">
      <c r="B7" s="9" t="s">
        <v>100</v>
      </c>
      <c r="C7" s="18" t="s">
        <v>101</v>
      </c>
      <c r="D7" s="9"/>
      <c r="G7" s="9" t="s">
        <v>102</v>
      </c>
      <c r="H7" s="19" t="n">
        <v>1750</v>
      </c>
      <c r="I7" s="17" t="s">
        <v>96</v>
      </c>
    </row>
    <row r="8" customFormat="false" ht="15" hidden="false" customHeight="true" outlineLevel="0" collapsed="false">
      <c r="B8" s="9" t="s">
        <v>103</v>
      </c>
      <c r="C8" s="18" t="s">
        <v>104</v>
      </c>
      <c r="D8" s="9"/>
      <c r="G8" s="9" t="s">
        <v>105</v>
      </c>
      <c r="H8" s="19" t="n">
        <v>1500</v>
      </c>
      <c r="I8" s="17" t="s">
        <v>106</v>
      </c>
    </row>
    <row r="9" customFormat="false" ht="15" hidden="false" customHeight="true" outlineLevel="0" collapsed="false">
      <c r="B9" s="9" t="s">
        <v>107</v>
      </c>
      <c r="C9" s="18" t="s">
        <v>108</v>
      </c>
      <c r="D9" s="9"/>
      <c r="G9" s="9" t="s">
        <v>109</v>
      </c>
      <c r="H9" s="19" t="n">
        <v>1875</v>
      </c>
      <c r="I9" s="17" t="s">
        <v>110</v>
      </c>
    </row>
    <row r="10" customFormat="false" ht="15" hidden="false" customHeight="true" outlineLevel="0" collapsed="false">
      <c r="B10" s="9" t="s">
        <v>111</v>
      </c>
      <c r="C10" s="20" t="n">
        <f aca="true">TODAY()</f>
        <v>46274</v>
      </c>
      <c r="D10" s="9"/>
      <c r="E10" s="17" t="s">
        <v>112</v>
      </c>
    </row>
    <row r="11" customFormat="false" ht="15" hidden="false" customHeight="true" outlineLevel="0" collapsed="false">
      <c r="B11" s="9" t="s">
        <v>30</v>
      </c>
      <c r="C11" s="18" t="s">
        <v>113</v>
      </c>
      <c r="D11" s="9"/>
      <c r="G11" s="11" t="s">
        <v>114</v>
      </c>
    </row>
    <row r="12" customFormat="false" ht="15" hidden="false" customHeight="true" outlineLevel="0" collapsed="false">
      <c r="B12" s="7" t="s">
        <v>115</v>
      </c>
      <c r="C12" s="8"/>
      <c r="D12" s="8"/>
      <c r="E12" s="8"/>
      <c r="G12" s="21" t="s">
        <v>46</v>
      </c>
      <c r="H12" s="21" t="s">
        <v>116</v>
      </c>
      <c r="I12" s="21" t="s">
        <v>117</v>
      </c>
      <c r="J12" s="21" t="s">
        <v>118</v>
      </c>
      <c r="K12" s="21" t="s">
        <v>119</v>
      </c>
      <c r="L12" s="21" t="s">
        <v>120</v>
      </c>
      <c r="M12" s="21" t="s">
        <v>121</v>
      </c>
      <c r="N12" s="21" t="s">
        <v>122</v>
      </c>
    </row>
    <row r="13" customFormat="false" ht="15" hidden="false" customHeight="true" outlineLevel="0" collapsed="false">
      <c r="B13" s="9" t="s">
        <v>123</v>
      </c>
      <c r="C13" s="22" t="n">
        <v>6430</v>
      </c>
      <c r="D13" s="9" t="s">
        <v>32</v>
      </c>
      <c r="E13" s="17" t="s">
        <v>124</v>
      </c>
      <c r="G13" s="23" t="s">
        <v>125</v>
      </c>
      <c r="H13" s="22" t="n">
        <v>22800</v>
      </c>
      <c r="I13" s="18" t="n">
        <v>0.044</v>
      </c>
      <c r="J13" s="24" t="n">
        <v>0.25</v>
      </c>
      <c r="K13" s="18" t="n">
        <v>16.33</v>
      </c>
      <c r="L13" s="18" t="n">
        <v>2.25</v>
      </c>
      <c r="M13" s="18" t="n">
        <v>2.75</v>
      </c>
      <c r="N13" s="25" t="s">
        <v>126</v>
      </c>
    </row>
    <row r="14" customFormat="false" ht="15" hidden="false" customHeight="true" outlineLevel="0" collapsed="false">
      <c r="B14" s="9" t="s">
        <v>127</v>
      </c>
      <c r="C14" s="26" t="n">
        <v>0.7</v>
      </c>
      <c r="D14" s="9"/>
      <c r="E14" s="17" t="s">
        <v>128</v>
      </c>
      <c r="G14" s="23" t="s">
        <v>129</v>
      </c>
      <c r="H14" s="22" t="n">
        <v>19900</v>
      </c>
      <c r="I14" s="18" t="n">
        <v>0.048</v>
      </c>
      <c r="J14" s="24" t="n">
        <v>0.3</v>
      </c>
      <c r="K14" s="18" t="n">
        <v>15.7</v>
      </c>
      <c r="L14" s="18" t="n">
        <v>1.63</v>
      </c>
      <c r="M14" s="18" t="n">
        <v>3</v>
      </c>
      <c r="N14" s="25" t="s">
        <v>130</v>
      </c>
    </row>
    <row r="15" customFormat="false" ht="15" hidden="false" customHeight="true" outlineLevel="0" collapsed="false">
      <c r="B15" s="9" t="s">
        <v>131</v>
      </c>
      <c r="C15" s="26" t="n">
        <v>0.15</v>
      </c>
      <c r="D15" s="9"/>
      <c r="G15" s="23" t="s">
        <v>132</v>
      </c>
      <c r="H15" s="22" t="n">
        <v>18500</v>
      </c>
      <c r="I15" s="18" t="n">
        <v>55.6</v>
      </c>
      <c r="J15" s="24" t="n">
        <v>0.5</v>
      </c>
      <c r="K15" s="18" t="n">
        <v>14.3</v>
      </c>
      <c r="L15" s="18" t="n">
        <v>1.14</v>
      </c>
      <c r="M15" s="18" t="n">
        <v>3.2</v>
      </c>
      <c r="N15" s="25" t="s">
        <v>133</v>
      </c>
    </row>
    <row r="16" customFormat="false" ht="15" hidden="false" customHeight="true" outlineLevel="0" collapsed="false">
      <c r="B16" s="9" t="s">
        <v>134</v>
      </c>
      <c r="C16" s="18" t="n">
        <v>85</v>
      </c>
      <c r="D16" s="9" t="s">
        <v>38</v>
      </c>
      <c r="E16" s="17" t="s">
        <v>135</v>
      </c>
      <c r="G16" s="23" t="s">
        <v>136</v>
      </c>
      <c r="H16" s="22" t="n">
        <v>8500</v>
      </c>
      <c r="I16" s="18" t="n">
        <v>15</v>
      </c>
      <c r="J16" s="24" t="n">
        <v>1</v>
      </c>
      <c r="K16" s="18" t="n">
        <v>5.9</v>
      </c>
      <c r="L16" s="18" t="n">
        <v>0.9</v>
      </c>
      <c r="M16" s="18" t="n">
        <v>1.74</v>
      </c>
      <c r="N16" s="25" t="s">
        <v>137</v>
      </c>
    </row>
    <row r="17" customFormat="false" ht="15" hidden="false" customHeight="true" outlineLevel="0" collapsed="false">
      <c r="B17" s="9" t="s">
        <v>138</v>
      </c>
      <c r="C17" s="18" t="n">
        <v>180</v>
      </c>
      <c r="D17" s="9" t="s">
        <v>38</v>
      </c>
      <c r="E17" s="17" t="s">
        <v>139</v>
      </c>
      <c r="G17" s="23" t="s">
        <v>140</v>
      </c>
      <c r="H17" s="22" t="n">
        <v>8000</v>
      </c>
      <c r="I17" s="18" t="n">
        <v>12</v>
      </c>
      <c r="J17" s="24" t="n">
        <v>1.3</v>
      </c>
      <c r="K17" s="18" t="n">
        <v>5.82</v>
      </c>
      <c r="L17" s="18" t="n">
        <v>0.58</v>
      </c>
      <c r="M17" s="18" t="n">
        <v>1.74</v>
      </c>
      <c r="N17" s="25" t="s">
        <v>141</v>
      </c>
    </row>
    <row r="18" customFormat="false" ht="15" hidden="false" customHeight="true" outlineLevel="0" collapsed="false">
      <c r="B18" s="9" t="s">
        <v>142</v>
      </c>
      <c r="C18" s="27" t="n">
        <v>0.3</v>
      </c>
      <c r="D18" s="9" t="s">
        <v>143</v>
      </c>
      <c r="E18" s="17" t="s">
        <v>144</v>
      </c>
      <c r="G18" s="23" t="s">
        <v>145</v>
      </c>
      <c r="H18" s="22" t="n">
        <v>7400</v>
      </c>
      <c r="I18" s="18" t="n">
        <v>0.075</v>
      </c>
      <c r="J18" s="24" t="n">
        <v>0.15</v>
      </c>
      <c r="K18" s="18" t="n">
        <v>5.3</v>
      </c>
      <c r="L18" s="18" t="n">
        <v>0.69</v>
      </c>
      <c r="M18" s="18" t="n">
        <v>1.54</v>
      </c>
      <c r="N18" s="25" t="s">
        <v>146</v>
      </c>
    </row>
    <row r="19" customFormat="false" ht="15" hidden="false" customHeight="true" outlineLevel="0" collapsed="false">
      <c r="B19" s="9" t="s">
        <v>147</v>
      </c>
      <c r="C19" s="28" t="n">
        <v>30</v>
      </c>
      <c r="D19" s="9" t="s">
        <v>117</v>
      </c>
      <c r="E19" s="17" t="s">
        <v>148</v>
      </c>
    </row>
    <row r="20" customFormat="false" ht="15" hidden="false" customHeight="true" outlineLevel="0" collapsed="false">
      <c r="B20" s="9" t="s">
        <v>149</v>
      </c>
      <c r="C20" s="28" t="n">
        <v>55</v>
      </c>
      <c r="D20" s="9" t="s">
        <v>117</v>
      </c>
    </row>
    <row r="21" customFormat="false" ht="15" hidden="false" customHeight="true" outlineLevel="0" collapsed="false">
      <c r="B21" s="9" t="s">
        <v>150</v>
      </c>
      <c r="C21" s="22" t="n">
        <v>20</v>
      </c>
      <c r="D21" s="9" t="s">
        <v>57</v>
      </c>
      <c r="E21" s="17" t="s">
        <v>151</v>
      </c>
    </row>
    <row r="22" customFormat="false" ht="15" hidden="false" customHeight="true" outlineLevel="0" collapsed="false">
      <c r="B22" s="9" t="s">
        <v>152</v>
      </c>
      <c r="C22" s="24" t="n">
        <v>0.1</v>
      </c>
      <c r="D22" s="9" t="s">
        <v>153</v>
      </c>
      <c r="E22" s="17" t="s">
        <v>154</v>
      </c>
    </row>
    <row r="23" customFormat="false" ht="15" hidden="false" customHeight="true" outlineLevel="0" collapsed="false">
      <c r="B23" s="7" t="s">
        <v>155</v>
      </c>
      <c r="C23" s="8"/>
      <c r="D23" s="8"/>
      <c r="E23" s="8"/>
    </row>
    <row r="24" customFormat="false" ht="15" hidden="false" customHeight="true" outlineLevel="0" collapsed="false">
      <c r="B24" s="9" t="s">
        <v>156</v>
      </c>
      <c r="C24" s="18" t="n">
        <v>30</v>
      </c>
      <c r="D24" s="9" t="s">
        <v>52</v>
      </c>
    </row>
    <row r="25" customFormat="false" ht="15" hidden="false" customHeight="true" outlineLevel="0" collapsed="false">
      <c r="B25" s="9" t="s">
        <v>157</v>
      </c>
      <c r="C25" s="18" t="n">
        <v>85</v>
      </c>
      <c r="D25" s="9" t="s">
        <v>38</v>
      </c>
    </row>
    <row r="26" customFormat="false" ht="15" hidden="false" customHeight="true" outlineLevel="0" collapsed="false">
      <c r="B26" s="9" t="s">
        <v>158</v>
      </c>
      <c r="C26" s="29" t="n">
        <v>0.018</v>
      </c>
      <c r="D26" s="9" t="s">
        <v>159</v>
      </c>
      <c r="E26" s="17" t="s">
        <v>160</v>
      </c>
    </row>
    <row r="27" customFormat="false" ht="15" hidden="false" customHeight="true" outlineLevel="0" collapsed="false">
      <c r="B27" s="7" t="s">
        <v>161</v>
      </c>
      <c r="C27" s="8"/>
      <c r="D27" s="8"/>
      <c r="E27" s="8"/>
    </row>
    <row r="28" customFormat="false" ht="15" hidden="false" customHeight="true" outlineLevel="0" collapsed="false">
      <c r="B28" s="9" t="s">
        <v>36</v>
      </c>
      <c r="C28" s="18" t="s">
        <v>95</v>
      </c>
      <c r="D28" s="9"/>
      <c r="E28" s="17" t="s">
        <v>162</v>
      </c>
    </row>
    <row r="29" customFormat="false" ht="15" hidden="false" customHeight="true" outlineLevel="0" collapsed="false">
      <c r="B29" s="9" t="s">
        <v>163</v>
      </c>
      <c r="C29" s="30" t="n">
        <f aca="false">INDEX($H$5:$H$9,MATCH(C28,$G$5:$G$9,0))</f>
        <v>1750</v>
      </c>
      <c r="D29" s="9" t="s">
        <v>164</v>
      </c>
      <c r="E29" s="17" t="s">
        <v>165</v>
      </c>
    </row>
    <row r="30" customFormat="false" ht="15" hidden="false" customHeight="true" outlineLevel="0" collapsed="false">
      <c r="B30" s="9" t="s">
        <v>46</v>
      </c>
      <c r="C30" s="18" t="s">
        <v>129</v>
      </c>
      <c r="D30" s="9"/>
      <c r="E30" s="17" t="s">
        <v>166</v>
      </c>
    </row>
    <row r="31" customFormat="false" ht="15" hidden="false" customHeight="true" outlineLevel="0" collapsed="false">
      <c r="B31" s="9" t="s">
        <v>167</v>
      </c>
      <c r="C31" s="30" t="n">
        <f aca="false">INDEX($H$13:$H$18,MATCH(C30,$G$13:$G$18,0))</f>
        <v>19900</v>
      </c>
      <c r="D31" s="9" t="s">
        <v>44</v>
      </c>
    </row>
    <row r="32" customFormat="false" ht="15" hidden="false" customHeight="true" outlineLevel="0" collapsed="false">
      <c r="B32" s="9" t="s">
        <v>168</v>
      </c>
      <c r="C32" s="31" t="n">
        <f aca="false">INDEX($J$13:$J$18,MATCH(C30,$G$13:$G$18,0))</f>
        <v>0.3</v>
      </c>
      <c r="D32" s="9" t="s">
        <v>169</v>
      </c>
    </row>
    <row r="33" customFormat="false" ht="15" hidden="false" customHeight="true" outlineLevel="0" collapsed="false">
      <c r="B33" s="9" t="s">
        <v>170</v>
      </c>
      <c r="C33" s="32" t="n">
        <f aca="false">INDEX($K$13:$K$18,MATCH(C30,$G$13:$G$18,0))</f>
        <v>15.7</v>
      </c>
      <c r="D33" s="9" t="s">
        <v>171</v>
      </c>
    </row>
    <row r="34" customFormat="false" ht="15" hidden="false" customHeight="true" outlineLevel="0" collapsed="false">
      <c r="B34" s="9" t="s">
        <v>172</v>
      </c>
      <c r="C34" s="32" t="n">
        <f aca="false">INDEX($L$13:$L$18,MATCH(C30,$G$13:$G$18,0))</f>
        <v>1.63</v>
      </c>
      <c r="D34" s="9" t="s">
        <v>173</v>
      </c>
      <c r="E34" s="17" t="s">
        <v>174</v>
      </c>
    </row>
    <row r="35" customFormat="false" ht="15" hidden="false" customHeight="true" outlineLevel="0" collapsed="false">
      <c r="B35" s="9" t="s">
        <v>175</v>
      </c>
      <c r="C35" s="32" t="n">
        <f aca="false">INDEX($M$13:$M$18,MATCH(C30,$G$13:$G$18,0))</f>
        <v>3</v>
      </c>
      <c r="D35" s="9" t="s">
        <v>176</v>
      </c>
    </row>
    <row r="36" customFormat="false" ht="15" hidden="false" customHeight="true" outlineLevel="0" collapsed="false">
      <c r="B36" s="9" t="s">
        <v>177</v>
      </c>
      <c r="C36" s="22" t="n">
        <v>900</v>
      </c>
      <c r="D36" s="9" t="s">
        <v>38</v>
      </c>
      <c r="E36" s="17" t="s">
        <v>178</v>
      </c>
    </row>
    <row r="37" customFormat="false" ht="15" hidden="false" customHeight="true" outlineLevel="0" collapsed="false">
      <c r="B37" s="9" t="s">
        <v>179</v>
      </c>
      <c r="C37" s="22" t="n">
        <v>900</v>
      </c>
      <c r="D37" s="9" t="s">
        <v>38</v>
      </c>
      <c r="E37" s="17" t="s">
        <v>180</v>
      </c>
    </row>
    <row r="38" customFormat="false" ht="15" hidden="false" customHeight="true" outlineLevel="0" collapsed="false">
      <c r="B38" s="9" t="s">
        <v>181</v>
      </c>
      <c r="C38" s="22" t="n">
        <v>230</v>
      </c>
      <c r="D38" s="9" t="s">
        <v>38</v>
      </c>
      <c r="E38" s="17" t="s">
        <v>182</v>
      </c>
    </row>
    <row r="39" customFormat="false" ht="15" hidden="false" customHeight="true" outlineLevel="0" collapsed="false">
      <c r="B39" s="9" t="s">
        <v>183</v>
      </c>
      <c r="C39" s="24" t="n">
        <v>0.9</v>
      </c>
      <c r="D39" s="9" t="s">
        <v>169</v>
      </c>
      <c r="E39" s="17" t="s">
        <v>184</v>
      </c>
    </row>
    <row r="40" customFormat="false" ht="15" hidden="false" customHeight="true" outlineLevel="0" collapsed="false">
      <c r="B40" s="9" t="s">
        <v>185</v>
      </c>
      <c r="C40" s="24" t="n">
        <v>0.03</v>
      </c>
      <c r="D40" s="9" t="s">
        <v>186</v>
      </c>
    </row>
    <row r="41" customFormat="false" ht="15" hidden="false" customHeight="true" outlineLevel="0" collapsed="false">
      <c r="B41" s="9" t="s">
        <v>187</v>
      </c>
      <c r="C41" s="24" t="n">
        <v>0.1</v>
      </c>
      <c r="D41" s="9" t="s">
        <v>188</v>
      </c>
      <c r="E41" s="17" t="s">
        <v>189</v>
      </c>
    </row>
    <row r="42" customFormat="false" ht="15" hidden="false" customHeight="true" outlineLevel="0" collapsed="false">
      <c r="B42" s="9" t="s">
        <v>79</v>
      </c>
      <c r="C42" s="27" t="n">
        <v>14.5</v>
      </c>
      <c r="D42" s="9" t="s">
        <v>190</v>
      </c>
      <c r="E42" s="17" t="s">
        <v>191</v>
      </c>
    </row>
    <row r="43" customFormat="false" ht="15" hidden="false" customHeight="true" outlineLevel="0" collapsed="false">
      <c r="B43" s="7" t="s">
        <v>192</v>
      </c>
      <c r="C43" s="8"/>
      <c r="D43" s="8"/>
      <c r="E43" s="8"/>
    </row>
    <row r="44" customFormat="false" ht="15" hidden="false" customHeight="true" outlineLevel="0" collapsed="false">
      <c r="B44" s="9" t="s">
        <v>193</v>
      </c>
      <c r="C44" s="22" t="n">
        <v>350</v>
      </c>
      <c r="D44" s="9" t="s">
        <v>194</v>
      </c>
      <c r="E44" s="17" t="s">
        <v>195</v>
      </c>
    </row>
    <row r="45" customFormat="false" ht="15" hidden="false" customHeight="true" outlineLevel="0" collapsed="false">
      <c r="B45" s="9" t="s">
        <v>196</v>
      </c>
      <c r="C45" s="28" t="n">
        <v>12</v>
      </c>
      <c r="D45" s="9" t="s">
        <v>197</v>
      </c>
      <c r="E45" s="17" t="s">
        <v>198</v>
      </c>
    </row>
    <row r="46" customFormat="false" ht="15" hidden="false" customHeight="true" outlineLevel="0" collapsed="false">
      <c r="B46" s="9" t="s">
        <v>199</v>
      </c>
      <c r="C46" s="24" t="n">
        <v>0.65</v>
      </c>
      <c r="D46" s="9" t="s">
        <v>169</v>
      </c>
    </row>
    <row r="47" customFormat="false" ht="15" hidden="false" customHeight="true" outlineLevel="0" collapsed="false">
      <c r="B47" s="9" t="s">
        <v>200</v>
      </c>
      <c r="C47" s="22" t="n">
        <v>5000</v>
      </c>
      <c r="D47" s="9" t="s">
        <v>194</v>
      </c>
      <c r="E47" s="17" t="s">
        <v>201</v>
      </c>
    </row>
    <row r="48" customFormat="false" ht="15" hidden="false" customHeight="true" outlineLevel="0" collapsed="false">
      <c r="B48" s="9" t="s">
        <v>202</v>
      </c>
      <c r="C48" s="22" t="n">
        <v>3300</v>
      </c>
      <c r="D48" s="9" t="s">
        <v>194</v>
      </c>
      <c r="E48" s="17" t="s">
        <v>203</v>
      </c>
    </row>
    <row r="49" customFormat="false" ht="15" hidden="false" customHeight="true" outlineLevel="0" collapsed="false">
      <c r="B49" s="9" t="s">
        <v>204</v>
      </c>
      <c r="C49" s="28" t="n">
        <v>3</v>
      </c>
      <c r="D49" s="9" t="s">
        <v>205</v>
      </c>
      <c r="E49" s="17" t="s">
        <v>206</v>
      </c>
    </row>
    <row r="50" customFormat="false" ht="15" hidden="false" customHeight="true" outlineLevel="0" collapsed="false">
      <c r="B50" s="9" t="s">
        <v>207</v>
      </c>
      <c r="C50" s="24" t="n">
        <v>0.2</v>
      </c>
      <c r="D50" s="9" t="s">
        <v>169</v>
      </c>
    </row>
    <row r="51" customFormat="false" ht="15" hidden="false" customHeight="true" outlineLevel="0" collapsed="false">
      <c r="B51" s="9" t="s">
        <v>208</v>
      </c>
      <c r="C51" s="24" t="n">
        <v>0.15</v>
      </c>
      <c r="D51" s="9" t="s">
        <v>169</v>
      </c>
    </row>
    <row r="52" customFormat="false" ht="15" hidden="false" customHeight="true" outlineLevel="0" collapsed="false">
      <c r="B52" s="9" t="s">
        <v>209</v>
      </c>
      <c r="C52" s="22" t="n">
        <v>1200</v>
      </c>
      <c r="D52" s="9" t="s">
        <v>210</v>
      </c>
      <c r="E52" s="17" t="s">
        <v>211</v>
      </c>
    </row>
    <row r="53" customFormat="false" ht="15" hidden="false" customHeight="true" outlineLevel="0" collapsed="false">
      <c r="B53" s="9" t="s">
        <v>212</v>
      </c>
      <c r="C53" s="27" t="n">
        <v>1</v>
      </c>
      <c r="D53" s="9" t="s">
        <v>169</v>
      </c>
      <c r="E53" s="17" t="s">
        <v>213</v>
      </c>
    </row>
    <row r="54" customFormat="false" ht="15" hidden="false" customHeight="true" outlineLevel="0" collapsed="false">
      <c r="B54" s="7" t="s">
        <v>214</v>
      </c>
      <c r="C54" s="8"/>
      <c r="D54" s="8"/>
      <c r="E54" s="8"/>
    </row>
    <row r="55" customFormat="false" ht="15" hidden="false" customHeight="true" outlineLevel="0" collapsed="false">
      <c r="B55" s="9" t="s">
        <v>215</v>
      </c>
      <c r="C55" s="18" t="s">
        <v>216</v>
      </c>
      <c r="D55" s="9"/>
      <c r="E55" s="17" t="s">
        <v>217</v>
      </c>
    </row>
    <row r="56" customFormat="false" ht="15" hidden="false" customHeight="true" outlineLevel="0" collapsed="false">
      <c r="B56" s="7" t="s">
        <v>218</v>
      </c>
      <c r="C56" s="8"/>
      <c r="D56" s="8"/>
      <c r="E56" s="8"/>
    </row>
    <row r="57" customFormat="false" ht="15" hidden="false" customHeight="true" outlineLevel="0" collapsed="false">
      <c r="B57" s="9" t="s">
        <v>219</v>
      </c>
      <c r="C57" s="22" t="n">
        <v>24</v>
      </c>
      <c r="D57" s="9" t="s">
        <v>220</v>
      </c>
    </row>
    <row r="58" customFormat="false" ht="15" hidden="false" customHeight="true" outlineLevel="0" collapsed="false">
      <c r="B58" s="9" t="s">
        <v>221</v>
      </c>
      <c r="C58" s="22" t="n">
        <v>350</v>
      </c>
      <c r="D58" s="9" t="s">
        <v>222</v>
      </c>
    </row>
    <row r="59" customFormat="false" ht="15" hidden="false" customHeight="true" outlineLevel="0" collapsed="false">
      <c r="B59" s="9" t="s">
        <v>223</v>
      </c>
      <c r="C59" s="30" t="n">
        <f aca="false">C57*C58</f>
        <v>8400</v>
      </c>
      <c r="D59" s="9" t="s">
        <v>75</v>
      </c>
    </row>
  </sheetData>
  <dataValidations count="3">
    <dataValidation allowBlank="false" errorStyle="stop" operator="between" showDropDown="false" showErrorMessage="false" showInputMessage="false" sqref="C28" type="list">
      <formula1>$G$5:$G$9</formula1>
      <formula2>0</formula2>
    </dataValidation>
    <dataValidation allowBlank="false" errorStyle="stop" operator="between" showDropDown="false" showErrorMessage="false" showInputMessage="false" sqref="C30" type="list">
      <formula1>$G$13:$G$18</formula1>
      <formula2>0</formula2>
    </dataValidation>
    <dataValidation allowBlank="false" errorStyle="stop" operator="between" showDropDown="false" showErrorMessage="false" showInputMessage="false" sqref="C5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1:BQ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70" min="1" style="1" width="2.6"/>
  </cols>
  <sheetData>
    <row r="1" customFormat="false" ht="16.5" hidden="false" customHeight="true" outlineLevel="0" collapsed="false">
      <c r="C1" s="33" t="s">
        <v>224</v>
      </c>
      <c r="G1" s="34" t="str">
        <f aca="false">Inputs!$C$7</f>
        <v>MCE Engineering</v>
      </c>
      <c r="H1" s="34"/>
      <c r="I1" s="34"/>
      <c r="J1" s="34"/>
      <c r="K1" s="34"/>
      <c r="L1" s="34"/>
      <c r="M1" s="34"/>
      <c r="N1" s="34"/>
      <c r="O1" s="34"/>
      <c r="P1" s="34"/>
      <c r="Q1" s="34"/>
      <c r="AA1" s="35" t="str">
        <f aca="false">Inputs!$C$5</f>
        <v>LETEK DCG - Bachoco layer farms</v>
      </c>
      <c r="AB1" s="35"/>
      <c r="AC1" s="35"/>
      <c r="AD1" s="35"/>
      <c r="AE1" s="35"/>
      <c r="AF1" s="35"/>
      <c r="AG1" s="35"/>
      <c r="AH1" s="35"/>
      <c r="AI1" s="35"/>
      <c r="AJ1" s="35"/>
      <c r="AK1" s="35"/>
      <c r="AL1" s="35"/>
      <c r="AM1" s="35"/>
      <c r="AN1" s="35"/>
      <c r="AO1" s="35"/>
      <c r="AP1" s="35"/>
      <c r="AQ1" s="35"/>
      <c r="AR1" s="35"/>
      <c r="AS1" s="35"/>
      <c r="BG1" s="36" t="n">
        <f aca="false">Inputs!$C$10</f>
        <v>46274</v>
      </c>
      <c r="BH1" s="36"/>
      <c r="BI1" s="36"/>
      <c r="BJ1" s="36"/>
      <c r="BK1" s="36"/>
      <c r="BL1" s="36"/>
      <c r="BM1" s="36"/>
      <c r="BN1" s="36"/>
      <c r="BO1" s="36"/>
      <c r="BP1" s="36"/>
      <c r="BQ1" s="36"/>
    </row>
    <row r="2" customFormat="false" ht="16.5" hidden="false" customHeight="true" outlineLevel="0" collapsed="false">
      <c r="AA2" s="35" t="str">
        <f aca="false">Inputs!$C$6</f>
        <v>Merida, Yucatan, Mexico</v>
      </c>
      <c r="AB2" s="35"/>
      <c r="AC2" s="35"/>
      <c r="AD2" s="35"/>
      <c r="AE2" s="35"/>
      <c r="AF2" s="35"/>
      <c r="AG2" s="35"/>
      <c r="AH2" s="35"/>
      <c r="AI2" s="35"/>
      <c r="AJ2" s="35"/>
      <c r="AK2" s="35"/>
      <c r="AL2" s="35"/>
      <c r="AM2" s="35"/>
      <c r="AN2" s="35"/>
      <c r="AO2" s="35"/>
      <c r="AP2" s="35"/>
      <c r="AQ2" s="35"/>
      <c r="AR2" s="35"/>
      <c r="AS2" s="35"/>
    </row>
    <row r="3" customFormat="false" ht="19.5" hidden="false" customHeight="true" outlineLevel="0" collapsed="false">
      <c r="C3" s="37" t="str">
        <f aca="false">Inputs!$C$4</f>
        <v>LETEK DCG / Bachoco - chicken manure digestate, 140 MT/day (case A: 70% MC press cake)</v>
      </c>
      <c r="D3" s="37"/>
      <c r="E3" s="37"/>
      <c r="F3" s="37"/>
      <c r="G3" s="37"/>
      <c r="H3" s="37"/>
      <c r="I3" s="37"/>
      <c r="J3" s="37"/>
      <c r="K3" s="37"/>
      <c r="L3" s="37"/>
      <c r="M3" s="37"/>
      <c r="N3" s="37"/>
      <c r="O3" s="37"/>
      <c r="P3" s="37"/>
      <c r="Q3" s="37"/>
      <c r="U3" s="38" t="s">
        <v>225</v>
      </c>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row>
    <row r="4" customFormat="false" ht="16.5" hidden="false" customHeight="true" outlineLevel="0" collapsed="false">
      <c r="BD4" s="39" t="s">
        <v>226</v>
      </c>
      <c r="BE4" s="39"/>
      <c r="BF4" s="39"/>
      <c r="BG4" s="39"/>
      <c r="BH4" s="39"/>
      <c r="BI4" s="39"/>
      <c r="BJ4" s="39"/>
      <c r="BK4" s="39"/>
      <c r="BL4" s="39"/>
      <c r="BM4" s="39"/>
      <c r="BN4" s="39"/>
    </row>
    <row r="5" customFormat="false" ht="16.5" hidden="false" customHeight="true" outlineLevel="0" collapsed="false">
      <c r="E5" s="40" t="n">
        <f aca="false">Inputs!$C$13/2000</f>
        <v>3.215</v>
      </c>
      <c r="F5" s="40"/>
      <c r="G5" s="40"/>
      <c r="H5" s="40"/>
      <c r="J5" s="41" t="str">
        <f aca="false">" TPH wet "&amp;Inputs!$C$11</f>
        <v> TPH wet chicken manure digestate cake (screw-pressed)</v>
      </c>
      <c r="K5" s="41"/>
      <c r="L5" s="41"/>
      <c r="M5" s="41"/>
      <c r="N5" s="41"/>
      <c r="O5" s="41"/>
      <c r="P5" s="41"/>
      <c r="Q5" s="41"/>
      <c r="R5" s="41"/>
      <c r="S5" s="41"/>
      <c r="T5" s="41"/>
      <c r="U5" s="41"/>
      <c r="V5" s="41"/>
      <c r="W5" s="41"/>
      <c r="X5" s="41"/>
      <c r="Y5" s="41"/>
      <c r="Z5" s="41"/>
      <c r="AA5" s="41"/>
      <c r="BD5" s="42" t="n">
        <f aca="false">HMB!$C$53</f>
        <v>12934.3089241787</v>
      </c>
      <c r="BE5" s="42"/>
      <c r="BF5" s="42"/>
      <c r="BG5" s="42"/>
      <c r="BH5" s="42"/>
      <c r="BI5" s="42"/>
      <c r="BJ5" s="42"/>
      <c r="BK5" s="43" t="s">
        <v>227</v>
      </c>
      <c r="BL5" s="43"/>
      <c r="BM5" s="43"/>
      <c r="BN5" s="43"/>
    </row>
    <row r="6" customFormat="false" ht="16.5" hidden="false" customHeight="true" outlineLevel="0" collapsed="false">
      <c r="E6" s="44" t="n">
        <f aca="false">Inputs!$C$13/(Inputs!$C$20*27)</f>
        <v>4.32996632996633</v>
      </c>
      <c r="F6" s="44"/>
      <c r="G6" s="44"/>
      <c r="H6" s="44"/>
      <c r="J6" s="41" t="str">
        <f aca="false">" C.Y./hr @ "&amp;TEXT(Inputs!$C$20*27,"0")&amp;" lb/C.Y. and "&amp;TEXT(Inputs!$C$14,"0%")&amp;" moisture"</f>
        <v> C.Y./hr @ 1485 lb/C.Y. and 70% moisture</v>
      </c>
      <c r="K6" s="41"/>
      <c r="L6" s="41"/>
      <c r="M6" s="41"/>
      <c r="N6" s="41"/>
      <c r="O6" s="41"/>
      <c r="P6" s="41"/>
      <c r="Q6" s="41"/>
      <c r="R6" s="41"/>
      <c r="S6" s="41"/>
      <c r="T6" s="41"/>
      <c r="U6" s="41"/>
      <c r="V6" s="41"/>
      <c r="W6" s="41"/>
      <c r="X6" s="41"/>
      <c r="Y6" s="41"/>
      <c r="Z6" s="41"/>
      <c r="AA6" s="41"/>
      <c r="BD6" s="45" t="n">
        <f aca="false">Equipment!$C$27</f>
        <v>50</v>
      </c>
      <c r="BE6" s="45"/>
      <c r="BF6" s="45"/>
      <c r="BG6" s="45"/>
      <c r="BH6" s="45"/>
      <c r="BI6" s="45"/>
      <c r="BJ6" s="45"/>
      <c r="BK6" s="46" t="s">
        <v>228</v>
      </c>
      <c r="BL6" s="46"/>
      <c r="BM6" s="46"/>
      <c r="BN6" s="46"/>
    </row>
    <row r="7" customFormat="false" ht="16.5" hidden="false" customHeight="true" outlineLevel="0" collapsed="false">
      <c r="E7" s="47" t="str">
        <f aca="false">IF(ISNUMBER(Equipment!$C$5),TEXT(Equipment!$C$5,"0")&amp;"x"&amp;TEXT(HMB!$C$80,"0"),"")</f>
        <v>8x40</v>
      </c>
      <c r="F7" s="47"/>
      <c r="G7" s="47"/>
      <c r="H7" s="47"/>
      <c r="J7" s="41" t="str">
        <f aca="false">" "&amp;Inputs!$C$28&amp;" · "&amp;Equipment!$C$4</f>
        <v> Single-pass rotary drum · XD-96 (8'×40')</v>
      </c>
      <c r="K7" s="41"/>
      <c r="L7" s="41"/>
      <c r="M7" s="41"/>
      <c r="N7" s="41"/>
      <c r="O7" s="41"/>
      <c r="P7" s="41"/>
      <c r="Q7" s="41"/>
      <c r="R7" s="41"/>
      <c r="S7" s="41"/>
      <c r="T7" s="41"/>
      <c r="U7" s="41"/>
      <c r="V7" s="41"/>
      <c r="W7" s="41"/>
      <c r="X7" s="41"/>
      <c r="Y7" s="41"/>
      <c r="Z7" s="41"/>
      <c r="AA7" s="41"/>
    </row>
    <row r="8" customFormat="false" ht="16.5" hidden="false" customHeight="true" outlineLevel="0" collapsed="false">
      <c r="C8" s="48" t="s">
        <v>156</v>
      </c>
      <c r="E8" s="49" t="n">
        <f aca="false">Inputs!$C$24</f>
        <v>30</v>
      </c>
      <c r="F8" s="49"/>
      <c r="G8" s="49"/>
      <c r="H8" s="49"/>
      <c r="J8" s="41" t="s">
        <v>229</v>
      </c>
      <c r="K8" s="41"/>
      <c r="L8" s="41"/>
      <c r="M8" s="41"/>
      <c r="N8" s="41"/>
      <c r="O8" s="41"/>
      <c r="P8" s="41"/>
      <c r="Q8" s="41"/>
      <c r="R8" s="41"/>
      <c r="S8" s="41"/>
      <c r="T8" s="41"/>
      <c r="U8" s="41"/>
      <c r="V8" s="41"/>
      <c r="W8" s="41"/>
      <c r="X8" s="41"/>
      <c r="Y8" s="41"/>
      <c r="Z8" s="41"/>
      <c r="AA8" s="41"/>
      <c r="BD8" s="39" t="s">
        <v>230</v>
      </c>
      <c r="BE8" s="39"/>
      <c r="BF8" s="39"/>
      <c r="BG8" s="39"/>
      <c r="BH8" s="39"/>
      <c r="BI8" s="39"/>
      <c r="BJ8" s="39"/>
      <c r="BK8" s="39"/>
      <c r="BL8" s="39"/>
      <c r="BM8" s="39"/>
      <c r="BN8" s="39"/>
    </row>
    <row r="9" customFormat="false" ht="16.5" hidden="false" customHeight="true" outlineLevel="0" collapsed="false">
      <c r="BD9" s="42" t="n">
        <f aca="false">HMB!$C$53</f>
        <v>12934.3089241787</v>
      </c>
      <c r="BE9" s="42"/>
      <c r="BF9" s="42"/>
      <c r="BG9" s="42"/>
      <c r="BH9" s="42"/>
      <c r="BI9" s="42"/>
      <c r="BJ9" s="42"/>
      <c r="BK9" s="43" t="s">
        <v>227</v>
      </c>
      <c r="BL9" s="43"/>
      <c r="BM9" s="43"/>
      <c r="BN9" s="43"/>
    </row>
    <row r="10" customFormat="false" ht="16.5" hidden="false" customHeight="true" outlineLevel="0" collapsed="false">
      <c r="C10" s="39" t="s">
        <v>231</v>
      </c>
      <c r="D10" s="39"/>
      <c r="E10" s="39"/>
      <c r="F10" s="39"/>
      <c r="G10" s="39"/>
      <c r="H10" s="39"/>
      <c r="I10" s="39"/>
      <c r="J10" s="39"/>
      <c r="K10" s="39"/>
      <c r="L10" s="39"/>
      <c r="M10" s="39"/>
      <c r="AA10" s="50" t="n">
        <f aca="false">HMB!$C$27</f>
        <v>1588.66379113929</v>
      </c>
      <c r="AB10" s="50"/>
      <c r="AC10" s="50"/>
      <c r="AD10" s="50"/>
      <c r="AE10" s="50"/>
      <c r="AF10" s="50"/>
      <c r="AG10" s="51" t="s">
        <v>232</v>
      </c>
      <c r="AH10" s="51"/>
      <c r="AI10" s="51"/>
      <c r="AJ10" s="51"/>
      <c r="AK10" s="51"/>
      <c r="AL10" s="51"/>
      <c r="AM10" s="51"/>
      <c r="AN10" s="51"/>
      <c r="AO10" s="51"/>
      <c r="AP10" s="51"/>
      <c r="AQ10" s="51"/>
      <c r="AR10" s="51"/>
      <c r="AS10" s="51"/>
      <c r="BD10" s="45" t="n">
        <f aca="false">Inputs!$C$38</f>
        <v>230</v>
      </c>
      <c r="BE10" s="45"/>
      <c r="BF10" s="45"/>
      <c r="BG10" s="45"/>
      <c r="BH10" s="45"/>
      <c r="BI10" s="45"/>
      <c r="BJ10" s="45"/>
      <c r="BK10" s="46" t="s">
        <v>233</v>
      </c>
      <c r="BL10" s="46"/>
      <c r="BM10" s="46"/>
      <c r="BN10" s="46"/>
    </row>
    <row r="11" customFormat="false" ht="16.5" hidden="false" customHeight="true" outlineLevel="0" collapsed="false">
      <c r="C11" s="52" t="str">
        <f aca="false">Inputs!$C$30</f>
        <v>Propane</v>
      </c>
      <c r="D11" s="52"/>
      <c r="E11" s="52"/>
      <c r="F11" s="52"/>
      <c r="G11" s="52"/>
      <c r="H11" s="52"/>
      <c r="I11" s="52"/>
      <c r="J11" s="43" t="s">
        <v>234</v>
      </c>
      <c r="K11" s="43"/>
      <c r="L11" s="43"/>
      <c r="M11" s="43"/>
    </row>
    <row r="12" customFormat="false" ht="16.5" hidden="false" customHeight="true" outlineLevel="0" collapsed="false">
      <c r="C12" s="42" t="n">
        <f aca="false">Inputs!$C$31</f>
        <v>19900</v>
      </c>
      <c r="D12" s="42"/>
      <c r="E12" s="42"/>
      <c r="F12" s="42"/>
      <c r="G12" s="42"/>
      <c r="H12" s="42"/>
      <c r="I12" s="42"/>
      <c r="J12" s="43" t="s">
        <v>235</v>
      </c>
      <c r="K12" s="43"/>
      <c r="L12" s="43"/>
      <c r="M12" s="43"/>
    </row>
    <row r="13" customFormat="false" ht="16.5" hidden="false" customHeight="true" outlineLevel="0" collapsed="false">
      <c r="C13" s="42" t="n">
        <f aca="false">HMB!$C$34</f>
        <v>365.880874963051</v>
      </c>
      <c r="D13" s="42"/>
      <c r="E13" s="42"/>
      <c r="F13" s="42"/>
      <c r="G13" s="42"/>
      <c r="H13" s="42"/>
      <c r="I13" s="42"/>
      <c r="J13" s="43" t="s">
        <v>236</v>
      </c>
      <c r="K13" s="43"/>
      <c r="L13" s="43"/>
      <c r="M13" s="43"/>
      <c r="O13" s="39" t="s">
        <v>237</v>
      </c>
      <c r="P13" s="39"/>
      <c r="Q13" s="39"/>
      <c r="R13" s="39"/>
      <c r="S13" s="39"/>
      <c r="T13" s="39"/>
      <c r="U13" s="39"/>
      <c r="V13" s="39"/>
      <c r="W13" s="39"/>
      <c r="AB13" s="39" t="s">
        <v>238</v>
      </c>
      <c r="AC13" s="39"/>
      <c r="AD13" s="39"/>
      <c r="AE13" s="39"/>
      <c r="AF13" s="39"/>
      <c r="AG13" s="39"/>
      <c r="AH13" s="39"/>
      <c r="AI13" s="39"/>
      <c r="AJ13" s="39"/>
      <c r="AK13" s="39"/>
    </row>
    <row r="14" customFormat="false" ht="16.5" hidden="false" customHeight="true" outlineLevel="0" collapsed="false">
      <c r="C14" s="53" t="n">
        <f aca="false">HMB!$C$33/1000000</f>
        <v>7.2810294117647</v>
      </c>
      <c r="D14" s="53"/>
      <c r="E14" s="53"/>
      <c r="F14" s="53"/>
      <c r="G14" s="53"/>
      <c r="H14" s="53"/>
      <c r="I14" s="53"/>
      <c r="J14" s="46" t="s">
        <v>239</v>
      </c>
      <c r="K14" s="46"/>
      <c r="L14" s="46"/>
      <c r="M14" s="46"/>
      <c r="O14" s="42" t="n">
        <f aca="false">HMB!$C$56</f>
        <v>5704.03545323957</v>
      </c>
      <c r="P14" s="42"/>
      <c r="Q14" s="42"/>
      <c r="R14" s="42"/>
      <c r="S14" s="42"/>
      <c r="T14" s="43" t="s">
        <v>240</v>
      </c>
      <c r="U14" s="43"/>
      <c r="V14" s="43"/>
      <c r="W14" s="43"/>
      <c r="AB14" s="42" t="n">
        <f aca="false">HMB!$C$55</f>
        <v>7444.81534945266</v>
      </c>
      <c r="AC14" s="42"/>
      <c r="AD14" s="42"/>
      <c r="AE14" s="42"/>
      <c r="AF14" s="42"/>
      <c r="AG14" s="42"/>
      <c r="AH14" s="43" t="s">
        <v>240</v>
      </c>
      <c r="AI14" s="43"/>
      <c r="AJ14" s="43"/>
      <c r="AK14" s="43"/>
    </row>
    <row r="15" customFormat="false" ht="16.5" hidden="false" customHeight="true" outlineLevel="0" collapsed="false">
      <c r="O15" s="45" t="n">
        <f aca="false">Inputs!$C$25</f>
        <v>85</v>
      </c>
      <c r="P15" s="45"/>
      <c r="Q15" s="45"/>
      <c r="R15" s="45"/>
      <c r="S15" s="45"/>
      <c r="T15" s="46" t="s">
        <v>233</v>
      </c>
      <c r="U15" s="46"/>
      <c r="V15" s="46"/>
      <c r="W15" s="46"/>
      <c r="AB15" s="45" t="n">
        <f aca="false">Inputs!$C$36</f>
        <v>900</v>
      </c>
      <c r="AC15" s="45"/>
      <c r="AD15" s="45"/>
      <c r="AE15" s="45"/>
      <c r="AF15" s="45"/>
      <c r="AG15" s="45"/>
      <c r="AH15" s="46" t="s">
        <v>233</v>
      </c>
      <c r="AI15" s="46"/>
      <c r="AJ15" s="46"/>
      <c r="AK15" s="46"/>
    </row>
    <row r="16" customFormat="false" ht="16.5" hidden="false" customHeight="true" outlineLevel="0" collapsed="false"/>
    <row r="17" customFormat="false" ht="16.5" hidden="false" customHeight="true" outlineLevel="0" collapsed="false"/>
    <row r="18" customFormat="false" ht="16.5" hidden="false" customHeight="true" outlineLevel="0" collapsed="false"/>
    <row r="19" customFormat="false" ht="16.5" hidden="false" customHeight="true" outlineLevel="0" collapsed="false"/>
    <row r="20" customFormat="false" ht="16.5" hidden="false" customHeight="true" outlineLevel="0" collapsed="false"/>
    <row r="21" customFormat="false" ht="16.5" hidden="false" customHeight="true" outlineLevel="0" collapsed="false"/>
    <row r="22" customFormat="false" ht="16.5" hidden="false" customHeight="true" outlineLevel="0" collapsed="false"/>
    <row r="23" customFormat="false" ht="16.5" hidden="false" customHeight="true" outlineLevel="0" collapsed="false"/>
    <row r="24" customFormat="false" ht="16.5" hidden="false" customHeight="true" outlineLevel="0" collapsed="false">
      <c r="X24" s="39" t="s">
        <v>241</v>
      </c>
      <c r="Y24" s="39"/>
      <c r="Z24" s="39"/>
      <c r="AA24" s="39"/>
      <c r="AB24" s="39"/>
      <c r="AC24" s="39"/>
      <c r="AD24" s="39"/>
      <c r="AE24" s="39"/>
      <c r="AF24" s="39"/>
      <c r="AG24" s="39"/>
      <c r="AH24" s="39"/>
    </row>
    <row r="25" customFormat="false" ht="16.5" hidden="false" customHeight="true" outlineLevel="0" collapsed="false">
      <c r="X25" s="54" t="n">
        <f aca="false">Inputs!$C$14</f>
        <v>0.7</v>
      </c>
      <c r="Y25" s="54"/>
      <c r="Z25" s="54"/>
      <c r="AA25" s="54"/>
      <c r="AB25" s="54"/>
      <c r="AC25" s="54"/>
      <c r="AD25" s="54"/>
      <c r="AE25" s="43" t="s">
        <v>242</v>
      </c>
      <c r="AF25" s="43"/>
      <c r="AG25" s="43"/>
      <c r="AH25" s="43"/>
    </row>
    <row r="26" customFormat="false" ht="16.5" hidden="false" customHeight="true" outlineLevel="0" collapsed="false">
      <c r="C26" s="39" t="s">
        <v>243</v>
      </c>
      <c r="D26" s="39"/>
      <c r="E26" s="39"/>
      <c r="F26" s="39"/>
      <c r="G26" s="39"/>
      <c r="H26" s="39"/>
      <c r="I26" s="39"/>
      <c r="J26" s="39"/>
      <c r="K26" s="39"/>
      <c r="L26" s="39"/>
      <c r="M26" s="39"/>
      <c r="X26" s="42" t="n">
        <f aca="false">HMB!$C$5</f>
        <v>1929</v>
      </c>
      <c r="Y26" s="42"/>
      <c r="Z26" s="42"/>
      <c r="AA26" s="42"/>
      <c r="AB26" s="42"/>
      <c r="AC26" s="42"/>
      <c r="AD26" s="42"/>
      <c r="AE26" s="43" t="s">
        <v>244</v>
      </c>
      <c r="AF26" s="43"/>
      <c r="AG26" s="43"/>
      <c r="AH26" s="43"/>
      <c r="AL26" s="35" t="s">
        <v>245</v>
      </c>
      <c r="AM26" s="35"/>
      <c r="AN26" s="35"/>
      <c r="AO26" s="35"/>
      <c r="AP26" s="35"/>
      <c r="AQ26" s="35"/>
      <c r="AR26" s="35"/>
      <c r="AS26" s="35"/>
      <c r="AT26" s="35"/>
      <c r="AU26" s="35"/>
      <c r="AV26" s="35"/>
    </row>
    <row r="27" customFormat="false" ht="16.5" hidden="false" customHeight="true" outlineLevel="0" collapsed="false">
      <c r="C27" s="42" t="n">
        <f aca="false">HMB!$C$57</f>
        <v>1674.79449521762</v>
      </c>
      <c r="D27" s="42"/>
      <c r="E27" s="42"/>
      <c r="F27" s="42"/>
      <c r="G27" s="42"/>
      <c r="H27" s="42"/>
      <c r="I27" s="42"/>
      <c r="J27" s="43" t="s">
        <v>227</v>
      </c>
      <c r="K27" s="43"/>
      <c r="L27" s="43"/>
      <c r="M27" s="43"/>
      <c r="X27" s="42" t="n">
        <f aca="false">HMB!$C$6</f>
        <v>4501</v>
      </c>
      <c r="Y27" s="42"/>
      <c r="Z27" s="42"/>
      <c r="AA27" s="42"/>
      <c r="AB27" s="42"/>
      <c r="AC27" s="42"/>
      <c r="AD27" s="42"/>
      <c r="AE27" s="43" t="s">
        <v>246</v>
      </c>
      <c r="AF27" s="43"/>
      <c r="AG27" s="43"/>
      <c r="AH27" s="43"/>
      <c r="AL27" s="55" t="n">
        <f aca="false">HMB!$C$9</f>
        <v>4160.58823529412</v>
      </c>
      <c r="AM27" s="55"/>
      <c r="AN27" s="55"/>
      <c r="AO27" s="55"/>
      <c r="AP27" s="55"/>
      <c r="AQ27" s="34" t="s">
        <v>247</v>
      </c>
      <c r="AR27" s="34"/>
      <c r="AS27" s="34"/>
      <c r="AT27" s="34"/>
      <c r="AU27" s="34"/>
      <c r="AV27" s="34"/>
    </row>
    <row r="28" customFormat="false" ht="16.5" hidden="false" customHeight="true" outlineLevel="0" collapsed="false">
      <c r="C28" s="42" t="n">
        <f aca="false">Inputs!$C$25</f>
        <v>85</v>
      </c>
      <c r="D28" s="42"/>
      <c r="E28" s="42"/>
      <c r="F28" s="42"/>
      <c r="G28" s="42"/>
      <c r="H28" s="42"/>
      <c r="I28" s="42"/>
      <c r="J28" s="43" t="s">
        <v>233</v>
      </c>
      <c r="K28" s="43"/>
      <c r="L28" s="43"/>
      <c r="M28" s="43"/>
      <c r="X28" s="45" t="n">
        <f aca="false">Inputs!$C$13</f>
        <v>6430</v>
      </c>
      <c r="Y28" s="45"/>
      <c r="Z28" s="45"/>
      <c r="AA28" s="45"/>
      <c r="AB28" s="45"/>
      <c r="AC28" s="45"/>
      <c r="AD28" s="45"/>
      <c r="AE28" s="46" t="s">
        <v>248</v>
      </c>
      <c r="AF28" s="46"/>
      <c r="AG28" s="46"/>
      <c r="AH28" s="46"/>
    </row>
    <row r="29" customFormat="false" ht="16.5" hidden="false" customHeight="true" outlineLevel="0" collapsed="false">
      <c r="C29" s="56" t="n">
        <f aca="false">Inputs!$C$32</f>
        <v>0.3</v>
      </c>
      <c r="D29" s="56"/>
      <c r="E29" s="56"/>
      <c r="F29" s="56"/>
      <c r="G29" s="56"/>
      <c r="H29" s="56"/>
      <c r="I29" s="56"/>
      <c r="J29" s="46" t="s">
        <v>249</v>
      </c>
      <c r="K29" s="46"/>
      <c r="L29" s="46"/>
      <c r="M29" s="46"/>
      <c r="AK29" s="57" t="str">
        <f aca="false">Equipment!$C$4&amp;"  ·  "&amp;TEXT(HMB!$C$80,"0")&amp;" ft long  ·  "&amp;TEXT(Equipment!$C$17,"0.0")&amp;" MMBtu/hr burner"</f>
        <v>XD-96 (8'×40')  ·  40 ft long  ·  8.7 MMBtu/hr burner</v>
      </c>
      <c r="AL29" s="57"/>
      <c r="AM29" s="57"/>
      <c r="AN29" s="57"/>
      <c r="AO29" s="57"/>
      <c r="AP29" s="57"/>
      <c r="AQ29" s="57"/>
      <c r="AR29" s="57"/>
      <c r="AS29" s="57"/>
      <c r="AT29" s="57"/>
      <c r="AU29" s="57"/>
      <c r="AV29" s="57"/>
      <c r="AW29" s="57"/>
      <c r="AX29" s="57"/>
      <c r="AY29" s="57"/>
      <c r="AZ29" s="57"/>
      <c r="BA29" s="57"/>
    </row>
    <row r="30" customFormat="false" ht="16.5" hidden="false" customHeight="true" outlineLevel="0" collapsed="false">
      <c r="AM30" s="39" t="s">
        <v>250</v>
      </c>
      <c r="AN30" s="39"/>
      <c r="AO30" s="39"/>
      <c r="AP30" s="39"/>
      <c r="AQ30" s="39"/>
      <c r="AR30" s="39"/>
      <c r="AS30" s="39"/>
      <c r="AT30" s="39"/>
      <c r="AU30" s="39"/>
      <c r="AV30" s="39"/>
    </row>
    <row r="31" customFormat="false" ht="16.5" hidden="false" customHeight="true" outlineLevel="0" collapsed="false">
      <c r="AM31" s="45" t="n">
        <f aca="false">HMB!$C$58</f>
        <v>0</v>
      </c>
      <c r="AN31" s="45"/>
      <c r="AO31" s="45"/>
      <c r="AP31" s="45"/>
      <c r="AQ31" s="45"/>
      <c r="AR31" s="45"/>
      <c r="AS31" s="46" t="s">
        <v>248</v>
      </c>
      <c r="AT31" s="46"/>
      <c r="AU31" s="46"/>
      <c r="AV31" s="46"/>
    </row>
    <row r="32" customFormat="false" ht="16.5" hidden="false" customHeight="true" outlineLevel="0" collapsed="false">
      <c r="BD32" s="39" t="s">
        <v>251</v>
      </c>
      <c r="BE32" s="39"/>
      <c r="BF32" s="39"/>
      <c r="BG32" s="39"/>
      <c r="BH32" s="39"/>
      <c r="BI32" s="39"/>
      <c r="BJ32" s="39"/>
      <c r="BK32" s="39"/>
      <c r="BL32" s="39"/>
      <c r="BM32" s="39"/>
      <c r="BN32" s="39"/>
    </row>
    <row r="33" customFormat="false" ht="16.5" hidden="false" customHeight="true" outlineLevel="0" collapsed="false">
      <c r="BD33" s="54" t="n">
        <f aca="false">Inputs!$C$15</f>
        <v>0.15</v>
      </c>
      <c r="BE33" s="54"/>
      <c r="BF33" s="54"/>
      <c r="BG33" s="54"/>
      <c r="BH33" s="54"/>
      <c r="BI33" s="54"/>
      <c r="BJ33" s="54"/>
      <c r="BK33" s="43" t="s">
        <v>242</v>
      </c>
      <c r="BL33" s="43"/>
      <c r="BM33" s="43"/>
      <c r="BN33" s="43"/>
    </row>
    <row r="34" customFormat="false" ht="16.5" hidden="false" customHeight="true" outlineLevel="0" collapsed="false">
      <c r="AM34" s="39" t="s">
        <v>252</v>
      </c>
      <c r="AN34" s="39"/>
      <c r="AO34" s="39"/>
      <c r="AP34" s="39"/>
      <c r="AQ34" s="39"/>
      <c r="AR34" s="39"/>
      <c r="AS34" s="39"/>
      <c r="AT34" s="39"/>
      <c r="AU34" s="39"/>
      <c r="AV34" s="39"/>
      <c r="BD34" s="42" t="n">
        <f aca="false">HMB!$C$5</f>
        <v>1929</v>
      </c>
      <c r="BE34" s="42"/>
      <c r="BF34" s="42"/>
      <c r="BG34" s="42"/>
      <c r="BH34" s="42"/>
      <c r="BI34" s="42"/>
      <c r="BJ34" s="42"/>
      <c r="BK34" s="43" t="s">
        <v>244</v>
      </c>
      <c r="BL34" s="43"/>
      <c r="BM34" s="43"/>
      <c r="BN34" s="43"/>
    </row>
    <row r="35" customFormat="false" ht="16.5" hidden="false" customHeight="true" outlineLevel="0" collapsed="false">
      <c r="AM35" s="45" t="n">
        <f aca="false">HMB!$C$59</f>
        <v>2269.41176470588</v>
      </c>
      <c r="AN35" s="45"/>
      <c r="AO35" s="45"/>
      <c r="AP35" s="45"/>
      <c r="AQ35" s="45"/>
      <c r="AR35" s="45"/>
      <c r="AS35" s="46" t="s">
        <v>248</v>
      </c>
      <c r="AT35" s="46"/>
      <c r="AU35" s="46"/>
      <c r="AV35" s="46"/>
      <c r="BD35" s="42" t="n">
        <f aca="false">HMB!$C$8</f>
        <v>340.411764705883</v>
      </c>
      <c r="BE35" s="42"/>
      <c r="BF35" s="42"/>
      <c r="BG35" s="42"/>
      <c r="BH35" s="42"/>
      <c r="BI35" s="42"/>
      <c r="BJ35" s="42"/>
      <c r="BK35" s="43" t="s">
        <v>246</v>
      </c>
      <c r="BL35" s="43"/>
      <c r="BM35" s="43"/>
      <c r="BN35" s="43"/>
    </row>
    <row r="36" customFormat="false" ht="16.5" hidden="false" customHeight="true" outlineLevel="0" collapsed="false">
      <c r="BD36" s="42" t="n">
        <f aca="false">HMB!$C$7</f>
        <v>2269.41176470588</v>
      </c>
      <c r="BE36" s="42"/>
      <c r="BF36" s="42"/>
      <c r="BG36" s="42"/>
      <c r="BH36" s="42"/>
      <c r="BI36" s="42"/>
      <c r="BJ36" s="42"/>
      <c r="BK36" s="43" t="s">
        <v>248</v>
      </c>
      <c r="BL36" s="43"/>
      <c r="BM36" s="43"/>
      <c r="BN36" s="43"/>
    </row>
    <row r="37" customFormat="false" ht="16.5" hidden="false" customHeight="true" outlineLevel="0" collapsed="false">
      <c r="BD37" s="45" t="n">
        <f aca="false">Inputs!$C$17</f>
        <v>180</v>
      </c>
      <c r="BE37" s="45"/>
      <c r="BF37" s="45"/>
      <c r="BG37" s="45"/>
      <c r="BH37" s="45"/>
      <c r="BI37" s="45"/>
      <c r="BJ37" s="45"/>
      <c r="BK37" s="46" t="s">
        <v>233</v>
      </c>
      <c r="BL37" s="46"/>
      <c r="BM37" s="46"/>
      <c r="BN37" s="46"/>
    </row>
    <row r="38" customFormat="false" ht="16.5" hidden="false" customHeight="true" outlineLevel="0" collapsed="false"/>
    <row r="39" customFormat="false" ht="16.5" hidden="false" customHeight="true" outlineLevel="0" collapsed="false"/>
    <row r="40" customFormat="false" ht="16.5" hidden="false" customHeight="true" outlineLevel="0" collapsed="false"/>
    <row r="41" customFormat="false" ht="16.5" hidden="false" customHeight="true" outlineLevel="0" collapsed="false"/>
    <row r="42" customFormat="false" ht="16.5" hidden="false" customHeight="true" outlineLevel="0" collapsed="false"/>
    <row r="43" customFormat="false" ht="16.5" hidden="false" customHeight="true" outlineLevel="0" collapsed="false"/>
    <row r="44" customFormat="false" ht="16.5" hidden="false" customHeight="true" outlineLevel="0" collapsed="false"/>
    <row r="45" customFormat="false" ht="16.5" hidden="false" customHeight="true" outlineLevel="0" collapsed="false"/>
    <row r="46" customFormat="false" ht="16.5" hidden="false" customHeight="true" outlineLevel="0" collapsed="false"/>
    <row r="47" customFormat="false" ht="16.5" hidden="false" customHeight="true" outlineLevel="0" collapsed="false">
      <c r="C47" s="34" t="str">
        <f aca="false">Inputs!$C$8&amp;"  Rev "&amp;Inputs!$C$9&amp;"   ·   FLOW"</f>
        <v>MCE-HMB-2026-002  Rev A   ·   FLOW</v>
      </c>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58" t="s">
        <v>253</v>
      </c>
      <c r="AG47" s="58"/>
      <c r="AH47" s="58"/>
      <c r="AI47" s="58"/>
      <c r="AJ47" s="58"/>
      <c r="AK47" s="58"/>
      <c r="AL47" s="58"/>
      <c r="AM47" s="58"/>
      <c r="AN47" s="58"/>
      <c r="AO47" s="58"/>
      <c r="AP47" s="58"/>
      <c r="AQ47" s="58"/>
      <c r="AR47" s="58"/>
      <c r="AS47" s="58"/>
      <c r="AT47" s="58"/>
      <c r="AU47" s="58"/>
      <c r="AV47" s="58"/>
      <c r="AW47" s="58"/>
      <c r="AX47" s="58"/>
      <c r="AY47" s="58"/>
      <c r="BG47" s="59" t="s">
        <v>254</v>
      </c>
      <c r="BH47" s="59"/>
      <c r="BI47" s="59"/>
      <c r="BJ47" s="59"/>
      <c r="BK47" s="59"/>
      <c r="BL47" s="59"/>
      <c r="BM47" s="59"/>
      <c r="BN47" s="59"/>
      <c r="BO47" s="59"/>
      <c r="BP47" s="59"/>
      <c r="BQ47" s="59"/>
    </row>
    <row r="48" customFormat="false" ht="16.5" hidden="false" customHeight="true" outlineLevel="0" collapsed="false"/>
  </sheetData>
  <mergeCells count="85">
    <mergeCell ref="G1:Q1"/>
    <mergeCell ref="AA1:AS1"/>
    <mergeCell ref="BG1:BQ1"/>
    <mergeCell ref="AA2:AS2"/>
    <mergeCell ref="C3:Q3"/>
    <mergeCell ref="U3:BA3"/>
    <mergeCell ref="BD4:BN4"/>
    <mergeCell ref="E5:H5"/>
    <mergeCell ref="J5:AA5"/>
    <mergeCell ref="BD5:BJ5"/>
    <mergeCell ref="BK5:BN5"/>
    <mergeCell ref="E6:H6"/>
    <mergeCell ref="J6:AA6"/>
    <mergeCell ref="BD6:BJ6"/>
    <mergeCell ref="BK6:BN6"/>
    <mergeCell ref="E7:H7"/>
    <mergeCell ref="J7:AA7"/>
    <mergeCell ref="E8:H8"/>
    <mergeCell ref="J8:AA8"/>
    <mergeCell ref="BD8:BN8"/>
    <mergeCell ref="BD9:BJ9"/>
    <mergeCell ref="BK9:BN9"/>
    <mergeCell ref="C10:M10"/>
    <mergeCell ref="AA10:AF10"/>
    <mergeCell ref="AG10:AS10"/>
    <mergeCell ref="BD10:BJ10"/>
    <mergeCell ref="BK10:BN10"/>
    <mergeCell ref="C11:I11"/>
    <mergeCell ref="J11:M11"/>
    <mergeCell ref="C12:I12"/>
    <mergeCell ref="J12:M12"/>
    <mergeCell ref="C13:I13"/>
    <mergeCell ref="J13:M13"/>
    <mergeCell ref="O13:W13"/>
    <mergeCell ref="AB13:AK13"/>
    <mergeCell ref="C14:I14"/>
    <mergeCell ref="J14:M14"/>
    <mergeCell ref="O14:S14"/>
    <mergeCell ref="T14:W14"/>
    <mergeCell ref="AB14:AG14"/>
    <mergeCell ref="AH14:AK14"/>
    <mergeCell ref="O15:S15"/>
    <mergeCell ref="T15:W15"/>
    <mergeCell ref="AB15:AG15"/>
    <mergeCell ref="AH15:AK15"/>
    <mergeCell ref="X24:AH24"/>
    <mergeCell ref="X25:AD25"/>
    <mergeCell ref="AE25:AH25"/>
    <mergeCell ref="C26:M26"/>
    <mergeCell ref="X26:AD26"/>
    <mergeCell ref="AE26:AH26"/>
    <mergeCell ref="AL26:AV26"/>
    <mergeCell ref="C27:I27"/>
    <mergeCell ref="J27:M27"/>
    <mergeCell ref="X27:AD27"/>
    <mergeCell ref="AE27:AH27"/>
    <mergeCell ref="AL27:AP27"/>
    <mergeCell ref="AQ27:AV27"/>
    <mergeCell ref="C28:I28"/>
    <mergeCell ref="J28:M28"/>
    <mergeCell ref="X28:AD28"/>
    <mergeCell ref="AE28:AH28"/>
    <mergeCell ref="C29:I29"/>
    <mergeCell ref="J29:M29"/>
    <mergeCell ref="AK29:BA29"/>
    <mergeCell ref="AM30:AV30"/>
    <mergeCell ref="AM31:AR31"/>
    <mergeCell ref="AS31:AV31"/>
    <mergeCell ref="BD32:BN32"/>
    <mergeCell ref="BD33:BJ33"/>
    <mergeCell ref="BK33:BN33"/>
    <mergeCell ref="AM34:AV34"/>
    <mergeCell ref="BD34:BJ34"/>
    <mergeCell ref="BK34:BN34"/>
    <mergeCell ref="AM35:AR35"/>
    <mergeCell ref="AS35:AV35"/>
    <mergeCell ref="BD35:BJ35"/>
    <mergeCell ref="BK35:BN35"/>
    <mergeCell ref="BD36:BJ36"/>
    <mergeCell ref="BK36:BN36"/>
    <mergeCell ref="BD37:BJ37"/>
    <mergeCell ref="BK37:BN37"/>
    <mergeCell ref="C47:AE47"/>
    <mergeCell ref="AF47:AY47"/>
    <mergeCell ref="BG47:BQ47"/>
  </mergeCells>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0"/>
  </cols>
  <sheetData>
    <row r="1" customFormat="false" ht="15.75" hidden="false" customHeight="true" outlineLevel="0" collapsed="false">
      <c r="B1" s="5" t="s">
        <v>255</v>
      </c>
    </row>
    <row r="3" customFormat="false" ht="15" hidden="false" customHeight="true" outlineLevel="0" collapsed="false">
      <c r="B3" s="7" t="s">
        <v>256</v>
      </c>
      <c r="C3" s="8"/>
      <c r="D3" s="8"/>
      <c r="E3" s="8"/>
    </row>
    <row r="4" customFormat="false" ht="15" hidden="false" customHeight="true" outlineLevel="0" collapsed="false">
      <c r="B4" s="9" t="s">
        <v>31</v>
      </c>
      <c r="C4" s="10" t="n">
        <f aca="false">Inputs!$C$13</f>
        <v>6430</v>
      </c>
      <c r="D4" s="9" t="s">
        <v>32</v>
      </c>
    </row>
    <row r="5" customFormat="false" ht="15" hidden="false" customHeight="true" outlineLevel="0" collapsed="false">
      <c r="B5" s="9" t="s">
        <v>257</v>
      </c>
      <c r="C5" s="30" t="n">
        <f aca="false">Inputs!$C$13*(1-Inputs!$C$14)</f>
        <v>1929</v>
      </c>
      <c r="D5" s="9" t="s">
        <v>32</v>
      </c>
    </row>
    <row r="6" customFormat="false" ht="15" hidden="false" customHeight="true" outlineLevel="0" collapsed="false">
      <c r="B6" s="9" t="s">
        <v>258</v>
      </c>
      <c r="C6" s="30" t="n">
        <f aca="false">Inputs!$C$13*Inputs!$C$14</f>
        <v>4501</v>
      </c>
      <c r="D6" s="9" t="s">
        <v>32</v>
      </c>
    </row>
    <row r="7" customFormat="false" ht="15" hidden="false" customHeight="true" outlineLevel="0" collapsed="false">
      <c r="B7" s="11" t="s">
        <v>34</v>
      </c>
      <c r="C7" s="60" t="n">
        <f aca="false">HMB!$C$5/(1-Inputs!$C$15)</f>
        <v>2269.41176470588</v>
      </c>
      <c r="D7" s="9" t="s">
        <v>32</v>
      </c>
    </row>
    <row r="8" customFormat="false" ht="15" hidden="false" customHeight="true" outlineLevel="0" collapsed="false">
      <c r="B8" s="9" t="s">
        <v>259</v>
      </c>
      <c r="C8" s="30" t="n">
        <f aca="false">HMB!$C$7-HMB!$C$5</f>
        <v>340.411764705883</v>
      </c>
      <c r="D8" s="9" t="s">
        <v>32</v>
      </c>
    </row>
    <row r="9" customFormat="false" ht="15" hidden="false" customHeight="true" outlineLevel="0" collapsed="false">
      <c r="B9" s="11" t="s">
        <v>35</v>
      </c>
      <c r="C9" s="60" t="n">
        <f aca="false">HMB!$C$6-HMB!$C$8</f>
        <v>4160.58823529412</v>
      </c>
      <c r="D9" s="9" t="s">
        <v>32</v>
      </c>
      <c r="E9" s="17" t="s">
        <v>260</v>
      </c>
    </row>
    <row r="10" customFormat="false" ht="15" hidden="false" customHeight="true" outlineLevel="0" collapsed="false">
      <c r="B10" s="9" t="s">
        <v>35</v>
      </c>
      <c r="C10" s="61" t="n">
        <f aca="false">HMB!$C$9/8.345</f>
        <v>498.572586614034</v>
      </c>
      <c r="D10" s="9" t="s">
        <v>261</v>
      </c>
    </row>
    <row r="11" customFormat="false" ht="15" hidden="false" customHeight="true" outlineLevel="0" collapsed="false">
      <c r="B11" s="9" t="s">
        <v>262</v>
      </c>
      <c r="C11" s="32" t="n">
        <f aca="false">HMB!$C$7/2000</f>
        <v>1.13470588235294</v>
      </c>
      <c r="D11" s="9" t="s">
        <v>263</v>
      </c>
    </row>
    <row r="12" customFormat="false" ht="15" hidden="false" customHeight="true" outlineLevel="0" collapsed="false">
      <c r="B12" s="7" t="s">
        <v>264</v>
      </c>
      <c r="C12" s="8"/>
      <c r="D12" s="8"/>
      <c r="E12" s="8"/>
    </row>
    <row r="13" customFormat="false" ht="15" hidden="false" customHeight="true" outlineLevel="0" collapsed="false">
      <c r="B13" s="9" t="s">
        <v>265</v>
      </c>
      <c r="C13" s="61" t="n">
        <f aca="false">1.01*(212-Inputs!$C$16)+970.4</f>
        <v>1098.67</v>
      </c>
      <c r="D13" s="9" t="s">
        <v>44</v>
      </c>
      <c r="E13" s="17" t="s">
        <v>266</v>
      </c>
    </row>
    <row r="14" customFormat="false" ht="15" hidden="false" customHeight="true" outlineLevel="0" collapsed="false">
      <c r="B14" s="9" t="s">
        <v>267</v>
      </c>
      <c r="C14" s="10" t="n">
        <f aca="false">Inputs!$C$29</f>
        <v>1750</v>
      </c>
      <c r="D14" s="9" t="s">
        <v>44</v>
      </c>
    </row>
    <row r="15" customFormat="false" ht="15" hidden="false" customHeight="true" outlineLevel="0" collapsed="false">
      <c r="B15" s="11" t="s">
        <v>268</v>
      </c>
      <c r="C15" s="60" t="n">
        <f aca="false">HMB!$C$9*HMB!$C$14</f>
        <v>7281029.41176471</v>
      </c>
      <c r="D15" s="9" t="s">
        <v>269</v>
      </c>
      <c r="E15" s="17" t="s">
        <v>270</v>
      </c>
    </row>
    <row r="16" customFormat="false" ht="15" hidden="false" customHeight="true" outlineLevel="0" collapsed="false">
      <c r="B16" s="9" t="s">
        <v>268</v>
      </c>
      <c r="C16" s="32" t="n">
        <f aca="false">HMB!$C$15/1000000</f>
        <v>7.2810294117647</v>
      </c>
      <c r="D16" s="9" t="s">
        <v>41</v>
      </c>
    </row>
    <row r="17" customFormat="false" ht="15" hidden="false" customHeight="true" outlineLevel="0" collapsed="false">
      <c r="B17" s="7" t="s">
        <v>271</v>
      </c>
      <c r="C17" s="8"/>
      <c r="D17" s="8"/>
      <c r="E17" s="8"/>
    </row>
    <row r="18" customFormat="false" ht="15" hidden="false" customHeight="true" outlineLevel="0" collapsed="false">
      <c r="B18" s="9" t="s">
        <v>272</v>
      </c>
      <c r="C18" s="30" t="n">
        <f aca="false">HMB!$C$5*Inputs!$C$18*(Inputs!$C$17-Inputs!$C$16)</f>
        <v>54976.5</v>
      </c>
      <c r="D18" s="9" t="s">
        <v>269</v>
      </c>
    </row>
    <row r="19" customFormat="false" ht="15" hidden="false" customHeight="true" outlineLevel="0" collapsed="false">
      <c r="B19" s="9" t="s">
        <v>273</v>
      </c>
      <c r="C19" s="30" t="n">
        <f aca="false">HMB!$C$8*1*(Inputs!$C$17-Inputs!$C$16)</f>
        <v>32339.1176470589</v>
      </c>
      <c r="D19" s="9" t="s">
        <v>269</v>
      </c>
    </row>
    <row r="20" customFormat="false" ht="15" hidden="false" customHeight="true" outlineLevel="0" collapsed="false">
      <c r="B20" s="9" t="s">
        <v>274</v>
      </c>
      <c r="C20" s="30" t="n">
        <f aca="false">HMB!$C$9*1.01*(212-Inputs!$C$16)</f>
        <v>533678.652941176</v>
      </c>
      <c r="D20" s="9" t="s">
        <v>269</v>
      </c>
    </row>
    <row r="21" customFormat="false" ht="15" hidden="false" customHeight="true" outlineLevel="0" collapsed="false">
      <c r="B21" s="9" t="s">
        <v>275</v>
      </c>
      <c r="C21" s="30" t="n">
        <f aca="false">HMB!$C$9*970.4</f>
        <v>4037434.82352941</v>
      </c>
      <c r="D21" s="9" t="s">
        <v>269</v>
      </c>
    </row>
    <row r="22" customFormat="false" ht="15" hidden="false" customHeight="true" outlineLevel="0" collapsed="false">
      <c r="B22" s="9" t="s">
        <v>276</v>
      </c>
      <c r="C22" s="30" t="n">
        <f aca="false">HMB!$C$9*0.45*(Inputs!$C$38-212)</f>
        <v>33700.7647058824</v>
      </c>
      <c r="D22" s="9" t="s">
        <v>269</v>
      </c>
      <c r="E22" s="17" t="s">
        <v>277</v>
      </c>
    </row>
    <row r="23" customFormat="false" ht="15" hidden="false" customHeight="true" outlineLevel="0" collapsed="false">
      <c r="B23" s="11" t="s">
        <v>278</v>
      </c>
      <c r="C23" s="60" t="n">
        <f aca="false">SUM($C$18:$C$22)</f>
        <v>4692129.85882353</v>
      </c>
      <c r="D23" s="9" t="s">
        <v>269</v>
      </c>
    </row>
    <row r="24" customFormat="false" ht="15" hidden="false" customHeight="true" outlineLevel="0" collapsed="false">
      <c r="B24" s="9" t="s">
        <v>279</v>
      </c>
      <c r="C24" s="62" t="n">
        <f aca="false">Inputs!$C$39*(Inputs!$C$36-Inputs!$C$38)/(Inputs!$C$36-Inputs!$C$25)</f>
        <v>0.739877300613497</v>
      </c>
      <c r="D24" s="9" t="s">
        <v>169</v>
      </c>
      <c r="E24" s="17" t="s">
        <v>280</v>
      </c>
    </row>
    <row r="25" customFormat="false" ht="15" hidden="false" customHeight="true" outlineLevel="0" collapsed="false">
      <c r="B25" s="11" t="s">
        <v>281</v>
      </c>
      <c r="C25" s="60" t="n">
        <f aca="false">HMB!$C$23/(HMB!$C$24-Inputs!$C$40)</f>
        <v>6609775.87925188</v>
      </c>
      <c r="D25" s="9" t="s">
        <v>269</v>
      </c>
      <c r="E25" s="17" t="s">
        <v>282</v>
      </c>
    </row>
    <row r="26" customFormat="false" ht="15" hidden="false" customHeight="true" outlineLevel="0" collapsed="false">
      <c r="B26" s="9" t="s">
        <v>281</v>
      </c>
      <c r="C26" s="32" t="n">
        <f aca="false">HMB!$C$25/1000000</f>
        <v>6.60977587925188</v>
      </c>
      <c r="D26" s="9" t="s">
        <v>41</v>
      </c>
    </row>
    <row r="27" customFormat="false" ht="15" hidden="false" customHeight="true" outlineLevel="0" collapsed="false">
      <c r="B27" s="11" t="s">
        <v>43</v>
      </c>
      <c r="C27" s="60" t="n">
        <f aca="false">HMB!$C$25/HMB!$C$9</f>
        <v>1588.66379113929</v>
      </c>
      <c r="D27" s="9" t="s">
        <v>44</v>
      </c>
    </row>
    <row r="28" customFormat="false" ht="15" hidden="false" customHeight="true" outlineLevel="0" collapsed="false">
      <c r="B28" s="9" t="s">
        <v>283</v>
      </c>
      <c r="C28" s="30" t="str">
        <f aca="false">IF(ABS(HMB!$C$27/HMB!$C$14-1)&lt;=0.15,"WITHIN 15% OF MCE FACTOR",IF(HMB!$C$27&gt;HMB!$C$14,"RIGOROUS IS HIGHER: raise inlet temp or accept higher fuel","RIGOROUS IS LOWER: MCE factor is conservative here"))</f>
        <v>WITHIN 15% OF MCE FACTOR</v>
      </c>
      <c r="D28" s="9"/>
      <c r="E28" s="17" t="s">
        <v>284</v>
      </c>
    </row>
    <row r="29" customFormat="false" ht="15" hidden="false" customHeight="true" outlineLevel="0" collapsed="false">
      <c r="B29" s="11" t="s">
        <v>285</v>
      </c>
      <c r="C29" s="60" t="n">
        <f aca="false">MAX(HMB!$C$15,HMB!$C$25)</f>
        <v>7281029.41176471</v>
      </c>
      <c r="D29" s="9" t="s">
        <v>269</v>
      </c>
      <c r="E29" s="17" t="s">
        <v>286</v>
      </c>
    </row>
    <row r="30" customFormat="false" ht="15" hidden="false" customHeight="true" outlineLevel="0" collapsed="false">
      <c r="B30" s="7" t="s">
        <v>287</v>
      </c>
      <c r="C30" s="8"/>
      <c r="D30" s="8"/>
      <c r="E30" s="8"/>
    </row>
    <row r="31" customFormat="false" ht="15" hidden="false" customHeight="true" outlineLevel="0" collapsed="false">
      <c r="B31" s="11" t="s">
        <v>288</v>
      </c>
      <c r="C31" s="63" t="n">
        <f aca="false">HMB!$C$29/Inputs!$C$31</f>
        <v>365.880874963051</v>
      </c>
      <c r="D31" s="9" t="s">
        <v>32</v>
      </c>
    </row>
    <row r="32" customFormat="false" ht="15" hidden="false" customHeight="true" outlineLevel="0" collapsed="false">
      <c r="B32" s="9" t="s">
        <v>289</v>
      </c>
      <c r="C32" s="30" t="n">
        <f aca="false">IF(Inputs!$C$55="Yes",MAX(0,MIN(HMB!$C$29,'Biochar Reactor'!$C$48)),0)</f>
        <v>0</v>
      </c>
      <c r="D32" s="9" t="s">
        <v>269</v>
      </c>
      <c r="E32" s="17" t="s">
        <v>290</v>
      </c>
    </row>
    <row r="33" customFormat="false" ht="15" hidden="false" customHeight="true" outlineLevel="0" collapsed="false">
      <c r="B33" s="11" t="s">
        <v>291</v>
      </c>
      <c r="C33" s="60" t="n">
        <f aca="false">HMB!$C$29-HMB!$C$32</f>
        <v>7281029.41176471</v>
      </c>
      <c r="D33" s="9" t="s">
        <v>269</v>
      </c>
    </row>
    <row r="34" customFormat="false" ht="15" hidden="false" customHeight="true" outlineLevel="0" collapsed="false">
      <c r="B34" s="11" t="s">
        <v>292</v>
      </c>
      <c r="C34" s="63" t="n">
        <f aca="false">HMB!$C$33/Inputs!$C$31</f>
        <v>365.880874963051</v>
      </c>
      <c r="D34" s="9" t="s">
        <v>32</v>
      </c>
    </row>
    <row r="35" customFormat="false" ht="15" hidden="false" customHeight="true" outlineLevel="0" collapsed="false">
      <c r="B35" s="9" t="s">
        <v>293</v>
      </c>
      <c r="C35" s="61" t="n">
        <f aca="false">HMB!$C$31/INDEX(Inputs!$I$13:$I$18,MATCH(Inputs!$C$30,Inputs!$G$13:$G$18,0))/60</f>
        <v>127.041970473281</v>
      </c>
      <c r="D35" s="9" t="s">
        <v>294</v>
      </c>
      <c r="E35" s="17" t="s">
        <v>295</v>
      </c>
    </row>
    <row r="36" customFormat="false" ht="15" hidden="false" customHeight="true" outlineLevel="0" collapsed="false">
      <c r="B36" s="9" t="s">
        <v>296</v>
      </c>
      <c r="C36" s="30" t="n">
        <f aca="false">HMB!$C$31*Inputs!$C$33*(1+Inputs!$C$32)</f>
        <v>7467.62865799586</v>
      </c>
      <c r="D36" s="9" t="s">
        <v>32</v>
      </c>
    </row>
    <row r="37" customFormat="false" ht="15" hidden="false" customHeight="true" outlineLevel="0" collapsed="false">
      <c r="B37" s="9" t="s">
        <v>297</v>
      </c>
      <c r="C37" s="30" t="n">
        <f aca="false">HMB!$C$31+HMB!$C$36</f>
        <v>7833.50953295891</v>
      </c>
      <c r="D37" s="9" t="s">
        <v>32</v>
      </c>
    </row>
    <row r="38" customFormat="false" ht="15" hidden="false" customHeight="true" outlineLevel="0" collapsed="false">
      <c r="B38" s="9" t="s">
        <v>298</v>
      </c>
      <c r="C38" s="30" t="n">
        <f aca="false">HMB!$C$31*Inputs!$C$34+HMB!$C$36*Inputs!$C$26</f>
        <v>730.803142033698</v>
      </c>
      <c r="D38" s="9" t="s">
        <v>32</v>
      </c>
    </row>
    <row r="39" customFormat="false" ht="15" hidden="false" customHeight="true" outlineLevel="0" collapsed="false">
      <c r="B39" s="9" t="s">
        <v>299</v>
      </c>
      <c r="C39" s="30" t="n">
        <f aca="false">Inputs!$C$25+HMB!$C$29*Inputs!$C$39/(0.27*HMB!$C$37)</f>
        <v>3183.24069749338</v>
      </c>
      <c r="D39" s="9" t="s">
        <v>38</v>
      </c>
      <c r="E39" s="17" t="s">
        <v>300</v>
      </c>
    </row>
    <row r="40" customFormat="false" ht="15" hidden="false" customHeight="true" outlineLevel="0" collapsed="false">
      <c r="B40" s="7" t="s">
        <v>301</v>
      </c>
      <c r="C40" s="8"/>
      <c r="D40" s="8"/>
      <c r="E40" s="8"/>
    </row>
    <row r="41" customFormat="false" ht="15" hidden="false" customHeight="true" outlineLevel="0" collapsed="false">
      <c r="B41" s="11" t="s">
        <v>302</v>
      </c>
      <c r="C41" s="60" t="n">
        <f aca="false">HMB!$C$29*Inputs!$C$39/(0.24*(Inputs!$C$36-Inputs!$C$25))</f>
        <v>33501.669072537</v>
      </c>
      <c r="D41" s="9" t="s">
        <v>32</v>
      </c>
      <c r="E41" s="17" t="s">
        <v>303</v>
      </c>
    </row>
    <row r="42" customFormat="false" ht="15" hidden="false" customHeight="true" outlineLevel="0" collapsed="false">
      <c r="B42" s="9" t="s">
        <v>304</v>
      </c>
      <c r="C42" s="30" t="n">
        <f aca="false">HMB!$C$41-HMB!$C$37</f>
        <v>25668.1595395781</v>
      </c>
      <c r="D42" s="9" t="s">
        <v>32</v>
      </c>
      <c r="E42" s="17" t="s">
        <v>305</v>
      </c>
    </row>
    <row r="43" customFormat="false" ht="15" hidden="false" customHeight="true" outlineLevel="0" collapsed="false">
      <c r="B43" s="9" t="s">
        <v>306</v>
      </c>
      <c r="C43" s="30" t="str">
        <f aca="false">IF(Inputs!$C$36&lt;=Inputs!$C$37,"OK","INLET ABOVE MCE MAXIMUM - lower it")</f>
        <v>OK</v>
      </c>
      <c r="D43" s="9"/>
    </row>
    <row r="44" customFormat="false" ht="15" hidden="false" customHeight="true" outlineLevel="0" collapsed="false">
      <c r="B44" s="9" t="s">
        <v>307</v>
      </c>
      <c r="C44" s="30" t="str">
        <f aca="false">IF(HMB!$C$42&lt;0,"INLET TEMP TOO HIGH FOR THIS FUEL / EXCESS AIR","OK")</f>
        <v>OK</v>
      </c>
      <c r="D44" s="9"/>
    </row>
    <row r="45" customFormat="false" ht="15" hidden="false" customHeight="true" outlineLevel="0" collapsed="false">
      <c r="B45" s="9" t="s">
        <v>308</v>
      </c>
      <c r="C45" s="30" t="n">
        <f aca="false">HMB!$C$41*Inputs!$C$41</f>
        <v>3350.1669072537</v>
      </c>
      <c r="D45" s="9" t="s">
        <v>32</v>
      </c>
    </row>
    <row r="46" customFormat="false" ht="15" hidden="false" customHeight="true" outlineLevel="0" collapsed="false">
      <c r="B46" s="9" t="s">
        <v>309</v>
      </c>
      <c r="C46" s="30" t="n">
        <f aca="false">HMB!$C$41+HMB!$C$45</f>
        <v>36851.8359797907</v>
      </c>
      <c r="D46" s="9" t="s">
        <v>32</v>
      </c>
    </row>
    <row r="47" customFormat="false" ht="15" hidden="false" customHeight="true" outlineLevel="0" collapsed="false">
      <c r="B47" s="9" t="s">
        <v>310</v>
      </c>
      <c r="C47" s="30" t="n">
        <f aca="false">HMB!$C$38+(HMB!$C$42+HMB!$C$45)*Inputs!$C$26+HMB!$C$9</f>
        <v>5413.72125337079</v>
      </c>
      <c r="D47" s="9" t="s">
        <v>32</v>
      </c>
    </row>
    <row r="48" customFormat="false" ht="15" hidden="false" customHeight="true" outlineLevel="0" collapsed="false">
      <c r="B48" s="11" t="s">
        <v>311</v>
      </c>
      <c r="C48" s="60" t="n">
        <f aca="false">HMB!$C$46+HMB!$C$47</f>
        <v>42265.5572331615</v>
      </c>
      <c r="D48" s="9" t="s">
        <v>32</v>
      </c>
    </row>
    <row r="49" customFormat="false" ht="15" hidden="false" customHeight="true" outlineLevel="0" collapsed="false">
      <c r="B49" s="9" t="s">
        <v>312</v>
      </c>
      <c r="C49" s="62" t="n">
        <f aca="false">HMB!$C$47/HMB!$C$46</f>
        <v>0.146905062107072</v>
      </c>
      <c r="D49" s="9" t="s">
        <v>313</v>
      </c>
    </row>
    <row r="50" customFormat="false" ht="15" hidden="false" customHeight="true" outlineLevel="0" collapsed="false">
      <c r="B50" s="9" t="s">
        <v>314</v>
      </c>
      <c r="C50" s="64" t="n">
        <f aca="false">(1-0.0000068754*Inputs!$C$24)^5.2559</f>
        <v>0.998916383272374</v>
      </c>
      <c r="D50" s="9"/>
      <c r="E50" s="17" t="s">
        <v>315</v>
      </c>
    </row>
    <row r="51" customFormat="false" ht="15" hidden="false" customHeight="true" outlineLevel="0" collapsed="false">
      <c r="B51" s="9" t="s">
        <v>316</v>
      </c>
      <c r="C51" s="64" t="n">
        <f aca="false">0.0765*530/(460+Inputs!$C$38)*HMB!$C$50</f>
        <v>0.0586971953040267</v>
      </c>
      <c r="D51" s="9" t="s">
        <v>117</v>
      </c>
    </row>
    <row r="52" customFormat="false" ht="15" hidden="false" customHeight="true" outlineLevel="0" collapsed="false">
      <c r="B52" s="9" t="s">
        <v>317</v>
      </c>
      <c r="C52" s="64" t="n">
        <f aca="false">0.0476*530/(460+Inputs!$C$38)*HMB!$C$50</f>
        <v>0.0365226993002833</v>
      </c>
      <c r="D52" s="9" t="s">
        <v>117</v>
      </c>
    </row>
    <row r="53" customFormat="false" ht="15" hidden="false" customHeight="true" outlineLevel="0" collapsed="false">
      <c r="B53" s="11" t="s">
        <v>318</v>
      </c>
      <c r="C53" s="60" t="n">
        <f aca="false">HMB!$C$46/HMB!$C$51/60+HMB!$C$47/HMB!$C$52/60</f>
        <v>12934.3089241787</v>
      </c>
      <c r="D53" s="9" t="s">
        <v>66</v>
      </c>
      <c r="E53" s="17" t="s">
        <v>319</v>
      </c>
    </row>
    <row r="54" customFormat="false" ht="15" hidden="false" customHeight="true" outlineLevel="0" collapsed="false">
      <c r="B54" s="9" t="s">
        <v>320</v>
      </c>
      <c r="C54" s="30" t="n">
        <f aca="false">HMB!$C$46/0.075/60+HMB!$C$47/0.0467/60</f>
        <v>10121.3886950228</v>
      </c>
      <c r="D54" s="9" t="s">
        <v>321</v>
      </c>
    </row>
    <row r="55" customFormat="false" ht="15" hidden="false" customHeight="true" outlineLevel="0" collapsed="false">
      <c r="B55" s="9" t="s">
        <v>322</v>
      </c>
      <c r="C55" s="30" t="n">
        <f aca="false">HMB!$C$41/0.075/60</f>
        <v>7444.81534945266</v>
      </c>
      <c r="D55" s="9" t="s">
        <v>321</v>
      </c>
    </row>
    <row r="56" customFormat="false" ht="15" hidden="false" customHeight="true" outlineLevel="0" collapsed="false">
      <c r="B56" s="9" t="s">
        <v>323</v>
      </c>
      <c r="C56" s="30" t="n">
        <f aca="false">HMB!$C$42/0.075/60</f>
        <v>5704.03545323957</v>
      </c>
      <c r="D56" s="9" t="s">
        <v>321</v>
      </c>
    </row>
    <row r="57" customFormat="false" ht="15" hidden="false" customHeight="true" outlineLevel="0" collapsed="false">
      <c r="B57" s="9" t="s">
        <v>324</v>
      </c>
      <c r="C57" s="30" t="n">
        <f aca="false">HMB!$C$36/(0.0765*530/(460+Inputs!$C$25)*HMB!$C$50)/60</f>
        <v>1674.79449521762</v>
      </c>
      <c r="D57" s="9" t="s">
        <v>66</v>
      </c>
    </row>
    <row r="58" customFormat="false" ht="15" hidden="false" customHeight="true" outlineLevel="0" collapsed="false">
      <c r="B58" s="9" t="s">
        <v>325</v>
      </c>
      <c r="C58" s="61" t="n">
        <f aca="false">IF(OR(Inputs!$C$30="Dry Wood",Inputs!$C$30="Biomass (wet, 8,500)"),HMB!$C$34,0)</f>
        <v>0</v>
      </c>
      <c r="D58" s="9" t="s">
        <v>32</v>
      </c>
      <c r="E58" s="17" t="s">
        <v>326</v>
      </c>
    </row>
    <row r="59" customFormat="false" ht="15" hidden="false" customHeight="true" outlineLevel="0" collapsed="false">
      <c r="B59" s="9" t="s">
        <v>327</v>
      </c>
      <c r="C59" s="30" t="n">
        <f aca="false">HMB!$C$7-HMB!$C$58</f>
        <v>2269.41176470588</v>
      </c>
      <c r="D59" s="9" t="s">
        <v>32</v>
      </c>
    </row>
    <row r="60" customFormat="false" ht="15" hidden="false" customHeight="true" outlineLevel="0" collapsed="false">
      <c r="B60" s="9" t="s">
        <v>328</v>
      </c>
      <c r="C60" s="30" t="n">
        <f aca="false">(HMB!$C$41/(0.0765*530/(460+Inputs!$C$36)*HMB!$C$50)+HMB!$C$38/(0.0476*530/(460+Inputs!$C$36)*HMB!$C$50))/60</f>
        <v>19406.731274002</v>
      </c>
      <c r="D60" s="9" t="s">
        <v>66</v>
      </c>
      <c r="E60" s="17" t="s">
        <v>329</v>
      </c>
    </row>
    <row r="61" customFormat="false" ht="15" hidden="false" customHeight="true" outlineLevel="0" collapsed="false">
      <c r="B61" s="9" t="s">
        <v>330</v>
      </c>
      <c r="C61" s="61" t="n">
        <f aca="false">HMB!$C$46/HMB!$C$7</f>
        <v>16.2384969325153</v>
      </c>
      <c r="D61" s="9" t="s">
        <v>205</v>
      </c>
    </row>
    <row r="62" customFormat="false" ht="15" hidden="false" customHeight="true" outlineLevel="0" collapsed="false">
      <c r="B62" s="9" t="s">
        <v>331</v>
      </c>
      <c r="C62" s="30" t="str">
        <f aca="false">IF(HMB!$C$61&gt;=Inputs!$C$49,"CONVEYING CAN OCCUR","CONVEYING CANNOT OCCUR: add recycle or raise airflow")</f>
        <v>CONVEYING CAN OCCUR</v>
      </c>
      <c r="D62" s="9"/>
    </row>
    <row r="63" customFormat="false" ht="15" hidden="false" customHeight="true" outlineLevel="0" collapsed="false">
      <c r="B63" s="7" t="s">
        <v>332</v>
      </c>
      <c r="C63" s="8"/>
      <c r="D63" s="8"/>
      <c r="E63" s="8"/>
    </row>
    <row r="64" customFormat="false" ht="15" hidden="false" customHeight="true" outlineLevel="0" collapsed="false">
      <c r="B64" s="9" t="s">
        <v>333</v>
      </c>
      <c r="C64" s="30" t="n">
        <f aca="false">HMB!$C$29</f>
        <v>7281029.41176471</v>
      </c>
      <c r="D64" s="9" t="s">
        <v>269</v>
      </c>
    </row>
    <row r="65" customFormat="false" ht="15" hidden="false" customHeight="true" outlineLevel="0" collapsed="false">
      <c r="B65" s="9" t="s">
        <v>334</v>
      </c>
      <c r="C65" s="30" t="n">
        <f aca="false">HMB!$C$29*(1-Inputs!$C$39)</f>
        <v>728102.94117647</v>
      </c>
      <c r="D65" s="9" t="s">
        <v>269</v>
      </c>
    </row>
    <row r="66" customFormat="false" ht="15" hidden="false" customHeight="true" outlineLevel="0" collapsed="false">
      <c r="B66" s="9" t="s">
        <v>335</v>
      </c>
      <c r="C66" s="30" t="n">
        <f aca="false">HMB!$C$23*HMB!$C$29/HMB!$C$25</f>
        <v>5168637.50451101</v>
      </c>
      <c r="D66" s="9" t="s">
        <v>269</v>
      </c>
      <c r="E66" s="17" t="s">
        <v>336</v>
      </c>
    </row>
    <row r="67" customFormat="false" ht="15" hidden="false" customHeight="true" outlineLevel="0" collapsed="false">
      <c r="B67" s="9" t="s">
        <v>337</v>
      </c>
      <c r="C67" s="30" t="n">
        <f aca="false">HMB!$C$29*Inputs!$C$40</f>
        <v>218430.882352941</v>
      </c>
      <c r="D67" s="9" t="s">
        <v>269</v>
      </c>
    </row>
    <row r="68" customFormat="false" ht="15" hidden="false" customHeight="true" outlineLevel="0" collapsed="false">
      <c r="B68" s="9" t="s">
        <v>338</v>
      </c>
      <c r="C68" s="30" t="n">
        <f aca="false">HMB!$C$41*0.24*(Inputs!$C$38-Inputs!$C$25)</f>
        <v>1165858.08372429</v>
      </c>
      <c r="D68" s="9" t="s">
        <v>269</v>
      </c>
    </row>
    <row r="69" customFormat="false" ht="15" hidden="false" customHeight="true" outlineLevel="0" collapsed="false">
      <c r="B69" s="11" t="s">
        <v>339</v>
      </c>
      <c r="C69" s="60" t="n">
        <f aca="false">HMB!$C$64-HMB!$C$65-HMB!$C$66-HMB!$C$67-HMB!$C$68</f>
        <v>0</v>
      </c>
      <c r="D69" s="9" t="s">
        <v>269</v>
      </c>
      <c r="E69" s="17" t="s">
        <v>340</v>
      </c>
    </row>
    <row r="70" customFormat="false" ht="15" hidden="false" customHeight="true" outlineLevel="0" collapsed="false">
      <c r="B70" s="9" t="s">
        <v>341</v>
      </c>
      <c r="C70" s="65" t="n">
        <f aca="false">HMB!$C$69/HMB!$C$64</f>
        <v>0</v>
      </c>
      <c r="D70" s="9"/>
    </row>
    <row r="71" customFormat="false" ht="15" hidden="false" customHeight="true" outlineLevel="0" collapsed="false">
      <c r="B71" s="7" t="s">
        <v>342</v>
      </c>
      <c r="C71" s="8"/>
      <c r="D71" s="8"/>
      <c r="E71" s="8"/>
    </row>
    <row r="72" customFormat="false" ht="15" hidden="false" customHeight="true" outlineLevel="0" collapsed="false">
      <c r="B72" s="9" t="s">
        <v>343</v>
      </c>
      <c r="C72" s="10" t="str">
        <f aca="false">Equipment!$C$4</f>
        <v>XD-96 (8'×40')</v>
      </c>
      <c r="D72" s="9"/>
    </row>
    <row r="73" customFormat="false" ht="15" hidden="false" customHeight="true" outlineLevel="0" collapsed="false">
      <c r="B73" s="9" t="s">
        <v>344</v>
      </c>
      <c r="C73" s="10" t="n">
        <f aca="false">Equipment!$C$7</f>
        <v>2010.61929829747</v>
      </c>
      <c r="D73" s="9" t="s">
        <v>345</v>
      </c>
    </row>
    <row r="74" customFormat="false" ht="15" hidden="false" customHeight="true" outlineLevel="0" collapsed="false">
      <c r="B74" s="11" t="s">
        <v>346</v>
      </c>
      <c r="C74" s="66" t="n">
        <f aca="false">IF(HMB!$C$73&gt;0,HMB!$C$9/HMB!$C$73,"n/a")</f>
        <v>2.06930682442826</v>
      </c>
      <c r="D74" s="9" t="s">
        <v>59</v>
      </c>
      <c r="E74" s="17" t="s">
        <v>347</v>
      </c>
    </row>
    <row r="75" customFormat="false" ht="15" hidden="false" customHeight="true" outlineLevel="0" collapsed="false">
      <c r="B75" s="9" t="s">
        <v>348</v>
      </c>
      <c r="C75" s="61" t="n">
        <f aca="false">Inputs!$C$13/60*Inputs!$C$21/Inputs!$C$20</f>
        <v>38.969696969697</v>
      </c>
      <c r="D75" s="9" t="s">
        <v>345</v>
      </c>
    </row>
    <row r="76" customFormat="false" ht="15" hidden="false" customHeight="true" outlineLevel="0" collapsed="false">
      <c r="B76" s="9" t="s">
        <v>349</v>
      </c>
      <c r="C76" s="65" t="n">
        <f aca="false">IF(HMB!$C$73&gt;0,HMB!$C$75/HMB!$C$73,"n/a")</f>
        <v>0.0193819371985017</v>
      </c>
      <c r="D76" s="9" t="s">
        <v>169</v>
      </c>
      <c r="E76" s="17" t="s">
        <v>350</v>
      </c>
    </row>
    <row r="77" customFormat="false" ht="15" hidden="false" customHeight="true" outlineLevel="0" collapsed="false">
      <c r="B77" s="9" t="s">
        <v>351</v>
      </c>
      <c r="C77" s="61" t="n">
        <f aca="false">IF(HMB!$C$73&gt;0,HMB!$C$73*Inputs!$C$22/(Inputs!$C$13/60/Inputs!$C$20),"n/a")</f>
        <v>103.188859788206</v>
      </c>
      <c r="D77" s="9" t="s">
        <v>57</v>
      </c>
    </row>
    <row r="78" customFormat="false" ht="15" hidden="false" customHeight="true" outlineLevel="0" collapsed="false">
      <c r="B78" s="9" t="s">
        <v>352</v>
      </c>
      <c r="C78" s="30" t="n">
        <f aca="false">HMB!$C$75/Inputs!$C$22</f>
        <v>389.69696969697</v>
      </c>
      <c r="D78" s="9" t="s">
        <v>345</v>
      </c>
    </row>
    <row r="79" customFormat="false" ht="15" hidden="false" customHeight="true" outlineLevel="0" collapsed="false">
      <c r="B79" s="11" t="s">
        <v>353</v>
      </c>
      <c r="C79" s="63" t="n">
        <f aca="false">IF(ISNUMBER(Equipment!$C$5),HMB!$C$78/(PI()/4*Equipment!$C$5^2),"n/a")</f>
        <v>7.75277487940066</v>
      </c>
      <c r="D79" s="9" t="s">
        <v>52</v>
      </c>
      <c r="E79" s="17" t="s">
        <v>354</v>
      </c>
    </row>
    <row r="80" customFormat="false" ht="15" hidden="false" customHeight="true" outlineLevel="0" collapsed="false">
      <c r="B80" s="11" t="s">
        <v>355</v>
      </c>
      <c r="C80" s="60" t="n">
        <f aca="false">IF(ISNUMBER(Equipment!$C$6),MAX(Equipment!$C$6,CEILING(HMB!$C$79,1)),"n/a")</f>
        <v>40</v>
      </c>
      <c r="D80" s="9" t="s">
        <v>52</v>
      </c>
    </row>
    <row r="81" customFormat="false" ht="15" hidden="false" customHeight="true" outlineLevel="0" collapsed="false">
      <c r="B81" s="9" t="s">
        <v>55</v>
      </c>
      <c r="C81" s="30" t="str">
        <f aca="false">IF(ISNUMBER(Equipment!$C$6),IF(HMB!$C$79&gt;Equipment!$C$6,"EXTEND DRUM "&amp;TEXT(HMB!$C$79-Equipment!$C$6,"0.0")&amp;" ft FOR RETENTION TIME","STANDARD LENGTH GIVES THE RETENTION TIME"),"")</f>
        <v>STANDARD LENGTH GIVES THE RETENTION TIME</v>
      </c>
      <c r="D8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3" min="3" style="1" width="30"/>
    <col collapsed="false" customWidth="true" hidden="false" outlineLevel="0" max="5" min="4" style="1" width="9"/>
    <col collapsed="false" customWidth="true" hidden="false" outlineLevel="0" max="7" min="6" style="1" width="10"/>
    <col collapsed="false" customWidth="true" hidden="false" outlineLevel="0" max="9" min="8" style="1" width="12"/>
    <col collapsed="false" customWidth="true" hidden="false" outlineLevel="0" max="11" min="10" style="1" width="13"/>
    <col collapsed="false" customWidth="true" hidden="false" outlineLevel="0" max="13" min="12" style="1" width="12"/>
    <col collapsed="false" customWidth="true" hidden="false" outlineLevel="0" max="14" min="14" style="1" width="13"/>
    <col collapsed="false" customWidth="true" hidden="false" outlineLevel="0" max="15" min="15" style="1" width="14"/>
    <col collapsed="false" customWidth="true" hidden="false" outlineLevel="0" max="16" min="16" style="1" width="10"/>
    <col collapsed="false" customWidth="true" hidden="false" outlineLevel="0" max="17" min="17" style="1" width="60"/>
  </cols>
  <sheetData>
    <row r="1" customFormat="false" ht="15.75" hidden="false" customHeight="true" outlineLevel="0" collapsed="false">
      <c r="B1" s="5" t="s">
        <v>356</v>
      </c>
    </row>
    <row r="2" customFormat="false" ht="15" hidden="false" customHeight="true" outlineLevel="0" collapsed="false">
      <c r="B2" s="9" t="s">
        <v>357</v>
      </c>
      <c r="K2" s="1" t="s">
        <v>358</v>
      </c>
      <c r="L2" s="67" t="n">
        <v>6</v>
      </c>
      <c r="M2" s="1" t="s">
        <v>359</v>
      </c>
      <c r="N2" s="67" t="n">
        <v>8</v>
      </c>
      <c r="O2" s="1" t="s">
        <v>360</v>
      </c>
      <c r="P2" s="67" t="n">
        <v>8</v>
      </c>
    </row>
    <row r="3" customFormat="false" ht="15" hidden="false" customHeight="true" outlineLevel="0" collapsed="false">
      <c r="B3" s="17" t="s">
        <v>361</v>
      </c>
    </row>
    <row r="5" customFormat="false" ht="34.5" hidden="false" customHeight="true" outlineLevel="0" collapsed="false">
      <c r="B5" s="21" t="s">
        <v>362</v>
      </c>
      <c r="C5" s="21" t="s">
        <v>50</v>
      </c>
      <c r="D5" s="21" t="s">
        <v>363</v>
      </c>
      <c r="E5" s="21" t="s">
        <v>364</v>
      </c>
      <c r="F5" s="21" t="s">
        <v>365</v>
      </c>
      <c r="G5" s="21" t="s">
        <v>366</v>
      </c>
      <c r="H5" s="21" t="s">
        <v>367</v>
      </c>
      <c r="I5" s="21" t="s">
        <v>368</v>
      </c>
      <c r="J5" s="21" t="s">
        <v>369</v>
      </c>
      <c r="K5" s="21" t="s">
        <v>370</v>
      </c>
      <c r="L5" s="21" t="s">
        <v>371</v>
      </c>
      <c r="M5" s="21" t="s">
        <v>372</v>
      </c>
      <c r="N5" s="21" t="s">
        <v>373</v>
      </c>
      <c r="O5" s="21" t="s">
        <v>374</v>
      </c>
      <c r="P5" s="21" t="s">
        <v>375</v>
      </c>
      <c r="Q5" s="21" t="s">
        <v>376</v>
      </c>
    </row>
    <row r="6" customFormat="false" ht="15" hidden="false" customHeight="true" outlineLevel="0" collapsed="false">
      <c r="B6" s="9" t="s">
        <v>95</v>
      </c>
      <c r="C6" s="11" t="s">
        <v>377</v>
      </c>
      <c r="D6" s="18" t="n">
        <v>3</v>
      </c>
      <c r="E6" s="18" t="n">
        <v>12</v>
      </c>
      <c r="F6" s="68" t="n">
        <f aca="false">IF(OR(D6="",E6=""),"",PI()/4*D6^2)</f>
        <v>7.06858347057703</v>
      </c>
      <c r="G6" s="69" t="n">
        <f aca="false">IF(OR(D6="",E6=""),"",F6*E6)</f>
        <v>84.8230016469244</v>
      </c>
      <c r="H6" s="69" t="n">
        <f aca="false">IF(F6="","",F6*Inputs!$C$44)</f>
        <v>2474.00421470196</v>
      </c>
      <c r="I6" s="28"/>
      <c r="J6" s="69" t="str">
        <f aca="false">IF(I6="","",I6*1000000/Inputs!$C$29)</f>
        <v/>
      </c>
      <c r="K6" s="69" t="n">
        <f aca="false">IF(G6="","",G6*$L$2)</f>
        <v>508.938009881546</v>
      </c>
      <c r="L6" s="69" t="n">
        <f aca="false">IF(K6="","",IF(J6="",K6,MIN(J6,K6)))</f>
        <v>508.938009881546</v>
      </c>
      <c r="M6" s="69" t="n">
        <f aca="false">IF(AND(B6=Inputs!$C$28,H6&lt;&gt;"",L6&lt;&gt;"",H6&gt;=HMB!$C$53*(1+Inputs!$C$51),L6&gt;=HMB!$C$9*(1+Inputs!$C$51)),ROW(),99999)</f>
        <v>99999</v>
      </c>
      <c r="N6" s="68" t="n">
        <f aca="false">IF(L6="","",L6*Inputs!$C$29/1000000)</f>
        <v>0.890641517292706</v>
      </c>
      <c r="O6" s="70"/>
      <c r="P6" s="71"/>
      <c r="Q6" s="17" t="s">
        <v>378</v>
      </c>
    </row>
    <row r="7" customFormat="false" ht="15" hidden="false" customHeight="true" outlineLevel="0" collapsed="false">
      <c r="B7" s="9" t="s">
        <v>95</v>
      </c>
      <c r="C7" s="11" t="s">
        <v>379</v>
      </c>
      <c r="D7" s="18" t="n">
        <v>3</v>
      </c>
      <c r="E7" s="18" t="n">
        <v>20</v>
      </c>
      <c r="F7" s="68" t="n">
        <f aca="false">IF(OR(D7="",E7=""),"",PI()/4*D7^2)</f>
        <v>7.06858347057703</v>
      </c>
      <c r="G7" s="69" t="n">
        <f aca="false">IF(OR(D7="",E7=""),"",F7*E7)</f>
        <v>141.371669411541</v>
      </c>
      <c r="H7" s="69" t="n">
        <f aca="false">IF(F7="","",F7*Inputs!$C$44)</f>
        <v>2474.00421470196</v>
      </c>
      <c r="I7" s="28"/>
      <c r="J7" s="69" t="str">
        <f aca="false">IF(I7="","",I7*1000000/Inputs!$C$29)</f>
        <v/>
      </c>
      <c r="K7" s="69" t="n">
        <f aca="false">IF(G7="","",G7*$L$2)</f>
        <v>848.230016469244</v>
      </c>
      <c r="L7" s="69" t="n">
        <f aca="false">IF(K7="","",IF(J7="",K7,MIN(J7,K7)))</f>
        <v>848.230016469244</v>
      </c>
      <c r="M7" s="69" t="n">
        <f aca="false">IF(AND(B7=Inputs!$C$28,H7&lt;&gt;"",L7&lt;&gt;"",H7&gt;=HMB!$C$53*(1+Inputs!$C$51),L7&gt;=HMB!$C$9*(1+Inputs!$C$51)),ROW(),99999)</f>
        <v>99999</v>
      </c>
      <c r="N7" s="68" t="n">
        <f aca="false">IF(L7="","",L7*Inputs!$C$29/1000000)</f>
        <v>1.48440252882118</v>
      </c>
      <c r="O7" s="70"/>
      <c r="P7" s="71"/>
      <c r="Q7" s="17" t="s">
        <v>378</v>
      </c>
    </row>
    <row r="8" customFormat="false" ht="15" hidden="false" customHeight="true" outlineLevel="0" collapsed="false">
      <c r="B8" s="9" t="s">
        <v>95</v>
      </c>
      <c r="C8" s="11" t="s">
        <v>380</v>
      </c>
      <c r="D8" s="18" t="n">
        <v>4</v>
      </c>
      <c r="E8" s="18" t="n">
        <v>20</v>
      </c>
      <c r="F8" s="68" t="n">
        <f aca="false">IF(OR(D8="",E8=""),"",PI()/4*D8^2)</f>
        <v>12.5663706143592</v>
      </c>
      <c r="G8" s="69" t="n">
        <f aca="false">IF(OR(D8="",E8=""),"",F8*E8)</f>
        <v>251.327412287183</v>
      </c>
      <c r="H8" s="69" t="n">
        <f aca="false">IF(F8="","",F8*Inputs!$C$44)</f>
        <v>4398.22971502571</v>
      </c>
      <c r="I8" s="28"/>
      <c r="J8" s="69" t="str">
        <f aca="false">IF(I8="","",I8*1000000/Inputs!$C$29)</f>
        <v/>
      </c>
      <c r="K8" s="69" t="n">
        <f aca="false">IF(G8="","",G8*$L$2)</f>
        <v>1507.9644737231</v>
      </c>
      <c r="L8" s="69" t="n">
        <f aca="false">IF(K8="","",IF(J8="",K8,MIN(J8,K8)))</f>
        <v>1507.9644737231</v>
      </c>
      <c r="M8" s="69" t="n">
        <f aca="false">IF(AND(B8=Inputs!$C$28,H8&lt;&gt;"",L8&lt;&gt;"",H8&gt;=HMB!$C$53*(1+Inputs!$C$51),L8&gt;=HMB!$C$9*(1+Inputs!$C$51)),ROW(),99999)</f>
        <v>99999</v>
      </c>
      <c r="N8" s="68" t="n">
        <f aca="false">IF(L8="","",L8*Inputs!$C$29/1000000)</f>
        <v>2.63893782901543</v>
      </c>
      <c r="O8" s="70"/>
      <c r="P8" s="71"/>
      <c r="Q8" s="17" t="s">
        <v>378</v>
      </c>
    </row>
    <row r="9" customFormat="false" ht="15" hidden="false" customHeight="true" outlineLevel="0" collapsed="false">
      <c r="B9" s="9" t="s">
        <v>95</v>
      </c>
      <c r="C9" s="11" t="s">
        <v>381</v>
      </c>
      <c r="D9" s="18" t="n">
        <v>5</v>
      </c>
      <c r="E9" s="18" t="n">
        <v>25</v>
      </c>
      <c r="F9" s="68" t="n">
        <f aca="false">IF(OR(D9="",E9=""),"",PI()/4*D9^2)</f>
        <v>19.6349540849362</v>
      </c>
      <c r="G9" s="69" t="n">
        <f aca="false">IF(OR(D9="",E9=""),"",F9*E9)</f>
        <v>490.873852123405</v>
      </c>
      <c r="H9" s="69" t="n">
        <f aca="false">IF(F9="","",F9*Inputs!$C$44)</f>
        <v>6872.23392972767</v>
      </c>
      <c r="I9" s="28"/>
      <c r="J9" s="69" t="str">
        <f aca="false">IF(I9="","",I9*1000000/Inputs!$C$29)</f>
        <v/>
      </c>
      <c r="K9" s="69" t="n">
        <f aca="false">IF(G9="","",G9*$L$2)</f>
        <v>2945.24311274043</v>
      </c>
      <c r="L9" s="69" t="n">
        <f aca="false">IF(K9="","",IF(J9="",K9,MIN(J9,K9)))</f>
        <v>2945.24311274043</v>
      </c>
      <c r="M9" s="69" t="n">
        <f aca="false">IF(AND(B9=Inputs!$C$28,H9&lt;&gt;"",L9&lt;&gt;"",H9&gt;=HMB!$C$53*(1+Inputs!$C$51),L9&gt;=HMB!$C$9*(1+Inputs!$C$51)),ROW(),99999)</f>
        <v>99999</v>
      </c>
      <c r="N9" s="68" t="n">
        <f aca="false">IF(L9="","",L9*Inputs!$C$29/1000000)</f>
        <v>5.15417544729576</v>
      </c>
      <c r="O9" s="70"/>
      <c r="P9" s="71"/>
      <c r="Q9" s="17" t="s">
        <v>378</v>
      </c>
    </row>
    <row r="10" customFormat="false" ht="15" hidden="false" customHeight="true" outlineLevel="0" collapsed="false">
      <c r="B10" s="9" t="s">
        <v>95</v>
      </c>
      <c r="C10" s="11" t="s">
        <v>382</v>
      </c>
      <c r="D10" s="18" t="n">
        <v>6</v>
      </c>
      <c r="E10" s="18" t="n">
        <v>30</v>
      </c>
      <c r="F10" s="68" t="n">
        <f aca="false">IF(OR(D10="",E10=""),"",PI()/4*D10^2)</f>
        <v>28.2743338823081</v>
      </c>
      <c r="G10" s="69" t="n">
        <f aca="false">IF(OR(D10="",E10=""),"",F10*E10)</f>
        <v>848.230016469244</v>
      </c>
      <c r="H10" s="69" t="n">
        <f aca="false">IF(F10="","",F10*Inputs!$C$44)</f>
        <v>9896.01685880785</v>
      </c>
      <c r="I10" s="28"/>
      <c r="J10" s="69" t="str">
        <f aca="false">IF(I10="","",I10*1000000/Inputs!$C$29)</f>
        <v/>
      </c>
      <c r="K10" s="69" t="n">
        <f aca="false">IF(G10="","",G10*$L$2)</f>
        <v>5089.38009881546</v>
      </c>
      <c r="L10" s="69" t="n">
        <f aca="false">IF(K10="","",IF(J10="",K10,MIN(J10,K10)))</f>
        <v>5089.38009881546</v>
      </c>
      <c r="M10" s="69" t="n">
        <f aca="false">IF(AND(B10=Inputs!$C$28,H10&lt;&gt;"",L10&lt;&gt;"",H10&gt;=HMB!$C$53*(1+Inputs!$C$51),L10&gt;=HMB!$C$9*(1+Inputs!$C$51)),ROW(),99999)</f>
        <v>99999</v>
      </c>
      <c r="N10" s="68" t="n">
        <f aca="false">IF(L10="","",L10*Inputs!$C$29/1000000)</f>
        <v>8.90641517292706</v>
      </c>
      <c r="O10" s="70"/>
      <c r="P10" s="71"/>
      <c r="Q10" s="17" t="s">
        <v>378</v>
      </c>
    </row>
    <row r="11" customFormat="false" ht="15" hidden="false" customHeight="true" outlineLevel="0" collapsed="false">
      <c r="B11" s="9" t="s">
        <v>95</v>
      </c>
      <c r="C11" s="11" t="s">
        <v>383</v>
      </c>
      <c r="D11" s="18" t="n">
        <v>7</v>
      </c>
      <c r="E11" s="18" t="n">
        <v>35</v>
      </c>
      <c r="F11" s="68" t="n">
        <f aca="false">IF(OR(D11="",E11=""),"",PI()/4*D11^2)</f>
        <v>38.484510006475</v>
      </c>
      <c r="G11" s="69" t="n">
        <f aca="false">IF(OR(D11="",E11=""),"",F11*E11)</f>
        <v>1346.95785022662</v>
      </c>
      <c r="H11" s="69" t="n">
        <f aca="false">IF(F11="","",F11*Inputs!$C$44)</f>
        <v>13469.5785022662</v>
      </c>
      <c r="I11" s="28"/>
      <c r="J11" s="69" t="str">
        <f aca="false">IF(I11="","",I11*1000000/Inputs!$C$29)</f>
        <v/>
      </c>
      <c r="K11" s="69" t="n">
        <f aca="false">IF(G11="","",G11*$L$2)</f>
        <v>8081.74710135974</v>
      </c>
      <c r="L11" s="69" t="n">
        <f aca="false">IF(K11="","",IF(J11="",K11,MIN(J11,K11)))</f>
        <v>8081.74710135974</v>
      </c>
      <c r="M11" s="69" t="n">
        <f aca="false">IF(AND(B11=Inputs!$C$28,H11&lt;&gt;"",L11&lt;&gt;"",H11&gt;=HMB!$C$53*(1+Inputs!$C$51),L11&gt;=HMB!$C$9*(1+Inputs!$C$51)),ROW(),99999)</f>
        <v>99999</v>
      </c>
      <c r="N11" s="68" t="n">
        <f aca="false">IF(L11="","",L11*Inputs!$C$29/1000000)</f>
        <v>14.1430574273796</v>
      </c>
      <c r="O11" s="70"/>
      <c r="P11" s="71"/>
      <c r="Q11" s="17" t="s">
        <v>378</v>
      </c>
    </row>
    <row r="12" customFormat="false" ht="15" hidden="false" customHeight="true" outlineLevel="0" collapsed="false">
      <c r="B12" s="9" t="s">
        <v>95</v>
      </c>
      <c r="C12" s="11" t="s">
        <v>384</v>
      </c>
      <c r="D12" s="18" t="n">
        <v>8</v>
      </c>
      <c r="E12" s="18" t="n">
        <v>40</v>
      </c>
      <c r="F12" s="68" t="n">
        <f aca="false">IF(OR(D12="",E12=""),"",PI()/4*D12^2)</f>
        <v>50.2654824574367</v>
      </c>
      <c r="G12" s="69" t="n">
        <f aca="false">IF(OR(D12="",E12=""),"",F12*E12)</f>
        <v>2010.61929829747</v>
      </c>
      <c r="H12" s="69" t="n">
        <f aca="false">IF(F12="","",F12*Inputs!$C$44)</f>
        <v>17592.9188601028</v>
      </c>
      <c r="I12" s="28"/>
      <c r="J12" s="69" t="str">
        <f aca="false">IF(I12="","",I12*1000000/Inputs!$C$29)</f>
        <v/>
      </c>
      <c r="K12" s="69" t="n">
        <f aca="false">IF(G12="","",G12*$L$2)</f>
        <v>12063.7157897848</v>
      </c>
      <c r="L12" s="69" t="n">
        <f aca="false">IF(K12="","",IF(J12="",K12,MIN(J12,K12)))</f>
        <v>12063.7157897848</v>
      </c>
      <c r="M12" s="69" t="n">
        <f aca="false">IF(AND(B12=Inputs!$C$28,H12&lt;&gt;"",L12&lt;&gt;"",H12&gt;=HMB!$C$53*(1+Inputs!$C$51),L12&gt;=HMB!$C$9*(1+Inputs!$C$51)),ROW(),99999)</f>
        <v>12</v>
      </c>
      <c r="N12" s="68" t="n">
        <f aca="false">IF(L12="","",L12*Inputs!$C$29/1000000)</f>
        <v>21.1115026321234</v>
      </c>
      <c r="O12" s="70"/>
      <c r="P12" s="71"/>
      <c r="Q12" s="17" t="s">
        <v>378</v>
      </c>
    </row>
    <row r="13" customFormat="false" ht="15" hidden="false" customHeight="true" outlineLevel="0" collapsed="false">
      <c r="B13" s="9" t="s">
        <v>95</v>
      </c>
      <c r="C13" s="11" t="s">
        <v>385</v>
      </c>
      <c r="D13" s="18" t="n">
        <v>10</v>
      </c>
      <c r="E13" s="18" t="n">
        <v>50</v>
      </c>
      <c r="F13" s="68" t="n">
        <f aca="false">IF(OR(D13="",E13=""),"",PI()/4*D13^2)</f>
        <v>78.5398163397448</v>
      </c>
      <c r="G13" s="69" t="n">
        <f aca="false">IF(OR(D13="",E13=""),"",F13*E13)</f>
        <v>3926.99081698724</v>
      </c>
      <c r="H13" s="69" t="n">
        <f aca="false">IF(F13="","",F13*Inputs!$C$44)</f>
        <v>27488.9357189107</v>
      </c>
      <c r="I13" s="28"/>
      <c r="J13" s="69" t="str">
        <f aca="false">IF(I13="","",I13*1000000/Inputs!$C$29)</f>
        <v/>
      </c>
      <c r="K13" s="69" t="n">
        <f aca="false">IF(G13="","",G13*$L$2)</f>
        <v>23561.9449019235</v>
      </c>
      <c r="L13" s="69" t="n">
        <f aca="false">IF(K13="","",IF(J13="",K13,MIN(J13,K13)))</f>
        <v>23561.9449019235</v>
      </c>
      <c r="M13" s="69" t="n">
        <f aca="false">IF(AND(B13=Inputs!$C$28,H13&lt;&gt;"",L13&lt;&gt;"",H13&gt;=HMB!$C$53*(1+Inputs!$C$51),L13&gt;=HMB!$C$9*(1+Inputs!$C$51)),ROW(),99999)</f>
        <v>13</v>
      </c>
      <c r="N13" s="68" t="n">
        <f aca="false">IF(L13="","",L13*Inputs!$C$29/1000000)</f>
        <v>41.233403578366</v>
      </c>
      <c r="O13" s="70"/>
      <c r="P13" s="71"/>
      <c r="Q13" s="17" t="s">
        <v>378</v>
      </c>
    </row>
    <row r="14" customFormat="false" ht="15" hidden="false" customHeight="true" outlineLevel="0" collapsed="false">
      <c r="B14" s="9" t="s">
        <v>95</v>
      </c>
      <c r="C14" s="11" t="s">
        <v>386</v>
      </c>
      <c r="D14" s="18" t="n">
        <v>12</v>
      </c>
      <c r="E14" s="18" t="n">
        <v>60</v>
      </c>
      <c r="F14" s="68" t="n">
        <f aca="false">IF(OR(D14="",E14=""),"",PI()/4*D14^2)</f>
        <v>113.097335529233</v>
      </c>
      <c r="G14" s="69" t="n">
        <f aca="false">IF(OR(D14="",E14=""),"",F14*E14)</f>
        <v>6785.84013175395</v>
      </c>
      <c r="H14" s="69" t="n">
        <f aca="false">IF(F14="","",F14*Inputs!$C$44)</f>
        <v>39584.0674352314</v>
      </c>
      <c r="I14" s="28"/>
      <c r="J14" s="69" t="str">
        <f aca="false">IF(I14="","",I14*1000000/Inputs!$C$29)</f>
        <v/>
      </c>
      <c r="K14" s="69" t="n">
        <f aca="false">IF(G14="","",G14*$L$2)</f>
        <v>40715.0407905237</v>
      </c>
      <c r="L14" s="69" t="n">
        <f aca="false">IF(K14="","",IF(J14="",K14,MIN(J14,K14)))</f>
        <v>40715.0407905237</v>
      </c>
      <c r="M14" s="69" t="n">
        <f aca="false">IF(AND(B14=Inputs!$C$28,H14&lt;&gt;"",L14&lt;&gt;"",H14&gt;=HMB!$C$53*(1+Inputs!$C$51),L14&gt;=HMB!$C$9*(1+Inputs!$C$51)),ROW(),99999)</f>
        <v>14</v>
      </c>
      <c r="N14" s="68" t="n">
        <f aca="false">IF(L14="","",L14*Inputs!$C$29/1000000)</f>
        <v>71.2513213834165</v>
      </c>
      <c r="O14" s="70"/>
      <c r="P14" s="71"/>
      <c r="Q14" s="17" t="s">
        <v>378</v>
      </c>
    </row>
    <row r="15" customFormat="false" ht="15" hidden="false" customHeight="true" outlineLevel="0" collapsed="false">
      <c r="B15" s="9" t="s">
        <v>95</v>
      </c>
      <c r="C15" s="11" t="s">
        <v>387</v>
      </c>
      <c r="D15" s="18" t="n">
        <v>13</v>
      </c>
      <c r="E15" s="18" t="n">
        <v>60</v>
      </c>
      <c r="F15" s="68" t="n">
        <f aca="false">IF(OR(D15="",E15=""),"",PI()/4*D15^2)</f>
        <v>132.732289614169</v>
      </c>
      <c r="G15" s="69" t="n">
        <f aca="false">IF(OR(D15="",E15=""),"",F15*E15)</f>
        <v>7963.93737685013</v>
      </c>
      <c r="H15" s="69" t="n">
        <f aca="false">IF(F15="","",F15*Inputs!$C$44)</f>
        <v>46456.3013649591</v>
      </c>
      <c r="I15" s="28"/>
      <c r="J15" s="69" t="str">
        <f aca="false">IF(I15="","",I15*1000000/Inputs!$C$29)</f>
        <v/>
      </c>
      <c r="K15" s="69" t="n">
        <f aca="false">IF(G15="","",G15*$L$2)</f>
        <v>47783.6242611008</v>
      </c>
      <c r="L15" s="69" t="n">
        <f aca="false">IF(K15="","",IF(J15="",K15,MIN(J15,K15)))</f>
        <v>47783.6242611008</v>
      </c>
      <c r="M15" s="69" t="n">
        <f aca="false">IF(AND(B15=Inputs!$C$28,H15&lt;&gt;"",L15&lt;&gt;"",H15&gt;=HMB!$C$53*(1+Inputs!$C$51),L15&gt;=HMB!$C$9*(1+Inputs!$C$51)),ROW(),99999)</f>
        <v>15</v>
      </c>
      <c r="N15" s="68" t="n">
        <f aca="false">IF(L15="","",L15*Inputs!$C$29/1000000)</f>
        <v>83.6213424569263</v>
      </c>
      <c r="O15" s="70"/>
      <c r="P15" s="71"/>
      <c r="Q15" s="17" t="s">
        <v>378</v>
      </c>
    </row>
    <row r="16" customFormat="false" ht="15" hidden="false" customHeight="true" outlineLevel="0" collapsed="false">
      <c r="B16" s="9" t="s">
        <v>95</v>
      </c>
      <c r="C16" s="11" t="s">
        <v>388</v>
      </c>
      <c r="D16" s="72"/>
      <c r="E16" s="72"/>
      <c r="F16" s="68" t="str">
        <f aca="false">IF(OR(D16="",E16=""),"",PI()/4*D16^2)</f>
        <v/>
      </c>
      <c r="G16" s="69" t="str">
        <f aca="false">IF(OR(D16="",E16=""),"",F16*E16)</f>
        <v/>
      </c>
      <c r="H16" s="69" t="str">
        <f aca="false">IF(F16="","",F16*Inputs!$C$44)</f>
        <v/>
      </c>
      <c r="I16" s="28"/>
      <c r="J16" s="69" t="str">
        <f aca="false">IF(I16="","",I16*1000000/Inputs!$C$29)</f>
        <v/>
      </c>
      <c r="K16" s="69" t="str">
        <f aca="false">IF(G16="","",G16*$L$2)</f>
        <v/>
      </c>
      <c r="L16" s="69" t="str">
        <f aca="false">IF(K16="","",IF(J16="",K16,MIN(J16,K16)))</f>
        <v/>
      </c>
      <c r="M16" s="69" t="n">
        <f aca="false">IF(AND(B16=Inputs!$C$28,H16&lt;&gt;"",L16&lt;&gt;"",H16&gt;=HMB!$C$53*(1+Inputs!$C$51),L16&gt;=HMB!$C$9*(1+Inputs!$C$51)),ROW(),99999)</f>
        <v>99999</v>
      </c>
      <c r="N16" s="68" t="str">
        <f aca="false">IF(L16="","",L16*Inputs!$C$29/1000000)</f>
        <v/>
      </c>
      <c r="O16" s="70"/>
      <c r="P16" s="71"/>
      <c r="Q16" s="17" t="s">
        <v>389</v>
      </c>
    </row>
    <row r="17" customFormat="false" ht="15" hidden="false" customHeight="true" outlineLevel="0" collapsed="false">
      <c r="B17" s="9" t="s">
        <v>99</v>
      </c>
      <c r="C17" s="11" t="s">
        <v>390</v>
      </c>
      <c r="D17" s="18" t="n">
        <v>3</v>
      </c>
      <c r="E17" s="18" t="n">
        <v>12</v>
      </c>
      <c r="F17" s="68" t="n">
        <f aca="false">IF(OR(D17="",E17=""),"",PI()/4*D17^2)</f>
        <v>7.06858347057703</v>
      </c>
      <c r="G17" s="69" t="n">
        <f aca="false">IF(OR(D17="",E17=""),"",F17*E17)</f>
        <v>84.8230016469244</v>
      </c>
      <c r="H17" s="73" t="n">
        <f aca="false">IF(F17="","",F17*Inputs!$C$44*Inputs!$C$53)</f>
        <v>2474.00421470196</v>
      </c>
      <c r="I17" s="28"/>
      <c r="J17" s="69" t="str">
        <f aca="false">IF(I17="","",I17*1000000/Inputs!$C$29)</f>
        <v/>
      </c>
      <c r="K17" s="69" t="n">
        <f aca="false">IF(G17="","",G17*$N$2)</f>
        <v>678.584013175395</v>
      </c>
      <c r="L17" s="69" t="n">
        <f aca="false">IF(K17="","",IF(J17="",K17,MIN(J17,K17)))</f>
        <v>678.584013175395</v>
      </c>
      <c r="M17" s="69" t="n">
        <f aca="false">IF(AND(B17=Inputs!$C$28,H17&lt;&gt;"",L17&lt;&gt;"",H17&gt;=HMB!$C$53*(1+Inputs!$C$51),L17&gt;=HMB!$C$9*(1+Inputs!$C$51)),ROW(),99999)</f>
        <v>99999</v>
      </c>
      <c r="N17" s="68" t="n">
        <f aca="false">IF(L17="","",L17*Inputs!$C$29/1000000)</f>
        <v>1.18752202305694</v>
      </c>
      <c r="O17" s="70"/>
      <c r="P17" s="71"/>
      <c r="Q17" s="17" t="s">
        <v>391</v>
      </c>
    </row>
    <row r="18" customFormat="false" ht="15" hidden="false" customHeight="true" outlineLevel="0" collapsed="false">
      <c r="B18" s="9" t="s">
        <v>99</v>
      </c>
      <c r="C18" s="11" t="s">
        <v>392</v>
      </c>
      <c r="D18" s="18" t="n">
        <v>3</v>
      </c>
      <c r="E18" s="18" t="n">
        <v>20</v>
      </c>
      <c r="F18" s="68" t="n">
        <f aca="false">IF(OR(D18="",E18=""),"",PI()/4*D18^2)</f>
        <v>7.06858347057703</v>
      </c>
      <c r="G18" s="69" t="n">
        <f aca="false">IF(OR(D18="",E18=""),"",F18*E18)</f>
        <v>141.371669411541</v>
      </c>
      <c r="H18" s="73" t="n">
        <f aca="false">IF(F18="","",F18*Inputs!$C$44*Inputs!$C$53)</f>
        <v>2474.00421470196</v>
      </c>
      <c r="I18" s="28"/>
      <c r="J18" s="69" t="str">
        <f aca="false">IF(I18="","",I18*1000000/Inputs!$C$29)</f>
        <v/>
      </c>
      <c r="K18" s="69" t="n">
        <f aca="false">IF(G18="","",G18*$N$2)</f>
        <v>1130.97335529233</v>
      </c>
      <c r="L18" s="69" t="n">
        <f aca="false">IF(K18="","",IF(J18="",K18,MIN(J18,K18)))</f>
        <v>1130.97335529233</v>
      </c>
      <c r="M18" s="69" t="n">
        <f aca="false">IF(AND(B18=Inputs!$C$28,H18&lt;&gt;"",L18&lt;&gt;"",H18&gt;=HMB!$C$53*(1+Inputs!$C$51),L18&gt;=HMB!$C$9*(1+Inputs!$C$51)),ROW(),99999)</f>
        <v>99999</v>
      </c>
      <c r="N18" s="68" t="n">
        <f aca="false">IF(L18="","",L18*Inputs!$C$29/1000000)</f>
        <v>1.97920337176157</v>
      </c>
      <c r="O18" s="70"/>
      <c r="P18" s="71"/>
      <c r="Q18" s="17" t="s">
        <v>391</v>
      </c>
    </row>
    <row r="19" customFormat="false" ht="15" hidden="false" customHeight="true" outlineLevel="0" collapsed="false">
      <c r="B19" s="9" t="s">
        <v>99</v>
      </c>
      <c r="C19" s="11" t="s">
        <v>393</v>
      </c>
      <c r="D19" s="18" t="n">
        <v>4</v>
      </c>
      <c r="E19" s="18" t="n">
        <v>20</v>
      </c>
      <c r="F19" s="68" t="n">
        <f aca="false">IF(OR(D19="",E19=""),"",PI()/4*D19^2)</f>
        <v>12.5663706143592</v>
      </c>
      <c r="G19" s="69" t="n">
        <f aca="false">IF(OR(D19="",E19=""),"",F19*E19)</f>
        <v>251.327412287183</v>
      </c>
      <c r="H19" s="73" t="n">
        <f aca="false">IF(F19="","",F19*Inputs!$C$44*Inputs!$C$53)</f>
        <v>4398.22971502571</v>
      </c>
      <c r="I19" s="28"/>
      <c r="J19" s="69" t="str">
        <f aca="false">IF(I19="","",I19*1000000/Inputs!$C$29)</f>
        <v/>
      </c>
      <c r="K19" s="69" t="n">
        <f aca="false">IF(G19="","",G19*$N$2)</f>
        <v>2010.61929829747</v>
      </c>
      <c r="L19" s="69" t="n">
        <f aca="false">IF(K19="","",IF(J19="",K19,MIN(J19,K19)))</f>
        <v>2010.61929829747</v>
      </c>
      <c r="M19" s="69" t="n">
        <f aca="false">IF(AND(B19=Inputs!$C$28,H19&lt;&gt;"",L19&lt;&gt;"",H19&gt;=HMB!$C$53*(1+Inputs!$C$51),L19&gt;=HMB!$C$9*(1+Inputs!$C$51)),ROW(),99999)</f>
        <v>99999</v>
      </c>
      <c r="N19" s="68" t="n">
        <f aca="false">IF(L19="","",L19*Inputs!$C$29/1000000)</f>
        <v>3.51858377202057</v>
      </c>
      <c r="O19" s="70"/>
      <c r="P19" s="71"/>
      <c r="Q19" s="17" t="s">
        <v>391</v>
      </c>
    </row>
    <row r="20" customFormat="false" ht="15" hidden="false" customHeight="true" outlineLevel="0" collapsed="false">
      <c r="B20" s="9" t="s">
        <v>99</v>
      </c>
      <c r="C20" s="11" t="s">
        <v>394</v>
      </c>
      <c r="D20" s="18" t="n">
        <v>5</v>
      </c>
      <c r="E20" s="18" t="n">
        <v>25</v>
      </c>
      <c r="F20" s="68" t="n">
        <f aca="false">IF(OR(D20="",E20=""),"",PI()/4*D20^2)</f>
        <v>19.6349540849362</v>
      </c>
      <c r="G20" s="69" t="n">
        <f aca="false">IF(OR(D20="",E20=""),"",F20*E20)</f>
        <v>490.873852123405</v>
      </c>
      <c r="H20" s="73" t="n">
        <f aca="false">IF(F20="","",F20*Inputs!$C$44*Inputs!$C$53)</f>
        <v>6872.23392972767</v>
      </c>
      <c r="I20" s="28"/>
      <c r="J20" s="69" t="str">
        <f aca="false">IF(I20="","",I20*1000000/Inputs!$C$29)</f>
        <v/>
      </c>
      <c r="K20" s="69" t="n">
        <f aca="false">IF(G20="","",G20*$N$2)</f>
        <v>3926.99081698724</v>
      </c>
      <c r="L20" s="69" t="n">
        <f aca="false">IF(K20="","",IF(J20="",K20,MIN(J20,K20)))</f>
        <v>3926.99081698724</v>
      </c>
      <c r="M20" s="69" t="n">
        <f aca="false">IF(AND(B20=Inputs!$C$28,H20&lt;&gt;"",L20&lt;&gt;"",H20&gt;=HMB!$C$53*(1+Inputs!$C$51),L20&gt;=HMB!$C$9*(1+Inputs!$C$51)),ROW(),99999)</f>
        <v>99999</v>
      </c>
      <c r="N20" s="68" t="n">
        <f aca="false">IF(L20="","",L20*Inputs!$C$29/1000000)</f>
        <v>6.87223392972767</v>
      </c>
      <c r="O20" s="70"/>
      <c r="P20" s="71"/>
      <c r="Q20" s="17" t="s">
        <v>391</v>
      </c>
    </row>
    <row r="21" customFormat="false" ht="15" hidden="false" customHeight="true" outlineLevel="0" collapsed="false">
      <c r="B21" s="9" t="s">
        <v>99</v>
      </c>
      <c r="C21" s="11" t="s">
        <v>395</v>
      </c>
      <c r="D21" s="18" t="n">
        <v>6</v>
      </c>
      <c r="E21" s="18" t="n">
        <v>30</v>
      </c>
      <c r="F21" s="68" t="n">
        <f aca="false">IF(OR(D21="",E21=""),"",PI()/4*D21^2)</f>
        <v>28.2743338823081</v>
      </c>
      <c r="G21" s="69" t="n">
        <f aca="false">IF(OR(D21="",E21=""),"",F21*E21)</f>
        <v>848.230016469244</v>
      </c>
      <c r="H21" s="73" t="n">
        <f aca="false">IF(F21="","",F21*Inputs!$C$44*Inputs!$C$53)</f>
        <v>9896.01685880785</v>
      </c>
      <c r="I21" s="28"/>
      <c r="J21" s="69" t="str">
        <f aca="false">IF(I21="","",I21*1000000/Inputs!$C$29)</f>
        <v/>
      </c>
      <c r="K21" s="69" t="n">
        <f aca="false">IF(G21="","",G21*$N$2)</f>
        <v>6785.84013175395</v>
      </c>
      <c r="L21" s="69" t="n">
        <f aca="false">IF(K21="","",IF(J21="",K21,MIN(J21,K21)))</f>
        <v>6785.84013175395</v>
      </c>
      <c r="M21" s="69" t="n">
        <f aca="false">IF(AND(B21=Inputs!$C$28,H21&lt;&gt;"",L21&lt;&gt;"",H21&gt;=HMB!$C$53*(1+Inputs!$C$51),L21&gt;=HMB!$C$9*(1+Inputs!$C$51)),ROW(),99999)</f>
        <v>99999</v>
      </c>
      <c r="N21" s="68" t="n">
        <f aca="false">IF(L21="","",L21*Inputs!$C$29/1000000)</f>
        <v>11.8752202305694</v>
      </c>
      <c r="O21" s="70"/>
      <c r="P21" s="71"/>
      <c r="Q21" s="17" t="s">
        <v>391</v>
      </c>
    </row>
    <row r="22" customFormat="false" ht="15" hidden="false" customHeight="true" outlineLevel="0" collapsed="false">
      <c r="B22" s="9" t="s">
        <v>99</v>
      </c>
      <c r="C22" s="11" t="s">
        <v>396</v>
      </c>
      <c r="D22" s="18" t="n">
        <v>7</v>
      </c>
      <c r="E22" s="18" t="n">
        <v>35</v>
      </c>
      <c r="F22" s="68" t="n">
        <f aca="false">IF(OR(D22="",E22=""),"",PI()/4*D22^2)</f>
        <v>38.484510006475</v>
      </c>
      <c r="G22" s="69" t="n">
        <f aca="false">IF(OR(D22="",E22=""),"",F22*E22)</f>
        <v>1346.95785022662</v>
      </c>
      <c r="H22" s="73" t="n">
        <f aca="false">IF(F22="","",F22*Inputs!$C$44*Inputs!$C$53)</f>
        <v>13469.5785022662</v>
      </c>
      <c r="I22" s="28"/>
      <c r="J22" s="69" t="str">
        <f aca="false">IF(I22="","",I22*1000000/Inputs!$C$29)</f>
        <v/>
      </c>
      <c r="K22" s="69" t="n">
        <f aca="false">IF(G22="","",G22*$N$2)</f>
        <v>10775.662801813</v>
      </c>
      <c r="L22" s="69" t="n">
        <f aca="false">IF(K22="","",IF(J22="",K22,MIN(J22,K22)))</f>
        <v>10775.662801813</v>
      </c>
      <c r="M22" s="69" t="n">
        <f aca="false">IF(AND(B22=Inputs!$C$28,H22&lt;&gt;"",L22&lt;&gt;"",H22&gt;=HMB!$C$53*(1+Inputs!$C$51),L22&gt;=HMB!$C$9*(1+Inputs!$C$51)),ROW(),99999)</f>
        <v>99999</v>
      </c>
      <c r="N22" s="68" t="n">
        <f aca="false">IF(L22="","",L22*Inputs!$C$29/1000000)</f>
        <v>18.8574099031727</v>
      </c>
      <c r="O22" s="70"/>
      <c r="P22" s="71"/>
      <c r="Q22" s="17" t="s">
        <v>391</v>
      </c>
    </row>
    <row r="23" customFormat="false" ht="15" hidden="false" customHeight="true" outlineLevel="0" collapsed="false">
      <c r="B23" s="9" t="s">
        <v>99</v>
      </c>
      <c r="C23" s="11" t="s">
        <v>397</v>
      </c>
      <c r="D23" s="18" t="n">
        <v>8</v>
      </c>
      <c r="E23" s="18" t="n">
        <v>40</v>
      </c>
      <c r="F23" s="68" t="n">
        <f aca="false">IF(OR(D23="",E23=""),"",PI()/4*D23^2)</f>
        <v>50.2654824574367</v>
      </c>
      <c r="G23" s="69" t="n">
        <f aca="false">IF(OR(D23="",E23=""),"",F23*E23)</f>
        <v>2010.61929829747</v>
      </c>
      <c r="H23" s="73" t="n">
        <f aca="false">IF(F23="","",F23*Inputs!$C$44*Inputs!$C$53)</f>
        <v>17592.9188601028</v>
      </c>
      <c r="I23" s="28"/>
      <c r="J23" s="69" t="str">
        <f aca="false">IF(I23="","",I23*1000000/Inputs!$C$29)</f>
        <v/>
      </c>
      <c r="K23" s="69" t="n">
        <f aca="false">IF(G23="","",G23*$N$2)</f>
        <v>16084.9543863797</v>
      </c>
      <c r="L23" s="69" t="n">
        <f aca="false">IF(K23="","",IF(J23="",K23,MIN(J23,K23)))</f>
        <v>16084.9543863797</v>
      </c>
      <c r="M23" s="69" t="n">
        <f aca="false">IF(AND(B23=Inputs!$C$28,H23&lt;&gt;"",L23&lt;&gt;"",H23&gt;=HMB!$C$53*(1+Inputs!$C$51),L23&gt;=HMB!$C$9*(1+Inputs!$C$51)),ROW(),99999)</f>
        <v>99999</v>
      </c>
      <c r="N23" s="68" t="n">
        <f aca="false">IF(L23="","",L23*Inputs!$C$29/1000000)</f>
        <v>28.1486701761645</v>
      </c>
      <c r="O23" s="70"/>
      <c r="P23" s="71"/>
      <c r="Q23" s="17" t="s">
        <v>391</v>
      </c>
    </row>
    <row r="24" customFormat="false" ht="15" hidden="false" customHeight="true" outlineLevel="0" collapsed="false">
      <c r="B24" s="9" t="s">
        <v>99</v>
      </c>
      <c r="C24" s="11" t="s">
        <v>398</v>
      </c>
      <c r="D24" s="18" t="n">
        <v>10</v>
      </c>
      <c r="E24" s="18" t="n">
        <v>50</v>
      </c>
      <c r="F24" s="68" t="n">
        <f aca="false">IF(OR(D24="",E24=""),"",PI()/4*D24^2)</f>
        <v>78.5398163397448</v>
      </c>
      <c r="G24" s="69" t="n">
        <f aca="false">IF(OR(D24="",E24=""),"",F24*E24)</f>
        <v>3926.99081698724</v>
      </c>
      <c r="H24" s="73" t="n">
        <f aca="false">IF(F24="","",F24*Inputs!$C$44*Inputs!$C$53)</f>
        <v>27488.9357189107</v>
      </c>
      <c r="I24" s="28"/>
      <c r="J24" s="69" t="str">
        <f aca="false">IF(I24="","",I24*1000000/Inputs!$C$29)</f>
        <v/>
      </c>
      <c r="K24" s="69" t="n">
        <f aca="false">IF(G24="","",G24*$N$2)</f>
        <v>31415.9265358979</v>
      </c>
      <c r="L24" s="69" t="n">
        <f aca="false">IF(K24="","",IF(J24="",K24,MIN(J24,K24)))</f>
        <v>31415.9265358979</v>
      </c>
      <c r="M24" s="69" t="n">
        <f aca="false">IF(AND(B24=Inputs!$C$28,H24&lt;&gt;"",L24&lt;&gt;"",H24&gt;=HMB!$C$53*(1+Inputs!$C$51),L24&gt;=HMB!$C$9*(1+Inputs!$C$51)),ROW(),99999)</f>
        <v>99999</v>
      </c>
      <c r="N24" s="68" t="n">
        <f aca="false">IF(L24="","",L24*Inputs!$C$29/1000000)</f>
        <v>54.9778714378214</v>
      </c>
      <c r="O24" s="70"/>
      <c r="P24" s="71"/>
      <c r="Q24" s="17" t="s">
        <v>391</v>
      </c>
    </row>
    <row r="25" customFormat="false" ht="15" hidden="false" customHeight="true" outlineLevel="0" collapsed="false">
      <c r="B25" s="9" t="s">
        <v>99</v>
      </c>
      <c r="C25" s="11" t="s">
        <v>399</v>
      </c>
      <c r="D25" s="18" t="n">
        <v>12</v>
      </c>
      <c r="E25" s="18" t="n">
        <v>60</v>
      </c>
      <c r="F25" s="68" t="n">
        <f aca="false">IF(OR(D25="",E25=""),"",PI()/4*D25^2)</f>
        <v>113.097335529233</v>
      </c>
      <c r="G25" s="69" t="n">
        <f aca="false">IF(OR(D25="",E25=""),"",F25*E25)</f>
        <v>6785.84013175395</v>
      </c>
      <c r="H25" s="73" t="n">
        <f aca="false">IF(F25="","",F25*Inputs!$C$44*Inputs!$C$53)</f>
        <v>39584.0674352314</v>
      </c>
      <c r="I25" s="28"/>
      <c r="J25" s="69" t="str">
        <f aca="false">IF(I25="","",I25*1000000/Inputs!$C$29)</f>
        <v/>
      </c>
      <c r="K25" s="69" t="n">
        <f aca="false">IF(G25="","",G25*$N$2)</f>
        <v>54286.7210540316</v>
      </c>
      <c r="L25" s="69" t="n">
        <f aca="false">IF(K25="","",IF(J25="",K25,MIN(J25,K25)))</f>
        <v>54286.7210540316</v>
      </c>
      <c r="M25" s="69" t="n">
        <f aca="false">IF(AND(B25=Inputs!$C$28,H25&lt;&gt;"",L25&lt;&gt;"",H25&gt;=HMB!$C$53*(1+Inputs!$C$51),L25&gt;=HMB!$C$9*(1+Inputs!$C$51)),ROW(),99999)</f>
        <v>99999</v>
      </c>
      <c r="N25" s="68" t="n">
        <f aca="false">IF(L25="","",L25*Inputs!$C$29/1000000)</f>
        <v>95.0017618445553</v>
      </c>
      <c r="O25" s="70"/>
      <c r="P25" s="71"/>
      <c r="Q25" s="17" t="s">
        <v>391</v>
      </c>
    </row>
    <row r="26" customFormat="false" ht="15" hidden="false" customHeight="true" outlineLevel="0" collapsed="false">
      <c r="B26" s="9" t="s">
        <v>99</v>
      </c>
      <c r="C26" s="11" t="s">
        <v>400</v>
      </c>
      <c r="D26" s="18" t="n">
        <v>13</v>
      </c>
      <c r="E26" s="18" t="n">
        <v>60</v>
      </c>
      <c r="F26" s="68" t="n">
        <f aca="false">IF(OR(D26="",E26=""),"",PI()/4*D26^2)</f>
        <v>132.732289614169</v>
      </c>
      <c r="G26" s="69" t="n">
        <f aca="false">IF(OR(D26="",E26=""),"",F26*E26)</f>
        <v>7963.93737685013</v>
      </c>
      <c r="H26" s="73" t="n">
        <f aca="false">IF(F26="","",F26*Inputs!$C$44*Inputs!$C$53)</f>
        <v>46456.3013649591</v>
      </c>
      <c r="I26" s="28"/>
      <c r="J26" s="69" t="str">
        <f aca="false">IF(I26="","",I26*1000000/Inputs!$C$29)</f>
        <v/>
      </c>
      <c r="K26" s="69" t="n">
        <f aca="false">IF(G26="","",G26*$N$2)</f>
        <v>63711.499014801</v>
      </c>
      <c r="L26" s="69" t="n">
        <f aca="false">IF(K26="","",IF(J26="",K26,MIN(J26,K26)))</f>
        <v>63711.499014801</v>
      </c>
      <c r="M26" s="69" t="n">
        <f aca="false">IF(AND(B26=Inputs!$C$28,H26&lt;&gt;"",L26&lt;&gt;"",H26&gt;=HMB!$C$53*(1+Inputs!$C$51),L26&gt;=HMB!$C$9*(1+Inputs!$C$51)),ROW(),99999)</f>
        <v>99999</v>
      </c>
      <c r="N26" s="68" t="n">
        <f aca="false">IF(L26="","",L26*Inputs!$C$29/1000000)</f>
        <v>111.495123275902</v>
      </c>
      <c r="O26" s="70"/>
      <c r="P26" s="71"/>
      <c r="Q26" s="17" t="s">
        <v>391</v>
      </c>
    </row>
    <row r="27" customFormat="false" ht="15" hidden="false" customHeight="true" outlineLevel="0" collapsed="false">
      <c r="B27" s="9" t="s">
        <v>99</v>
      </c>
      <c r="C27" s="11" t="s">
        <v>401</v>
      </c>
      <c r="D27" s="72"/>
      <c r="E27" s="72"/>
      <c r="F27" s="68" t="str">
        <f aca="false">IF(OR(D27="",E27=""),"",PI()/4*D27^2)</f>
        <v/>
      </c>
      <c r="G27" s="69" t="str">
        <f aca="false">IF(OR(D27="",E27=""),"",F27*E27)</f>
        <v/>
      </c>
      <c r="H27" s="73" t="str">
        <f aca="false">IF(F27="","",F27*Inputs!$C$44*Inputs!$C$53)</f>
        <v/>
      </c>
      <c r="I27" s="28"/>
      <c r="J27" s="69" t="str">
        <f aca="false">IF(I27="","",I27*1000000/Inputs!$C$29)</f>
        <v/>
      </c>
      <c r="K27" s="69" t="str">
        <f aca="false">IF(G27="","",G27*$N$2)</f>
        <v/>
      </c>
      <c r="L27" s="69" t="str">
        <f aca="false">IF(K27="","",IF(J27="",K27,MIN(J27,K27)))</f>
        <v/>
      </c>
      <c r="M27" s="69" t="n">
        <f aca="false">IF(AND(B27=Inputs!$C$28,H27&lt;&gt;"",L27&lt;&gt;"",H27&gt;=HMB!$C$53*(1+Inputs!$C$51),L27&gt;=HMB!$C$9*(1+Inputs!$C$51)),ROW(),99999)</f>
        <v>99999</v>
      </c>
      <c r="N27" s="68" t="str">
        <f aca="false">IF(L27="","",L27*Inputs!$C$29/1000000)</f>
        <v/>
      </c>
      <c r="O27" s="70"/>
      <c r="P27" s="71"/>
      <c r="Q27" s="17" t="s">
        <v>402</v>
      </c>
    </row>
    <row r="28" customFormat="false" ht="15" hidden="false" customHeight="true" outlineLevel="0" collapsed="false">
      <c r="B28" s="9" t="s">
        <v>102</v>
      </c>
      <c r="C28" s="11" t="s">
        <v>403</v>
      </c>
      <c r="D28" s="18" t="n">
        <v>6</v>
      </c>
      <c r="E28" s="18" t="n">
        <v>24</v>
      </c>
      <c r="F28" s="68" t="n">
        <f aca="false">IF(OR(D28="",E28=""),"",PI()/4*D28^2)</f>
        <v>28.2743338823081</v>
      </c>
      <c r="G28" s="69" t="n">
        <f aca="false">IF(OR(D28="",E28=""),"",F28*E28)</f>
        <v>678.584013175395</v>
      </c>
      <c r="H28" s="22" t="n">
        <v>7000</v>
      </c>
      <c r="I28" s="28"/>
      <c r="J28" s="69" t="str">
        <f aca="false">IF(I28="","",I28*1000000/Inputs!$C$29)</f>
        <v/>
      </c>
      <c r="K28" s="69" t="n">
        <f aca="false">IF(G28="","",G28*$P$2)</f>
        <v>5428.67210540316</v>
      </c>
      <c r="L28" s="69" t="n">
        <f aca="false">IF(K28="","",IF(J28="",K28,MIN(J28,K28)))</f>
        <v>5428.67210540316</v>
      </c>
      <c r="M28" s="69" t="n">
        <f aca="false">IF(AND(B28=Inputs!$C$28,H28&lt;&gt;"",L28&lt;&gt;"",H28&gt;=HMB!$C$53*(1+Inputs!$C$51),L28&gt;=HMB!$C$9*(1+Inputs!$C$51)),ROW(),99999)</f>
        <v>99999</v>
      </c>
      <c r="N28" s="68" t="n">
        <f aca="false">IF(L28="","",L28*Inputs!$C$29/1000000)</f>
        <v>9.50017618445554</v>
      </c>
      <c r="O28" s="70"/>
      <c r="P28" s="71"/>
      <c r="Q28" s="17" t="s">
        <v>404</v>
      </c>
    </row>
    <row r="29" customFormat="false" ht="15" hidden="false" customHeight="true" outlineLevel="0" collapsed="false">
      <c r="B29" s="9" t="s">
        <v>102</v>
      </c>
      <c r="C29" s="11" t="s">
        <v>405</v>
      </c>
      <c r="D29" s="18" t="n">
        <v>8</v>
      </c>
      <c r="E29" s="18" t="n">
        <v>35</v>
      </c>
      <c r="F29" s="68" t="n">
        <f aca="false">IF(OR(D29="",E29=""),"",PI()/4*D29^2)</f>
        <v>50.2654824574367</v>
      </c>
      <c r="G29" s="69" t="n">
        <f aca="false">IF(OR(D29="",E29=""),"",F29*E29)</f>
        <v>1759.29188601028</v>
      </c>
      <c r="H29" s="22" t="n">
        <v>18000</v>
      </c>
      <c r="I29" s="28"/>
      <c r="J29" s="69" t="str">
        <f aca="false">IF(I29="","",I29*1000000/Inputs!$C$29)</f>
        <v/>
      </c>
      <c r="K29" s="69" t="n">
        <f aca="false">IF(G29="","",G29*$P$2)</f>
        <v>14074.3350880823</v>
      </c>
      <c r="L29" s="69" t="n">
        <f aca="false">IF(K29="","",IF(J29="",K29,MIN(J29,K29)))</f>
        <v>14074.3350880823</v>
      </c>
      <c r="M29" s="69" t="n">
        <f aca="false">IF(AND(B29=Inputs!$C$28,H29&lt;&gt;"",L29&lt;&gt;"",H29&gt;=HMB!$C$53*(1+Inputs!$C$51),L29&gt;=HMB!$C$9*(1+Inputs!$C$51)),ROW(),99999)</f>
        <v>99999</v>
      </c>
      <c r="N29" s="68" t="n">
        <f aca="false">IF(L29="","",L29*Inputs!$C$29/1000000)</f>
        <v>24.630086404144</v>
      </c>
      <c r="O29" s="70"/>
      <c r="P29" s="71"/>
      <c r="Q29" s="17" t="s">
        <v>404</v>
      </c>
    </row>
    <row r="30" customFormat="false" ht="15" hidden="false" customHeight="true" outlineLevel="0" collapsed="false">
      <c r="B30" s="9" t="s">
        <v>102</v>
      </c>
      <c r="C30" s="11" t="s">
        <v>406</v>
      </c>
      <c r="D30" s="18" t="n">
        <v>10</v>
      </c>
      <c r="E30" s="18" t="n">
        <v>40</v>
      </c>
      <c r="F30" s="68" t="n">
        <f aca="false">IF(OR(D30="",E30=""),"",PI()/4*D30^2)</f>
        <v>78.5398163397448</v>
      </c>
      <c r="G30" s="69" t="n">
        <f aca="false">IF(OR(D30="",E30=""),"",F30*E30)</f>
        <v>3141.59265358979</v>
      </c>
      <c r="H30" s="22" t="n">
        <v>32000</v>
      </c>
      <c r="I30" s="28"/>
      <c r="J30" s="69" t="str">
        <f aca="false">IF(I30="","",I30*1000000/Inputs!$C$29)</f>
        <v/>
      </c>
      <c r="K30" s="69" t="n">
        <f aca="false">IF(G30="","",G30*$P$2)</f>
        <v>25132.7412287183</v>
      </c>
      <c r="L30" s="69" t="n">
        <f aca="false">IF(K30="","",IF(J30="",K30,MIN(J30,K30)))</f>
        <v>25132.7412287183</v>
      </c>
      <c r="M30" s="69" t="n">
        <f aca="false">IF(AND(B30=Inputs!$C$28,H30&lt;&gt;"",L30&lt;&gt;"",H30&gt;=HMB!$C$53*(1+Inputs!$C$51),L30&gt;=HMB!$C$9*(1+Inputs!$C$51)),ROW(),99999)</f>
        <v>99999</v>
      </c>
      <c r="N30" s="68" t="n">
        <f aca="false">IF(L30="","",L30*Inputs!$C$29/1000000)</f>
        <v>43.9822971502571</v>
      </c>
      <c r="O30" s="70"/>
      <c r="P30" s="71"/>
      <c r="Q30" s="17" t="s">
        <v>404</v>
      </c>
    </row>
    <row r="31" customFormat="false" ht="15" hidden="false" customHeight="true" outlineLevel="0" collapsed="false">
      <c r="B31" s="9" t="s">
        <v>102</v>
      </c>
      <c r="C31" s="11" t="s">
        <v>407</v>
      </c>
      <c r="D31" s="18" t="n">
        <v>10</v>
      </c>
      <c r="E31" s="18" t="n">
        <v>50</v>
      </c>
      <c r="F31" s="68" t="n">
        <f aca="false">IF(OR(D31="",E31=""),"",PI()/4*D31^2)</f>
        <v>78.5398163397448</v>
      </c>
      <c r="G31" s="69" t="n">
        <f aca="false">IF(OR(D31="",E31=""),"",F31*E31)</f>
        <v>3926.99081698724</v>
      </c>
      <c r="H31" s="22" t="n">
        <v>40000</v>
      </c>
      <c r="I31" s="28"/>
      <c r="J31" s="69" t="str">
        <f aca="false">IF(I31="","",I31*1000000/Inputs!$C$29)</f>
        <v/>
      </c>
      <c r="K31" s="69" t="n">
        <f aca="false">IF(G31="","",G31*$P$2)</f>
        <v>31415.9265358979</v>
      </c>
      <c r="L31" s="69" t="n">
        <f aca="false">IF(K31="","",IF(J31="",K31,MIN(J31,K31)))</f>
        <v>31415.9265358979</v>
      </c>
      <c r="M31" s="69" t="n">
        <f aca="false">IF(AND(B31=Inputs!$C$28,H31&lt;&gt;"",L31&lt;&gt;"",H31&gt;=HMB!$C$53*(1+Inputs!$C$51),L31&gt;=HMB!$C$9*(1+Inputs!$C$51)),ROW(),99999)</f>
        <v>99999</v>
      </c>
      <c r="N31" s="68" t="n">
        <f aca="false">IF(L31="","",L31*Inputs!$C$29/1000000)</f>
        <v>54.9778714378214</v>
      </c>
      <c r="O31" s="70"/>
      <c r="P31" s="71"/>
      <c r="Q31" s="17" t="s">
        <v>404</v>
      </c>
    </row>
    <row r="32" customFormat="false" ht="15" hidden="false" customHeight="true" outlineLevel="0" collapsed="false">
      <c r="B32" s="9" t="s">
        <v>102</v>
      </c>
      <c r="C32" s="11" t="s">
        <v>408</v>
      </c>
      <c r="D32" s="18" t="n">
        <v>12</v>
      </c>
      <c r="E32" s="18" t="n">
        <v>50</v>
      </c>
      <c r="F32" s="68" t="n">
        <f aca="false">IF(OR(D32="",E32=""),"",PI()/4*D32^2)</f>
        <v>113.097335529233</v>
      </c>
      <c r="G32" s="69" t="n">
        <f aca="false">IF(OR(D32="",E32=""),"",F32*E32)</f>
        <v>5654.86677646163</v>
      </c>
      <c r="H32" s="22" t="n">
        <v>55000</v>
      </c>
      <c r="I32" s="28"/>
      <c r="J32" s="69" t="str">
        <f aca="false">IF(I32="","",I32*1000000/Inputs!$C$29)</f>
        <v/>
      </c>
      <c r="K32" s="69" t="n">
        <f aca="false">IF(G32="","",G32*$P$2)</f>
        <v>45238.934211693</v>
      </c>
      <c r="L32" s="69" t="n">
        <f aca="false">IF(K32="","",IF(J32="",K32,MIN(J32,K32)))</f>
        <v>45238.934211693</v>
      </c>
      <c r="M32" s="69" t="n">
        <f aca="false">IF(AND(B32=Inputs!$C$28,H32&lt;&gt;"",L32&lt;&gt;"",H32&gt;=HMB!$C$53*(1+Inputs!$C$51),L32&gt;=HMB!$C$9*(1+Inputs!$C$51)),ROW(),99999)</f>
        <v>99999</v>
      </c>
      <c r="N32" s="68" t="n">
        <f aca="false">IF(L32="","",L32*Inputs!$C$29/1000000)</f>
        <v>79.1681348704628</v>
      </c>
      <c r="O32" s="70"/>
      <c r="P32" s="71"/>
      <c r="Q32" s="17" t="s">
        <v>404</v>
      </c>
    </row>
    <row r="33" customFormat="false" ht="15" hidden="false" customHeight="true" outlineLevel="0" collapsed="false">
      <c r="B33" s="9" t="s">
        <v>102</v>
      </c>
      <c r="C33" s="11" t="s">
        <v>409</v>
      </c>
      <c r="D33" s="18" t="n">
        <v>12</v>
      </c>
      <c r="E33" s="18" t="n">
        <v>60</v>
      </c>
      <c r="F33" s="68" t="n">
        <f aca="false">IF(OR(D33="",E33=""),"",PI()/4*D33^2)</f>
        <v>113.097335529233</v>
      </c>
      <c r="G33" s="69" t="n">
        <f aca="false">IF(OR(D33="",E33=""),"",F33*E33)</f>
        <v>6785.84013175395</v>
      </c>
      <c r="H33" s="22" t="n">
        <v>65000</v>
      </c>
      <c r="I33" s="28"/>
      <c r="J33" s="69" t="str">
        <f aca="false">IF(I33="","",I33*1000000/Inputs!$C$29)</f>
        <v/>
      </c>
      <c r="K33" s="69" t="n">
        <f aca="false">IF(G33="","",G33*$P$2)</f>
        <v>54286.7210540316</v>
      </c>
      <c r="L33" s="69" t="n">
        <f aca="false">IF(K33="","",IF(J33="",K33,MIN(J33,K33)))</f>
        <v>54286.7210540316</v>
      </c>
      <c r="M33" s="69" t="n">
        <f aca="false">IF(AND(B33=Inputs!$C$28,H33&lt;&gt;"",L33&lt;&gt;"",H33&gt;=HMB!$C$53*(1+Inputs!$C$51),L33&gt;=HMB!$C$9*(1+Inputs!$C$51)),ROW(),99999)</f>
        <v>99999</v>
      </c>
      <c r="N33" s="68" t="n">
        <f aca="false">IF(L33="","",L33*Inputs!$C$29/1000000)</f>
        <v>95.0017618445553</v>
      </c>
      <c r="O33" s="70"/>
      <c r="P33" s="71"/>
      <c r="Q33" s="17" t="s">
        <v>404</v>
      </c>
    </row>
    <row r="34" customFormat="false" ht="15" hidden="false" customHeight="true" outlineLevel="0" collapsed="false">
      <c r="B34" s="9" t="s">
        <v>102</v>
      </c>
      <c r="C34" s="11" t="s">
        <v>410</v>
      </c>
      <c r="D34" s="18" t="n">
        <v>12</v>
      </c>
      <c r="E34" s="18" t="n">
        <v>70</v>
      </c>
      <c r="F34" s="68" t="n">
        <f aca="false">IF(OR(D34="",E34=""),"",PI()/4*D34^2)</f>
        <v>113.097335529233</v>
      </c>
      <c r="G34" s="69" t="n">
        <f aca="false">IF(OR(D34="",E34=""),"",F34*E34)</f>
        <v>7916.81348704628</v>
      </c>
      <c r="H34" s="22" t="n">
        <v>75000</v>
      </c>
      <c r="I34" s="28"/>
      <c r="J34" s="69" t="str">
        <f aca="false">IF(I34="","",I34*1000000/Inputs!$C$29)</f>
        <v/>
      </c>
      <c r="K34" s="69" t="n">
        <f aca="false">IF(G34="","",G34*$P$2)</f>
        <v>63334.5078963702</v>
      </c>
      <c r="L34" s="69" t="n">
        <f aca="false">IF(K34="","",IF(J34="",K34,MIN(J34,K34)))</f>
        <v>63334.5078963702</v>
      </c>
      <c r="M34" s="69" t="n">
        <f aca="false">IF(AND(B34=Inputs!$C$28,H34&lt;&gt;"",L34&lt;&gt;"",H34&gt;=HMB!$C$53*(1+Inputs!$C$51),L34&gt;=HMB!$C$9*(1+Inputs!$C$51)),ROW(),99999)</f>
        <v>99999</v>
      </c>
      <c r="N34" s="68" t="n">
        <f aca="false">IF(L34="","",L34*Inputs!$C$29/1000000)</f>
        <v>110.835388818648</v>
      </c>
      <c r="O34" s="70"/>
      <c r="P34" s="71"/>
      <c r="Q34" s="17" t="s">
        <v>404</v>
      </c>
    </row>
    <row r="35" customFormat="false" ht="15" hidden="false" customHeight="true" outlineLevel="0" collapsed="false">
      <c r="B35" s="9" t="s">
        <v>102</v>
      </c>
      <c r="C35" s="11" t="s">
        <v>411</v>
      </c>
      <c r="D35" s="18" t="n">
        <v>13</v>
      </c>
      <c r="E35" s="18" t="n">
        <v>60</v>
      </c>
      <c r="F35" s="68" t="n">
        <f aca="false">IF(OR(D35="",E35=""),"",PI()/4*D35^2)</f>
        <v>132.732289614169</v>
      </c>
      <c r="G35" s="69" t="n">
        <f aca="false">IF(OR(D35="",E35=""),"",F35*E35)</f>
        <v>7963.93737685013</v>
      </c>
      <c r="H35" s="22" t="n">
        <v>80000</v>
      </c>
      <c r="I35" s="28"/>
      <c r="J35" s="69" t="str">
        <f aca="false">IF(I35="","",I35*1000000/Inputs!$C$29)</f>
        <v/>
      </c>
      <c r="K35" s="69" t="n">
        <f aca="false">IF(G35="","",G35*$P$2)</f>
        <v>63711.499014801</v>
      </c>
      <c r="L35" s="69" t="n">
        <f aca="false">IF(K35="","",IF(J35="",K35,MIN(J35,K35)))</f>
        <v>63711.499014801</v>
      </c>
      <c r="M35" s="69" t="n">
        <f aca="false">IF(AND(B35=Inputs!$C$28,H35&lt;&gt;"",L35&lt;&gt;"",H35&gt;=HMB!$C$53*(1+Inputs!$C$51),L35&gt;=HMB!$C$9*(1+Inputs!$C$51)),ROW(),99999)</f>
        <v>99999</v>
      </c>
      <c r="N35" s="68" t="n">
        <f aca="false">IF(L35="","",L35*Inputs!$C$29/1000000)</f>
        <v>111.495123275902</v>
      </c>
      <c r="O35" s="70"/>
      <c r="P35" s="71"/>
      <c r="Q35" s="17" t="s">
        <v>404</v>
      </c>
    </row>
    <row r="36" customFormat="false" ht="15" hidden="false" customHeight="true" outlineLevel="0" collapsed="false">
      <c r="B36" s="9" t="s">
        <v>102</v>
      </c>
      <c r="C36" s="11" t="s">
        <v>412</v>
      </c>
      <c r="D36" s="18" t="n">
        <v>14</v>
      </c>
      <c r="E36" s="18" t="n">
        <v>70</v>
      </c>
      <c r="F36" s="68" t="n">
        <f aca="false">IF(OR(D36="",E36=""),"",PI()/4*D36^2)</f>
        <v>153.9380400259</v>
      </c>
      <c r="G36" s="69" t="n">
        <f aca="false">IF(OR(D36="",E36=""),"",F36*E36)</f>
        <v>10775.662801813</v>
      </c>
      <c r="H36" s="22" t="n">
        <v>90000</v>
      </c>
      <c r="I36" s="28"/>
      <c r="J36" s="69" t="str">
        <f aca="false">IF(I36="","",I36*1000000/Inputs!$C$29)</f>
        <v/>
      </c>
      <c r="K36" s="69" t="n">
        <f aca="false">IF(G36="","",G36*$P$2)</f>
        <v>86205.3024145039</v>
      </c>
      <c r="L36" s="69" t="n">
        <f aca="false">IF(K36="","",IF(J36="",K36,MIN(J36,K36)))</f>
        <v>86205.3024145039</v>
      </c>
      <c r="M36" s="69" t="n">
        <f aca="false">IF(AND(B36=Inputs!$C$28,H36&lt;&gt;"",L36&lt;&gt;"",H36&gt;=HMB!$C$53*(1+Inputs!$C$51),L36&gt;=HMB!$C$9*(1+Inputs!$C$51)),ROW(),99999)</f>
        <v>99999</v>
      </c>
      <c r="N36" s="68" t="n">
        <f aca="false">IF(L36="","",L36*Inputs!$C$29/1000000)</f>
        <v>150.859279225382</v>
      </c>
      <c r="O36" s="70"/>
      <c r="P36" s="71"/>
      <c r="Q36" s="17" t="s">
        <v>404</v>
      </c>
    </row>
    <row r="37" customFormat="false" ht="15" hidden="false" customHeight="true" outlineLevel="0" collapsed="false">
      <c r="B37" s="9" t="s">
        <v>102</v>
      </c>
      <c r="C37" s="11" t="s">
        <v>413</v>
      </c>
      <c r="D37" s="18" t="n">
        <v>15</v>
      </c>
      <c r="E37" s="18" t="n">
        <v>70</v>
      </c>
      <c r="F37" s="68" t="n">
        <f aca="false">IF(OR(D37="",E37=""),"",PI()/4*D37^2)</f>
        <v>176.714586764426</v>
      </c>
      <c r="G37" s="69" t="n">
        <f aca="false">IF(OR(D37="",E37=""),"",F37*E37)</f>
        <v>12370.0210735098</v>
      </c>
      <c r="H37" s="22" t="n">
        <v>100000</v>
      </c>
      <c r="I37" s="28"/>
      <c r="J37" s="69" t="str">
        <f aca="false">IF(I37="","",I37*1000000/Inputs!$C$29)</f>
        <v/>
      </c>
      <c r="K37" s="69" t="n">
        <f aca="false">IF(G37="","",G37*$P$2)</f>
        <v>98960.1685880785</v>
      </c>
      <c r="L37" s="69" t="n">
        <f aca="false">IF(K37="","",IF(J37="",K37,MIN(J37,K37)))</f>
        <v>98960.1685880785</v>
      </c>
      <c r="M37" s="69" t="n">
        <f aca="false">IF(AND(B37=Inputs!$C$28,H37&lt;&gt;"",L37&lt;&gt;"",H37&gt;=HMB!$C$53*(1+Inputs!$C$51),L37&gt;=HMB!$C$9*(1+Inputs!$C$51)),ROW(),99999)</f>
        <v>99999</v>
      </c>
      <c r="N37" s="68" t="n">
        <f aca="false">IF(L37="","",L37*Inputs!$C$29/1000000)</f>
        <v>173.180295029137</v>
      </c>
      <c r="O37" s="70"/>
      <c r="P37" s="71"/>
      <c r="Q37" s="17"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2"/>
  </cols>
  <sheetData>
    <row r="1" customFormat="false" ht="15.75" hidden="false" customHeight="true" outlineLevel="0" collapsed="false">
      <c r="B1" s="5" t="s">
        <v>414</v>
      </c>
    </row>
    <row r="3" customFormat="false" ht="15" hidden="false" customHeight="true" outlineLevel="0" collapsed="false">
      <c r="B3" s="7" t="s">
        <v>49</v>
      </c>
      <c r="C3" s="8"/>
      <c r="D3" s="8"/>
      <c r="E3" s="8"/>
    </row>
    <row r="4" customFormat="false" ht="15" hidden="false" customHeight="true" outlineLevel="0" collapsed="false">
      <c r="B4" s="11" t="s">
        <v>415</v>
      </c>
      <c r="C4" s="60" t="str">
        <f aca="false">IFERROR(INDEX('Dryer Models'!$C$6:$C$37,MATCH(MIN('Dryer Models'!$M$6:$M$37),'Dryer Models'!$M$6:$M$37,0)),"NO MODEL OF THIS TYPE MEETS THE JOB - fill ratings or pick another type")</f>
        <v>XD-96 (8'×40')</v>
      </c>
      <c r="D4" s="9"/>
    </row>
    <row r="5" customFormat="false" ht="15" hidden="false" customHeight="true" outlineLevel="0" collapsed="false">
      <c r="B5" s="9" t="s">
        <v>51</v>
      </c>
      <c r="C5" s="61" t="n">
        <f aca="false">IFERROR(INDEX('Dryer Models'!$D$6:$D$37,MATCH(MIN('Dryer Models'!$M$6:$M$37),'Dryer Models'!$M$6:$M$37,0)),"")</f>
        <v>8</v>
      </c>
      <c r="D5" s="9" t="s">
        <v>52</v>
      </c>
    </row>
    <row r="6" customFormat="false" ht="15" hidden="false" customHeight="true" outlineLevel="0" collapsed="false">
      <c r="B6" s="9" t="s">
        <v>416</v>
      </c>
      <c r="C6" s="61" t="n">
        <f aca="false">IFERROR(INDEX('Dryer Models'!$E$6:$E$37,MATCH(MIN('Dryer Models'!$M$6:$M$37),'Dryer Models'!$M$6:$M$37,0)),"")</f>
        <v>40</v>
      </c>
      <c r="D6" s="9" t="s">
        <v>52</v>
      </c>
    </row>
    <row r="7" customFormat="false" ht="15" hidden="false" customHeight="true" outlineLevel="0" collapsed="false">
      <c r="B7" s="9" t="s">
        <v>344</v>
      </c>
      <c r="C7" s="30" t="n">
        <f aca="false">IFERROR(INDEX('Dryer Models'!$G$6:$G$37,MATCH(MIN('Dryer Models'!$M$6:$M$37),'Dryer Models'!$M$6:$M$37,0)),0)</f>
        <v>2010.61929829747</v>
      </c>
      <c r="D7" s="9" t="s">
        <v>345</v>
      </c>
    </row>
    <row r="8" customFormat="false" ht="15" hidden="false" customHeight="true" outlineLevel="0" collapsed="false">
      <c r="B8" s="9" t="s">
        <v>417</v>
      </c>
      <c r="C8" s="30" t="n">
        <f aca="false">IFERROR(INDEX('Dryer Models'!$H$6:$H$37,MATCH(MIN('Dryer Models'!$M$6:$M$37),'Dryer Models'!$M$6:$M$37,0)),"")</f>
        <v>17592.9188601028</v>
      </c>
      <c r="D8" s="9" t="s">
        <v>66</v>
      </c>
    </row>
    <row r="9" customFormat="false" ht="15" hidden="false" customHeight="true" outlineLevel="0" collapsed="false">
      <c r="B9" s="9" t="s">
        <v>418</v>
      </c>
      <c r="C9" s="30" t="n">
        <f aca="false">IFERROR(INDEX('Dryer Models'!$L$6:$L$37,MATCH(MIN('Dryer Models'!$M$6:$M$37),'Dryer Models'!$M$6:$M$37,0)),"")</f>
        <v>12063.7157897848</v>
      </c>
      <c r="D9" s="9" t="s">
        <v>32</v>
      </c>
    </row>
    <row r="10" customFormat="false" ht="15" hidden="false" customHeight="true" outlineLevel="0" collapsed="false">
      <c r="B10" s="9" t="s">
        <v>419</v>
      </c>
      <c r="C10" s="61" t="str">
        <f aca="false">IFERROR(IF(INDEX('Dryer Models'!$I$6:$I$37,MATCH(MIN('Dryer Models'!$M$6:$M$37),'Dryer Models'!$M$6:$M$37,0))="","not entered",INDEX('Dryer Models'!$I$6:$I$37,MATCH(MIN('Dryer Models'!$M$6:$M$37),'Dryer Models'!$M$6:$M$37,0))),"")</f>
        <v>not entered</v>
      </c>
      <c r="D10" s="9" t="s">
        <v>41</v>
      </c>
    </row>
    <row r="11" customFormat="false" ht="15" hidden="false" customHeight="true" outlineLevel="0" collapsed="false">
      <c r="B11" s="9" t="s">
        <v>420</v>
      </c>
      <c r="C11" s="61" t="n">
        <f aca="false">IFERROR(INDEX('Dryer Models'!$N$6:$N$37,MATCH(MIN('Dryer Models'!$M$6:$M$37),'Dryer Models'!$M$6:$M$37,0)),"")</f>
        <v>21.1115026321234</v>
      </c>
      <c r="D11" s="9" t="s">
        <v>41</v>
      </c>
      <c r="E11" s="17" t="s">
        <v>421</v>
      </c>
    </row>
    <row r="12" customFormat="false" ht="15" hidden="false" customHeight="true" outlineLevel="0" collapsed="false">
      <c r="B12" s="11" t="s">
        <v>422</v>
      </c>
      <c r="C12" s="10" t="n">
        <f aca="false">HMB!$C$80</f>
        <v>40</v>
      </c>
      <c r="D12" s="9" t="s">
        <v>52</v>
      </c>
    </row>
    <row r="13" customFormat="false" ht="15" hidden="false" customHeight="true" outlineLevel="0" collapsed="false">
      <c r="B13" s="9" t="s">
        <v>60</v>
      </c>
      <c r="C13" s="31" t="n">
        <f aca="false">IF(ISNUMBER(Equipment!$C$8),HMB!$C$53/Equipment!$C$8,"")</f>
        <v>0.735199714557378</v>
      </c>
      <c r="D13" s="9"/>
    </row>
    <row r="14" customFormat="false" ht="15" hidden="false" customHeight="true" outlineLevel="0" collapsed="false">
      <c r="B14" s="9" t="s">
        <v>423</v>
      </c>
      <c r="C14" s="31" t="n">
        <f aca="false">IF(ISNUMBER(Equipment!$C$9),HMB!$C$9/Equipment!$C$9,"")</f>
        <v>0.344884470738044</v>
      </c>
      <c r="D14" s="9"/>
    </row>
    <row r="15" customFormat="false" ht="15" hidden="false" customHeight="true" outlineLevel="0" collapsed="false">
      <c r="B15" s="7" t="s">
        <v>424</v>
      </c>
      <c r="C15" s="8"/>
      <c r="D15" s="8"/>
      <c r="E15" s="8"/>
    </row>
    <row r="16" customFormat="false" ht="15" hidden="false" customHeight="true" outlineLevel="0" collapsed="false">
      <c r="B16" s="9" t="s">
        <v>425</v>
      </c>
      <c r="C16" s="12" t="n">
        <f aca="false">HMB!$C$29/1000000</f>
        <v>7.2810294117647</v>
      </c>
      <c r="D16" s="9" t="s">
        <v>41</v>
      </c>
    </row>
    <row r="17" customFormat="false" ht="15" hidden="false" customHeight="true" outlineLevel="0" collapsed="false">
      <c r="B17" s="11" t="s">
        <v>426</v>
      </c>
      <c r="C17" s="66" t="n">
        <f aca="false">Equipment!$C$16*(1+Inputs!$C$50)</f>
        <v>8.73723529411764</v>
      </c>
      <c r="D17" s="9" t="s">
        <v>41</v>
      </c>
    </row>
    <row r="18" customFormat="false" ht="15" hidden="false" customHeight="true" outlineLevel="0" collapsed="false">
      <c r="B18" s="9" t="s">
        <v>427</v>
      </c>
      <c r="C18" s="30" t="str">
        <f aca="false">IF(AND(ISNUMBER(Equipment!$C$10),Equipment!$C$10&gt;0),IF(Equipment!$C$17&lt;=Equipment!$C$10,"WITHIN MODEL BURNER RATING","EXCEEDS MODEL BURNER RATING - next size or bigger burner"),"model burner rating not entered")</f>
        <v>model burner rating not entered</v>
      </c>
      <c r="D18" s="9"/>
    </row>
    <row r="19" customFormat="false" ht="15" hidden="false" customHeight="true" outlineLevel="0" collapsed="false">
      <c r="B19" s="9" t="s">
        <v>428</v>
      </c>
      <c r="C19" s="30" t="n">
        <f aca="false">Equipment!$C$17*1000000/Inputs!$C$52</f>
        <v>7281.0294117647</v>
      </c>
      <c r="D19" s="9" t="s">
        <v>64</v>
      </c>
      <c r="E19" s="17" t="s">
        <v>429</v>
      </c>
    </row>
    <row r="20" customFormat="false" ht="15" hidden="false" customHeight="true" outlineLevel="0" collapsed="false">
      <c r="B20" s="9" t="s">
        <v>430</v>
      </c>
      <c r="C20" s="61" t="n">
        <f aca="false">Equipment!$C$19/576</f>
        <v>12.6406760620915</v>
      </c>
      <c r="D20" s="9" t="s">
        <v>431</v>
      </c>
    </row>
    <row r="21" customFormat="false" ht="15" hidden="false" customHeight="true" outlineLevel="0" collapsed="false">
      <c r="B21" s="9" t="s">
        <v>432</v>
      </c>
      <c r="C21" s="61" t="n">
        <f aca="false">Equipment!$C$19/135</f>
        <v>53.9335511982571</v>
      </c>
      <c r="D21" s="9" t="s">
        <v>431</v>
      </c>
    </row>
    <row r="22" customFormat="false" ht="15" hidden="false" customHeight="true" outlineLevel="0" collapsed="false">
      <c r="B22" s="9" t="s">
        <v>433</v>
      </c>
      <c r="C22" s="30" t="n">
        <f aca="false">ROUNDUP(Equipment!$C$17*100,-1)</f>
        <v>880</v>
      </c>
      <c r="D22" s="9"/>
      <c r="E22" s="17" t="s">
        <v>434</v>
      </c>
    </row>
    <row r="23" customFormat="false" ht="15" hidden="false" customHeight="true" outlineLevel="0" collapsed="false">
      <c r="B23" s="7" t="s">
        <v>435</v>
      </c>
      <c r="C23" s="8"/>
      <c r="D23" s="8"/>
      <c r="E23" s="8"/>
    </row>
    <row r="24" customFormat="false" ht="15" hidden="false" customHeight="true" outlineLevel="0" collapsed="false">
      <c r="B24" s="9" t="s">
        <v>436</v>
      </c>
      <c r="C24" s="10" t="n">
        <f aca="false">HMB!$C$53</f>
        <v>12934.3089241787</v>
      </c>
      <c r="D24" s="9" t="s">
        <v>66</v>
      </c>
    </row>
    <row r="25" customFormat="false" ht="15" hidden="false" customHeight="true" outlineLevel="0" collapsed="false">
      <c r="B25" s="9" t="s">
        <v>437</v>
      </c>
      <c r="C25" s="10" t="n">
        <f aca="false">Inputs!$C$38</f>
        <v>230</v>
      </c>
      <c r="D25" s="9" t="s">
        <v>38</v>
      </c>
    </row>
    <row r="26" customFormat="false" ht="15" hidden="false" customHeight="true" outlineLevel="0" collapsed="false">
      <c r="B26" s="9" t="s">
        <v>438</v>
      </c>
      <c r="C26" s="61" t="n">
        <f aca="false">Equipment!$C$24*Inputs!$C$45/(6356*Inputs!$C$46)</f>
        <v>37.5687919567567</v>
      </c>
      <c r="D26" s="9" t="s">
        <v>439</v>
      </c>
      <c r="E26" s="17" t="s">
        <v>440</v>
      </c>
    </row>
    <row r="27" customFormat="false" ht="15" hidden="false" customHeight="true" outlineLevel="0" collapsed="false">
      <c r="B27" s="11" t="s">
        <v>441</v>
      </c>
      <c r="C27" s="60" t="n">
        <f aca="false">INDEX(Tables!$B$4:$B$21,COUNTIF(Tables!$B$4:$B$21,"&lt;"&amp;Equipment!$C$26*1.15)+1)</f>
        <v>50</v>
      </c>
      <c r="D27" s="9" t="s">
        <v>442</v>
      </c>
      <c r="E27" s="17" t="s">
        <v>443</v>
      </c>
    </row>
    <row r="28" customFormat="false" ht="15" hidden="false" customHeight="true" outlineLevel="0" collapsed="false">
      <c r="B28" s="9" t="s">
        <v>444</v>
      </c>
      <c r="C28" s="61" t="n">
        <f aca="false">SQRT(Equipment!$C$24/Inputs!$C$47*4/PI())*12</f>
        <v>21.7782469417365</v>
      </c>
      <c r="D28" s="9" t="s">
        <v>69</v>
      </c>
    </row>
    <row r="29" customFormat="false" ht="15" hidden="false" customHeight="true" outlineLevel="0" collapsed="false">
      <c r="B29" s="11" t="s">
        <v>445</v>
      </c>
      <c r="C29" s="60" t="n">
        <f aca="false">CEILING(Equipment!$C$28,2)</f>
        <v>22</v>
      </c>
      <c r="D29" s="9" t="s">
        <v>69</v>
      </c>
    </row>
    <row r="30" customFormat="false" ht="15" hidden="false" customHeight="true" outlineLevel="0" collapsed="false">
      <c r="B30" s="9" t="s">
        <v>446</v>
      </c>
      <c r="C30" s="30" t="n">
        <f aca="false">Equipment!$C$24/(PI()/4*(Equipment!$C$29/12)^2)</f>
        <v>4899.7111555295</v>
      </c>
      <c r="D30" s="9" t="s">
        <v>194</v>
      </c>
    </row>
    <row r="31" customFormat="false" ht="15" hidden="false" customHeight="true" outlineLevel="0" collapsed="false">
      <c r="B31" s="9" t="s">
        <v>447</v>
      </c>
      <c r="C31" s="30" t="n">
        <f aca="false">CEILING(SQRT(HMB!$C$60/Inputs!$C$47*4/PI())*12,2)</f>
        <v>28</v>
      </c>
      <c r="D31" s="9" t="s">
        <v>69</v>
      </c>
    </row>
    <row r="32" customFormat="false" ht="15" hidden="false" customHeight="true" outlineLevel="0" collapsed="false">
      <c r="B32" s="9" t="s">
        <v>448</v>
      </c>
      <c r="C32" s="30" t="n">
        <f aca="false">Equipment!$C$24/Inputs!$C$48*144</f>
        <v>564.406207600526</v>
      </c>
      <c r="D32" s="9" t="s">
        <v>64</v>
      </c>
      <c r="E32" s="17" t="s">
        <v>449</v>
      </c>
    </row>
    <row r="33" customFormat="false" ht="15" hidden="false" customHeight="true" outlineLevel="0" collapsed="false">
      <c r="B33" s="9" t="s">
        <v>450</v>
      </c>
      <c r="C33" s="30" t="n">
        <f aca="false">SQRT(Equipment!$C$24/Inputs!$C$48/0.125)*12</f>
        <v>67.1956074517093</v>
      </c>
      <c r="D33" s="9" t="s">
        <v>69</v>
      </c>
      <c r="E33" s="17" t="s">
        <v>451</v>
      </c>
    </row>
    <row r="34" customFormat="false" ht="15" hidden="false" customHeight="true" outlineLevel="0" collapsed="false">
      <c r="B34" s="7" t="s">
        <v>452</v>
      </c>
      <c r="C34" s="8"/>
      <c r="D34" s="8"/>
      <c r="E34" s="8"/>
    </row>
    <row r="35" customFormat="false" ht="15" hidden="false" customHeight="true" outlineLevel="0" collapsed="false">
      <c r="B35" s="9" t="s">
        <v>453</v>
      </c>
      <c r="C35" s="32" t="n">
        <f aca="false">HMB!$C$7/Inputs!$C$19/60</f>
        <v>1.26078431372549</v>
      </c>
      <c r="D35" s="9" t="s">
        <v>294</v>
      </c>
    </row>
    <row r="36" customFormat="false" ht="15" hidden="false" customHeight="true" outlineLevel="0" collapsed="false">
      <c r="B36" s="9" t="s">
        <v>454</v>
      </c>
      <c r="C36" s="32" t="n">
        <f aca="false">Inputs!$C$13/Inputs!$C$20/60</f>
        <v>1.94848484848485</v>
      </c>
      <c r="D36" s="9" t="s">
        <v>294</v>
      </c>
    </row>
    <row r="37" customFormat="false" ht="15" hidden="false" customHeight="true" outlineLevel="0" collapsed="false">
      <c r="B37" s="11" t="s">
        <v>455</v>
      </c>
      <c r="C37" s="60" t="n">
        <f aca="false">IFERROR(INDEX(Tables!$E$4:$E$13,COUNTIF(Tables!$H$4:$H$13,"&lt;"&amp;Equipment!$C$35)+1),"none in table")</f>
        <v>1212</v>
      </c>
      <c r="D37" s="9"/>
    </row>
    <row r="38" customFormat="false" ht="15" hidden="false" customHeight="true" outlineLevel="0" collapsed="false">
      <c r="B38" s="11" t="s">
        <v>456</v>
      </c>
      <c r="C38" s="60" t="n">
        <f aca="false">IFERROR(INDEX(Tables!$E$4:$E$13,COUNTIF(Tables!$H$4:$H$13,"&lt;"&amp;Equipment!$C$36)+1),"none in table")</f>
        <v>1212</v>
      </c>
      <c r="D38" s="9"/>
    </row>
    <row r="39" customFormat="false" ht="15" hidden="false" customHeight="true" outlineLevel="0" collapsed="false">
      <c r="B39" s="9" t="s">
        <v>457</v>
      </c>
      <c r="C39" s="30" t="n">
        <f aca="false">IFERROR(INDEX(Tables!$J$4:$J$13,COUNTIF(Tables!$M$4:$M$13,"&lt;"&amp;Equipment!$C$36*60)+1),"none in table")</f>
        <v>9</v>
      </c>
      <c r="D39" s="9" t="s">
        <v>69</v>
      </c>
    </row>
    <row r="40" customFormat="false" ht="15" hidden="false" customHeight="true" outlineLevel="0" collapsed="false">
      <c r="B40" s="7" t="s">
        <v>73</v>
      </c>
      <c r="C40" s="8"/>
      <c r="D40" s="8"/>
      <c r="E40" s="8"/>
    </row>
    <row r="41" customFormat="false" ht="15" hidden="false" customHeight="true" outlineLevel="0" collapsed="false">
      <c r="B41" s="9" t="s">
        <v>74</v>
      </c>
      <c r="C41" s="10" t="n">
        <f aca="false">Inputs!$C$59</f>
        <v>8400</v>
      </c>
      <c r="D41" s="9" t="s">
        <v>75</v>
      </c>
    </row>
    <row r="42" customFormat="false" ht="15" hidden="false" customHeight="true" outlineLevel="0" collapsed="false">
      <c r="B42" s="9" t="s">
        <v>34</v>
      </c>
      <c r="C42" s="30" t="n">
        <f aca="false">HMB!$C$7*Equipment!$C$41/2000</f>
        <v>9531.52941176471</v>
      </c>
      <c r="D42" s="9" t="s">
        <v>76</v>
      </c>
    </row>
    <row r="43" customFormat="false" ht="15" hidden="false" customHeight="true" outlineLevel="0" collapsed="false">
      <c r="B43" s="9" t="s">
        <v>458</v>
      </c>
      <c r="C43" s="30" t="n">
        <f aca="false">HMB!$C$9*Equipment!$C$41/2000</f>
        <v>17474.4705882353</v>
      </c>
      <c r="D43" s="9" t="s">
        <v>76</v>
      </c>
    </row>
    <row r="44" customFormat="false" ht="15" hidden="false" customHeight="true" outlineLevel="0" collapsed="false">
      <c r="B44" s="9" t="s">
        <v>47</v>
      </c>
      <c r="C44" s="30" t="n">
        <f aca="false">HMB!$C$34*Equipment!$C$41/2000</f>
        <v>1536.69967484481</v>
      </c>
      <c r="D44" s="9" t="s">
        <v>76</v>
      </c>
    </row>
    <row r="45" customFormat="false" ht="15" hidden="false" customHeight="true" outlineLevel="0" collapsed="false">
      <c r="B45" s="9" t="s">
        <v>77</v>
      </c>
      <c r="C45" s="30" t="n">
        <f aca="false">HMB!$C$33*Equipment!$C$41/1000000</f>
        <v>61160.6470588235</v>
      </c>
      <c r="D45" s="9" t="s">
        <v>78</v>
      </c>
    </row>
    <row r="46" customFormat="false" ht="15" hidden="false" customHeight="true" outlineLevel="0" collapsed="false">
      <c r="B46" s="9" t="s">
        <v>79</v>
      </c>
      <c r="C46" s="74" t="n">
        <f aca="false">Equipment!$C$45*Inputs!$C$42</f>
        <v>886829.382352941</v>
      </c>
      <c r="D46" s="9" t="s">
        <v>80</v>
      </c>
    </row>
    <row r="47" customFormat="false" ht="15" hidden="false" customHeight="true" outlineLevel="0" collapsed="false">
      <c r="B47" s="11" t="s">
        <v>459</v>
      </c>
      <c r="C47" s="75" t="n">
        <f aca="false">IF(Equipment!$C$42&gt;0,Equipment!$C$46/Equipment!$C$42,0)</f>
        <v>93.0416666666666</v>
      </c>
      <c r="D47" s="9"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3"/>
    <col collapsed="false" customWidth="true" hidden="false" outlineLevel="0" max="4" min="4" style="1" width="12"/>
    <col collapsed="false" customWidth="true" hidden="false" outlineLevel="0" max="6" min="5" style="1" width="10"/>
    <col collapsed="false" customWidth="true" hidden="false" outlineLevel="0" max="7" min="7" style="1" width="8"/>
    <col collapsed="false" customWidth="true" hidden="false" outlineLevel="0" max="8" min="8" style="1" width="12"/>
    <col collapsed="false" customWidth="true" hidden="false" outlineLevel="0" max="9" min="9" style="1" width="3"/>
    <col collapsed="false" customWidth="true" hidden="false" outlineLevel="0" max="11" min="10" style="1" width="12"/>
    <col collapsed="false" customWidth="true" hidden="false" outlineLevel="0" max="12" min="12" style="1" width="8"/>
    <col collapsed="false" customWidth="true" hidden="false" outlineLevel="0" max="14" min="13" style="1" width="12"/>
  </cols>
  <sheetData>
    <row r="1" customFormat="false" ht="15.75" hidden="false" customHeight="true" outlineLevel="0" collapsed="false">
      <c r="B1" s="5" t="s">
        <v>460</v>
      </c>
    </row>
    <row r="3" customFormat="false" ht="23.25" hidden="false" customHeight="true" outlineLevel="0" collapsed="false">
      <c r="B3" s="11" t="s">
        <v>461</v>
      </c>
      <c r="E3" s="21" t="s">
        <v>462</v>
      </c>
      <c r="F3" s="21" t="s">
        <v>463</v>
      </c>
      <c r="G3" s="21" t="s">
        <v>464</v>
      </c>
      <c r="H3" s="21" t="s">
        <v>465</v>
      </c>
      <c r="I3" s="21" t="s">
        <v>466</v>
      </c>
      <c r="J3" s="21" t="s">
        <v>467</v>
      </c>
      <c r="K3" s="21" t="s">
        <v>468</v>
      </c>
      <c r="L3" s="21" t="s">
        <v>464</v>
      </c>
      <c r="M3" s="21" t="s">
        <v>469</v>
      </c>
    </row>
    <row r="4" customFormat="false" ht="15" hidden="false" customHeight="true" outlineLevel="0" collapsed="false">
      <c r="B4" s="70" t="n">
        <v>5</v>
      </c>
      <c r="E4" s="70" t="n">
        <v>1212</v>
      </c>
      <c r="F4" s="70" t="n">
        <v>0.68</v>
      </c>
      <c r="G4" s="70" t="n">
        <v>25</v>
      </c>
      <c r="H4" s="76" t="n">
        <f aca="false">F4*G4*0.3</f>
        <v>5.1</v>
      </c>
      <c r="J4" s="70" t="n">
        <v>4</v>
      </c>
      <c r="K4" s="70" t="n">
        <v>1.35</v>
      </c>
      <c r="L4" s="70" t="n">
        <v>70</v>
      </c>
      <c r="M4" s="77" t="n">
        <f aca="false">K4*L4*0.3</f>
        <v>28.35</v>
      </c>
    </row>
    <row r="5" customFormat="false" ht="15" hidden="false" customHeight="true" outlineLevel="0" collapsed="false">
      <c r="B5" s="70" t="n">
        <v>7.5</v>
      </c>
      <c r="E5" s="70" t="n">
        <v>1616</v>
      </c>
      <c r="F5" s="70" t="n">
        <v>1.69</v>
      </c>
      <c r="G5" s="70" t="n">
        <v>43</v>
      </c>
      <c r="H5" s="76" t="n">
        <f aca="false">F5*G5*0.3</f>
        <v>21.801</v>
      </c>
      <c r="J5" s="70" t="n">
        <v>6</v>
      </c>
      <c r="K5" s="70" t="n">
        <v>4.91</v>
      </c>
      <c r="L5" s="70" t="n">
        <v>60</v>
      </c>
      <c r="M5" s="77" t="n">
        <f aca="false">K5*L5*0.3</f>
        <v>88.38</v>
      </c>
    </row>
    <row r="6" customFormat="false" ht="15" hidden="false" customHeight="true" outlineLevel="0" collapsed="false">
      <c r="B6" s="70" t="n">
        <v>10</v>
      </c>
      <c r="E6" s="70" t="n">
        <v>2020</v>
      </c>
      <c r="F6" s="70" t="n">
        <v>3.2</v>
      </c>
      <c r="G6" s="70" t="n">
        <v>25</v>
      </c>
      <c r="H6" s="76" t="n">
        <f aca="false">F6*G6*0.3</f>
        <v>24</v>
      </c>
      <c r="J6" s="70" t="n">
        <v>9</v>
      </c>
      <c r="K6" s="70" t="n">
        <v>17.98</v>
      </c>
      <c r="L6" s="70" t="n">
        <v>55</v>
      </c>
      <c r="M6" s="77" t="n">
        <f aca="false">K6*L6*0.3</f>
        <v>296.67</v>
      </c>
    </row>
    <row r="7" customFormat="false" ht="15" hidden="false" customHeight="true" outlineLevel="0" collapsed="false">
      <c r="B7" s="70" t="n">
        <v>15</v>
      </c>
      <c r="E7" s="70" t="n">
        <v>2040</v>
      </c>
      <c r="F7" s="70" t="n">
        <v>6.4</v>
      </c>
      <c r="G7" s="70" t="n">
        <v>20</v>
      </c>
      <c r="H7" s="76" t="n">
        <f aca="false">F7*G7*0.3</f>
        <v>38.4</v>
      </c>
      <c r="J7" s="70" t="n">
        <v>12</v>
      </c>
      <c r="K7" s="70" t="n">
        <v>42.5</v>
      </c>
      <c r="L7" s="70" t="n">
        <v>50</v>
      </c>
      <c r="M7" s="77" t="n">
        <f aca="false">K7*L7*0.3</f>
        <v>637.5</v>
      </c>
    </row>
    <row r="8" customFormat="false" ht="15" hidden="false" customHeight="true" outlineLevel="0" collapsed="false">
      <c r="B8" s="70" t="n">
        <v>20</v>
      </c>
      <c r="E8" s="70" t="n">
        <v>2424</v>
      </c>
      <c r="F8" s="70" t="n">
        <v>5.94</v>
      </c>
      <c r="G8" s="70" t="n">
        <v>25</v>
      </c>
      <c r="H8" s="76" t="n">
        <f aca="false">F8*G8*0.3</f>
        <v>44.55</v>
      </c>
      <c r="J8" s="70" t="n">
        <v>14</v>
      </c>
      <c r="K8" s="70" t="n">
        <v>68.64</v>
      </c>
      <c r="L8" s="70" t="n">
        <v>50</v>
      </c>
      <c r="M8" s="77" t="n">
        <f aca="false">K8*L8*0.3</f>
        <v>1029.6</v>
      </c>
    </row>
    <row r="9" customFormat="false" ht="15" hidden="false" customHeight="true" outlineLevel="0" collapsed="false">
      <c r="B9" s="70" t="n">
        <v>25</v>
      </c>
      <c r="E9" s="70" t="n">
        <v>3030</v>
      </c>
      <c r="F9" s="70" t="n">
        <v>11.2</v>
      </c>
      <c r="G9" s="70" t="n">
        <v>35</v>
      </c>
      <c r="H9" s="76" t="n">
        <f aca="false">F9*G9*0.3</f>
        <v>117.6</v>
      </c>
      <c r="J9" s="70" t="n">
        <v>16</v>
      </c>
      <c r="K9" s="70" t="n">
        <v>102.96</v>
      </c>
      <c r="L9" s="70" t="n">
        <v>35</v>
      </c>
      <c r="M9" s="77" t="n">
        <f aca="false">K9*L9*0.3</f>
        <v>1081.08</v>
      </c>
    </row>
    <row r="10" customFormat="false" ht="15" hidden="false" customHeight="true" outlineLevel="0" collapsed="false">
      <c r="B10" s="70" t="n">
        <v>30</v>
      </c>
      <c r="E10" s="70" t="n">
        <v>3636</v>
      </c>
      <c r="F10" s="70" t="n">
        <v>19.9</v>
      </c>
      <c r="G10" s="70" t="n">
        <v>32</v>
      </c>
      <c r="H10" s="76" t="n">
        <f aca="false">F10*G10*0.3</f>
        <v>191.04</v>
      </c>
      <c r="J10" s="70" t="n">
        <v>18</v>
      </c>
      <c r="K10" s="70" t="n">
        <v>148.8</v>
      </c>
      <c r="L10" s="70" t="n">
        <v>45</v>
      </c>
      <c r="M10" s="77" t="n">
        <f aca="false">K10*L10*0.3</f>
        <v>2008.8</v>
      </c>
    </row>
    <row r="11" customFormat="false" ht="15" hidden="false" customHeight="true" outlineLevel="0" collapsed="false">
      <c r="B11" s="70" t="n">
        <v>40</v>
      </c>
      <c r="E11" s="70" t="n">
        <v>4242</v>
      </c>
      <c r="F11" s="70" t="n">
        <v>32.1</v>
      </c>
      <c r="G11" s="70" t="n">
        <v>30</v>
      </c>
      <c r="H11" s="76" t="n">
        <f aca="false">F11*G11*0.3</f>
        <v>288.9</v>
      </c>
      <c r="J11" s="70" t="n">
        <v>20</v>
      </c>
      <c r="K11" s="70" t="n">
        <v>207.24</v>
      </c>
      <c r="L11" s="70" t="n">
        <v>40</v>
      </c>
      <c r="M11" s="77" t="n">
        <f aca="false">K11*L11*0.3</f>
        <v>2486.88</v>
      </c>
    </row>
    <row r="12" customFormat="false" ht="15" hidden="false" customHeight="true" outlineLevel="0" collapsed="false">
      <c r="B12" s="70" t="n">
        <v>50</v>
      </c>
      <c r="E12" s="70" t="n">
        <v>4848</v>
      </c>
      <c r="F12" s="70" t="n">
        <v>48</v>
      </c>
      <c r="G12" s="70" t="n">
        <v>24</v>
      </c>
      <c r="H12" s="76" t="n">
        <f aca="false">F12*G12*0.3</f>
        <v>345.6</v>
      </c>
      <c r="J12" s="70" t="n">
        <v>24</v>
      </c>
      <c r="K12" s="70" t="n">
        <v>359.7</v>
      </c>
      <c r="L12" s="70" t="n">
        <v>40</v>
      </c>
      <c r="M12" s="77" t="n">
        <f aca="false">K12*L12*0.3</f>
        <v>4316.4</v>
      </c>
    </row>
    <row r="13" customFormat="false" ht="15" hidden="false" customHeight="true" outlineLevel="0" collapsed="false">
      <c r="B13" s="70" t="n">
        <v>60</v>
      </c>
      <c r="E13" s="70" t="n">
        <v>6060</v>
      </c>
      <c r="F13" s="70" t="n">
        <v>93</v>
      </c>
      <c r="G13" s="70" t="n">
        <v>20</v>
      </c>
      <c r="H13" s="76" t="n">
        <f aca="false">F13*G13*0.3</f>
        <v>558</v>
      </c>
      <c r="J13" s="70" t="n">
        <v>30</v>
      </c>
      <c r="K13" s="70" t="n">
        <v>712.8</v>
      </c>
      <c r="L13" s="70" t="n">
        <v>35</v>
      </c>
      <c r="M13" s="77" t="n">
        <f aca="false">K13*L13*0.3</f>
        <v>7484.4</v>
      </c>
    </row>
    <row r="14" customFormat="false" ht="15" hidden="false" customHeight="true" outlineLevel="0" collapsed="false">
      <c r="B14" s="70" t="n">
        <v>75</v>
      </c>
      <c r="E14" s="17" t="s">
        <v>470</v>
      </c>
      <c r="J14" s="17" t="s">
        <v>471</v>
      </c>
    </row>
    <row r="15" customFormat="false" ht="15" hidden="false" customHeight="true" outlineLevel="0" collapsed="false">
      <c r="B15" s="70" t="n">
        <v>100</v>
      </c>
    </row>
    <row r="16" customFormat="false" ht="15" hidden="false" customHeight="true" outlineLevel="0" collapsed="false">
      <c r="B16" s="70" t="n">
        <v>125</v>
      </c>
    </row>
    <row r="17" customFormat="false" ht="15" hidden="false" customHeight="true" outlineLevel="0" collapsed="false">
      <c r="B17" s="70" t="n">
        <v>150</v>
      </c>
    </row>
    <row r="18" customFormat="false" ht="15" hidden="false" customHeight="true" outlineLevel="0" collapsed="false">
      <c r="B18" s="70" t="n">
        <v>200</v>
      </c>
    </row>
    <row r="19" customFormat="false" ht="15" hidden="false" customHeight="true" outlineLevel="0" collapsed="false">
      <c r="B19" s="70" t="n">
        <v>250</v>
      </c>
    </row>
    <row r="20" customFormat="false" ht="15" hidden="false" customHeight="true" outlineLevel="0" collapsed="false">
      <c r="B20" s="70" t="n">
        <v>300</v>
      </c>
    </row>
    <row r="21" customFormat="false" ht="15" hidden="false" customHeight="true" outlineLevel="0" collapsed="false">
      <c r="B21" s="70" t="n">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4"/>
    <col collapsed="false" customWidth="true" hidden="false" outlineLevel="0" max="4" min="4" style="1" width="12"/>
    <col collapsed="false" customWidth="true" hidden="false" outlineLevel="0" max="5" min="5" style="1" width="14"/>
    <col collapsed="false" customWidth="true" hidden="false" outlineLevel="0" max="7" min="6" style="1" width="12"/>
    <col collapsed="false" customWidth="true" hidden="false" outlineLevel="0" max="8" min="8" style="1" width="60"/>
  </cols>
  <sheetData>
    <row r="1" customFormat="false" ht="15.75" hidden="false" customHeight="true" outlineLevel="0" collapsed="false">
      <c r="B1" s="5" t="s">
        <v>472</v>
      </c>
    </row>
    <row r="3" customFormat="false" ht="15" hidden="false" customHeight="true" outlineLevel="0" collapsed="false">
      <c r="B3" s="7" t="s">
        <v>473</v>
      </c>
      <c r="C3" s="8"/>
      <c r="D3" s="8"/>
      <c r="E3" s="8"/>
      <c r="F3" s="8"/>
      <c r="G3" s="8"/>
      <c r="H3" s="8"/>
    </row>
    <row r="4" customFormat="false" ht="15" hidden="false" customHeight="true" outlineLevel="0" collapsed="false">
      <c r="B4" s="9" t="s">
        <v>474</v>
      </c>
      <c r="C4" s="27" t="n">
        <v>0.1</v>
      </c>
      <c r="D4" s="9" t="s">
        <v>475</v>
      </c>
      <c r="H4" s="17" t="s">
        <v>476</v>
      </c>
    </row>
    <row r="5" customFormat="false" ht="15" hidden="false" customHeight="true" outlineLevel="0" collapsed="false">
      <c r="B5" s="9" t="s">
        <v>477</v>
      </c>
      <c r="C5" s="27" t="n">
        <v>0.08</v>
      </c>
      <c r="D5" s="9" t="s">
        <v>475</v>
      </c>
      <c r="H5" s="17" t="s">
        <v>478</v>
      </c>
    </row>
    <row r="6" customFormat="false" ht="15" hidden="false" customHeight="true" outlineLevel="0" collapsed="false">
      <c r="B6" s="9" t="s">
        <v>479</v>
      </c>
      <c r="C6" s="78" t="n">
        <v>0.0006</v>
      </c>
      <c r="D6" s="9" t="s">
        <v>475</v>
      </c>
      <c r="H6" s="17" t="s">
        <v>480</v>
      </c>
    </row>
    <row r="7" customFormat="false" ht="15" hidden="false" customHeight="true" outlineLevel="0" collapsed="false">
      <c r="B7" s="9" t="s">
        <v>481</v>
      </c>
      <c r="C7" s="27" t="n">
        <v>0.9</v>
      </c>
      <c r="D7" s="9" t="s">
        <v>482</v>
      </c>
      <c r="H7" s="17" t="s">
        <v>483</v>
      </c>
    </row>
    <row r="8" customFormat="false" ht="15" hidden="false" customHeight="true" outlineLevel="0" collapsed="false">
      <c r="B8" s="9" t="s">
        <v>484</v>
      </c>
      <c r="C8" s="27" t="n">
        <v>3</v>
      </c>
      <c r="D8" s="9" t="s">
        <v>482</v>
      </c>
      <c r="H8" s="17" t="s">
        <v>485</v>
      </c>
    </row>
    <row r="9" customFormat="false" ht="15" hidden="false" customHeight="true" outlineLevel="0" collapsed="false">
      <c r="B9" s="9" t="s">
        <v>486</v>
      </c>
      <c r="C9" s="26" t="n">
        <v>0.9</v>
      </c>
      <c r="D9" s="9" t="s">
        <v>169</v>
      </c>
      <c r="H9" s="17" t="s">
        <v>487</v>
      </c>
    </row>
    <row r="10" customFormat="false" ht="15" hidden="false" customHeight="true" outlineLevel="0" collapsed="false">
      <c r="B10" s="9" t="s">
        <v>488</v>
      </c>
      <c r="C10" s="26" t="n">
        <v>0.7</v>
      </c>
      <c r="D10" s="9" t="s">
        <v>169</v>
      </c>
      <c r="H10" s="17" t="s">
        <v>489</v>
      </c>
    </row>
    <row r="11" customFormat="false" ht="15" hidden="false" customHeight="true" outlineLevel="0" collapsed="false">
      <c r="B11" s="9" t="s">
        <v>490</v>
      </c>
      <c r="C11" s="26" t="n">
        <v>0.15</v>
      </c>
      <c r="D11" s="9" t="s">
        <v>169</v>
      </c>
      <c r="H11" s="17" t="s">
        <v>491</v>
      </c>
    </row>
    <row r="12" customFormat="false" ht="15" hidden="false" customHeight="true" outlineLevel="0" collapsed="false">
      <c r="B12" s="7" t="s">
        <v>492</v>
      </c>
      <c r="C12" s="8"/>
      <c r="D12" s="8"/>
      <c r="E12" s="8"/>
      <c r="F12" s="8"/>
      <c r="G12" s="8"/>
      <c r="H12" s="8"/>
    </row>
    <row r="13" customFormat="false" ht="23.25" hidden="false" customHeight="true" outlineLevel="0" collapsed="false">
      <c r="B13" s="21" t="s">
        <v>493</v>
      </c>
      <c r="C13" s="21" t="s">
        <v>32</v>
      </c>
      <c r="D13" s="21" t="s">
        <v>494</v>
      </c>
      <c r="E13" s="21" t="s">
        <v>495</v>
      </c>
      <c r="F13" s="21" t="s">
        <v>496</v>
      </c>
      <c r="G13" s="21" t="s">
        <v>475</v>
      </c>
    </row>
    <row r="14" customFormat="false" ht="15" hidden="false" customHeight="true" outlineLevel="0" collapsed="false">
      <c r="B14" s="9" t="s">
        <v>497</v>
      </c>
      <c r="C14" s="79" t="n">
        <f aca="false">HMB!$C$31*Inputs!$C$35</f>
        <v>1097.64262488915</v>
      </c>
      <c r="D14" s="79" t="n">
        <f aca="false">C14*Inputs!$C$59/2000</f>
        <v>4610.09902453444</v>
      </c>
      <c r="E14" s="79" t="n">
        <f aca="false">C14*8760/2000</f>
        <v>4807.67469701448</v>
      </c>
      <c r="F14" s="80" t="n">
        <f aca="false">C14/(HMB!$C$5/2000)</f>
        <v>1138.04315696128</v>
      </c>
      <c r="G14" s="81" t="n">
        <f aca="false">C14/(HMB!$C$29/1000000)</f>
        <v>150.753768844221</v>
      </c>
    </row>
    <row r="15" customFormat="false" ht="15" hidden="false" customHeight="true" outlineLevel="0" collapsed="false">
      <c r="B15" s="9" t="s">
        <v>498</v>
      </c>
      <c r="C15" s="79" t="n">
        <f aca="false">HMB!$C$29/1000000*Emissions!$C$4</f>
        <v>0.728102941176471</v>
      </c>
      <c r="D15" s="79" t="n">
        <f aca="false">C15*Inputs!$C$59/2000</f>
        <v>3.05803235294118</v>
      </c>
      <c r="E15" s="79" t="n">
        <f aca="false">C15*8760/2000</f>
        <v>3.18909088235294</v>
      </c>
      <c r="F15" s="80" t="n">
        <f aca="false">C15/(HMB!$C$5/2000)</f>
        <v>0.754901960784314</v>
      </c>
      <c r="G15" s="81" t="n">
        <f aca="false">C15/(HMB!$C$29/1000000)</f>
        <v>0.1</v>
      </c>
    </row>
    <row r="16" customFormat="false" ht="15" hidden="false" customHeight="true" outlineLevel="0" collapsed="false">
      <c r="B16" s="9" t="s">
        <v>499</v>
      </c>
      <c r="C16" s="79" t="n">
        <f aca="false">HMB!$C$29/1000000*Emissions!$C$5</f>
        <v>0.582482352941176</v>
      </c>
      <c r="D16" s="79" t="n">
        <f aca="false">C16*Inputs!$C$59/2000</f>
        <v>2.44642588235294</v>
      </c>
      <c r="E16" s="79" t="n">
        <f aca="false">C16*8760/2000</f>
        <v>2.55127270588235</v>
      </c>
      <c r="F16" s="80" t="n">
        <f aca="false">C16/(HMB!$C$5/2000)</f>
        <v>0.603921568627451</v>
      </c>
      <c r="G16" s="81" t="n">
        <f aca="false">C16/(HMB!$C$29/1000000)</f>
        <v>0.08</v>
      </c>
    </row>
    <row r="17" customFormat="false" ht="15" hidden="false" customHeight="true" outlineLevel="0" collapsed="false">
      <c r="B17" s="9" t="s">
        <v>500</v>
      </c>
      <c r="C17" s="79" t="n">
        <f aca="false">HMB!$C$29/1000000*Emissions!$C$6</f>
        <v>0.00436861764705882</v>
      </c>
      <c r="D17" s="79" t="n">
        <f aca="false">C17*Inputs!$C$59/2000</f>
        <v>0.0183481941176471</v>
      </c>
      <c r="E17" s="79" t="n">
        <f aca="false">C17*8760/2000</f>
        <v>0.0191345452941176</v>
      </c>
      <c r="F17" s="80" t="n">
        <f aca="false">C17/(HMB!$C$5/2000)</f>
        <v>0.00452941176470588</v>
      </c>
      <c r="G17" s="81" t="n">
        <f aca="false">C17/(HMB!$C$29/1000000)</f>
        <v>0.0006</v>
      </c>
    </row>
    <row r="18" customFormat="false" ht="15" hidden="false" customHeight="true" outlineLevel="0" collapsed="false">
      <c r="B18" s="9" t="s">
        <v>501</v>
      </c>
      <c r="C18" s="79" t="n">
        <f aca="false">Emissions!$C$7*(HMB!$C$5/2000)</f>
        <v>0.86805</v>
      </c>
      <c r="D18" s="79" t="n">
        <f aca="false">C18*Inputs!$C$59/2000</f>
        <v>3.64581</v>
      </c>
      <c r="E18" s="79" t="n">
        <f aca="false">C18*8760/2000</f>
        <v>3.802059</v>
      </c>
      <c r="F18" s="80" t="n">
        <f aca="false">C18/(HMB!$C$5/2000)</f>
        <v>0.9</v>
      </c>
      <c r="G18" s="81" t="n">
        <f aca="false">C18/(HMB!$C$29/1000000)</f>
        <v>0.119220779220779</v>
      </c>
    </row>
    <row r="19" customFormat="false" ht="15" hidden="false" customHeight="true" outlineLevel="0" collapsed="false">
      <c r="B19" s="9" t="s">
        <v>502</v>
      </c>
      <c r="C19" s="79" t="n">
        <f aca="false">Emissions!$C$11*Emissions!$C$7*(HMB!$C$5/2000)</f>
        <v>0.1302075</v>
      </c>
      <c r="D19" s="79" t="n">
        <f aca="false">C19*Inputs!$C$59/2000</f>
        <v>0.5468715</v>
      </c>
      <c r="E19" s="79" t="n">
        <f aca="false">C19*8760/2000</f>
        <v>0.57030885</v>
      </c>
      <c r="F19" s="80" t="n">
        <f aca="false">C19/(HMB!$C$5/2000)</f>
        <v>0.135</v>
      </c>
      <c r="G19" s="81" t="n">
        <f aca="false">C19/(HMB!$C$29/1000000)</f>
        <v>0.0178831168831169</v>
      </c>
    </row>
    <row r="20" customFormat="false" ht="15" hidden="false" customHeight="true" outlineLevel="0" collapsed="false">
      <c r="B20" s="9" t="s">
        <v>503</v>
      </c>
      <c r="C20" s="79" t="n">
        <f aca="false">Emissions!$C$8*(HMB!$C$5/2000)*(1-Emissions!$C$9)</f>
        <v>0.28935</v>
      </c>
      <c r="D20" s="79" t="n">
        <f aca="false">C20*Inputs!$C$59/2000</f>
        <v>1.21527</v>
      </c>
      <c r="E20" s="79" t="n">
        <f aca="false">C20*8760/2000</f>
        <v>1.267353</v>
      </c>
      <c r="F20" s="80" t="n">
        <f aca="false">C20/(HMB!$C$5/2000)</f>
        <v>0.3</v>
      </c>
      <c r="G20" s="81" t="n">
        <f aca="false">C20/(HMB!$C$29/1000000)</f>
        <v>0.0397402597402598</v>
      </c>
    </row>
    <row r="21" customFormat="false" ht="15" hidden="false" customHeight="true" outlineLevel="0" collapsed="false">
      <c r="B21" s="9" t="s">
        <v>504</v>
      </c>
      <c r="C21" s="79" t="n">
        <f aca="false">Emissions!$C$8*(HMB!$C$5/2000)*(1-Emissions!$C$9)*Emissions!$C$10</f>
        <v>0.202545</v>
      </c>
      <c r="D21" s="79" t="n">
        <f aca="false">C21*Inputs!$C$59/2000</f>
        <v>0.850689</v>
      </c>
      <c r="E21" s="79" t="n">
        <f aca="false">C21*8760/2000</f>
        <v>0.8871471</v>
      </c>
      <c r="F21" s="80" t="n">
        <f aca="false">C21/(HMB!$C$5/2000)</f>
        <v>0.21</v>
      </c>
      <c r="G21" s="81" t="n">
        <f aca="false">C21/(HMB!$C$29/1000000)</f>
        <v>0.0278181818181818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16"/>
    <col collapsed="false" customWidth="true" hidden="false" outlineLevel="0" max="4" min="4" style="1" width="14"/>
    <col collapsed="false" customWidth="true" hidden="false" outlineLevel="0" max="5" min="5" style="1" width="62"/>
    <col collapsed="false" customWidth="true" hidden="false" outlineLevel="0" max="7" min="7" style="1" width="16"/>
    <col collapsed="false" customWidth="true" hidden="false" outlineLevel="0" max="8" min="8" style="1" width="10"/>
  </cols>
  <sheetData>
    <row r="1" customFormat="false" ht="15.75" hidden="false" customHeight="true" outlineLevel="0" collapsed="false">
      <c r="B1" s="5" t="s">
        <v>505</v>
      </c>
    </row>
    <row r="2" customFormat="false" ht="15" hidden="false" customHeight="true" outlineLevel="0" collapsed="false">
      <c r="B2" s="17" t="s">
        <v>506</v>
      </c>
    </row>
    <row r="4" customFormat="false" ht="15" hidden="false" customHeight="true" outlineLevel="0" collapsed="false">
      <c r="B4" s="7" t="s">
        <v>507</v>
      </c>
      <c r="C4" s="8"/>
      <c r="D4" s="8"/>
      <c r="E4" s="8"/>
      <c r="G4" s="11" t="s">
        <v>508</v>
      </c>
    </row>
    <row r="5" customFormat="false" ht="15" hidden="false" customHeight="true" outlineLevel="0" collapsed="false">
      <c r="B5" s="9" t="s">
        <v>509</v>
      </c>
      <c r="C5" s="22" t="s">
        <v>510</v>
      </c>
      <c r="D5" s="9"/>
      <c r="E5" s="17" t="s">
        <v>511</v>
      </c>
      <c r="G5" s="21" t="s">
        <v>512</v>
      </c>
      <c r="H5" s="21" t="s">
        <v>513</v>
      </c>
    </row>
    <row r="6" customFormat="false" ht="15" hidden="false" customHeight="true" outlineLevel="0" collapsed="false">
      <c r="B6" s="9" t="s">
        <v>514</v>
      </c>
      <c r="C6" s="22" t="n">
        <v>2000</v>
      </c>
      <c r="D6" s="9" t="s">
        <v>32</v>
      </c>
      <c r="E6" s="17" t="s">
        <v>515</v>
      </c>
      <c r="G6" s="70" t="n">
        <v>480</v>
      </c>
      <c r="H6" s="82" t="n">
        <v>0.85</v>
      </c>
    </row>
    <row r="7" customFormat="false" ht="15" hidden="false" customHeight="true" outlineLevel="0" collapsed="false">
      <c r="B7" s="9" t="s">
        <v>516</v>
      </c>
      <c r="C7" s="26" t="n">
        <v>0.1</v>
      </c>
      <c r="D7" s="9"/>
      <c r="G7" s="70" t="n">
        <v>570</v>
      </c>
      <c r="H7" s="82" t="n">
        <v>0.7</v>
      </c>
    </row>
    <row r="8" customFormat="false" ht="15" hidden="false" customHeight="true" outlineLevel="0" collapsed="false">
      <c r="B8" s="9" t="s">
        <v>517</v>
      </c>
      <c r="C8" s="22" t="n">
        <v>150</v>
      </c>
      <c r="D8" s="9" t="s">
        <v>38</v>
      </c>
      <c r="E8" s="17" t="s">
        <v>518</v>
      </c>
      <c r="G8" s="70" t="n">
        <v>750</v>
      </c>
      <c r="H8" s="82" t="n">
        <v>0.4</v>
      </c>
    </row>
    <row r="9" customFormat="false" ht="15" hidden="false" customHeight="true" outlineLevel="0" collapsed="false">
      <c r="B9" s="9" t="s">
        <v>519</v>
      </c>
      <c r="C9" s="22" t="n">
        <v>8000</v>
      </c>
      <c r="D9" s="9" t="s">
        <v>44</v>
      </c>
      <c r="E9" s="17" t="s">
        <v>520</v>
      </c>
      <c r="G9" s="70" t="n">
        <v>840</v>
      </c>
      <c r="H9" s="82" t="n">
        <v>0.33</v>
      </c>
    </row>
    <row r="10" customFormat="false" ht="15" hidden="false" customHeight="true" outlineLevel="0" collapsed="false">
      <c r="B10" s="9" t="s">
        <v>521</v>
      </c>
      <c r="C10" s="26" t="n">
        <v>0.02</v>
      </c>
      <c r="D10" s="9"/>
      <c r="G10" s="70" t="n">
        <v>932</v>
      </c>
      <c r="H10" s="82" t="n">
        <v>0.28</v>
      </c>
    </row>
    <row r="11" customFormat="false" ht="15" hidden="false" customHeight="true" outlineLevel="0" collapsed="false">
      <c r="B11" s="9" t="s">
        <v>522</v>
      </c>
      <c r="C11" s="22" t="n">
        <v>932</v>
      </c>
      <c r="D11" s="9" t="s">
        <v>38</v>
      </c>
      <c r="E11" s="17" t="s">
        <v>523</v>
      </c>
      <c r="G11" s="70" t="n">
        <v>1100</v>
      </c>
      <c r="H11" s="82" t="n">
        <v>0.24</v>
      </c>
    </row>
    <row r="12" customFormat="false" ht="15" hidden="false" customHeight="true" outlineLevel="0" collapsed="false">
      <c r="B12" s="9" t="s">
        <v>524</v>
      </c>
      <c r="C12" s="24" t="n">
        <v>0.28</v>
      </c>
      <c r="D12" s="9" t="s">
        <v>525</v>
      </c>
      <c r="E12" s="17" t="s">
        <v>526</v>
      </c>
      <c r="G12" s="70" t="n">
        <v>1300</v>
      </c>
      <c r="H12" s="82" t="n">
        <v>0.21</v>
      </c>
    </row>
    <row r="13" customFormat="false" ht="15" hidden="false" customHeight="true" outlineLevel="0" collapsed="false">
      <c r="B13" s="9" t="s">
        <v>527</v>
      </c>
      <c r="C13" s="22" t="n">
        <v>12500</v>
      </c>
      <c r="D13" s="9" t="s">
        <v>44</v>
      </c>
      <c r="E13" s="17" t="s">
        <v>528</v>
      </c>
      <c r="G13" s="17" t="s">
        <v>529</v>
      </c>
    </row>
    <row r="14" customFormat="false" ht="15" hidden="false" customHeight="true" outlineLevel="0" collapsed="false">
      <c r="B14" s="9" t="s">
        <v>530</v>
      </c>
      <c r="C14" s="22" t="n">
        <v>100</v>
      </c>
      <c r="D14" s="9" t="s">
        <v>531</v>
      </c>
      <c r="E14" s="17" t="s">
        <v>532</v>
      </c>
    </row>
    <row r="15" customFormat="false" ht="15" hidden="false" customHeight="true" outlineLevel="0" collapsed="false">
      <c r="B15" s="9" t="s">
        <v>533</v>
      </c>
      <c r="C15" s="27" t="n">
        <v>0.35</v>
      </c>
      <c r="D15" s="9" t="s">
        <v>143</v>
      </c>
    </row>
    <row r="16" customFormat="false" ht="15" hidden="false" customHeight="true" outlineLevel="0" collapsed="false">
      <c r="B16" s="9" t="s">
        <v>534</v>
      </c>
      <c r="C16" s="22" t="n">
        <v>900</v>
      </c>
      <c r="D16" s="9" t="s">
        <v>38</v>
      </c>
    </row>
    <row r="17" customFormat="false" ht="15" hidden="false" customHeight="true" outlineLevel="0" collapsed="false">
      <c r="B17" s="9" t="s">
        <v>535</v>
      </c>
      <c r="C17" s="24" t="n">
        <v>0.05</v>
      </c>
      <c r="D17" s="9" t="s">
        <v>536</v>
      </c>
      <c r="E17" s="17" t="s">
        <v>537</v>
      </c>
    </row>
    <row r="18" customFormat="false" ht="15" hidden="false" customHeight="true" outlineLevel="0" collapsed="false">
      <c r="B18" s="9" t="s">
        <v>538</v>
      </c>
      <c r="C18" s="24" t="n">
        <v>0.9</v>
      </c>
      <c r="D18" s="9" t="s">
        <v>169</v>
      </c>
      <c r="E18" s="17" t="s">
        <v>539</v>
      </c>
    </row>
    <row r="19" customFormat="false" ht="15" hidden="false" customHeight="true" outlineLevel="0" collapsed="false">
      <c r="B19" s="9" t="s">
        <v>540</v>
      </c>
      <c r="C19" s="22" t="n">
        <v>1600</v>
      </c>
      <c r="D19" s="9" t="s">
        <v>38</v>
      </c>
      <c r="E19" s="17" t="s">
        <v>541</v>
      </c>
    </row>
    <row r="20" customFormat="false" ht="15" hidden="false" customHeight="true" outlineLevel="0" collapsed="false">
      <c r="B20" s="9" t="s">
        <v>542</v>
      </c>
      <c r="C20" s="22" t="n">
        <v>700</v>
      </c>
      <c r="D20" s="9" t="s">
        <v>38</v>
      </c>
      <c r="E20" s="17" t="s">
        <v>543</v>
      </c>
    </row>
    <row r="21" customFormat="false" ht="15" hidden="false" customHeight="true" outlineLevel="0" collapsed="false">
      <c r="B21" s="9" t="s">
        <v>544</v>
      </c>
      <c r="C21" s="22" t="n">
        <v>30</v>
      </c>
      <c r="D21" s="9" t="s">
        <v>57</v>
      </c>
      <c r="E21" s="17" t="s">
        <v>545</v>
      </c>
    </row>
    <row r="22" customFormat="false" ht="15" hidden="false" customHeight="true" outlineLevel="0" collapsed="false">
      <c r="B22" s="9" t="s">
        <v>546</v>
      </c>
      <c r="C22" s="24" t="n">
        <v>0.15</v>
      </c>
      <c r="D22" s="9" t="s">
        <v>169</v>
      </c>
    </row>
    <row r="23" customFormat="false" ht="15" hidden="false" customHeight="true" outlineLevel="0" collapsed="false">
      <c r="B23" s="9" t="s">
        <v>547</v>
      </c>
      <c r="C23" s="28" t="n">
        <v>8</v>
      </c>
      <c r="D23" s="9" t="s">
        <v>117</v>
      </c>
    </row>
    <row r="24" customFormat="false" ht="15" hidden="false" customHeight="true" outlineLevel="0" collapsed="false">
      <c r="B24" s="9" t="s">
        <v>548</v>
      </c>
      <c r="C24" s="28" t="n">
        <v>5</v>
      </c>
      <c r="D24" s="9" t="s">
        <v>52</v>
      </c>
      <c r="E24" s="17" t="s">
        <v>549</v>
      </c>
    </row>
    <row r="25" customFormat="false" ht="15" hidden="false" customHeight="true" outlineLevel="0" collapsed="false">
      <c r="B25" s="9" t="s">
        <v>550</v>
      </c>
      <c r="C25" s="22" t="n">
        <v>4000</v>
      </c>
      <c r="D25" s="9" t="s">
        <v>551</v>
      </c>
      <c r="E25" s="17" t="s">
        <v>552</v>
      </c>
    </row>
    <row r="26" customFormat="false" ht="15" hidden="false" customHeight="true" outlineLevel="0" collapsed="false">
      <c r="B26" s="7" t="s">
        <v>256</v>
      </c>
      <c r="C26" s="8"/>
      <c r="D26" s="8"/>
      <c r="E26" s="8"/>
    </row>
    <row r="27" customFormat="false" ht="15" hidden="false" customHeight="true" outlineLevel="0" collapsed="false">
      <c r="B27" s="9" t="s">
        <v>553</v>
      </c>
      <c r="C27" s="30" t="n">
        <f aca="false">IF('Biochar Reactor'!$C$5="Dryer product",HMB!$C$7,'Biochar Reactor'!$C$6)</f>
        <v>2269.41176470588</v>
      </c>
      <c r="D27" s="9" t="s">
        <v>32</v>
      </c>
    </row>
    <row r="28" customFormat="false" ht="15" hidden="false" customHeight="true" outlineLevel="0" collapsed="false">
      <c r="B28" s="9" t="s">
        <v>554</v>
      </c>
      <c r="C28" s="65" t="n">
        <f aca="false">IF('Biochar Reactor'!$C$5="Dryer product",Inputs!$C$15,'Biochar Reactor'!$C$7)</f>
        <v>0.15</v>
      </c>
      <c r="D28" s="9"/>
    </row>
    <row r="29" customFormat="false" ht="15" hidden="false" customHeight="true" outlineLevel="0" collapsed="false">
      <c r="B29" s="9" t="s">
        <v>555</v>
      </c>
      <c r="C29" s="30" t="n">
        <f aca="false">'Biochar Reactor'!$C$27*(1-'Biochar Reactor'!$C$28)</f>
        <v>1929</v>
      </c>
      <c r="D29" s="9" t="s">
        <v>32</v>
      </c>
    </row>
    <row r="30" customFormat="false" ht="15" hidden="false" customHeight="true" outlineLevel="0" collapsed="false">
      <c r="B30" s="9" t="s">
        <v>556</v>
      </c>
      <c r="C30" s="30" t="n">
        <f aca="false">'Biochar Reactor'!$C$27*'Biochar Reactor'!$C$28</f>
        <v>340.411764705882</v>
      </c>
      <c r="D30" s="9" t="s">
        <v>32</v>
      </c>
    </row>
    <row r="31" customFormat="false" ht="15" hidden="false" customHeight="true" outlineLevel="0" collapsed="false">
      <c r="B31" s="11" t="s">
        <v>557</v>
      </c>
      <c r="C31" s="60" t="n">
        <f aca="false">'Biochar Reactor'!$C$29*'Biochar Reactor'!$C$12</f>
        <v>540.12</v>
      </c>
      <c r="D31" s="9" t="s">
        <v>32</v>
      </c>
    </row>
    <row r="32" customFormat="false" ht="15" hidden="false" customHeight="true" outlineLevel="0" collapsed="false">
      <c r="B32" s="9" t="s">
        <v>557</v>
      </c>
      <c r="C32" s="32" t="n">
        <f aca="false">'Biochar Reactor'!$C$31/2000</f>
        <v>0.27006</v>
      </c>
      <c r="D32" s="9" t="s">
        <v>263</v>
      </c>
    </row>
    <row r="33" customFormat="false" ht="15" hidden="false" customHeight="true" outlineLevel="0" collapsed="false">
      <c r="B33" s="9" t="s">
        <v>558</v>
      </c>
      <c r="C33" s="30" t="n">
        <f aca="false">'Biochar Reactor'!$C$29-'Biochar Reactor'!$C$31</f>
        <v>1388.88</v>
      </c>
      <c r="D33" s="9" t="s">
        <v>32</v>
      </c>
    </row>
    <row r="34" customFormat="false" ht="15" hidden="false" customHeight="true" outlineLevel="0" collapsed="false">
      <c r="B34" s="9" t="s">
        <v>559</v>
      </c>
      <c r="C34" s="65" t="n">
        <f aca="false">'Biochar Reactor'!$C$31/'Biochar Reactor'!$C$27</f>
        <v>0.238</v>
      </c>
      <c r="D34" s="9"/>
    </row>
    <row r="35" customFormat="false" ht="15" hidden="false" customHeight="true" outlineLevel="0" collapsed="false">
      <c r="B35" s="7" t="s">
        <v>560</v>
      </c>
      <c r="C35" s="8"/>
      <c r="D35" s="8"/>
      <c r="E35" s="8"/>
    </row>
    <row r="36" customFormat="false" ht="15" hidden="false" customHeight="true" outlineLevel="0" collapsed="false">
      <c r="B36" s="9" t="s">
        <v>561</v>
      </c>
      <c r="C36" s="30" t="n">
        <f aca="false">'Biochar Reactor'!$C$29*'Biochar Reactor'!$C$15*('Biochar Reactor'!$C$11-'Biochar Reactor'!$C$8)</f>
        <v>527967.3</v>
      </c>
      <c r="D36" s="9" t="s">
        <v>269</v>
      </c>
    </row>
    <row r="37" customFormat="false" ht="15" hidden="false" customHeight="true" outlineLevel="0" collapsed="false">
      <c r="B37" s="9" t="s">
        <v>562</v>
      </c>
      <c r="C37" s="30" t="n">
        <f aca="false">'Biochar Reactor'!$C$30*(1.01*(212-'Biochar Reactor'!$C$8)+970.4+0.45*('Biochar Reactor'!$C$16-212))</f>
        <v>457043.643529412</v>
      </c>
      <c r="D37" s="9" t="s">
        <v>269</v>
      </c>
    </row>
    <row r="38" customFormat="false" ht="15" hidden="false" customHeight="true" outlineLevel="0" collapsed="false">
      <c r="B38" s="9" t="s">
        <v>530</v>
      </c>
      <c r="C38" s="30" t="n">
        <f aca="false">'Biochar Reactor'!$C$29*'Biochar Reactor'!$C$14</f>
        <v>192900</v>
      </c>
      <c r="D38" s="9" t="s">
        <v>269</v>
      </c>
    </row>
    <row r="39" customFormat="false" ht="15" hidden="false" customHeight="true" outlineLevel="0" collapsed="false">
      <c r="B39" s="9" t="s">
        <v>563</v>
      </c>
      <c r="C39" s="30" t="n">
        <f aca="false">'Biochar Reactor'!$C$33*0.45*MAX(0,'Biochar Reactor'!$C$16-'Biochar Reactor'!$C$11)</f>
        <v>0</v>
      </c>
      <c r="D39" s="9" t="s">
        <v>269</v>
      </c>
    </row>
    <row r="40" customFormat="false" ht="15" hidden="false" customHeight="true" outlineLevel="0" collapsed="false">
      <c r="B40" s="11" t="s">
        <v>564</v>
      </c>
      <c r="C40" s="60" t="n">
        <f aca="false">('Biochar Reactor'!$C$36+'Biochar Reactor'!$C$37+'Biochar Reactor'!$C$38+'Biochar Reactor'!$C$39)*(1+'Biochar Reactor'!$C$17)</f>
        <v>1236806.49070588</v>
      </c>
      <c r="D40" s="9" t="s">
        <v>269</v>
      </c>
    </row>
    <row r="41" customFormat="false" ht="15" hidden="false" customHeight="true" outlineLevel="0" collapsed="false">
      <c r="B41" s="9" t="s">
        <v>565</v>
      </c>
      <c r="C41" s="32" t="n">
        <f aca="false">'Biochar Reactor'!$C$40/1000000</f>
        <v>1.23680649070588</v>
      </c>
      <c r="D41" s="9" t="s">
        <v>41</v>
      </c>
    </row>
    <row r="42" customFormat="false" ht="15" hidden="false" customHeight="true" outlineLevel="0" collapsed="false">
      <c r="B42" s="9" t="s">
        <v>566</v>
      </c>
      <c r="C42" s="30" t="n">
        <f aca="false">'Biochar Reactor'!$C$29*'Biochar Reactor'!$C$9*(1-'Biochar Reactor'!$C$10)-'Biochar Reactor'!$C$31*'Biochar Reactor'!$C$13</f>
        <v>8371860</v>
      </c>
      <c r="D42" s="9" t="s">
        <v>269</v>
      </c>
      <c r="E42" s="17" t="s">
        <v>567</v>
      </c>
    </row>
    <row r="43" customFormat="false" ht="15" hidden="false" customHeight="true" outlineLevel="0" collapsed="false">
      <c r="B43" s="9" t="s">
        <v>568</v>
      </c>
      <c r="C43" s="32" t="n">
        <f aca="false">'Biochar Reactor'!$C$42/1000000</f>
        <v>8.37186</v>
      </c>
      <c r="D43" s="9" t="s">
        <v>41</v>
      </c>
    </row>
    <row r="44" customFormat="false" ht="15" hidden="false" customHeight="true" outlineLevel="0" collapsed="false">
      <c r="B44" s="9" t="s">
        <v>569</v>
      </c>
      <c r="C44" s="30" t="n">
        <f aca="false">'Biochar Reactor'!$C$42*'Biochar Reactor'!$C$18</f>
        <v>7534674</v>
      </c>
      <c r="D44" s="9" t="s">
        <v>269</v>
      </c>
    </row>
    <row r="45" customFormat="false" ht="15" hidden="false" customHeight="true" outlineLevel="0" collapsed="false">
      <c r="B45" s="9" t="s">
        <v>570</v>
      </c>
      <c r="C45" s="62" t="n">
        <f aca="false">('Biochar Reactor'!$C$19-'Biochar Reactor'!$C$20)/('Biochar Reactor'!$C$19-Inputs!$C$25)</f>
        <v>0.594059405940594</v>
      </c>
      <c r="D45" s="9" t="s">
        <v>169</v>
      </c>
      <c r="E45" s="17" t="s">
        <v>571</v>
      </c>
    </row>
    <row r="46" customFormat="false" ht="15" hidden="false" customHeight="true" outlineLevel="0" collapsed="false">
      <c r="B46" s="9" t="s">
        <v>572</v>
      </c>
      <c r="C46" s="30" t="n">
        <f aca="false">'Biochar Reactor'!$C$44*'Biochar Reactor'!$C$45</f>
        <v>4476043.96039604</v>
      </c>
      <c r="D46" s="9" t="s">
        <v>269</v>
      </c>
    </row>
    <row r="47" customFormat="false" ht="15" hidden="false" customHeight="true" outlineLevel="0" collapsed="false">
      <c r="B47" s="11" t="s">
        <v>573</v>
      </c>
      <c r="C47" s="60" t="n">
        <f aca="false">MAX(0,'Biochar Reactor'!$C$40-'Biochar Reactor'!$C$46)</f>
        <v>0</v>
      </c>
      <c r="D47" s="9" t="s">
        <v>269</v>
      </c>
      <c r="E47" s="17" t="s">
        <v>574</v>
      </c>
    </row>
    <row r="48" customFormat="false" ht="15" hidden="false" customHeight="true" outlineLevel="0" collapsed="false">
      <c r="B48" s="11" t="s">
        <v>575</v>
      </c>
      <c r="C48" s="60" t="n">
        <f aca="false">MAX(0,'Biochar Reactor'!$C$44-'Biochar Reactor'!$C$40)</f>
        <v>6297867.50929412</v>
      </c>
      <c r="D48" s="9" t="s">
        <v>269</v>
      </c>
      <c r="E48" s="17" t="s">
        <v>576</v>
      </c>
    </row>
    <row r="49" customFormat="false" ht="15" hidden="false" customHeight="true" outlineLevel="0" collapsed="false">
      <c r="B49" s="9" t="s">
        <v>575</v>
      </c>
      <c r="C49" s="32" t="n">
        <f aca="false">'Biochar Reactor'!$C$48/1000000</f>
        <v>6.29786750929412</v>
      </c>
      <c r="D49" s="9" t="s">
        <v>41</v>
      </c>
    </row>
    <row r="50" customFormat="false" ht="15" hidden="false" customHeight="true" outlineLevel="0" collapsed="false">
      <c r="B50" s="9" t="s">
        <v>577</v>
      </c>
      <c r="C50" s="30" t="str">
        <f aca="false">IF('Biochar Reactor'!$C$47=0,"AUTOTHERMAL: volatiles cover the reactor","NEEDS "&amp;TEXT('Biochar Reactor'!$C$47/1000000,"0.00")&amp;" MMBtu/hr AUXILIARY FUEL")</f>
        <v>AUTOTHERMAL: volatiles cover the reactor</v>
      </c>
      <c r="D50" s="9"/>
    </row>
    <row r="51" customFormat="false" ht="15" hidden="false" customHeight="true" outlineLevel="0" collapsed="false">
      <c r="B51" s="9" t="s">
        <v>578</v>
      </c>
      <c r="C51" s="30" t="n">
        <f aca="false">'Biochar Reactor'!$C$44/(0.27*('Biochar Reactor'!$C$19-Inputs!$C$25))</f>
        <v>18419.9339933993</v>
      </c>
      <c r="D51" s="9" t="s">
        <v>32</v>
      </c>
      <c r="E51" s="17" t="s">
        <v>579</v>
      </c>
    </row>
    <row r="52" customFormat="false" ht="15" hidden="false" customHeight="true" outlineLevel="0" collapsed="false">
      <c r="B52" s="9" t="s">
        <v>580</v>
      </c>
      <c r="C52" s="30" t="n">
        <f aca="false">'Biochar Reactor'!$C$51/(0.0765*530/(460+'Biochar Reactor'!$C$19))/60</f>
        <v>15597.9216616939</v>
      </c>
      <c r="D52" s="9" t="s">
        <v>66</v>
      </c>
    </row>
    <row r="53" customFormat="false" ht="15" hidden="false" customHeight="true" outlineLevel="0" collapsed="false">
      <c r="B53" s="7" t="s">
        <v>581</v>
      </c>
      <c r="C53" s="8"/>
      <c r="D53" s="8"/>
      <c r="E53" s="8"/>
    </row>
    <row r="54" customFormat="false" ht="15" hidden="false" customHeight="true" outlineLevel="0" collapsed="false">
      <c r="B54" s="9" t="s">
        <v>582</v>
      </c>
      <c r="C54" s="30" t="n">
        <f aca="false">'Biochar Reactor'!$C$27/60/'Biochar Reactor'!$C$23*'Biochar Reactor'!$C$21/'Biochar Reactor'!$C$22</f>
        <v>945.588235294118</v>
      </c>
      <c r="D54" s="9" t="s">
        <v>345</v>
      </c>
    </row>
    <row r="55" customFormat="false" ht="15" hidden="false" customHeight="true" outlineLevel="0" collapsed="false">
      <c r="B55" s="9" t="s">
        <v>583</v>
      </c>
      <c r="C55" s="61" t="n">
        <f aca="false">PI()/4*'Biochar Reactor'!$C$24^2</f>
        <v>19.6349540849362</v>
      </c>
      <c r="D55" s="9" t="s">
        <v>584</v>
      </c>
    </row>
    <row r="56" customFormat="false" ht="15" hidden="false" customHeight="true" outlineLevel="0" collapsed="false">
      <c r="B56" s="11" t="s">
        <v>585</v>
      </c>
      <c r="C56" s="63" t="n">
        <f aca="false">'Biochar Reactor'!$C$54/'Biochar Reactor'!$C$55</f>
        <v>48.1584133685123</v>
      </c>
      <c r="D56" s="9" t="s">
        <v>52</v>
      </c>
    </row>
    <row r="57" customFormat="false" ht="15" hidden="false" customHeight="true" outlineLevel="0" collapsed="false">
      <c r="B57" s="9" t="s">
        <v>586</v>
      </c>
      <c r="C57" s="30" t="n">
        <f aca="false">PI()*'Biochar Reactor'!$C$24*'Biochar Reactor'!$C$56</f>
        <v>756.470588235294</v>
      </c>
      <c r="D57" s="9" t="s">
        <v>584</v>
      </c>
    </row>
    <row r="58" customFormat="false" ht="15" hidden="false" customHeight="true" outlineLevel="0" collapsed="false">
      <c r="B58" s="11" t="s">
        <v>587</v>
      </c>
      <c r="C58" s="60" t="n">
        <f aca="false">'Biochar Reactor'!$C$40/'Biochar Reactor'!$C$57</f>
        <v>1634.9697</v>
      </c>
      <c r="D58" s="9" t="s">
        <v>551</v>
      </c>
    </row>
    <row r="59" customFormat="false" ht="15" hidden="false" customHeight="true" outlineLevel="0" collapsed="false">
      <c r="B59" s="11" t="s">
        <v>588</v>
      </c>
      <c r="C59" s="63" t="n">
        <f aca="false">'Biochar Reactor'!$C$40/'Biochar Reactor'!$C$25/(PI()*'Biochar Reactor'!$C$24)</f>
        <v>19.6843866643982</v>
      </c>
      <c r="D59" s="9" t="s">
        <v>52</v>
      </c>
    </row>
    <row r="60" customFormat="false" ht="15" hidden="false" customHeight="true" outlineLevel="0" collapsed="false">
      <c r="B60" s="11" t="s">
        <v>589</v>
      </c>
      <c r="C60" s="60" t="n">
        <f aca="false">CEILING(MAX('Biochar Reactor'!$C$56,'Biochar Reactor'!$C$59),1)</f>
        <v>49</v>
      </c>
      <c r="D60" s="9" t="s">
        <v>52</v>
      </c>
    </row>
    <row r="61" customFormat="false" ht="15" hidden="false" customHeight="true" outlineLevel="0" collapsed="false">
      <c r="B61" s="9" t="s">
        <v>590</v>
      </c>
      <c r="C61" s="61" t="n">
        <f aca="false">'Biochar Reactor'!$C$60/'Biochar Reactor'!$C$24</f>
        <v>9.8</v>
      </c>
      <c r="D61" s="9"/>
      <c r="E61" s="17" t="s">
        <v>591</v>
      </c>
    </row>
    <row r="62" customFormat="false" ht="15" hidden="false" customHeight="true" outlineLevel="0" collapsed="false">
      <c r="B62" s="9" t="s">
        <v>592</v>
      </c>
      <c r="C62" s="30" t="str">
        <f aca="false">IF('Biochar Reactor'!$C$58&lt;='Biochar Reactor'!$C$25,"RESIDENCE TIME GOVERNS THE LENGTH","HEAT FLUX GOVERNS: length set by shell area")</f>
        <v>RESIDENCE TIME GOVERNS THE LENGTH</v>
      </c>
      <c r="D62"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6"/>
    <col collapsed="false" customWidth="true" hidden="false" outlineLevel="0" max="4" min="4" style="1" width="12"/>
    <col collapsed="false" customWidth="true" hidden="false" outlineLevel="0" max="5" min="5" style="1" width="50"/>
  </cols>
  <sheetData>
    <row r="1" customFormat="false" ht="15.75" hidden="false" customHeight="true" outlineLevel="0" collapsed="false">
      <c r="B1" s="5" t="s">
        <v>593</v>
      </c>
    </row>
    <row r="3" customFormat="false" ht="15" hidden="false" customHeight="true" outlineLevel="0" collapsed="false">
      <c r="B3" s="7" t="s">
        <v>594</v>
      </c>
      <c r="C3" s="8"/>
      <c r="D3" s="8"/>
      <c r="E3" s="8"/>
    </row>
    <row r="4" customFormat="false" ht="15" hidden="false" customHeight="true" outlineLevel="0" collapsed="false">
      <c r="B4" s="9" t="s">
        <v>31</v>
      </c>
      <c r="C4" s="10" t="n">
        <f aca="false">Inputs!$C$13/2.20462</f>
        <v>2916.60240767116</v>
      </c>
      <c r="D4" s="9" t="s">
        <v>595</v>
      </c>
    </row>
    <row r="5" customFormat="false" ht="15" hidden="false" customHeight="true" outlineLevel="0" collapsed="false">
      <c r="B5" s="9" t="s">
        <v>31</v>
      </c>
      <c r="C5" s="83" t="n">
        <f aca="false">Inputs!$C$13/2.20462/1000</f>
        <v>2.91660240767116</v>
      </c>
      <c r="D5" s="9" t="s">
        <v>596</v>
      </c>
    </row>
    <row r="6" customFormat="false" ht="15" hidden="false" customHeight="true" outlineLevel="0" collapsed="false">
      <c r="B6" s="9" t="s">
        <v>34</v>
      </c>
      <c r="C6" s="10" t="n">
        <f aca="false">HMB!$C$7/2.20462</f>
        <v>1029.38908506041</v>
      </c>
      <c r="D6" s="9" t="s">
        <v>595</v>
      </c>
    </row>
    <row r="7" customFormat="false" ht="15" hidden="false" customHeight="true" outlineLevel="0" collapsed="false">
      <c r="B7" s="9" t="s">
        <v>35</v>
      </c>
      <c r="C7" s="10" t="n">
        <f aca="false">HMB!$C$9/2.20462</f>
        <v>1887.21332261075</v>
      </c>
      <c r="D7" s="9" t="s">
        <v>595</v>
      </c>
    </row>
    <row r="8" customFormat="false" ht="15" hidden="false" customHeight="true" outlineLevel="0" collapsed="false">
      <c r="B8" s="9" t="s">
        <v>597</v>
      </c>
      <c r="C8" s="13" t="str">
        <f aca="false">TEXT(Inputs!$C$14,"0.0%")&amp;" / "&amp;TEXT(Inputs!$C$15,"0.0%")</f>
        <v>70.0% / 15.0%</v>
      </c>
      <c r="D8" s="9"/>
    </row>
    <row r="9" customFormat="false" ht="15" hidden="false" customHeight="true" outlineLevel="0" collapsed="false">
      <c r="B9" s="7" t="s">
        <v>560</v>
      </c>
      <c r="C9" s="8"/>
      <c r="D9" s="8"/>
      <c r="E9" s="8"/>
    </row>
    <row r="10" customFormat="false" ht="15" hidden="false" customHeight="true" outlineLevel="0" collapsed="false">
      <c r="B10" s="9" t="s">
        <v>598</v>
      </c>
      <c r="C10" s="10" t="n">
        <f aca="false">HMB!$C$13*2.326</f>
        <v>2555.50642</v>
      </c>
      <c r="D10" s="9" t="s">
        <v>599</v>
      </c>
    </row>
    <row r="11" customFormat="false" ht="15" hidden="false" customHeight="true" outlineLevel="0" collapsed="false">
      <c r="B11" s="9" t="s">
        <v>163</v>
      </c>
      <c r="C11" s="10" t="n">
        <f aca="false">HMB!$C$14*2.326</f>
        <v>4070.5</v>
      </c>
      <c r="D11" s="9" t="s">
        <v>599</v>
      </c>
    </row>
    <row r="12" customFormat="false" ht="15" hidden="false" customHeight="true" outlineLevel="0" collapsed="false">
      <c r="B12" s="9" t="s">
        <v>600</v>
      </c>
      <c r="C12" s="83" t="n">
        <f aca="false">HMB!$C$29*1.05506/1000000</f>
        <v>7.68192289117647</v>
      </c>
      <c r="D12" s="9" t="s">
        <v>601</v>
      </c>
    </row>
    <row r="13" customFormat="false" ht="15" hidden="false" customHeight="true" outlineLevel="0" collapsed="false">
      <c r="B13" s="9" t="s">
        <v>600</v>
      </c>
      <c r="C13" s="10" t="n">
        <f aca="false">HMB!$C$29*0.293071/1000</f>
        <v>2133.85857073529</v>
      </c>
      <c r="D13" s="9" t="s">
        <v>602</v>
      </c>
    </row>
    <row r="14" customFormat="false" ht="15" hidden="false" customHeight="true" outlineLevel="0" collapsed="false">
      <c r="B14" s="9" t="s">
        <v>288</v>
      </c>
      <c r="C14" s="13" t="n">
        <f aca="false">HMB!$C$31/2.20462</f>
        <v>165.960970581348</v>
      </c>
      <c r="D14" s="9" t="s">
        <v>595</v>
      </c>
    </row>
    <row r="15" customFormat="false" ht="15" hidden="false" customHeight="true" outlineLevel="0" collapsed="false">
      <c r="B15" s="9" t="s">
        <v>167</v>
      </c>
      <c r="C15" s="10" t="n">
        <f aca="false">Inputs!$C$31*2.326</f>
        <v>46287.4</v>
      </c>
      <c r="D15" s="9" t="s">
        <v>599</v>
      </c>
    </row>
    <row r="16" customFormat="false" ht="15" hidden="false" customHeight="true" outlineLevel="0" collapsed="false">
      <c r="B16" s="7" t="s">
        <v>603</v>
      </c>
      <c r="C16" s="8"/>
      <c r="D16" s="8"/>
      <c r="E16" s="8"/>
    </row>
    <row r="17" customFormat="false" ht="15" hidden="false" customHeight="true" outlineLevel="0" collapsed="false">
      <c r="B17" s="9" t="s">
        <v>604</v>
      </c>
      <c r="C17" s="13" t="str">
        <f aca="false">TEXT((Inputs!$C$16-32)*5/9,"0")&amp;" / "&amp;TEXT((Inputs!$C$17-32)*5/9,"0")</f>
        <v>29 / 82</v>
      </c>
      <c r="D17" s="9" t="s">
        <v>605</v>
      </c>
    </row>
    <row r="18" customFormat="false" ht="15" hidden="false" customHeight="true" outlineLevel="0" collapsed="false">
      <c r="B18" s="9" t="s">
        <v>606</v>
      </c>
      <c r="C18" s="13" t="str">
        <f aca="false">TEXT((Inputs!$C$36-32)*5/9,"0")&amp;" / "&amp;TEXT((Inputs!$C$38-32)*5/9,"0")</f>
        <v>482 / 110</v>
      </c>
      <c r="D18" s="9" t="s">
        <v>605</v>
      </c>
    </row>
    <row r="19" customFormat="false" ht="15" hidden="false" customHeight="true" outlineLevel="0" collapsed="false">
      <c r="B19" s="7" t="s">
        <v>607</v>
      </c>
      <c r="C19" s="8"/>
      <c r="D19" s="8"/>
      <c r="E19" s="8"/>
    </row>
    <row r="20" customFormat="false" ht="15" hidden="false" customHeight="true" outlineLevel="0" collapsed="false">
      <c r="B20" s="9" t="s">
        <v>608</v>
      </c>
      <c r="C20" s="10" t="n">
        <f aca="false">HMB!$C$41/2.20462</f>
        <v>15196.119545562</v>
      </c>
      <c r="D20" s="9" t="s">
        <v>595</v>
      </c>
    </row>
    <row r="21" customFormat="false" ht="15" hidden="false" customHeight="true" outlineLevel="0" collapsed="false">
      <c r="B21" s="9" t="s">
        <v>311</v>
      </c>
      <c r="C21" s="10" t="n">
        <f aca="false">HMB!$C$48/2.20462</f>
        <v>19171.3570743083</v>
      </c>
      <c r="D21" s="9" t="s">
        <v>595</v>
      </c>
    </row>
    <row r="22" customFormat="false" ht="15" hidden="false" customHeight="true" outlineLevel="0" collapsed="false">
      <c r="B22" s="9" t="s">
        <v>318</v>
      </c>
      <c r="C22" s="10" t="n">
        <f aca="false">HMB!$C$53*1.69901</f>
        <v>21975.5202052689</v>
      </c>
      <c r="D22" s="9" t="s">
        <v>609</v>
      </c>
    </row>
    <row r="23" customFormat="false" ht="15" hidden="false" customHeight="true" outlineLevel="0" collapsed="false">
      <c r="B23" s="9" t="s">
        <v>610</v>
      </c>
      <c r="C23" s="10" t="n">
        <f aca="false">HMB!$C$54*1.69901*273.15/294.26</f>
        <v>15962.6875441055</v>
      </c>
      <c r="D23" s="9" t="s">
        <v>611</v>
      </c>
    </row>
    <row r="24" customFormat="false" ht="15" hidden="false" customHeight="true" outlineLevel="0" collapsed="false">
      <c r="B24" s="7" t="s">
        <v>61</v>
      </c>
      <c r="C24" s="8"/>
      <c r="D24" s="8"/>
      <c r="E24" s="8"/>
    </row>
    <row r="25" customFormat="false" ht="15" hidden="false" customHeight="true" outlineLevel="0" collapsed="false">
      <c r="B25" s="9" t="s">
        <v>343</v>
      </c>
      <c r="C25" s="13" t="str">
        <f aca="false">Equipment!$C$4</f>
        <v>XD-96 (8'×40')</v>
      </c>
      <c r="D25" s="9"/>
    </row>
    <row r="26" customFormat="false" ht="15" hidden="false" customHeight="true" outlineLevel="0" collapsed="false">
      <c r="B26" s="9" t="s">
        <v>612</v>
      </c>
      <c r="C26" s="13" t="str">
        <f aca="false">IF(ISNUMBER(Equipment!$C$5),TEXT(Equipment!$C$5*0.3048,"0.00")&amp;" × "&amp;TEXT(Equipment!$C$6*0.3048,"0.0"),"")</f>
        <v>2.44 × 12.2</v>
      </c>
      <c r="D26" s="9" t="s">
        <v>613</v>
      </c>
    </row>
    <row r="27" customFormat="false" ht="15" hidden="false" customHeight="true" outlineLevel="0" collapsed="false">
      <c r="B27" s="9" t="s">
        <v>426</v>
      </c>
      <c r="C27" s="12" t="n">
        <f aca="false">Equipment!$C$17*0.293071</f>
        <v>2.56063028488235</v>
      </c>
      <c r="D27" s="9" t="s">
        <v>614</v>
      </c>
    </row>
    <row r="28" customFormat="false" ht="15" hidden="false" customHeight="true" outlineLevel="0" collapsed="false">
      <c r="B28" s="9" t="s">
        <v>441</v>
      </c>
      <c r="C28" s="13" t="n">
        <f aca="false">Equipment!$C$27*0.7457</f>
        <v>37.285</v>
      </c>
      <c r="D28" s="9" t="s">
        <v>602</v>
      </c>
    </row>
    <row r="29" customFormat="false" ht="15" hidden="false" customHeight="true" outlineLevel="0" collapsed="false">
      <c r="B29" s="9" t="s">
        <v>68</v>
      </c>
      <c r="C29" s="10" t="n">
        <f aca="false">Equipment!$C$29*25.4</f>
        <v>558.8</v>
      </c>
      <c r="D29" s="9" t="s">
        <v>615</v>
      </c>
    </row>
    <row r="30" customFormat="false" ht="15" hidden="false" customHeight="true" outlineLevel="0" collapsed="false">
      <c r="B30" s="9" t="s">
        <v>196</v>
      </c>
      <c r="C30" s="10" t="n">
        <f aca="false">Inputs!$C$45*249.09</f>
        <v>2989.08</v>
      </c>
      <c r="D30" s="9" t="s">
        <v>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6" min="3" style="1" width="18"/>
  </cols>
  <sheetData>
    <row r="1" customFormat="false" ht="15.75" hidden="false" customHeight="true" outlineLevel="0" collapsed="false">
      <c r="B1" s="5" t="s">
        <v>617</v>
      </c>
    </row>
    <row r="3" customFormat="false" ht="15" hidden="false" customHeight="true" outlineLevel="0" collapsed="false">
      <c r="B3" s="21" t="s">
        <v>618</v>
      </c>
      <c r="C3" s="21" t="s">
        <v>619</v>
      </c>
      <c r="D3" s="21" t="s">
        <v>620</v>
      </c>
      <c r="E3" s="21" t="s">
        <v>621</v>
      </c>
      <c r="F3" s="21" t="s">
        <v>622</v>
      </c>
    </row>
    <row r="4" customFormat="false" ht="15" hidden="false" customHeight="true" outlineLevel="0" collapsed="false">
      <c r="B4" s="84" t="s">
        <v>30</v>
      </c>
      <c r="C4" s="18" t="s">
        <v>623</v>
      </c>
      <c r="D4" s="18" t="s">
        <v>624</v>
      </c>
      <c r="E4" s="18" t="s">
        <v>625</v>
      </c>
      <c r="F4" s="18" t="s">
        <v>626</v>
      </c>
    </row>
    <row r="5" customFormat="false" ht="15" hidden="false" customHeight="true" outlineLevel="0" collapsed="false">
      <c r="B5" s="84" t="s">
        <v>627</v>
      </c>
      <c r="C5" s="18" t="n">
        <v>3000</v>
      </c>
      <c r="D5" s="18" t="n">
        <v>3000</v>
      </c>
      <c r="E5" s="18" t="n">
        <v>6430</v>
      </c>
      <c r="F5" s="18" t="n">
        <v>4300</v>
      </c>
    </row>
    <row r="6" customFormat="false" ht="15" hidden="false" customHeight="true" outlineLevel="0" collapsed="false">
      <c r="B6" s="84" t="s">
        <v>628</v>
      </c>
      <c r="C6" s="24" t="n">
        <v>0.5</v>
      </c>
      <c r="D6" s="24" t="n">
        <v>0.35</v>
      </c>
      <c r="E6" s="24" t="n">
        <v>0.7</v>
      </c>
      <c r="F6" s="24" t="n">
        <v>0.5</v>
      </c>
    </row>
    <row r="7" customFormat="false" ht="15" hidden="false" customHeight="true" outlineLevel="0" collapsed="false">
      <c r="B7" s="84" t="s">
        <v>629</v>
      </c>
      <c r="C7" s="24" t="n">
        <v>0.1</v>
      </c>
      <c r="D7" s="24" t="n">
        <v>0.1</v>
      </c>
      <c r="E7" s="24" t="n">
        <v>0.15</v>
      </c>
      <c r="F7" s="24" t="n">
        <v>0.1</v>
      </c>
    </row>
    <row r="8" customFormat="false" ht="15" hidden="false" customHeight="true" outlineLevel="0" collapsed="false">
      <c r="B8" s="84" t="s">
        <v>630</v>
      </c>
      <c r="C8" s="18" t="n">
        <v>60</v>
      </c>
      <c r="D8" s="18" t="n">
        <v>60</v>
      </c>
      <c r="E8" s="18" t="n">
        <v>85</v>
      </c>
      <c r="F8" s="18" t="n">
        <v>70</v>
      </c>
    </row>
    <row r="9" customFormat="false" ht="15" hidden="false" customHeight="true" outlineLevel="0" collapsed="false">
      <c r="B9" s="84" t="s">
        <v>631</v>
      </c>
      <c r="C9" s="18" t="n">
        <v>200</v>
      </c>
      <c r="D9" s="18" t="n">
        <v>176</v>
      </c>
      <c r="E9" s="18" t="n">
        <v>180</v>
      </c>
      <c r="F9" s="18" t="n">
        <v>160</v>
      </c>
    </row>
    <row r="10" customFormat="false" ht="15" hidden="false" customHeight="true" outlineLevel="0" collapsed="false">
      <c r="B10" s="84" t="s">
        <v>632</v>
      </c>
      <c r="C10" s="18" t="n">
        <v>600</v>
      </c>
      <c r="D10" s="18" t="n">
        <v>588</v>
      </c>
      <c r="E10" s="18" t="n">
        <v>1100</v>
      </c>
      <c r="F10" s="18" t="n">
        <v>600</v>
      </c>
    </row>
    <row r="11" customFormat="false" ht="15" hidden="false" customHeight="true" outlineLevel="0" collapsed="false">
      <c r="B11" s="84" t="s">
        <v>633</v>
      </c>
      <c r="C11" s="18" t="n">
        <v>180</v>
      </c>
      <c r="D11" s="18" t="n">
        <v>180</v>
      </c>
      <c r="E11" s="18" t="n">
        <v>230</v>
      </c>
      <c r="F11" s="18" t="n">
        <v>220</v>
      </c>
    </row>
    <row r="12" customFormat="false" ht="15" hidden="false" customHeight="true" outlineLevel="0" collapsed="false">
      <c r="B12" s="84" t="s">
        <v>634</v>
      </c>
      <c r="C12" s="18" t="n">
        <v>1750</v>
      </c>
      <c r="D12" s="18" t="n">
        <v>1750</v>
      </c>
      <c r="E12" s="18" t="n">
        <v>1750</v>
      </c>
      <c r="F12" s="18" t="n">
        <v>1750</v>
      </c>
    </row>
    <row r="13" customFormat="false" ht="15" hidden="false" customHeight="true" outlineLevel="0" collapsed="false">
      <c r="B13" s="84" t="s">
        <v>46</v>
      </c>
      <c r="C13" s="18" t="s">
        <v>125</v>
      </c>
      <c r="D13" s="18" t="s">
        <v>140</v>
      </c>
      <c r="E13" s="18" t="s">
        <v>145</v>
      </c>
      <c r="F13" s="18" t="s">
        <v>125</v>
      </c>
    </row>
    <row r="14" customFormat="false" ht="15" hidden="false" customHeight="true" outlineLevel="0" collapsed="false">
      <c r="B14" s="84" t="s">
        <v>88</v>
      </c>
      <c r="C14" s="18" t="s">
        <v>635</v>
      </c>
      <c r="D14" s="18" t="s">
        <v>636</v>
      </c>
      <c r="E14" s="18" t="s">
        <v>637</v>
      </c>
      <c r="F14" s="18" t="s">
        <v>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2026-09-09T03:03:03Z</dcterms:created>
  <dc:creator>openpyxl</dc:creator>
  <dc:description/>
  <dc:language>en-US</dc:language>
  <cp:lastModifiedBy/>
  <dcterms:modified xsi:type="dcterms:W3CDTF">2026-09-09T03:03:37Z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