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3820"/>
  <mc:AlternateContent xmlns:mc="http://schemas.openxmlformats.org/markup-compatibility/2006">
    <mc:Choice Requires="x15">
      <x15ac:absPath xmlns:x15ac="http://schemas.microsoft.com/office/spreadsheetml/2010/11/ac" url="C:\Users\Carol\Documents\Module 8\NP Excel 2016 M8 Solution Files RTP\Excel 8\Module\"/>
    </mc:Choice>
  </mc:AlternateContent>
  <bookViews>
    <workbookView xWindow="0" yWindow="0" windowWidth="20490" windowHeight="7770"/>
  </bookViews>
  <sheets>
    <sheet name="Documentation" sheetId="8" r:id="rId1"/>
    <sheet name="Employee Analysis" sheetId="2" r:id="rId2"/>
    <sheet name="Employee Data" sheetId="1" r:id="rId3"/>
    <sheet name="Product Data" sheetId="9" r:id="rId4"/>
    <sheet name="Data Tables" sheetId="7" r:id="rId5"/>
  </sheets>
  <definedNames>
    <definedName name="_xlnm._FilterDatabase" localSheetId="2" hidden="1">'Employee Data'!$A$1:$J$102</definedName>
    <definedName name="Name_Badge">'Data Tables'!$D$8:$E$12</definedName>
    <definedName name="Product_Suppliers">'Data Tables'!$A$8:$B$14</definedName>
    <definedName name="Service_Awards">'Data Tables'!$D$8:$E$10</definedName>
    <definedName name="Specialty_Store">'Data Tables'!$B$3:$H$4</definedName>
  </definedNames>
  <calcPr calcId="162913"/>
  <webPublishing codePage="1252"/>
</workbook>
</file>

<file path=xl/calcChain.xml><?xml version="1.0" encoding="utf-8"?>
<calcChain xmlns="http://schemas.openxmlformats.org/spreadsheetml/2006/main">
  <c r="B5" i="2" l="1"/>
  <c r="B6" i="2"/>
  <c r="B4" i="2"/>
  <c r="B3" i="2"/>
  <c r="L2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E102" i="1"/>
  <c r="N102" i="1" s="1"/>
  <c r="G102" i="1"/>
  <c r="K102" i="1"/>
  <c r="M102" i="1"/>
  <c r="O102" i="1"/>
  <c r="D4" i="2"/>
  <c r="D5" i="2"/>
  <c r="D6" i="2"/>
  <c r="D3" i="2"/>
  <c r="C4" i="2"/>
  <c r="C5" i="2"/>
  <c r="C6" i="2"/>
  <c r="C3" i="2"/>
  <c r="E2" i="9" l="1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6" i="9"/>
  <c r="E117" i="9"/>
  <c r="E118" i="9"/>
  <c r="E119" i="9"/>
  <c r="E120" i="9"/>
  <c r="E121" i="9"/>
  <c r="E122" i="9"/>
  <c r="E123" i="9"/>
  <c r="E124" i="9"/>
  <c r="E125" i="9"/>
  <c r="E126" i="9"/>
  <c r="E127" i="9"/>
  <c r="E128" i="9"/>
  <c r="E129" i="9"/>
  <c r="E130" i="9"/>
  <c r="E131" i="9"/>
  <c r="E132" i="9"/>
  <c r="E133" i="9"/>
  <c r="E134" i="9"/>
  <c r="E135" i="9"/>
  <c r="E136" i="9"/>
  <c r="E137" i="9"/>
  <c r="E138" i="9"/>
  <c r="E139" i="9"/>
  <c r="E140" i="9"/>
  <c r="D2" i="9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M2" i="1" l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N97" i="1" l="1"/>
  <c r="O97" i="1"/>
  <c r="N89" i="1"/>
  <c r="O89" i="1"/>
  <c r="N81" i="1"/>
  <c r="O81" i="1"/>
  <c r="N73" i="1"/>
  <c r="O73" i="1"/>
  <c r="N65" i="1"/>
  <c r="O65" i="1"/>
  <c r="N53" i="1"/>
  <c r="O53" i="1"/>
  <c r="N45" i="1"/>
  <c r="O45" i="1"/>
  <c r="N37" i="1"/>
  <c r="O37" i="1"/>
  <c r="N29" i="1"/>
  <c r="O29" i="1"/>
  <c r="N21" i="1"/>
  <c r="O21" i="1"/>
  <c r="N13" i="1"/>
  <c r="O13" i="1"/>
  <c r="N5" i="1"/>
  <c r="O5" i="1"/>
  <c r="N96" i="1"/>
  <c r="O96" i="1"/>
  <c r="N88" i="1"/>
  <c r="O88" i="1"/>
  <c r="N80" i="1"/>
  <c r="O80" i="1"/>
  <c r="N72" i="1"/>
  <c r="O72" i="1"/>
  <c r="N64" i="1"/>
  <c r="O64" i="1"/>
  <c r="N56" i="1"/>
  <c r="O56" i="1"/>
  <c r="N48" i="1"/>
  <c r="O48" i="1"/>
  <c r="N40" i="1"/>
  <c r="O40" i="1"/>
  <c r="N32" i="1"/>
  <c r="O32" i="1"/>
  <c r="N24" i="1"/>
  <c r="O24" i="1"/>
  <c r="N16" i="1"/>
  <c r="O16" i="1"/>
  <c r="N8" i="1"/>
  <c r="O8" i="1"/>
  <c r="N95" i="1"/>
  <c r="O95" i="1"/>
  <c r="N83" i="1"/>
  <c r="O83" i="1"/>
  <c r="N75" i="1"/>
  <c r="O75" i="1"/>
  <c r="N63" i="1"/>
  <c r="O63" i="1"/>
  <c r="N55" i="1"/>
  <c r="O55" i="1"/>
  <c r="N43" i="1"/>
  <c r="O43" i="1"/>
  <c r="N31" i="1"/>
  <c r="O31" i="1"/>
  <c r="N23" i="1"/>
  <c r="O23" i="1"/>
  <c r="N15" i="1"/>
  <c r="O15" i="1"/>
  <c r="N11" i="1"/>
  <c r="O11" i="1"/>
  <c r="N7" i="1"/>
  <c r="O7" i="1"/>
  <c r="N3" i="1"/>
  <c r="O3" i="1"/>
  <c r="N101" i="1"/>
  <c r="O101" i="1"/>
  <c r="N93" i="1"/>
  <c r="O93" i="1"/>
  <c r="N85" i="1"/>
  <c r="O85" i="1"/>
  <c r="N77" i="1"/>
  <c r="O77" i="1"/>
  <c r="N69" i="1"/>
  <c r="O69" i="1"/>
  <c r="N61" i="1"/>
  <c r="O61" i="1"/>
  <c r="N57" i="1"/>
  <c r="O57" i="1"/>
  <c r="N49" i="1"/>
  <c r="O49" i="1"/>
  <c r="N41" i="1"/>
  <c r="O41" i="1"/>
  <c r="N33" i="1"/>
  <c r="O33" i="1"/>
  <c r="N25" i="1"/>
  <c r="O25" i="1"/>
  <c r="N17" i="1"/>
  <c r="O17" i="1"/>
  <c r="N9" i="1"/>
  <c r="O9" i="1"/>
  <c r="N100" i="1"/>
  <c r="O100" i="1"/>
  <c r="N92" i="1"/>
  <c r="O92" i="1"/>
  <c r="N84" i="1"/>
  <c r="O84" i="1"/>
  <c r="N76" i="1"/>
  <c r="O76" i="1"/>
  <c r="N68" i="1"/>
  <c r="O68" i="1"/>
  <c r="N60" i="1"/>
  <c r="O60" i="1"/>
  <c r="N52" i="1"/>
  <c r="O52" i="1"/>
  <c r="N44" i="1"/>
  <c r="O44" i="1"/>
  <c r="N36" i="1"/>
  <c r="O36" i="1"/>
  <c r="N28" i="1"/>
  <c r="O28" i="1"/>
  <c r="N20" i="1"/>
  <c r="O20" i="1"/>
  <c r="N12" i="1"/>
  <c r="O12" i="1"/>
  <c r="N4" i="1"/>
  <c r="O4" i="1"/>
  <c r="N99" i="1"/>
  <c r="O99" i="1"/>
  <c r="N91" i="1"/>
  <c r="O91" i="1"/>
  <c r="N87" i="1"/>
  <c r="O87" i="1"/>
  <c r="N79" i="1"/>
  <c r="O79" i="1"/>
  <c r="N71" i="1"/>
  <c r="O71" i="1"/>
  <c r="N67" i="1"/>
  <c r="O67" i="1"/>
  <c r="N59" i="1"/>
  <c r="O59" i="1"/>
  <c r="N51" i="1"/>
  <c r="O51" i="1"/>
  <c r="N47" i="1"/>
  <c r="O47" i="1"/>
  <c r="N39" i="1"/>
  <c r="O39" i="1"/>
  <c r="N35" i="1"/>
  <c r="O35" i="1"/>
  <c r="N27" i="1"/>
  <c r="O27" i="1"/>
  <c r="N19" i="1"/>
  <c r="O19" i="1"/>
  <c r="N98" i="1"/>
  <c r="O98" i="1"/>
  <c r="N94" i="1"/>
  <c r="O94" i="1"/>
  <c r="N90" i="1"/>
  <c r="O90" i="1"/>
  <c r="N86" i="1"/>
  <c r="O86" i="1"/>
  <c r="N82" i="1"/>
  <c r="O82" i="1"/>
  <c r="N78" i="1"/>
  <c r="O78" i="1"/>
  <c r="N74" i="1"/>
  <c r="O74" i="1"/>
  <c r="N70" i="1"/>
  <c r="O70" i="1"/>
  <c r="N66" i="1"/>
  <c r="O66" i="1"/>
  <c r="N62" i="1"/>
  <c r="O62" i="1"/>
  <c r="N58" i="1"/>
  <c r="O58" i="1"/>
  <c r="N54" i="1"/>
  <c r="O54" i="1"/>
  <c r="N50" i="1"/>
  <c r="O50" i="1"/>
  <c r="N46" i="1"/>
  <c r="O46" i="1"/>
  <c r="N42" i="1"/>
  <c r="O42" i="1"/>
  <c r="N38" i="1"/>
  <c r="O38" i="1"/>
  <c r="N34" i="1"/>
  <c r="O34" i="1"/>
  <c r="N30" i="1"/>
  <c r="O30" i="1"/>
  <c r="N26" i="1"/>
  <c r="O26" i="1"/>
  <c r="N22" i="1"/>
  <c r="O22" i="1"/>
  <c r="N18" i="1"/>
  <c r="O18" i="1"/>
  <c r="N14" i="1"/>
  <c r="O14" i="1"/>
  <c r="N10" i="1"/>
  <c r="O10" i="1"/>
  <c r="N6" i="1"/>
  <c r="O6" i="1"/>
  <c r="N2" i="1"/>
  <c r="O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101" i="1"/>
  <c r="G100" i="1"/>
  <c r="G97" i="1"/>
  <c r="G99" i="1"/>
  <c r="G98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</calcChain>
</file>

<file path=xl/sharedStrings.xml><?xml version="1.0" encoding="utf-8"?>
<sst xmlns="http://schemas.openxmlformats.org/spreadsheetml/2006/main" count="856" uniqueCount="430">
  <si>
    <t>Location</t>
  </si>
  <si>
    <t>FT</t>
  </si>
  <si>
    <t>PT</t>
  </si>
  <si>
    <t>Young</t>
  </si>
  <si>
    <t>O'Donnell</t>
  </si>
  <si>
    <t>Average Salary</t>
  </si>
  <si>
    <t>Hire Date</t>
  </si>
  <si>
    <t>Birth Date</t>
  </si>
  <si>
    <t>Purpose</t>
  </si>
  <si>
    <t>Years of Service</t>
  </si>
  <si>
    <t>Lloyd</t>
  </si>
  <si>
    <t>Current Salary</t>
  </si>
  <si>
    <t>Age</t>
  </si>
  <si>
    <t>Last 
Name</t>
  </si>
  <si>
    <t>Author</t>
  </si>
  <si>
    <t>Date</t>
  </si>
  <si>
    <t>Field</t>
  </si>
  <si>
    <t>Description</t>
  </si>
  <si>
    <t>Data Type</t>
  </si>
  <si>
    <t>Notes</t>
  </si>
  <si>
    <t>Employee ID</t>
  </si>
  <si>
    <t>Number</t>
  </si>
  <si>
    <t>1000-9999</t>
  </si>
  <si>
    <t>Last Name</t>
  </si>
  <si>
    <t>Text</t>
  </si>
  <si>
    <t>Enter dates using mm/dd/yyyy</t>
  </si>
  <si>
    <t>Integer</t>
  </si>
  <si>
    <t>One decimal place</t>
  </si>
  <si>
    <t>Yes or blank</t>
  </si>
  <si>
    <t>Employee last name</t>
  </si>
  <si>
    <t>Employee hire date</t>
  </si>
  <si>
    <t>Employee birth date</t>
  </si>
  <si>
    <t>Employee job status</t>
  </si>
  <si>
    <t>Employee current salary</t>
  </si>
  <si>
    <t>Employee age</t>
  </si>
  <si>
    <t>Age as of</t>
  </si>
  <si>
    <t>Accounting format with two decimal places</t>
  </si>
  <si>
    <t>First Name</t>
  </si>
  <si>
    <t>Mortimer</t>
  </si>
  <si>
    <t>John</t>
  </si>
  <si>
    <t>Allen</t>
  </si>
  <si>
    <t>Elizabeth</t>
  </si>
  <si>
    <t>Smith</t>
  </si>
  <si>
    <t>Helen</t>
  </si>
  <si>
    <t>Rodriguez</t>
  </si>
  <si>
    <t>Stephen</t>
  </si>
  <si>
    <t>Thompson</t>
  </si>
  <si>
    <t>Lane</t>
  </si>
  <si>
    <t>Robert</t>
  </si>
  <si>
    <t>Spaulding</t>
  </si>
  <si>
    <t>Sherri</t>
  </si>
  <si>
    <t>McKeown</t>
  </si>
  <si>
    <t>Michael</t>
  </si>
  <si>
    <t>Benham</t>
  </si>
  <si>
    <t>Paul</t>
  </si>
  <si>
    <t>Laboy</t>
  </si>
  <si>
    <t>Jayma</t>
  </si>
  <si>
    <t>Casas</t>
  </si>
  <si>
    <t>Antolin</t>
  </si>
  <si>
    <t>Guyer</t>
  </si>
  <si>
    <t>Ian</t>
  </si>
  <si>
    <t>Ramos</t>
  </si>
  <si>
    <t>Dunton</t>
  </si>
  <si>
    <t>Diana</t>
  </si>
  <si>
    <t>Weaver</t>
  </si>
  <si>
    <t>Leanne</t>
  </si>
  <si>
    <t>Jung</t>
  </si>
  <si>
    <t>Brenda</t>
  </si>
  <si>
    <t>Wall</t>
  </si>
  <si>
    <t>Merritt</t>
  </si>
  <si>
    <t>Vernon</t>
  </si>
  <si>
    <t>Parham</t>
  </si>
  <si>
    <t>Jose</t>
  </si>
  <si>
    <t>Hutton</t>
  </si>
  <si>
    <t>Patrice</t>
  </si>
  <si>
    <t>Davis</t>
  </si>
  <si>
    <t>Carla</t>
  </si>
  <si>
    <t>Griffin</t>
  </si>
  <si>
    <t>Merrill</t>
  </si>
  <si>
    <t>Shannon</t>
  </si>
  <si>
    <t>Blackshear</t>
  </si>
  <si>
    <t>Gregory</t>
  </si>
  <si>
    <t>Palmer</t>
  </si>
  <si>
    <t>Angel</t>
  </si>
  <si>
    <t>Delosreyes</t>
  </si>
  <si>
    <t>Lori</t>
  </si>
  <si>
    <t>Goode</t>
  </si>
  <si>
    <t>Bari</t>
  </si>
  <si>
    <t>Reams</t>
  </si>
  <si>
    <t>Linda</t>
  </si>
  <si>
    <t>Richard</t>
  </si>
  <si>
    <t>Peters</t>
  </si>
  <si>
    <t>Jessica</t>
  </si>
  <si>
    <t>Cortez</t>
  </si>
  <si>
    <t>Nick</t>
  </si>
  <si>
    <t>Millard</t>
  </si>
  <si>
    <t>Melissa</t>
  </si>
  <si>
    <t>Burns</t>
  </si>
  <si>
    <t>Kimball</t>
  </si>
  <si>
    <t>Susan</t>
  </si>
  <si>
    <t>Ford</t>
  </si>
  <si>
    <t>Charles</t>
  </si>
  <si>
    <t>Vazquez</t>
  </si>
  <si>
    <t>Johnny</t>
  </si>
  <si>
    <t>Whetstone</t>
  </si>
  <si>
    <t>William</t>
  </si>
  <si>
    <t>Arnold</t>
  </si>
  <si>
    <t>Leroy</t>
  </si>
  <si>
    <t>Basile</t>
  </si>
  <si>
    <t>Santos</t>
  </si>
  <si>
    <t>Loftis</t>
  </si>
  <si>
    <t>Olson</t>
  </si>
  <si>
    <t>Ruth</t>
  </si>
  <si>
    <t>Gridley</t>
  </si>
  <si>
    <t>Marjorie</t>
  </si>
  <si>
    <t>Estevez</t>
  </si>
  <si>
    <t>Lois</t>
  </si>
  <si>
    <t>Cannon</t>
  </si>
  <si>
    <t>Eva</t>
  </si>
  <si>
    <t>Tyler</t>
  </si>
  <si>
    <t>Shirley</t>
  </si>
  <si>
    <t>Robin</t>
  </si>
  <si>
    <t>Lee</t>
  </si>
  <si>
    <t>Marvin</t>
  </si>
  <si>
    <t>Erwin</t>
  </si>
  <si>
    <t>Erin</t>
  </si>
  <si>
    <t>Godrun</t>
  </si>
  <si>
    <t>Earle</t>
  </si>
  <si>
    <t>Ramon</t>
  </si>
  <si>
    <t>Fallis</t>
  </si>
  <si>
    <t>Montoya</t>
  </si>
  <si>
    <t>Maria</t>
  </si>
  <si>
    <t>Bennett</t>
  </si>
  <si>
    <t>James</t>
  </si>
  <si>
    <t>Web</t>
  </si>
  <si>
    <t>Jason</t>
  </si>
  <si>
    <t>Whiting</t>
  </si>
  <si>
    <t>Jeffery</t>
  </si>
  <si>
    <t>Shanika</t>
  </si>
  <si>
    <t>Baker</t>
  </si>
  <si>
    <t>Ina</t>
  </si>
  <si>
    <t>Rosenberg</t>
  </si>
  <si>
    <t>George</t>
  </si>
  <si>
    <t>Trottier</t>
  </si>
  <si>
    <t>Elamin</t>
  </si>
  <si>
    <t>Martin</t>
  </si>
  <si>
    <t>Pope</t>
  </si>
  <si>
    <t>Burgess</t>
  </si>
  <si>
    <t>Charlotte</t>
  </si>
  <si>
    <t>Floyd</t>
  </si>
  <si>
    <t>Bobbi</t>
  </si>
  <si>
    <t>Guerrero</t>
  </si>
  <si>
    <t>Maudie</t>
  </si>
  <si>
    <t>Roeder</t>
  </si>
  <si>
    <t>Larry</t>
  </si>
  <si>
    <t>Joe</t>
  </si>
  <si>
    <t>Ronald</t>
  </si>
  <si>
    <t>Holland</t>
  </si>
  <si>
    <t>Patricia</t>
  </si>
  <si>
    <t>Theresa</t>
  </si>
  <si>
    <t>Williamson</t>
  </si>
  <si>
    <t>Santina</t>
  </si>
  <si>
    <t>Wolfe</t>
  </si>
  <si>
    <t>Bradley</t>
  </si>
  <si>
    <t>Thomas</t>
  </si>
  <si>
    <t>June</t>
  </si>
  <si>
    <t>Martinez</t>
  </si>
  <si>
    <t>Bean</t>
  </si>
  <si>
    <t>Douglas</t>
  </si>
  <si>
    <t>Chavez</t>
  </si>
  <si>
    <t>Poulsen</t>
  </si>
  <si>
    <t>Catherine</t>
  </si>
  <si>
    <t>Lunsford</t>
  </si>
  <si>
    <t>Alberta</t>
  </si>
  <si>
    <t>Marciano</t>
  </si>
  <si>
    <t>Kathy</t>
  </si>
  <si>
    <t>Miller</t>
  </si>
  <si>
    <t>Billy</t>
  </si>
  <si>
    <t>Ward</t>
  </si>
  <si>
    <t>Deann</t>
  </si>
  <si>
    <t>Wilt</t>
  </si>
  <si>
    <t>Alfonso</t>
  </si>
  <si>
    <t>Maddox</t>
  </si>
  <si>
    <t>Nicole</t>
  </si>
  <si>
    <t>Escarcega</t>
  </si>
  <si>
    <t>Mizer</t>
  </si>
  <si>
    <t>Joseph</t>
  </si>
  <si>
    <t>Larsen</t>
  </si>
  <si>
    <t>Jennifer</t>
  </si>
  <si>
    <t>Jackson</t>
  </si>
  <si>
    <t>Edwin</t>
  </si>
  <si>
    <t>Keefer</t>
  </si>
  <si>
    <t>Cynthia</t>
  </si>
  <si>
    <t>Melancon</t>
  </si>
  <si>
    <t>Dina</t>
  </si>
  <si>
    <t>Foley</t>
  </si>
  <si>
    <t>Pamela</t>
  </si>
  <si>
    <t>Jean</t>
  </si>
  <si>
    <t>Carlos</t>
  </si>
  <si>
    <t>Neace</t>
  </si>
  <si>
    <t>Marc</t>
  </si>
  <si>
    <t>Swanson</t>
  </si>
  <si>
    <t>Brandon</t>
  </si>
  <si>
    <t>Simpkins</t>
  </si>
  <si>
    <t>Lavalee</t>
  </si>
  <si>
    <t>Beals</t>
  </si>
  <si>
    <t>Pearce</t>
  </si>
  <si>
    <t>Gurganus</t>
  </si>
  <si>
    <t>Esther</t>
  </si>
  <si>
    <t>Toomer</t>
  </si>
  <si>
    <t>Katherine</t>
  </si>
  <si>
    <t>Garland</t>
  </si>
  <si>
    <t>Bowie</t>
  </si>
  <si>
    <t>Graham</t>
  </si>
  <si>
    <t>Bonham</t>
  </si>
  <si>
    <t>Total Employees</t>
  </si>
  <si>
    <t>Employee Dates</t>
  </si>
  <si>
    <t>Employee first name</t>
  </si>
  <si>
    <t xml:space="preserve"> </t>
  </si>
  <si>
    <t>Vanesa</t>
  </si>
  <si>
    <t>Employee years of service</t>
  </si>
  <si>
    <t>Job Status</t>
  </si>
  <si>
    <t>Years of service as of</t>
  </si>
  <si>
    <t>Part Number</t>
  </si>
  <si>
    <t>Hobby Warehouse</t>
  </si>
  <si>
    <t>Quilting</t>
  </si>
  <si>
    <t>Data Definition Table - Employee Data</t>
  </si>
  <si>
    <t>Data Definition Table - Product List</t>
  </si>
  <si>
    <t>Product Number</t>
  </si>
  <si>
    <t>Product number</t>
  </si>
  <si>
    <t>1000-99999</t>
  </si>
  <si>
    <t>Product Category</t>
  </si>
  <si>
    <t>Product category</t>
  </si>
  <si>
    <t>Dressmaking</t>
  </si>
  <si>
    <t>Stones and Glass</t>
  </si>
  <si>
    <t>Product Description</t>
  </si>
  <si>
    <t>Product description</t>
  </si>
  <si>
    <t>Product Suppliers</t>
  </si>
  <si>
    <t>Yarn House</t>
  </si>
  <si>
    <t>Fabric Stores</t>
  </si>
  <si>
    <t>Silk Flowers</t>
  </si>
  <si>
    <t>Description of product</t>
  </si>
  <si>
    <t>Bonham, Bowie, Garland, Graham</t>
  </si>
  <si>
    <t>Green</t>
  </si>
  <si>
    <t>Blue</t>
  </si>
  <si>
    <t>Purple</t>
  </si>
  <si>
    <t>Silver</t>
  </si>
  <si>
    <t>Gold</t>
  </si>
  <si>
    <t>Titanic</t>
  </si>
  <si>
    <t>City of New Orleans</t>
  </si>
  <si>
    <t>Large Purple Pearls</t>
  </si>
  <si>
    <t>MB Hobbies &amp; Crafts</t>
  </si>
  <si>
    <t>Glue</t>
  </si>
  <si>
    <t>Cement</t>
  </si>
  <si>
    <t>Halloween Costumes - Child</t>
  </si>
  <si>
    <t>Halloween Costumes - Adult</t>
  </si>
  <si>
    <t>Silk Pins - 500 ct</t>
  </si>
  <si>
    <t>Pins - glass head - 250</t>
  </si>
  <si>
    <t>Set Metal Crochet Hooks</t>
  </si>
  <si>
    <t>Set Metal Knitting Needles</t>
  </si>
  <si>
    <t>White Silk - Bolt</t>
  </si>
  <si>
    <t>Ruler - 4 X 4 grid</t>
  </si>
  <si>
    <t>Tape Measure</t>
  </si>
  <si>
    <t>Rotary Cutter</t>
  </si>
  <si>
    <t>Flying Cloud</t>
  </si>
  <si>
    <t>San Felipe</t>
  </si>
  <si>
    <t>Bismarck</t>
  </si>
  <si>
    <t>Polar Express</t>
  </si>
  <si>
    <t>Son of the South</t>
  </si>
  <si>
    <t>Austo-Hungarian Armoured</t>
  </si>
  <si>
    <t>Spring Group - Blue</t>
  </si>
  <si>
    <t>Needle Nosed Pliers</t>
  </si>
  <si>
    <t>Glass Bead Set - Dark</t>
  </si>
  <si>
    <t>Bead Design Board</t>
  </si>
  <si>
    <t>Lobster Clasps</t>
  </si>
  <si>
    <t>Gold Earring Wires</t>
  </si>
  <si>
    <t>Beeswax</t>
  </si>
  <si>
    <t>2" Eye Pins</t>
  </si>
  <si>
    <t>2" Head Pins</t>
  </si>
  <si>
    <t>Silver Earring Wires</t>
  </si>
  <si>
    <t>Barrel Clasp</t>
  </si>
  <si>
    <t>Toggle Clasp</t>
  </si>
  <si>
    <t>Silver Jump Rings</t>
  </si>
  <si>
    <t>Gold Jump Rings</t>
  </si>
  <si>
    <t>Silver Earwire Spacer Bead</t>
  </si>
  <si>
    <t>Fish Hook Wire</t>
  </si>
  <si>
    <t>Seed Beads Blue</t>
  </si>
  <si>
    <t>Seed Beads Green</t>
  </si>
  <si>
    <t>Seed Beads Red</t>
  </si>
  <si>
    <t>Seed Beads Purple</t>
  </si>
  <si>
    <t>Crimp Tubes Gold</t>
  </si>
  <si>
    <t>Glass Bead Gold</t>
  </si>
  <si>
    <t>Glass Bead Silver</t>
  </si>
  <si>
    <t>3-Way Connector Gold</t>
  </si>
  <si>
    <t>Crimp Beads Gold</t>
  </si>
  <si>
    <t>Crimp Beads Silver</t>
  </si>
  <si>
    <t>Micro Crimper</t>
  </si>
  <si>
    <t>Wire Cutter</t>
  </si>
  <si>
    <t>Lanyard Snaps</t>
  </si>
  <si>
    <t>Invisible Cord</t>
  </si>
  <si>
    <t>Silver Plated Memory Wire</t>
  </si>
  <si>
    <t>Stretch Magic</t>
  </si>
  <si>
    <t>Gold Plated Memory Wire</t>
  </si>
  <si>
    <t>1-1/2" Scissors</t>
  </si>
  <si>
    <t>2-1/2" Scissors</t>
  </si>
  <si>
    <t>3-1/2" Scissors</t>
  </si>
  <si>
    <t>CVN-76 Ronald Reagan</t>
  </si>
  <si>
    <t>CVN-77 GHW Bush</t>
  </si>
  <si>
    <t>CVN-78 Gerald Ford</t>
  </si>
  <si>
    <t>SS Mauretania</t>
  </si>
  <si>
    <t>RMS Lusitania</t>
  </si>
  <si>
    <t>SS President Lincoln</t>
  </si>
  <si>
    <t>SS George Washington</t>
  </si>
  <si>
    <t>RMS Baltic</t>
  </si>
  <si>
    <t>RMS Celtic</t>
  </si>
  <si>
    <t>SS Amerika</t>
  </si>
  <si>
    <t>USS Zumwalt</t>
  </si>
  <si>
    <t>USS Constitution</t>
  </si>
  <si>
    <t>Priates of the Caribbean</t>
  </si>
  <si>
    <t>Wooden Flying Dutchman</t>
  </si>
  <si>
    <t>All</t>
  </si>
  <si>
    <t>Pinking Shears</t>
  </si>
  <si>
    <t>Union Pacific Big Boy</t>
  </si>
  <si>
    <t>CSX Diesel Norfolk &amp; Western</t>
  </si>
  <si>
    <t>Pacific Southern Crescent</t>
  </si>
  <si>
    <t>Prewar O 262 Locomotive</t>
  </si>
  <si>
    <t>HO Burlington Locomotive</t>
  </si>
  <si>
    <t>HO US Army Amunition Box Car</t>
  </si>
  <si>
    <t>HO Baltimore &amp; Ohio Locomotive</t>
  </si>
  <si>
    <t>Plastic Bobbins - Emply</t>
  </si>
  <si>
    <t>Sewing Needles</t>
  </si>
  <si>
    <t>Fusable Interfacing lightweight</t>
  </si>
  <si>
    <t>Fusable Interfacing medium weight</t>
  </si>
  <si>
    <t>Plastic Bobbins - Pre wound white</t>
  </si>
  <si>
    <t>Hook &amp; Eye Enclosures Brass</t>
  </si>
  <si>
    <t>Bias Tape - Black</t>
  </si>
  <si>
    <t>Bias Tape - White</t>
  </si>
  <si>
    <t>Flexi-Lace Hem Tape - Black</t>
  </si>
  <si>
    <t>Flexi-Lace Hem Tape -White</t>
  </si>
  <si>
    <t>3/4" Non-Roll Elastic - Black</t>
  </si>
  <si>
    <t>English Garden Flowers yellow</t>
  </si>
  <si>
    <t>English Garden Flowers pink</t>
  </si>
  <si>
    <t>English Garden Flowers blue</t>
  </si>
  <si>
    <t>Flannel - Flower Patch Brown - Bolt</t>
  </si>
  <si>
    <t>Flannel - Flower Patch Black - Bolt</t>
  </si>
  <si>
    <t>Flannel - Flower Patch Blue - Bolt</t>
  </si>
  <si>
    <t>Standard Gauge Pullman Observation Car</t>
  </si>
  <si>
    <t>O Gauge Caboose - Red</t>
  </si>
  <si>
    <t>Standard Gauge Coal Hopper Car</t>
  </si>
  <si>
    <t>Ruler - 2 X 2 grid</t>
  </si>
  <si>
    <t>Ruler - 6 x 6 grid</t>
  </si>
  <si>
    <t>Ruler - 9 x 9 grid</t>
  </si>
  <si>
    <t>Rotary Cutter Mat</t>
  </si>
  <si>
    <t>Rotary Cutter Ruler</t>
  </si>
  <si>
    <t>Quilt Batting</t>
  </si>
  <si>
    <t>White Cotton Quilt Back</t>
  </si>
  <si>
    <t>Muslin Quilt Back</t>
  </si>
  <si>
    <t>Light Yellow Yarn - 8oz</t>
  </si>
  <si>
    <t>Light Green Yarn 8 oz</t>
  </si>
  <si>
    <t>Light Pink Yarn 8oz</t>
  </si>
  <si>
    <t>Variegated Green Yarn 8oz</t>
  </si>
  <si>
    <t>Beige Yarn 8oz</t>
  </si>
  <si>
    <t>Light Brown Yarn 8oz</t>
  </si>
  <si>
    <t>Medium Brown Yarn 8oz</t>
  </si>
  <si>
    <t>Dark Brown Yarn 8oz</t>
  </si>
  <si>
    <t>Light Gold Yarn 8oz</t>
  </si>
  <si>
    <t>Dark Gold Yarn 8oz</t>
  </si>
  <si>
    <t>Light Blue Yarn 8oz</t>
  </si>
  <si>
    <t>Royal Blue Yarn 8oz</t>
  </si>
  <si>
    <t>Navy Blue Yarn8oz</t>
  </si>
  <si>
    <t>Fabric Stores, Silk Flowers, Stones and Glass, Hobby Warehouse, Yarn House</t>
  </si>
  <si>
    <t xml:space="preserve">Total
Salary </t>
  </si>
  <si>
    <t>Sun Flower Stem</t>
  </si>
  <si>
    <t>Silk Poinsetta Stem</t>
  </si>
  <si>
    <t>Silk Fall Leaves Stem</t>
  </si>
  <si>
    <t>Forsythia Stem</t>
  </si>
  <si>
    <t>Amaryllis Stem</t>
  </si>
  <si>
    <t>Anemone Stem</t>
  </si>
  <si>
    <t>Begonia Stem</t>
  </si>
  <si>
    <t>Cherry Blossom Stem</t>
  </si>
  <si>
    <t>Calla Lily Stem</t>
  </si>
  <si>
    <t>Aster Stem</t>
  </si>
  <si>
    <t>Carnation Stem</t>
  </si>
  <si>
    <t>Chrysanthemum Stem</t>
  </si>
  <si>
    <t>Daisy Stem</t>
  </si>
  <si>
    <t>Tulip Stem</t>
  </si>
  <si>
    <t>Daffodil Stem</t>
  </si>
  <si>
    <t>Specialty Store</t>
  </si>
  <si>
    <t>Salary Increase</t>
  </si>
  <si>
    <t>Employee Bonus</t>
  </si>
  <si>
    <t>Store</t>
  </si>
  <si>
    <t>Employee store</t>
  </si>
  <si>
    <t>Bonus Amounts</t>
  </si>
  <si>
    <t>Jewelry Making</t>
  </si>
  <si>
    <t>Model Ship Building</t>
  </si>
  <si>
    <t>Model Train Building</t>
  </si>
  <si>
    <t>Bright Yellow Yarn 8oz</t>
  </si>
  <si>
    <t>Medium Pink Yarn 8oz</t>
  </si>
  <si>
    <t>Variegated Blue Yarn 8oz</t>
  </si>
  <si>
    <t>Yarn Crafting</t>
  </si>
  <si>
    <t>Dressmaking, Floral Crafting, Jewelry Making, Model Ship Building, Model Train Building, Quilting, and Yarn Crafting</t>
  </si>
  <si>
    <t>Floral Crafting</t>
  </si>
  <si>
    <t>Birthday this month</t>
  </si>
  <si>
    <t>Employee birthday month</t>
  </si>
  <si>
    <t>Birthday Month</t>
  </si>
  <si>
    <t>Name Badge</t>
  </si>
  <si>
    <t>Name
Badge Color</t>
  </si>
  <si>
    <t>Years of Service 5-9.99</t>
  </si>
  <si>
    <t>Years of Service 0-4.99</t>
  </si>
  <si>
    <t>Years of Service10+</t>
  </si>
  <si>
    <t>Name Badge Color</t>
  </si>
  <si>
    <t>Employee name badge color</t>
  </si>
  <si>
    <t>Employee bonus</t>
  </si>
  <si>
    <t>Employee salary increase</t>
  </si>
  <si>
    <t>Green (0-1.99 Years of Service), Blue (1-3.99 Years of Service), Purple (4-6.99 Years of Service), Silver (7-9.99 Years of Service), Gold (10+ Years of Service)</t>
  </si>
  <si>
    <t>Bonham, Bowie, Garland, or Graham</t>
  </si>
  <si>
    <t>FT (Full Time) or PT (Part Time)</t>
  </si>
  <si>
    <t>Supplier Name</t>
  </si>
  <si>
    <t>Product supplier name</t>
  </si>
  <si>
    <t>Specialty store for product</t>
  </si>
  <si>
    <t>Employee Analysis</t>
  </si>
  <si>
    <t>Supplier</t>
  </si>
  <si>
    <t>Vanessa Beals</t>
  </si>
  <si>
    <t>Bonus Amount</t>
  </si>
  <si>
    <t>Floral Crafting Tape - Green</t>
  </si>
  <si>
    <t>Joplin</t>
  </si>
  <si>
    <t>Jodi</t>
  </si>
  <si>
    <t>To analyze the MBHC employees and products</t>
  </si>
  <si>
    <t>Employee eligibility for comp day</t>
  </si>
  <si>
    <t>Eligible for Comp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</si>
</sst>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0.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1"/>
      <color rgb="FF000000"/>
      <name val="Calibri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8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22"/>
      <color rgb="FF7030A0"/>
      <name val="Bradley Hand ITC"/>
      <family val="4"/>
    </font>
    <font>
      <sz val="11"/>
      <color rgb="FF7030A0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7"/>
        <bgColor theme="9"/>
      </patternFill>
    </fill>
    <fill>
      <patternFill patternType="solid">
        <fgColor theme="7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medium">
        <color indexed="64"/>
      </left>
      <right style="medium">
        <color indexed="64"/>
      </right>
      <top style="thin">
        <color theme="0"/>
      </top>
      <bottom style="medium">
        <color indexed="64"/>
      </bottom>
      <diagonal/>
    </border>
    <border>
      <left/>
      <right style="thin">
        <color theme="0"/>
      </right>
      <top/>
      <bottom/>
      <diagonal/>
    </border>
    <border>
      <left/>
      <right/>
      <top style="thin">
        <color theme="0"/>
      </top>
      <bottom/>
      <diagonal/>
    </border>
    <border>
      <left style="thin">
        <color theme="7" tint="-0.249977111117893"/>
      </left>
      <right style="thin">
        <color theme="7" tint="-0.249977111117893"/>
      </right>
      <top style="thin">
        <color theme="7" tint="-0.249977111117893"/>
      </top>
      <bottom style="thin">
        <color theme="7" tint="-0.249977111117893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2">
    <xf numFmtId="0" fontId="0" fillId="0" borderId="0" xfId="0"/>
    <xf numFmtId="164" fontId="0" fillId="0" borderId="0" xfId="1" applyNumberFormat="1" applyFont="1"/>
    <xf numFmtId="0" fontId="0" fillId="0" borderId="0" xfId="0" quotePrefix="1"/>
    <xf numFmtId="164" fontId="0" fillId="0" borderId="0" xfId="1" quotePrefix="1" applyNumberFormat="1" applyFont="1"/>
    <xf numFmtId="0" fontId="0" fillId="0" borderId="1" xfId="0" applyBorder="1"/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4" xfId="0" applyFont="1" applyFill="1" applyBorder="1" applyAlignment="1">
      <alignment vertical="center"/>
    </xf>
    <xf numFmtId="0" fontId="0" fillId="0" borderId="0" xfId="0" applyAlignment="1">
      <alignment wrapText="1"/>
    </xf>
    <xf numFmtId="0" fontId="6" fillId="0" borderId="0" xfId="0" applyFont="1"/>
    <xf numFmtId="0" fontId="0" fillId="0" borderId="9" xfId="0" applyBorder="1"/>
    <xf numFmtId="0" fontId="0" fillId="0" borderId="10" xfId="0" applyBorder="1"/>
    <xf numFmtId="0" fontId="0" fillId="0" borderId="9" xfId="0" applyFill="1" applyBorder="1"/>
    <xf numFmtId="0" fontId="8" fillId="0" borderId="0" xfId="0" applyFont="1" applyFill="1"/>
    <xf numFmtId="0" fontId="9" fillId="0" borderId="0" xfId="0" applyFont="1"/>
    <xf numFmtId="165" fontId="0" fillId="0" borderId="0" xfId="0" applyNumberFormat="1"/>
    <xf numFmtId="14" fontId="0" fillId="0" borderId="0" xfId="0" applyNumberFormat="1"/>
    <xf numFmtId="42" fontId="0" fillId="0" borderId="0" xfId="0" applyNumberFormat="1"/>
    <xf numFmtId="0" fontId="10" fillId="0" borderId="2" xfId="0" applyFont="1" applyBorder="1" applyAlignment="1">
      <alignment vertical="center"/>
    </xf>
    <xf numFmtId="0" fontId="10" fillId="0" borderId="3" xfId="0" applyFont="1" applyBorder="1" applyAlignment="1">
      <alignment vertical="center"/>
    </xf>
    <xf numFmtId="0" fontId="0" fillId="0" borderId="13" xfId="0" applyBorder="1"/>
    <xf numFmtId="14" fontId="0" fillId="0" borderId="1" xfId="0" applyNumberFormat="1" applyFont="1" applyBorder="1" applyAlignment="1">
      <alignment vertical="center" wrapText="1"/>
    </xf>
    <xf numFmtId="0" fontId="0" fillId="0" borderId="1" xfId="0" applyFont="1" applyBorder="1" applyAlignment="1">
      <alignment vertical="center"/>
    </xf>
    <xf numFmtId="14" fontId="0" fillId="0" borderId="1" xfId="0" applyNumberFormat="1" applyFont="1" applyBorder="1" applyAlignment="1">
      <alignment vertical="center"/>
    </xf>
    <xf numFmtId="0" fontId="0" fillId="0" borderId="0" xfId="0" applyAlignment="1">
      <alignment horizontal="center" wrapText="1"/>
    </xf>
    <xf numFmtId="14" fontId="0" fillId="0" borderId="0" xfId="0" applyNumberFormat="1" applyAlignment="1">
      <alignment horizontal="center" wrapText="1"/>
    </xf>
    <xf numFmtId="165" fontId="0" fillId="0" borderId="0" xfId="0" applyNumberFormat="1" applyAlignment="1">
      <alignment horizontal="center" wrapText="1"/>
    </xf>
    <xf numFmtId="42" fontId="0" fillId="0" borderId="0" xfId="0" applyNumberFormat="1" applyAlignment="1">
      <alignment horizontal="center" wrapText="1"/>
    </xf>
    <xf numFmtId="1" fontId="0" fillId="0" borderId="1" xfId="0" applyNumberFormat="1" applyFont="1" applyBorder="1" applyAlignment="1">
      <alignment vertical="center" wrapText="1"/>
    </xf>
    <xf numFmtId="1" fontId="0" fillId="0" borderId="1" xfId="0" applyNumberFormat="1" applyFont="1" applyBorder="1" applyAlignment="1">
      <alignment vertical="center"/>
    </xf>
    <xf numFmtId="0" fontId="10" fillId="0" borderId="3" xfId="0" applyFont="1" applyBorder="1" applyAlignment="1">
      <alignment vertical="center" wrapText="1"/>
    </xf>
    <xf numFmtId="0" fontId="10" fillId="0" borderId="4" xfId="0" applyFont="1" applyFill="1" applyBorder="1" applyAlignment="1">
      <alignment vertical="center"/>
    </xf>
    <xf numFmtId="0" fontId="0" fillId="0" borderId="0" xfId="0" applyFill="1" applyBorder="1"/>
    <xf numFmtId="0" fontId="3" fillId="0" borderId="4" xfId="0" applyFont="1" applyFill="1" applyBorder="1" applyAlignment="1">
      <alignment vertical="center" wrapText="1"/>
    </xf>
    <xf numFmtId="0" fontId="10" fillId="0" borderId="4" xfId="0" applyFont="1" applyFill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10" fillId="0" borderId="4" xfId="0" applyFont="1" applyBorder="1" applyAlignment="1">
      <alignment vertical="center" wrapText="1"/>
    </xf>
    <xf numFmtId="0" fontId="3" fillId="0" borderId="12" xfId="0" applyFont="1" applyBorder="1" applyAlignment="1">
      <alignment vertical="center" wrapText="1"/>
    </xf>
    <xf numFmtId="0" fontId="0" fillId="0" borderId="4" xfId="0" applyFont="1" applyBorder="1" applyAlignment="1">
      <alignment wrapText="1"/>
    </xf>
    <xf numFmtId="0" fontId="10" fillId="0" borderId="12" xfId="0" applyFont="1" applyBorder="1" applyAlignment="1">
      <alignment vertical="center" wrapText="1"/>
    </xf>
    <xf numFmtId="0" fontId="5" fillId="2" borderId="5" xfId="0" applyFont="1" applyFill="1" applyBorder="1" applyAlignment="1">
      <alignment wrapText="1"/>
    </xf>
    <xf numFmtId="0" fontId="5" fillId="2" borderId="6" xfId="0" applyFont="1" applyFill="1" applyBorder="1" applyAlignment="1">
      <alignment wrapText="1"/>
    </xf>
    <xf numFmtId="0" fontId="5" fillId="2" borderId="5" xfId="0" applyFont="1" applyFill="1" applyBorder="1"/>
    <xf numFmtId="0" fontId="5" fillId="2" borderId="5" xfId="0" applyFont="1" applyFill="1" applyBorder="1" applyAlignment="1">
      <alignment horizontal="center" wrapText="1"/>
    </xf>
    <xf numFmtId="0" fontId="7" fillId="2" borderId="8" xfId="0" applyFont="1" applyFill="1" applyBorder="1" applyAlignment="1"/>
    <xf numFmtId="0" fontId="7" fillId="2" borderId="5" xfId="0" applyFont="1" applyFill="1" applyBorder="1" applyAlignment="1">
      <alignment wrapText="1"/>
    </xf>
    <xf numFmtId="0" fontId="7" fillId="2" borderId="5" xfId="0" applyFont="1" applyFill="1" applyBorder="1" applyAlignment="1"/>
    <xf numFmtId="0" fontId="7" fillId="2" borderId="11" xfId="0" applyFont="1" applyFill="1" applyBorder="1" applyAlignment="1">
      <alignment wrapText="1"/>
    </xf>
    <xf numFmtId="0" fontId="5" fillId="2" borderId="0" xfId="0" applyFont="1" applyFill="1" applyBorder="1" applyAlignment="1">
      <alignment horizontal="center" wrapText="1"/>
    </xf>
    <xf numFmtId="0" fontId="5" fillId="2" borderId="11" xfId="0" applyFont="1" applyFill="1" applyBorder="1" applyAlignment="1">
      <alignment horizontal="center" wrapText="1"/>
    </xf>
    <xf numFmtId="44" fontId="0" fillId="0" borderId="0" xfId="0" applyNumberFormat="1" applyAlignment="1">
      <alignment horizontal="center" wrapText="1"/>
    </xf>
    <xf numFmtId="44" fontId="0" fillId="0" borderId="0" xfId="0" applyNumberFormat="1"/>
    <xf numFmtId="164" fontId="0" fillId="0" borderId="0" xfId="0" applyNumberFormat="1" applyAlignment="1">
      <alignment horizontal="center" wrapText="1"/>
    </xf>
    <xf numFmtId="164" fontId="0" fillId="0" borderId="0" xfId="0" applyNumberFormat="1"/>
    <xf numFmtId="0" fontId="0" fillId="0" borderId="0" xfId="0" applyNumberFormat="1"/>
    <xf numFmtId="0" fontId="9" fillId="4" borderId="15" xfId="0" applyFont="1" applyFill="1" applyBorder="1"/>
    <xf numFmtId="0" fontId="0" fillId="0" borderId="15" xfId="0" applyBorder="1" applyAlignment="1">
      <alignment wrapText="1"/>
    </xf>
    <xf numFmtId="14" fontId="0" fillId="0" borderId="15" xfId="0" applyNumberFormat="1" applyBorder="1" applyAlignment="1">
      <alignment wrapText="1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4" fillId="3" borderId="10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center"/>
    </xf>
    <xf numFmtId="0" fontId="5" fillId="2" borderId="6" xfId="0" applyFont="1" applyFill="1" applyBorder="1" applyAlignment="1">
      <alignment horizontal="center" wrapText="1"/>
    </xf>
    <xf numFmtId="0" fontId="5" fillId="2" borderId="8" xfId="0" applyFont="1" applyFill="1" applyBorder="1" applyAlignment="1">
      <alignment horizontal="center" wrapText="1"/>
    </xf>
    <xf numFmtId="0" fontId="4" fillId="2" borderId="6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4" fillId="2" borderId="14" xfId="0" applyFont="1" applyFill="1" applyBorder="1" applyAlignment="1">
      <alignment horizontal="center"/>
    </xf>
    <xf numFmtId="0" fontId="5" fillId="2" borderId="10" xfId="0" applyFont="1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14">
    <dxf>
      <numFmt numFmtId="0" formatCode="General"/>
    </dxf>
    <dxf>
      <numFmt numFmtId="0" formatCode="General"/>
    </dxf>
    <dxf>
      <alignment horizontal="general" vertical="bottom" textRotation="0" wrapText="1" indent="0" justifyLastLine="0" shrinkToFit="0" readingOrder="0"/>
    </dxf>
    <dxf>
      <numFmt numFmtId="0" formatCode="General"/>
    </dxf>
    <dxf>
      <numFmt numFmtId="164" formatCode="_(&quot;$&quot;* #,##0_);_(&quot;$&quot;* \(#,##0\);_(&quot;$&quot;* &quot;-&quot;??_);_(@_)"/>
    </dxf>
    <dxf>
      <numFmt numFmtId="34" formatCode="_(&quot;$&quot;* #,##0.00_);_(&quot;$&quot;* \(#,##0.00\);_(&quot;$&quot;* &quot;-&quot;??_);_(@_)"/>
    </dxf>
    <dxf>
      <numFmt numFmtId="0" formatCode="General"/>
    </dxf>
    <dxf>
      <numFmt numFmtId="0" formatCode="General"/>
    </dxf>
    <dxf>
      <numFmt numFmtId="32" formatCode="_(&quot;$&quot;* #,##0_);_(&quot;$&quot;* \(#,##0\);_(&quot;$&quot;* &quot;-&quot;_);_(@_)"/>
    </dxf>
    <dxf>
      <numFmt numFmtId="19" formatCode="m/d/yyyy"/>
    </dxf>
    <dxf>
      <numFmt numFmtId="165" formatCode="0.0"/>
    </dxf>
    <dxf>
      <numFmt numFmtId="19" formatCode="m/d/yyyy"/>
    </dxf>
    <dxf>
      <alignment horizontal="center" vertical="bottom" textRotation="0" wrapText="1" indent="0" justifyLastLine="0" shrinkToFit="0" readingOrder="0"/>
    </dxf>
    <dxf>
      <fill>
        <patternFill>
          <bgColor rgb="FFFFC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EmployeeTbl" displayName="EmployeeTbl" ref="A1:O102" totalsRowShown="0" headerRowDxfId="12">
  <autoFilter ref="A1:O102"/>
  <tableColumns count="15">
    <tableColumn id="1" name="Employee ID"/>
    <tableColumn id="2" name="Last _x000a_Name"/>
    <tableColumn id="3" name="First Name"/>
    <tableColumn id="4" name="Hire Date" dataDxfId="11"/>
    <tableColumn id="13" name="Years of Service" dataDxfId="10">
      <calculatedColumnFormula>('Data Tables'!$E$15-D2)/365</calculatedColumnFormula>
    </tableColumn>
    <tableColumn id="5" name="Birth Date" dataDxfId="9"/>
    <tableColumn id="12" name="Age">
      <calculatedColumnFormula>DATEDIF(F2,'Data Tables'!$E$17,"Y")</calculatedColumnFormula>
    </tableColumn>
    <tableColumn id="6" name="Store"/>
    <tableColumn id="7" name="Job Status"/>
    <tableColumn id="9" name="Current Salary" dataDxfId="8"/>
    <tableColumn id="8" name="Birthday Month" dataDxfId="7">
      <calculatedColumnFormula>IF(MONTH(F2)='Data Tables'!$E$16,"Yes","")</calculatedColumnFormula>
    </tableColumn>
    <tableColumn id="10" name="Eligible for Comp Day" dataDxfId="6">
      <calculatedColumnFormula>IF(AND(I2="PT",E2&gt;=2),"Yes","")</calculatedColumnFormula>
    </tableColumn>
    <tableColumn id="11" name="Salary Increase" dataDxfId="5">
      <calculatedColumnFormula>IF(OR(EmployeeTbl[Store]="Bonham",EmployeeTbl[Store]="Graham"),EmployeeTbl[Current Salary]*0.035,EmployeeTbl[Current Salary]*0.025)</calculatedColumnFormula>
    </tableColumn>
    <tableColumn id="14" name="Bonus Amount" dataDxfId="4">
      <calculatedColumnFormula>IF(EmployeeTbl[Years of Service]&gt;=10,'Data Tables'!$B$19,IF(EmployeeTbl[Years of Service]&gt;=5,'Data Tables'!$B$18, 'Data Tables'!$B$17))</calculatedColumnFormula>
    </tableColumn>
    <tableColumn id="15" name="Name Badge Color" dataDxfId="3">
      <calculatedColumnFormula>VLOOKUP(EmployeeTbl[Years of Service],Name_Badge,2)</calculatedColumnFormula>
    </tableColumn>
  </tableColumns>
  <tableStyleInfo name="TableStyleMedium5" showFirstColumn="0" showLastColumn="0" showRowStripes="1" showColumnStripes="0"/>
</table>
</file>

<file path=xl/tables/table2.xml><?xml version="1.0" encoding="utf-8"?>
<table xmlns="http://schemas.openxmlformats.org/spreadsheetml/2006/main" id="2" name="ProductTbl" displayName="ProductTbl" ref="A1:E140" totalsRowShown="0" headerRowDxfId="2">
  <autoFilter ref="A1:E140"/>
  <tableColumns count="5">
    <tableColumn id="1" name="Part Number"/>
    <tableColumn id="2" name="Product Category"/>
    <tableColumn id="3" name="Description"/>
    <tableColumn id="4" name="Supplier Name" dataDxfId="1">
      <calculatedColumnFormula>IFERROR(VLOOKUP(B2,Product_Suppliers,2,FALSE),"Various")</calculatedColumnFormula>
    </tableColumn>
    <tableColumn id="5" name="Specialty Store" dataDxfId="0">
      <calculatedColumnFormula>IFERROR(HLOOKUP(B2,Specialty_Store,2,FALSE),"Various")</calculatedColumnFormula>
    </tableColumn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D34"/>
  <sheetViews>
    <sheetView tabSelected="1" zoomScale="120" zoomScaleNormal="120" workbookViewId="0"/>
  </sheetViews>
  <sheetFormatPr defaultRowHeight="15" x14ac:dyDescent="0.25"/>
  <cols>
    <col min="1" max="1" width="19.85546875" customWidth="1"/>
    <col min="2" max="2" width="30.7109375" style="8" customWidth="1"/>
    <col min="3" max="3" width="13" customWidth="1"/>
    <col min="4" max="4" width="59.7109375" style="8" customWidth="1"/>
    <col min="6" max="7" width="16.7109375" customWidth="1"/>
  </cols>
  <sheetData>
    <row r="1" spans="1:4" ht="31.5" x14ac:dyDescent="0.65">
      <c r="A1" s="13" t="s">
        <v>251</v>
      </c>
    </row>
    <row r="2" spans="1:4" x14ac:dyDescent="0.25">
      <c r="A2" s="9"/>
    </row>
    <row r="3" spans="1:4" x14ac:dyDescent="0.25">
      <c r="A3" s="56" t="s">
        <v>14</v>
      </c>
      <c r="B3" s="57" t="s">
        <v>422</v>
      </c>
    </row>
    <row r="4" spans="1:4" x14ac:dyDescent="0.25">
      <c r="A4" s="56" t="s">
        <v>15</v>
      </c>
      <c r="B4" s="58">
        <v>43048</v>
      </c>
    </row>
    <row r="5" spans="1:4" ht="30" x14ac:dyDescent="0.25">
      <c r="A5" s="56" t="s">
        <v>8</v>
      </c>
      <c r="B5" s="57" t="s">
        <v>427</v>
      </c>
    </row>
    <row r="6" spans="1:4" x14ac:dyDescent="0.25">
      <c r="A6" s="14"/>
    </row>
    <row r="7" spans="1:4" x14ac:dyDescent="0.25">
      <c r="A7" s="14"/>
    </row>
    <row r="8" spans="1:4" x14ac:dyDescent="0.25">
      <c r="A8" s="14"/>
    </row>
    <row r="10" spans="1:4" ht="18.75" x14ac:dyDescent="0.3">
      <c r="A10" s="59" t="s">
        <v>226</v>
      </c>
      <c r="B10" s="60"/>
      <c r="C10" s="60"/>
      <c r="D10" s="61"/>
    </row>
    <row r="11" spans="1:4" ht="15.75" x14ac:dyDescent="0.25">
      <c r="A11" s="45" t="s">
        <v>16</v>
      </c>
      <c r="B11" s="46" t="s">
        <v>17</v>
      </c>
      <c r="C11" s="47" t="s">
        <v>18</v>
      </c>
      <c r="D11" s="48" t="s">
        <v>19</v>
      </c>
    </row>
    <row r="12" spans="1:4" ht="15.75" thickBot="1" x14ac:dyDescent="0.3">
      <c r="A12" s="5" t="s">
        <v>20</v>
      </c>
      <c r="B12" s="35" t="s">
        <v>20</v>
      </c>
      <c r="C12" s="6" t="s">
        <v>21</v>
      </c>
      <c r="D12" s="38" t="s">
        <v>22</v>
      </c>
    </row>
    <row r="13" spans="1:4" ht="15.75" thickBot="1" x14ac:dyDescent="0.3">
      <c r="A13" s="5" t="s">
        <v>23</v>
      </c>
      <c r="B13" s="35" t="s">
        <v>29</v>
      </c>
      <c r="C13" s="6" t="s">
        <v>24</v>
      </c>
      <c r="D13" s="35"/>
    </row>
    <row r="14" spans="1:4" ht="15.75" thickBot="1" x14ac:dyDescent="0.3">
      <c r="A14" s="5" t="s">
        <v>37</v>
      </c>
      <c r="B14" s="35" t="s">
        <v>217</v>
      </c>
      <c r="C14" s="6" t="s">
        <v>24</v>
      </c>
      <c r="D14" s="35" t="s">
        <v>218</v>
      </c>
    </row>
    <row r="15" spans="1:4" ht="15.75" thickBot="1" x14ac:dyDescent="0.3">
      <c r="A15" s="5" t="s">
        <v>6</v>
      </c>
      <c r="B15" s="35" t="s">
        <v>30</v>
      </c>
      <c r="C15" s="6" t="s">
        <v>15</v>
      </c>
      <c r="D15" s="35" t="s">
        <v>25</v>
      </c>
    </row>
    <row r="16" spans="1:4" ht="15.75" thickBot="1" x14ac:dyDescent="0.3">
      <c r="A16" s="5" t="s">
        <v>9</v>
      </c>
      <c r="B16" s="35" t="s">
        <v>220</v>
      </c>
      <c r="C16" s="6" t="s">
        <v>21</v>
      </c>
      <c r="D16" s="35" t="s">
        <v>27</v>
      </c>
    </row>
    <row r="17" spans="1:4" ht="15.75" thickBot="1" x14ac:dyDescent="0.3">
      <c r="A17" s="7" t="s">
        <v>7</v>
      </c>
      <c r="B17" s="36" t="s">
        <v>31</v>
      </c>
      <c r="C17" s="7" t="s">
        <v>15</v>
      </c>
      <c r="D17" s="33" t="s">
        <v>25</v>
      </c>
    </row>
    <row r="18" spans="1:4" ht="15.75" thickBot="1" x14ac:dyDescent="0.3">
      <c r="A18" s="7" t="s">
        <v>12</v>
      </c>
      <c r="B18" s="36" t="s">
        <v>34</v>
      </c>
      <c r="C18" s="7" t="s">
        <v>21</v>
      </c>
      <c r="D18" s="33" t="s">
        <v>26</v>
      </c>
    </row>
    <row r="19" spans="1:4" ht="15.75" thickBot="1" x14ac:dyDescent="0.3">
      <c r="A19" s="7" t="s">
        <v>390</v>
      </c>
      <c r="B19" s="36" t="s">
        <v>391</v>
      </c>
      <c r="C19" s="7" t="s">
        <v>24</v>
      </c>
      <c r="D19" s="34" t="s">
        <v>415</v>
      </c>
    </row>
    <row r="20" spans="1:4" ht="15.75" thickBot="1" x14ac:dyDescent="0.3">
      <c r="A20" s="7" t="s">
        <v>221</v>
      </c>
      <c r="B20" s="36" t="s">
        <v>32</v>
      </c>
      <c r="C20" s="7" t="s">
        <v>24</v>
      </c>
      <c r="D20" s="39" t="s">
        <v>416</v>
      </c>
    </row>
    <row r="21" spans="1:4" ht="15.75" thickBot="1" x14ac:dyDescent="0.3">
      <c r="A21" s="7" t="s">
        <v>11</v>
      </c>
      <c r="B21" s="36" t="s">
        <v>33</v>
      </c>
      <c r="C21" s="7" t="s">
        <v>21</v>
      </c>
      <c r="D21" s="33" t="s">
        <v>36</v>
      </c>
    </row>
    <row r="22" spans="1:4" ht="15.75" thickBot="1" x14ac:dyDescent="0.3">
      <c r="A22" s="31" t="s">
        <v>404</v>
      </c>
      <c r="B22" s="36" t="s">
        <v>403</v>
      </c>
      <c r="C22" s="7" t="s">
        <v>24</v>
      </c>
      <c r="D22" s="33" t="s">
        <v>28</v>
      </c>
    </row>
    <row r="23" spans="1:4" ht="15.75" customHeight="1" thickBot="1" x14ac:dyDescent="0.3">
      <c r="A23" s="7" t="s">
        <v>429</v>
      </c>
      <c r="B23" s="37" t="s">
        <v>428</v>
      </c>
      <c r="C23" s="7" t="s">
        <v>24</v>
      </c>
      <c r="D23" s="33" t="s">
        <v>28</v>
      </c>
    </row>
    <row r="24" spans="1:4" ht="15.75" thickBot="1" x14ac:dyDescent="0.3">
      <c r="A24" s="7" t="s">
        <v>388</v>
      </c>
      <c r="B24" s="37" t="s">
        <v>413</v>
      </c>
      <c r="C24" s="7" t="s">
        <v>21</v>
      </c>
      <c r="D24" s="33" t="s">
        <v>36</v>
      </c>
    </row>
    <row r="25" spans="1:4" ht="15.75" thickBot="1" x14ac:dyDescent="0.3">
      <c r="A25" s="7" t="s">
        <v>389</v>
      </c>
      <c r="B25" s="37" t="s">
        <v>412</v>
      </c>
      <c r="C25" s="7" t="s">
        <v>21</v>
      </c>
      <c r="D25" s="33" t="s">
        <v>36</v>
      </c>
    </row>
    <row r="26" spans="1:4" ht="45.75" thickBot="1" x14ac:dyDescent="0.3">
      <c r="A26" s="7" t="s">
        <v>410</v>
      </c>
      <c r="B26" s="34" t="s">
        <v>411</v>
      </c>
      <c r="C26" s="33" t="s">
        <v>24</v>
      </c>
      <c r="D26" s="34" t="s">
        <v>414</v>
      </c>
    </row>
    <row r="28" spans="1:4" ht="18.75" x14ac:dyDescent="0.3">
      <c r="A28" s="59" t="s">
        <v>227</v>
      </c>
      <c r="B28" s="60"/>
      <c r="C28" s="60"/>
      <c r="D28" s="61"/>
    </row>
    <row r="29" spans="1:4" ht="15.75" x14ac:dyDescent="0.25">
      <c r="A29" s="45" t="s">
        <v>16</v>
      </c>
      <c r="B29" s="46" t="s">
        <v>17</v>
      </c>
      <c r="C29" s="47" t="s">
        <v>18</v>
      </c>
      <c r="D29" s="48" t="s">
        <v>19</v>
      </c>
    </row>
    <row r="30" spans="1:4" ht="15.75" thickBot="1" x14ac:dyDescent="0.3">
      <c r="A30" s="18" t="s">
        <v>228</v>
      </c>
      <c r="B30" s="30" t="s">
        <v>229</v>
      </c>
      <c r="C30" s="6" t="s">
        <v>21</v>
      </c>
      <c r="D30" s="40" t="s">
        <v>230</v>
      </c>
    </row>
    <row r="31" spans="1:4" ht="30.75" thickBot="1" x14ac:dyDescent="0.3">
      <c r="A31" s="18" t="s">
        <v>231</v>
      </c>
      <c r="B31" s="30" t="s">
        <v>232</v>
      </c>
      <c r="C31" s="19" t="s">
        <v>24</v>
      </c>
      <c r="D31" s="30" t="s">
        <v>400</v>
      </c>
    </row>
    <row r="32" spans="1:4" ht="15.75" thickBot="1" x14ac:dyDescent="0.3">
      <c r="A32" s="18" t="s">
        <v>235</v>
      </c>
      <c r="B32" s="30" t="s">
        <v>236</v>
      </c>
      <c r="C32" s="6" t="s">
        <v>24</v>
      </c>
      <c r="D32" s="30" t="s">
        <v>241</v>
      </c>
    </row>
    <row r="33" spans="1:4" ht="30.75" thickBot="1" x14ac:dyDescent="0.3">
      <c r="A33" s="18" t="s">
        <v>417</v>
      </c>
      <c r="B33" s="30" t="s">
        <v>418</v>
      </c>
      <c r="C33" s="19" t="s">
        <v>24</v>
      </c>
      <c r="D33" s="30" t="s">
        <v>370</v>
      </c>
    </row>
    <row r="34" spans="1:4" ht="15.75" thickBot="1" x14ac:dyDescent="0.3">
      <c r="A34" s="18" t="s">
        <v>387</v>
      </c>
      <c r="B34" s="30" t="s">
        <v>419</v>
      </c>
      <c r="C34" s="19" t="s">
        <v>24</v>
      </c>
      <c r="D34" s="30" t="s">
        <v>242</v>
      </c>
    </row>
  </sheetData>
  <mergeCells count="2">
    <mergeCell ref="A10:D10"/>
    <mergeCell ref="A28:D28"/>
  </mergeCells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K7"/>
  <sheetViews>
    <sheetView zoomScale="120" zoomScaleNormal="120" workbookViewId="0">
      <selection activeCell="B4" sqref="B4:B6"/>
    </sheetView>
  </sheetViews>
  <sheetFormatPr defaultRowHeight="15" x14ac:dyDescent="0.25"/>
  <cols>
    <col min="1" max="3" width="16.7109375" customWidth="1"/>
    <col min="4" max="4" width="12.5703125" customWidth="1"/>
    <col min="5" max="6" width="16.7109375" customWidth="1"/>
    <col min="7" max="7" width="2.7109375" customWidth="1"/>
    <col min="8" max="8" width="8.5703125" customWidth="1"/>
    <col min="9" max="9" width="8.28515625" customWidth="1"/>
    <col min="10" max="10" width="2.42578125" customWidth="1"/>
    <col min="11" max="11" width="8.28515625" customWidth="1"/>
    <col min="12" max="12" width="8" customWidth="1"/>
  </cols>
  <sheetData>
    <row r="1" spans="1:11" x14ac:dyDescent="0.25">
      <c r="A1" s="62" t="s">
        <v>420</v>
      </c>
      <c r="B1" s="63"/>
      <c r="C1" s="63"/>
      <c r="D1" s="63"/>
    </row>
    <row r="2" spans="1:11" ht="31.5" customHeight="1" x14ac:dyDescent="0.25">
      <c r="A2" s="43" t="s">
        <v>0</v>
      </c>
      <c r="B2" s="44" t="s">
        <v>215</v>
      </c>
      <c r="C2" s="44" t="s">
        <v>371</v>
      </c>
      <c r="D2" s="44" t="s">
        <v>5</v>
      </c>
    </row>
    <row r="3" spans="1:11" x14ac:dyDescent="0.25">
      <c r="A3" t="s">
        <v>214</v>
      </c>
      <c r="B3">
        <f>COUNTIF('Employee Data'!H2:H101,A3)</f>
        <v>17</v>
      </c>
      <c r="C3" s="1">
        <f>SUMIF(EmployeeTbl[Store],A3,EmployeeTbl[Current Salary])</f>
        <v>1490304</v>
      </c>
      <c r="D3" s="1">
        <f>AVERAGEIF(EmployeeTbl[Store],A3,EmployeeTbl[Current Salary])</f>
        <v>87664.941176470587</v>
      </c>
      <c r="I3" s="2"/>
      <c r="J3" s="3"/>
      <c r="K3" s="3"/>
    </row>
    <row r="4" spans="1:11" x14ac:dyDescent="0.25">
      <c r="A4" t="s">
        <v>212</v>
      </c>
      <c r="B4">
        <f>COUNTIF(EmployeeTbl[Store],A4)</f>
        <v>13</v>
      </c>
      <c r="C4" s="1">
        <f>SUMIF(EmployeeTbl[Store],A4,EmployeeTbl[Current Salary])</f>
        <v>1076702</v>
      </c>
      <c r="D4" s="1">
        <f>AVERAGEIF(EmployeeTbl[Store],A4,EmployeeTbl[Current Salary])</f>
        <v>82823.230769230766</v>
      </c>
    </row>
    <row r="5" spans="1:11" x14ac:dyDescent="0.25">
      <c r="A5" t="s">
        <v>211</v>
      </c>
      <c r="B5">
        <f>COUNTIF(EmployeeTbl[Store],A5)</f>
        <v>23</v>
      </c>
      <c r="C5" s="1">
        <f>SUMIF(EmployeeTbl[Store],A5,EmployeeTbl[Current Salary])</f>
        <v>1129314</v>
      </c>
      <c r="D5" s="1">
        <f>AVERAGEIF(EmployeeTbl[Store],A5,EmployeeTbl[Current Salary])</f>
        <v>49100.608695652176</v>
      </c>
    </row>
    <row r="6" spans="1:11" x14ac:dyDescent="0.25">
      <c r="A6" t="s">
        <v>213</v>
      </c>
      <c r="B6">
        <f>COUNTIF(EmployeeTbl[Store],A6)</f>
        <v>48</v>
      </c>
      <c r="C6" s="1">
        <f>SUMIF(EmployeeTbl[Store],A6,EmployeeTbl[Current Salary])</f>
        <v>3580464</v>
      </c>
      <c r="D6" s="1">
        <f>AVERAGEIF(EmployeeTbl[Store],A6,EmployeeTbl[Current Salary])</f>
        <v>74593</v>
      </c>
    </row>
    <row r="7" spans="1:11" x14ac:dyDescent="0.25">
      <c r="C7" s="1"/>
      <c r="D7" s="1"/>
    </row>
  </sheetData>
  <sortState ref="A4:A7">
    <sortCondition ref="A4"/>
  </sortState>
  <mergeCells count="1">
    <mergeCell ref="A1:D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O102"/>
  <sheetViews>
    <sheetView zoomScale="120" zoomScaleNormal="12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L2" sqref="L2"/>
    </sheetView>
  </sheetViews>
  <sheetFormatPr defaultColWidth="9.140625" defaultRowHeight="15" x14ac:dyDescent="0.25"/>
  <cols>
    <col min="1" max="1" width="11.28515625" customWidth="1"/>
    <col min="2" max="2" width="16.7109375" customWidth="1"/>
    <col min="3" max="3" width="15.140625" customWidth="1"/>
    <col min="4" max="4" width="12.7109375" style="16" customWidth="1"/>
    <col min="5" max="5" width="8.7109375" style="15" customWidth="1"/>
    <col min="6" max="6" width="16.7109375" style="16" customWidth="1"/>
    <col min="7" max="7" width="9" bestFit="1" customWidth="1"/>
    <col min="8" max="8" width="9.7109375" customWidth="1"/>
    <col min="9" max="9" width="6.7109375" customWidth="1"/>
    <col min="10" max="10" width="13.7109375" style="17" customWidth="1"/>
    <col min="11" max="11" width="9" customWidth="1"/>
    <col min="12" max="12" width="8.7109375" customWidth="1"/>
    <col min="13" max="13" width="10.85546875" style="52" customWidth="1"/>
    <col min="14" max="14" width="12.42578125" style="54" customWidth="1"/>
    <col min="15" max="15" width="11.5703125" customWidth="1"/>
    <col min="17" max="17" width="8.140625" customWidth="1"/>
    <col min="18" max="18" width="12" customWidth="1"/>
    <col min="19" max="19" width="8.5703125" customWidth="1"/>
    <col min="21" max="21" width="17.28515625" bestFit="1" customWidth="1"/>
    <col min="22" max="22" width="18" customWidth="1"/>
    <col min="24" max="24" width="12.28515625" customWidth="1"/>
    <col min="25" max="25" width="6.85546875" customWidth="1"/>
    <col min="26" max="26" width="11.28515625" bestFit="1" customWidth="1"/>
    <col min="27" max="27" width="12.28515625" customWidth="1"/>
    <col min="28" max="28" width="8.42578125" customWidth="1"/>
    <col min="30" max="30" width="6.28515625" customWidth="1"/>
  </cols>
  <sheetData>
    <row r="1" spans="1:15" s="24" customFormat="1" ht="60" x14ac:dyDescent="0.25">
      <c r="A1" s="24" t="s">
        <v>20</v>
      </c>
      <c r="B1" s="24" t="s">
        <v>13</v>
      </c>
      <c r="C1" s="24" t="s">
        <v>37</v>
      </c>
      <c r="D1" s="25" t="s">
        <v>6</v>
      </c>
      <c r="E1" s="26" t="s">
        <v>9</v>
      </c>
      <c r="F1" s="25" t="s">
        <v>7</v>
      </c>
      <c r="G1" s="24" t="s">
        <v>12</v>
      </c>
      <c r="H1" s="24" t="s">
        <v>390</v>
      </c>
      <c r="I1" s="24" t="s">
        <v>221</v>
      </c>
      <c r="J1" s="27" t="s">
        <v>11</v>
      </c>
      <c r="K1" s="24" t="s">
        <v>404</v>
      </c>
      <c r="L1" s="24" t="s">
        <v>429</v>
      </c>
      <c r="M1" s="51" t="s">
        <v>388</v>
      </c>
      <c r="N1" s="53" t="s">
        <v>423</v>
      </c>
      <c r="O1" s="24" t="s">
        <v>410</v>
      </c>
    </row>
    <row r="2" spans="1:15" x14ac:dyDescent="0.25">
      <c r="A2">
        <v>1102</v>
      </c>
      <c r="B2" t="s">
        <v>84</v>
      </c>
      <c r="C2" t="s">
        <v>85</v>
      </c>
      <c r="D2" s="16">
        <v>41830</v>
      </c>
      <c r="E2" s="15">
        <f>('Data Tables'!$E$15-D2)/365</f>
        <v>3.4794520547945207</v>
      </c>
      <c r="F2" s="16">
        <v>22382</v>
      </c>
      <c r="G2">
        <f>DATEDIF(F2,'Data Tables'!$E$17,"Y")</f>
        <v>55</v>
      </c>
      <c r="H2" t="s">
        <v>214</v>
      </c>
      <c r="I2" t="s">
        <v>1</v>
      </c>
      <c r="J2" s="17">
        <v>106010</v>
      </c>
      <c r="K2" t="str">
        <f>IF(MONTH(F2)='Data Tables'!$E$16,"Yes","")</f>
        <v>Yes</v>
      </c>
      <c r="L2" t="str">
        <f>IF(AND(I2="PT",E2&gt;=2),"Yes","")</f>
        <v/>
      </c>
      <c r="M2" s="52">
        <f>IF(OR(EmployeeTbl[Store]="Bonham",EmployeeTbl[Store]="Graham"),EmployeeTbl[Current Salary]*0.035,EmployeeTbl[Current Salary]*0.025)</f>
        <v>3710.3500000000004</v>
      </c>
      <c r="N2" s="54">
        <f>IF(EmployeeTbl[Years of Service]&gt;=10,'Data Tables'!$B$19,IF(EmployeeTbl[Years of Service]&gt;=5,'Data Tables'!$B$18, 'Data Tables'!$B$17))</f>
        <v>100</v>
      </c>
      <c r="O2" t="str">
        <f>VLOOKUP(EmployeeTbl[Years of Service],Name_Badge,2)</f>
        <v>Blue</v>
      </c>
    </row>
    <row r="3" spans="1:15" x14ac:dyDescent="0.25">
      <c r="A3">
        <v>1106</v>
      </c>
      <c r="B3" t="s">
        <v>86</v>
      </c>
      <c r="C3" t="s">
        <v>87</v>
      </c>
      <c r="D3" s="16">
        <v>42314</v>
      </c>
      <c r="E3" s="15">
        <f>('Data Tables'!$E$15-D3)/365</f>
        <v>2.1534246575342464</v>
      </c>
      <c r="F3" s="16">
        <v>33565</v>
      </c>
      <c r="G3">
        <f>DATEDIF(F3,'Data Tables'!$E$17,"Y")</f>
        <v>25</v>
      </c>
      <c r="H3" t="s">
        <v>213</v>
      </c>
      <c r="I3" t="s">
        <v>1</v>
      </c>
      <c r="J3" s="17">
        <v>42182</v>
      </c>
      <c r="K3" t="str">
        <f>IF(MONTH(F3)='Data Tables'!$E$16,"Yes","")</f>
        <v/>
      </c>
      <c r="L3" t="str">
        <f t="shared" ref="L3:L33" si="0">IF(AND(I3="PT",E3&gt;=2),"Yes","")</f>
        <v/>
      </c>
      <c r="M3" s="52">
        <f>IF(OR(EmployeeTbl[Store]="Bonham",EmployeeTbl[Store]="Graham"),EmployeeTbl[Current Salary]*0.035,EmployeeTbl[Current Salary]*0.025)</f>
        <v>1476.3700000000001</v>
      </c>
      <c r="N3" s="54">
        <f>IF(EmployeeTbl[Years of Service]&gt;=10,'Data Tables'!$B$19,IF(EmployeeTbl[Years of Service]&gt;=5,'Data Tables'!$B$18, 'Data Tables'!$B$17))</f>
        <v>100</v>
      </c>
      <c r="O3" t="str">
        <f>VLOOKUP(EmployeeTbl[Years of Service],Name_Badge,2)</f>
        <v>Blue</v>
      </c>
    </row>
    <row r="4" spans="1:15" x14ac:dyDescent="0.25">
      <c r="A4">
        <v>1110</v>
      </c>
      <c r="B4" t="s">
        <v>88</v>
      </c>
      <c r="C4" t="s">
        <v>89</v>
      </c>
      <c r="D4" s="16">
        <v>42342</v>
      </c>
      <c r="E4" s="15">
        <f>('Data Tables'!$E$15-D4)/365</f>
        <v>2.0767123287671234</v>
      </c>
      <c r="F4" s="16">
        <v>24395</v>
      </c>
      <c r="G4">
        <f>DATEDIF(F4,'Data Tables'!$E$17,"Y")</f>
        <v>50</v>
      </c>
      <c r="H4" t="s">
        <v>214</v>
      </c>
      <c r="I4" t="s">
        <v>1</v>
      </c>
      <c r="J4" s="17">
        <v>92254</v>
      </c>
      <c r="K4" t="str">
        <f>IF(MONTH(F4)='Data Tables'!$E$16,"Yes","")</f>
        <v/>
      </c>
      <c r="L4" t="str">
        <f t="shared" si="0"/>
        <v/>
      </c>
      <c r="M4" s="52">
        <f>IF(OR(EmployeeTbl[Store]="Bonham",EmployeeTbl[Store]="Graham"),EmployeeTbl[Current Salary]*0.035,EmployeeTbl[Current Salary]*0.025)</f>
        <v>3228.8900000000003</v>
      </c>
      <c r="N4" s="54">
        <f>IF(EmployeeTbl[Years of Service]&gt;=10,'Data Tables'!$B$19,IF(EmployeeTbl[Years of Service]&gt;=5,'Data Tables'!$B$18, 'Data Tables'!$B$17))</f>
        <v>100</v>
      </c>
      <c r="O4" t="str">
        <f>VLOOKUP(EmployeeTbl[Years of Service],Name_Badge,2)</f>
        <v>Blue</v>
      </c>
    </row>
    <row r="5" spans="1:15" x14ac:dyDescent="0.25">
      <c r="A5">
        <v>1114</v>
      </c>
      <c r="B5" t="s">
        <v>44</v>
      </c>
      <c r="C5" t="s">
        <v>90</v>
      </c>
      <c r="D5" s="16">
        <v>37704</v>
      </c>
      <c r="E5" s="15">
        <f>('Data Tables'!$E$15-D5)/365</f>
        <v>14.783561643835617</v>
      </c>
      <c r="F5" s="16">
        <v>23719</v>
      </c>
      <c r="G5">
        <f>DATEDIF(F5,'Data Tables'!$E$17,"Y")</f>
        <v>52</v>
      </c>
      <c r="H5" t="s">
        <v>213</v>
      </c>
      <c r="I5" t="s">
        <v>1</v>
      </c>
      <c r="J5" s="17">
        <v>69250</v>
      </c>
      <c r="K5" t="str">
        <f>IF(MONTH(F5)='Data Tables'!$E$16,"Yes","")</f>
        <v/>
      </c>
      <c r="L5" t="str">
        <f t="shared" si="0"/>
        <v/>
      </c>
      <c r="M5" s="52">
        <f>IF(OR(EmployeeTbl[Store]="Bonham",EmployeeTbl[Store]="Graham"),EmployeeTbl[Current Salary]*0.035,EmployeeTbl[Current Salary]*0.025)</f>
        <v>2423.7500000000005</v>
      </c>
      <c r="N5" s="54">
        <f>IF(EmployeeTbl[Years of Service]&gt;=10,'Data Tables'!$B$19,IF(EmployeeTbl[Years of Service]&gt;=5,'Data Tables'!$B$18, 'Data Tables'!$B$17))</f>
        <v>750</v>
      </c>
      <c r="O5" t="str">
        <f>VLOOKUP(EmployeeTbl[Years of Service],Name_Badge,2)</f>
        <v>Gold</v>
      </c>
    </row>
    <row r="6" spans="1:15" x14ac:dyDescent="0.25">
      <c r="A6">
        <v>1118</v>
      </c>
      <c r="B6" t="s">
        <v>91</v>
      </c>
      <c r="C6" t="s">
        <v>92</v>
      </c>
      <c r="D6" s="16">
        <v>40686</v>
      </c>
      <c r="E6" s="15">
        <f>('Data Tables'!$E$15-D6)/365</f>
        <v>6.6136986301369864</v>
      </c>
      <c r="F6" s="16">
        <v>22692</v>
      </c>
      <c r="G6">
        <f>DATEDIF(F6,'Data Tables'!$E$17,"Y")</f>
        <v>54</v>
      </c>
      <c r="H6" t="s">
        <v>214</v>
      </c>
      <c r="I6" t="s">
        <v>1</v>
      </c>
      <c r="J6" s="17">
        <v>102567</v>
      </c>
      <c r="K6" t="str">
        <f>IF(MONTH(F6)='Data Tables'!$E$16,"Yes","")</f>
        <v/>
      </c>
      <c r="L6" t="str">
        <f t="shared" si="0"/>
        <v/>
      </c>
      <c r="M6" s="52">
        <f>IF(OR(EmployeeTbl[Store]="Bonham",EmployeeTbl[Store]="Graham"),EmployeeTbl[Current Salary]*0.035,EmployeeTbl[Current Salary]*0.025)</f>
        <v>3589.8450000000003</v>
      </c>
      <c r="N6" s="54">
        <f>IF(EmployeeTbl[Years of Service]&gt;=10,'Data Tables'!$B$19,IF(EmployeeTbl[Years of Service]&gt;=5,'Data Tables'!$B$18, 'Data Tables'!$B$17))</f>
        <v>250</v>
      </c>
      <c r="O6" t="str">
        <f>VLOOKUP(EmployeeTbl[Years of Service],Name_Badge,2)</f>
        <v>Purple</v>
      </c>
    </row>
    <row r="7" spans="1:15" x14ac:dyDescent="0.25">
      <c r="A7">
        <v>1122</v>
      </c>
      <c r="B7" t="s">
        <v>93</v>
      </c>
      <c r="C7" t="s">
        <v>94</v>
      </c>
      <c r="D7" s="16">
        <v>37480</v>
      </c>
      <c r="E7" s="15">
        <f>('Data Tables'!$E$15-D7)/365</f>
        <v>15.397260273972602</v>
      </c>
      <c r="F7" s="16">
        <v>25126</v>
      </c>
      <c r="G7">
        <f>DATEDIF(F7,'Data Tables'!$E$17,"Y")</f>
        <v>48</v>
      </c>
      <c r="H7" t="s">
        <v>212</v>
      </c>
      <c r="I7" t="s">
        <v>1</v>
      </c>
      <c r="J7" s="17">
        <v>94517</v>
      </c>
      <c r="K7" t="str">
        <f>IF(MONTH(F7)='Data Tables'!$E$16,"Yes","")</f>
        <v/>
      </c>
      <c r="L7" t="str">
        <f t="shared" si="0"/>
        <v/>
      </c>
      <c r="M7" s="52">
        <f>IF(OR(EmployeeTbl[Store]="Bonham",EmployeeTbl[Store]="Graham"),EmployeeTbl[Current Salary]*0.035,EmployeeTbl[Current Salary]*0.025)</f>
        <v>2362.9250000000002</v>
      </c>
      <c r="N7" s="54">
        <f>IF(EmployeeTbl[Years of Service]&gt;=10,'Data Tables'!$B$19,IF(EmployeeTbl[Years of Service]&gt;=5,'Data Tables'!$B$18, 'Data Tables'!$B$17))</f>
        <v>750</v>
      </c>
      <c r="O7" t="str">
        <f>VLOOKUP(EmployeeTbl[Years of Service],Name_Badge,2)</f>
        <v>Gold</v>
      </c>
    </row>
    <row r="8" spans="1:15" x14ac:dyDescent="0.25">
      <c r="A8">
        <v>1126</v>
      </c>
      <c r="B8" t="s">
        <v>95</v>
      </c>
      <c r="C8" t="s">
        <v>96</v>
      </c>
      <c r="D8" s="16">
        <v>42314</v>
      </c>
      <c r="E8" s="15">
        <f>('Data Tables'!$E$15-D8)/365</f>
        <v>2.1534246575342464</v>
      </c>
      <c r="F8" s="16">
        <v>26743</v>
      </c>
      <c r="G8">
        <f>DATEDIF(F8,'Data Tables'!$E$17,"Y")</f>
        <v>43</v>
      </c>
      <c r="H8" t="s">
        <v>211</v>
      </c>
      <c r="I8" t="s">
        <v>1</v>
      </c>
      <c r="J8" s="17">
        <v>51791</v>
      </c>
      <c r="K8" t="str">
        <f>IF(MONTH(F8)='Data Tables'!$E$16,"Yes","")</f>
        <v/>
      </c>
      <c r="L8" t="str">
        <f t="shared" si="0"/>
        <v/>
      </c>
      <c r="M8" s="52">
        <f>IF(OR(EmployeeTbl[Store]="Bonham",EmployeeTbl[Store]="Graham"),EmployeeTbl[Current Salary]*0.035,EmployeeTbl[Current Salary]*0.025)</f>
        <v>1294.7750000000001</v>
      </c>
      <c r="N8" s="54">
        <f>IF(EmployeeTbl[Years of Service]&gt;=10,'Data Tables'!$B$19,IF(EmployeeTbl[Years of Service]&gt;=5,'Data Tables'!$B$18, 'Data Tables'!$B$17))</f>
        <v>100</v>
      </c>
      <c r="O8" t="str">
        <f>VLOOKUP(EmployeeTbl[Years of Service],Name_Badge,2)</f>
        <v>Blue</v>
      </c>
    </row>
    <row r="9" spans="1:15" x14ac:dyDescent="0.25">
      <c r="A9">
        <v>1130</v>
      </c>
      <c r="B9" t="s">
        <v>97</v>
      </c>
      <c r="C9" t="s">
        <v>67</v>
      </c>
      <c r="D9" s="16">
        <v>40339</v>
      </c>
      <c r="E9" s="15">
        <f>('Data Tables'!$E$15-D9)/365</f>
        <v>7.5643835616438357</v>
      </c>
      <c r="F9" s="16">
        <v>24217</v>
      </c>
      <c r="G9">
        <f>DATEDIF(F9,'Data Tables'!$E$17,"Y")</f>
        <v>50</v>
      </c>
      <c r="H9" t="s">
        <v>211</v>
      </c>
      <c r="I9" t="s">
        <v>1</v>
      </c>
      <c r="J9" s="17">
        <v>32530</v>
      </c>
      <c r="K9" t="str">
        <f>IF(MONTH(F9)='Data Tables'!$E$16,"Yes","")</f>
        <v>Yes</v>
      </c>
      <c r="L9" t="str">
        <f t="shared" si="0"/>
        <v/>
      </c>
      <c r="M9" s="52">
        <f>IF(OR(EmployeeTbl[Store]="Bonham",EmployeeTbl[Store]="Graham"),EmployeeTbl[Current Salary]*0.035,EmployeeTbl[Current Salary]*0.025)</f>
        <v>813.25</v>
      </c>
      <c r="N9" s="54">
        <f>IF(EmployeeTbl[Years of Service]&gt;=10,'Data Tables'!$B$19,IF(EmployeeTbl[Years of Service]&gt;=5,'Data Tables'!$B$18, 'Data Tables'!$B$17))</f>
        <v>250</v>
      </c>
      <c r="O9" t="str">
        <f>VLOOKUP(EmployeeTbl[Years of Service],Name_Badge,2)</f>
        <v>Silver</v>
      </c>
    </row>
    <row r="10" spans="1:15" x14ac:dyDescent="0.25">
      <c r="A10">
        <v>1134</v>
      </c>
      <c r="B10" t="s">
        <v>98</v>
      </c>
      <c r="C10" t="s">
        <v>99</v>
      </c>
      <c r="D10" s="16">
        <v>42389</v>
      </c>
      <c r="E10" s="15">
        <f>('Data Tables'!$E$15-D10)/365</f>
        <v>1.9479452054794522</v>
      </c>
      <c r="F10" s="16">
        <v>20900</v>
      </c>
      <c r="G10">
        <f>DATEDIF(F10,'Data Tables'!$E$17,"Y")</f>
        <v>59</v>
      </c>
      <c r="H10" t="s">
        <v>213</v>
      </c>
      <c r="I10" t="s">
        <v>1</v>
      </c>
      <c r="J10" s="17">
        <v>94502</v>
      </c>
      <c r="K10" t="str">
        <f>IF(MONTH(F10)='Data Tables'!$E$16,"Yes","")</f>
        <v/>
      </c>
      <c r="L10" t="str">
        <f t="shared" si="0"/>
        <v/>
      </c>
      <c r="M10" s="52">
        <f>IF(OR(EmployeeTbl[Store]="Bonham",EmployeeTbl[Store]="Graham"),EmployeeTbl[Current Salary]*0.035,EmployeeTbl[Current Salary]*0.025)</f>
        <v>3307.57</v>
      </c>
      <c r="N10" s="54">
        <f>IF(EmployeeTbl[Years of Service]&gt;=10,'Data Tables'!$B$19,IF(EmployeeTbl[Years of Service]&gt;=5,'Data Tables'!$B$18, 'Data Tables'!$B$17))</f>
        <v>100</v>
      </c>
      <c r="O10" t="str">
        <f>VLOOKUP(EmployeeTbl[Years of Service],Name_Badge,2)</f>
        <v>Blue</v>
      </c>
    </row>
    <row r="11" spans="1:15" x14ac:dyDescent="0.25">
      <c r="A11">
        <v>1138</v>
      </c>
      <c r="B11" t="s">
        <v>100</v>
      </c>
      <c r="C11" t="s">
        <v>101</v>
      </c>
      <c r="D11" s="16">
        <v>41033</v>
      </c>
      <c r="E11" s="15">
        <f>('Data Tables'!$E$15-D11)/365</f>
        <v>5.6630136986301371</v>
      </c>
      <c r="F11" s="16">
        <v>24651</v>
      </c>
      <c r="G11">
        <f>DATEDIF(F11,'Data Tables'!$E$17,"Y")</f>
        <v>49</v>
      </c>
      <c r="H11" t="s">
        <v>214</v>
      </c>
      <c r="I11" t="s">
        <v>2</v>
      </c>
      <c r="J11" s="17">
        <v>45671</v>
      </c>
      <c r="K11" t="str">
        <f>IF(MONTH(F11)='Data Tables'!$E$16,"Yes","")</f>
        <v/>
      </c>
      <c r="L11" t="str">
        <f t="shared" si="0"/>
        <v>Yes</v>
      </c>
      <c r="M11" s="52">
        <f>IF(OR(EmployeeTbl[Store]="Bonham",EmployeeTbl[Store]="Graham"),EmployeeTbl[Current Salary]*0.035,EmployeeTbl[Current Salary]*0.025)</f>
        <v>1598.4850000000001</v>
      </c>
      <c r="N11" s="54">
        <f>IF(EmployeeTbl[Years of Service]&gt;=10,'Data Tables'!$B$19,IF(EmployeeTbl[Years of Service]&gt;=5,'Data Tables'!$B$18, 'Data Tables'!$B$17))</f>
        <v>250</v>
      </c>
      <c r="O11" t="str">
        <f>VLOOKUP(EmployeeTbl[Years of Service],Name_Badge,2)</f>
        <v>Purple</v>
      </c>
    </row>
    <row r="12" spans="1:15" x14ac:dyDescent="0.25">
      <c r="A12">
        <v>1142</v>
      </c>
      <c r="B12" t="s">
        <v>102</v>
      </c>
      <c r="C12" t="s">
        <v>103</v>
      </c>
      <c r="D12" s="16">
        <v>40740</v>
      </c>
      <c r="E12" s="15">
        <f>('Data Tables'!$E$15-D12)/365</f>
        <v>6.4657534246575343</v>
      </c>
      <c r="F12" s="16">
        <v>31451</v>
      </c>
      <c r="G12">
        <f>DATEDIF(F12,'Data Tables'!$E$17,"Y")</f>
        <v>30</v>
      </c>
      <c r="H12" t="s">
        <v>213</v>
      </c>
      <c r="I12" t="s">
        <v>1</v>
      </c>
      <c r="J12" s="17">
        <v>70346</v>
      </c>
      <c r="K12" t="str">
        <f>IF(MONTH(F12)='Data Tables'!$E$16,"Yes","")</f>
        <v/>
      </c>
      <c r="L12" t="str">
        <f t="shared" si="0"/>
        <v/>
      </c>
      <c r="M12" s="52">
        <f>IF(OR(EmployeeTbl[Store]="Bonham",EmployeeTbl[Store]="Graham"),EmployeeTbl[Current Salary]*0.035,EmployeeTbl[Current Salary]*0.025)</f>
        <v>2462.11</v>
      </c>
      <c r="N12" s="54">
        <f>IF(EmployeeTbl[Years of Service]&gt;=10,'Data Tables'!$B$19,IF(EmployeeTbl[Years of Service]&gt;=5,'Data Tables'!$B$18, 'Data Tables'!$B$17))</f>
        <v>250</v>
      </c>
      <c r="O12" t="str">
        <f>VLOOKUP(EmployeeTbl[Years of Service],Name_Badge,2)</f>
        <v>Purple</v>
      </c>
    </row>
    <row r="13" spans="1:15" x14ac:dyDescent="0.25">
      <c r="A13">
        <v>1146</v>
      </c>
      <c r="B13" t="s">
        <v>104</v>
      </c>
      <c r="C13" t="s">
        <v>105</v>
      </c>
      <c r="D13" s="16">
        <v>39550</v>
      </c>
      <c r="E13" s="15">
        <f>('Data Tables'!$E$15-D13)/365</f>
        <v>9.7260273972602747</v>
      </c>
      <c r="F13" s="16">
        <v>31606</v>
      </c>
      <c r="G13">
        <f>DATEDIF(F13,'Data Tables'!$E$17,"Y")</f>
        <v>30</v>
      </c>
      <c r="H13" t="s">
        <v>211</v>
      </c>
      <c r="I13" t="s">
        <v>1</v>
      </c>
      <c r="J13" s="17">
        <v>34685</v>
      </c>
      <c r="K13" t="str">
        <f>IF(MONTH(F13)='Data Tables'!$E$16,"Yes","")</f>
        <v/>
      </c>
      <c r="L13" t="str">
        <f t="shared" si="0"/>
        <v/>
      </c>
      <c r="M13" s="52">
        <f>IF(OR(EmployeeTbl[Store]="Bonham",EmployeeTbl[Store]="Graham"),EmployeeTbl[Current Salary]*0.035,EmployeeTbl[Current Salary]*0.025)</f>
        <v>867.125</v>
      </c>
      <c r="N13" s="54">
        <f>IF(EmployeeTbl[Years of Service]&gt;=10,'Data Tables'!$B$19,IF(EmployeeTbl[Years of Service]&gt;=5,'Data Tables'!$B$18, 'Data Tables'!$B$17))</f>
        <v>250</v>
      </c>
      <c r="O13" t="str">
        <f>VLOOKUP(EmployeeTbl[Years of Service],Name_Badge,2)</f>
        <v>Silver</v>
      </c>
    </row>
    <row r="14" spans="1:15" x14ac:dyDescent="0.25">
      <c r="A14">
        <v>1150</v>
      </c>
      <c r="B14" t="s">
        <v>106</v>
      </c>
      <c r="C14" t="s">
        <v>107</v>
      </c>
      <c r="D14" s="16">
        <v>40981</v>
      </c>
      <c r="E14" s="15">
        <f>('Data Tables'!$E$15-D14)/365</f>
        <v>5.8054794520547945</v>
      </c>
      <c r="F14" s="16">
        <v>18087</v>
      </c>
      <c r="G14">
        <f>DATEDIF(F14,'Data Tables'!$E$17,"Y")</f>
        <v>67</v>
      </c>
      <c r="H14" t="s">
        <v>214</v>
      </c>
      <c r="I14" t="s">
        <v>1</v>
      </c>
      <c r="J14" s="17">
        <v>96944</v>
      </c>
      <c r="K14" t="str">
        <f>IF(MONTH(F14)='Data Tables'!$E$16,"Yes","")</f>
        <v/>
      </c>
      <c r="L14" t="str">
        <f t="shared" si="0"/>
        <v/>
      </c>
      <c r="M14" s="52">
        <f>IF(OR(EmployeeTbl[Store]="Bonham",EmployeeTbl[Store]="Graham"),EmployeeTbl[Current Salary]*0.035,EmployeeTbl[Current Salary]*0.025)</f>
        <v>3393.0400000000004</v>
      </c>
      <c r="N14" s="54">
        <f>IF(EmployeeTbl[Years of Service]&gt;=10,'Data Tables'!$B$19,IF(EmployeeTbl[Years of Service]&gt;=5,'Data Tables'!$B$18, 'Data Tables'!$B$17))</f>
        <v>250</v>
      </c>
      <c r="O14" t="str">
        <f>VLOOKUP(EmployeeTbl[Years of Service],Name_Badge,2)</f>
        <v>Purple</v>
      </c>
    </row>
    <row r="15" spans="1:15" x14ac:dyDescent="0.25">
      <c r="A15">
        <v>1154</v>
      </c>
      <c r="B15" t="s">
        <v>108</v>
      </c>
      <c r="C15" t="s">
        <v>109</v>
      </c>
      <c r="D15" s="16">
        <v>42224</v>
      </c>
      <c r="E15" s="15">
        <f>('Data Tables'!$E$15-D15)/365</f>
        <v>2.4</v>
      </c>
      <c r="F15" s="16">
        <v>20790</v>
      </c>
      <c r="G15">
        <f>DATEDIF(F15,'Data Tables'!$E$17,"Y")</f>
        <v>60</v>
      </c>
      <c r="H15" t="s">
        <v>214</v>
      </c>
      <c r="I15" t="s">
        <v>1</v>
      </c>
      <c r="J15" s="17">
        <v>92091</v>
      </c>
      <c r="K15" t="str">
        <f>IF(MONTH(F15)='Data Tables'!$E$16,"Yes","")</f>
        <v/>
      </c>
      <c r="L15" t="str">
        <f t="shared" si="0"/>
        <v/>
      </c>
      <c r="M15" s="52">
        <f>IF(OR(EmployeeTbl[Store]="Bonham",EmployeeTbl[Store]="Graham"),EmployeeTbl[Current Salary]*0.035,EmployeeTbl[Current Salary]*0.025)</f>
        <v>3223.1850000000004</v>
      </c>
      <c r="N15" s="54">
        <f>IF(EmployeeTbl[Years of Service]&gt;=10,'Data Tables'!$B$19,IF(EmployeeTbl[Years of Service]&gt;=5,'Data Tables'!$B$18, 'Data Tables'!$B$17))</f>
        <v>100</v>
      </c>
      <c r="O15" t="str">
        <f>VLOOKUP(EmployeeTbl[Years of Service],Name_Badge,2)</f>
        <v>Blue</v>
      </c>
    </row>
    <row r="16" spans="1:15" x14ac:dyDescent="0.25">
      <c r="A16">
        <v>1158</v>
      </c>
      <c r="B16" t="s">
        <v>110</v>
      </c>
      <c r="C16" t="s">
        <v>48</v>
      </c>
      <c r="D16" s="16">
        <v>42202</v>
      </c>
      <c r="E16" s="15">
        <f>('Data Tables'!$E$15-D16)/365</f>
        <v>2.4602739726027396</v>
      </c>
      <c r="F16" s="16">
        <v>21743</v>
      </c>
      <c r="G16">
        <f>DATEDIF(F16,'Data Tables'!$E$17,"Y")</f>
        <v>57</v>
      </c>
      <c r="H16" t="s">
        <v>211</v>
      </c>
      <c r="I16" t="s">
        <v>1</v>
      </c>
      <c r="J16" s="17">
        <v>30150</v>
      </c>
      <c r="K16" t="str">
        <f>IF(MONTH(F16)='Data Tables'!$E$16,"Yes","")</f>
        <v/>
      </c>
      <c r="L16" t="str">
        <f t="shared" si="0"/>
        <v/>
      </c>
      <c r="M16" s="52">
        <f>IF(OR(EmployeeTbl[Store]="Bonham",EmployeeTbl[Store]="Graham"),EmployeeTbl[Current Salary]*0.035,EmployeeTbl[Current Salary]*0.025)</f>
        <v>753.75</v>
      </c>
      <c r="N16" s="54">
        <f>IF(EmployeeTbl[Years of Service]&gt;=10,'Data Tables'!$B$19,IF(EmployeeTbl[Years of Service]&gt;=5,'Data Tables'!$B$18, 'Data Tables'!$B$17))</f>
        <v>100</v>
      </c>
      <c r="O16" t="str">
        <f>VLOOKUP(EmployeeTbl[Years of Service],Name_Badge,2)</f>
        <v>Blue</v>
      </c>
    </row>
    <row r="17" spans="1:15" x14ac:dyDescent="0.25">
      <c r="A17">
        <v>1162</v>
      </c>
      <c r="B17" t="s">
        <v>111</v>
      </c>
      <c r="C17" t="s">
        <v>112</v>
      </c>
      <c r="D17" s="16">
        <v>42012</v>
      </c>
      <c r="E17" s="15">
        <f>('Data Tables'!$E$15-D17)/365</f>
        <v>2.9808219178082194</v>
      </c>
      <c r="F17" s="16">
        <v>25633</v>
      </c>
      <c r="G17">
        <f>DATEDIF(F17,'Data Tables'!$E$17,"Y")</f>
        <v>46</v>
      </c>
      <c r="H17" t="s">
        <v>214</v>
      </c>
      <c r="I17" t="s">
        <v>1</v>
      </c>
      <c r="J17" s="17">
        <v>81536</v>
      </c>
      <c r="K17" t="str">
        <f>IF(MONTH(F17)='Data Tables'!$E$16,"Yes","")</f>
        <v/>
      </c>
      <c r="L17" t="str">
        <f t="shared" si="0"/>
        <v/>
      </c>
      <c r="M17" s="52">
        <f>IF(OR(EmployeeTbl[Store]="Bonham",EmployeeTbl[Store]="Graham"),EmployeeTbl[Current Salary]*0.035,EmployeeTbl[Current Salary]*0.025)</f>
        <v>2853.76</v>
      </c>
      <c r="N17" s="54">
        <f>IF(EmployeeTbl[Years of Service]&gt;=10,'Data Tables'!$B$19,IF(EmployeeTbl[Years of Service]&gt;=5,'Data Tables'!$B$18, 'Data Tables'!$B$17))</f>
        <v>100</v>
      </c>
      <c r="O17" t="str">
        <f>VLOOKUP(EmployeeTbl[Years of Service],Name_Badge,2)</f>
        <v>Blue</v>
      </c>
    </row>
    <row r="18" spans="1:15" x14ac:dyDescent="0.25">
      <c r="A18">
        <v>1166</v>
      </c>
      <c r="B18" t="s">
        <v>113</v>
      </c>
      <c r="C18" t="s">
        <v>114</v>
      </c>
      <c r="D18" s="16">
        <v>41551</v>
      </c>
      <c r="E18" s="15">
        <f>('Data Tables'!$E$15-D18)/365</f>
        <v>4.2438356164383562</v>
      </c>
      <c r="F18" s="16">
        <v>21848</v>
      </c>
      <c r="G18">
        <f>DATEDIF(F18,'Data Tables'!$E$17,"Y")</f>
        <v>57</v>
      </c>
      <c r="H18" t="s">
        <v>212</v>
      </c>
      <c r="I18" t="s">
        <v>1</v>
      </c>
      <c r="J18" s="17">
        <v>96021</v>
      </c>
      <c r="K18" t="str">
        <f>IF(MONTH(F18)='Data Tables'!$E$16,"Yes","")</f>
        <v/>
      </c>
      <c r="L18" t="str">
        <f t="shared" si="0"/>
        <v/>
      </c>
      <c r="M18" s="52">
        <f>IF(OR(EmployeeTbl[Store]="Bonham",EmployeeTbl[Store]="Graham"),EmployeeTbl[Current Salary]*0.035,EmployeeTbl[Current Salary]*0.025)</f>
        <v>2400.5250000000001</v>
      </c>
      <c r="N18" s="54">
        <f>IF(EmployeeTbl[Years of Service]&gt;=10,'Data Tables'!$B$19,IF(EmployeeTbl[Years of Service]&gt;=5,'Data Tables'!$B$18, 'Data Tables'!$B$17))</f>
        <v>100</v>
      </c>
      <c r="O18" t="str">
        <f>VLOOKUP(EmployeeTbl[Years of Service],Name_Badge,2)</f>
        <v>Purple</v>
      </c>
    </row>
    <row r="19" spans="1:15" x14ac:dyDescent="0.25">
      <c r="A19">
        <v>1170</v>
      </c>
      <c r="B19" t="s">
        <v>115</v>
      </c>
      <c r="C19" t="s">
        <v>116</v>
      </c>
      <c r="D19" s="16">
        <v>41159</v>
      </c>
      <c r="E19" s="15">
        <f>('Data Tables'!$E$15-D19)/365</f>
        <v>5.3178082191780822</v>
      </c>
      <c r="F19" s="16">
        <v>22351</v>
      </c>
      <c r="G19">
        <f>DATEDIF(F19,'Data Tables'!$E$17,"Y")</f>
        <v>55</v>
      </c>
      <c r="H19" t="s">
        <v>211</v>
      </c>
      <c r="I19" t="s">
        <v>1</v>
      </c>
      <c r="J19" s="17">
        <v>58720</v>
      </c>
      <c r="K19" t="str">
        <f>IF(MONTH(F19)='Data Tables'!$E$16,"Yes","")</f>
        <v/>
      </c>
      <c r="L19" t="str">
        <f t="shared" si="0"/>
        <v/>
      </c>
      <c r="M19" s="52">
        <f>IF(OR(EmployeeTbl[Store]="Bonham",EmployeeTbl[Store]="Graham"),EmployeeTbl[Current Salary]*0.035,EmployeeTbl[Current Salary]*0.025)</f>
        <v>1468</v>
      </c>
      <c r="N19" s="54">
        <f>IF(EmployeeTbl[Years of Service]&gt;=10,'Data Tables'!$B$19,IF(EmployeeTbl[Years of Service]&gt;=5,'Data Tables'!$B$18, 'Data Tables'!$B$17))</f>
        <v>250</v>
      </c>
      <c r="O19" t="str">
        <f>VLOOKUP(EmployeeTbl[Years of Service],Name_Badge,2)</f>
        <v>Purple</v>
      </c>
    </row>
    <row r="20" spans="1:15" x14ac:dyDescent="0.25">
      <c r="A20">
        <v>1174</v>
      </c>
      <c r="B20" t="s">
        <v>117</v>
      </c>
      <c r="C20" t="s">
        <v>118</v>
      </c>
      <c r="D20" s="16">
        <v>41858</v>
      </c>
      <c r="E20" s="15">
        <f>('Data Tables'!$E$15-D20)/365</f>
        <v>3.4027397260273973</v>
      </c>
      <c r="F20" s="16">
        <v>20756</v>
      </c>
      <c r="G20">
        <f>DATEDIF(F20,'Data Tables'!$E$17,"Y")</f>
        <v>60</v>
      </c>
      <c r="H20" t="s">
        <v>213</v>
      </c>
      <c r="I20" t="s">
        <v>1</v>
      </c>
      <c r="J20" s="17">
        <v>76947</v>
      </c>
      <c r="K20" t="str">
        <f>IF(MONTH(F20)='Data Tables'!$E$16,"Yes","")</f>
        <v/>
      </c>
      <c r="L20" t="str">
        <f t="shared" si="0"/>
        <v/>
      </c>
      <c r="M20" s="52">
        <f>IF(OR(EmployeeTbl[Store]="Bonham",EmployeeTbl[Store]="Graham"),EmployeeTbl[Current Salary]*0.035,EmployeeTbl[Current Salary]*0.025)</f>
        <v>2693.1450000000004</v>
      </c>
      <c r="N20" s="54">
        <f>IF(EmployeeTbl[Years of Service]&gt;=10,'Data Tables'!$B$19,IF(EmployeeTbl[Years of Service]&gt;=5,'Data Tables'!$B$18, 'Data Tables'!$B$17))</f>
        <v>100</v>
      </c>
      <c r="O20" t="str">
        <f>VLOOKUP(EmployeeTbl[Years of Service],Name_Badge,2)</f>
        <v>Blue</v>
      </c>
    </row>
    <row r="21" spans="1:15" x14ac:dyDescent="0.25">
      <c r="A21">
        <v>1178</v>
      </c>
      <c r="B21" t="s">
        <v>119</v>
      </c>
      <c r="C21" t="s">
        <v>120</v>
      </c>
      <c r="D21" s="16">
        <v>42153</v>
      </c>
      <c r="E21" s="15">
        <f>('Data Tables'!$E$15-D21)/365</f>
        <v>2.5945205479452054</v>
      </c>
      <c r="F21" s="16">
        <v>18496</v>
      </c>
      <c r="G21">
        <f>DATEDIF(F21,'Data Tables'!$E$17,"Y")</f>
        <v>66</v>
      </c>
      <c r="H21" t="s">
        <v>213</v>
      </c>
      <c r="I21" t="s">
        <v>1</v>
      </c>
      <c r="J21" s="17">
        <v>96449</v>
      </c>
      <c r="K21" t="str">
        <f>IF(MONTH(F21)='Data Tables'!$E$16,"Yes","")</f>
        <v/>
      </c>
      <c r="L21" t="str">
        <f t="shared" si="0"/>
        <v/>
      </c>
      <c r="M21" s="52">
        <f>IF(OR(EmployeeTbl[Store]="Bonham",EmployeeTbl[Store]="Graham"),EmployeeTbl[Current Salary]*0.035,EmployeeTbl[Current Salary]*0.025)</f>
        <v>3375.7150000000001</v>
      </c>
      <c r="N21" s="54">
        <f>IF(EmployeeTbl[Years of Service]&gt;=10,'Data Tables'!$B$19,IF(EmployeeTbl[Years of Service]&gt;=5,'Data Tables'!$B$18, 'Data Tables'!$B$17))</f>
        <v>100</v>
      </c>
      <c r="O21" t="str">
        <f>VLOOKUP(EmployeeTbl[Years of Service],Name_Badge,2)</f>
        <v>Blue</v>
      </c>
    </row>
    <row r="22" spans="1:15" x14ac:dyDescent="0.25">
      <c r="A22">
        <v>1182</v>
      </c>
      <c r="B22" t="s">
        <v>42</v>
      </c>
      <c r="C22" t="s">
        <v>121</v>
      </c>
      <c r="D22" s="16">
        <v>39100</v>
      </c>
      <c r="E22" s="15">
        <f>('Data Tables'!$E$15-D22)/365</f>
        <v>10.95890410958904</v>
      </c>
      <c r="F22" s="16">
        <v>18940</v>
      </c>
      <c r="G22">
        <f>DATEDIF(F22,'Data Tables'!$E$17,"Y")</f>
        <v>65</v>
      </c>
      <c r="H22" t="s">
        <v>211</v>
      </c>
      <c r="I22" t="s">
        <v>1</v>
      </c>
      <c r="J22" s="17">
        <v>45766</v>
      </c>
      <c r="K22" t="str">
        <f>IF(MONTH(F22)='Data Tables'!$E$16,"Yes","")</f>
        <v/>
      </c>
      <c r="L22" t="str">
        <f t="shared" si="0"/>
        <v/>
      </c>
      <c r="M22" s="52">
        <f>IF(OR(EmployeeTbl[Store]="Bonham",EmployeeTbl[Store]="Graham"),EmployeeTbl[Current Salary]*0.035,EmployeeTbl[Current Salary]*0.025)</f>
        <v>1144.1500000000001</v>
      </c>
      <c r="N22" s="54">
        <f>IF(EmployeeTbl[Years of Service]&gt;=10,'Data Tables'!$B$19,IF(EmployeeTbl[Years of Service]&gt;=5,'Data Tables'!$B$18, 'Data Tables'!$B$17))</f>
        <v>750</v>
      </c>
      <c r="O22" t="str">
        <f>VLOOKUP(EmployeeTbl[Years of Service],Name_Badge,2)</f>
        <v>Gold</v>
      </c>
    </row>
    <row r="23" spans="1:15" x14ac:dyDescent="0.25">
      <c r="A23">
        <v>1186</v>
      </c>
      <c r="B23" t="s">
        <v>122</v>
      </c>
      <c r="C23" t="s">
        <v>123</v>
      </c>
      <c r="D23" s="16">
        <v>42370</v>
      </c>
      <c r="E23" s="15">
        <f>('Data Tables'!$E$15-D23)/365</f>
        <v>2</v>
      </c>
      <c r="F23" s="16">
        <v>24268</v>
      </c>
      <c r="G23">
        <f>DATEDIF(F23,'Data Tables'!$E$17,"Y")</f>
        <v>50</v>
      </c>
      <c r="H23" t="s">
        <v>213</v>
      </c>
      <c r="I23" t="s">
        <v>1</v>
      </c>
      <c r="J23" s="17">
        <v>96960</v>
      </c>
      <c r="K23" t="str">
        <f>IF(MONTH(F23)='Data Tables'!$E$16,"Yes","")</f>
        <v/>
      </c>
      <c r="L23" t="str">
        <f t="shared" si="0"/>
        <v/>
      </c>
      <c r="M23" s="52">
        <f>IF(OR(EmployeeTbl[Store]="Bonham",EmployeeTbl[Store]="Graham"),EmployeeTbl[Current Salary]*0.035,EmployeeTbl[Current Salary]*0.025)</f>
        <v>3393.6000000000004</v>
      </c>
      <c r="N23" s="54">
        <f>IF(EmployeeTbl[Years of Service]&gt;=10,'Data Tables'!$B$19,IF(EmployeeTbl[Years of Service]&gt;=5,'Data Tables'!$B$18, 'Data Tables'!$B$17))</f>
        <v>100</v>
      </c>
      <c r="O23" t="str">
        <f>VLOOKUP(EmployeeTbl[Years of Service],Name_Badge,2)</f>
        <v>Blue</v>
      </c>
    </row>
    <row r="24" spans="1:15" x14ac:dyDescent="0.25">
      <c r="A24">
        <v>1190</v>
      </c>
      <c r="B24" t="s">
        <v>124</v>
      </c>
      <c r="C24" t="s">
        <v>125</v>
      </c>
      <c r="D24" s="16">
        <v>37994</v>
      </c>
      <c r="E24" s="15">
        <f>('Data Tables'!$E$15-D24)/365</f>
        <v>13.989041095890411</v>
      </c>
      <c r="F24" s="16">
        <v>33595</v>
      </c>
      <c r="G24">
        <f>DATEDIF(F24,'Data Tables'!$E$17,"Y")</f>
        <v>25</v>
      </c>
      <c r="H24" t="s">
        <v>213</v>
      </c>
      <c r="I24" t="s">
        <v>1</v>
      </c>
      <c r="J24" s="17">
        <v>94346</v>
      </c>
      <c r="K24" t="str">
        <f>IF(MONTH(F24)='Data Tables'!$E$16,"Yes","")</f>
        <v/>
      </c>
      <c r="L24" t="str">
        <f t="shared" si="0"/>
        <v/>
      </c>
      <c r="M24" s="52">
        <f>IF(OR(EmployeeTbl[Store]="Bonham",EmployeeTbl[Store]="Graham"),EmployeeTbl[Current Salary]*0.035,EmployeeTbl[Current Salary]*0.025)</f>
        <v>3302.11</v>
      </c>
      <c r="N24" s="54">
        <f>IF(EmployeeTbl[Years of Service]&gt;=10,'Data Tables'!$B$19,IF(EmployeeTbl[Years of Service]&gt;=5,'Data Tables'!$B$18, 'Data Tables'!$B$17))</f>
        <v>750</v>
      </c>
      <c r="O24" t="str">
        <f>VLOOKUP(EmployeeTbl[Years of Service],Name_Badge,2)</f>
        <v>Gold</v>
      </c>
    </row>
    <row r="25" spans="1:15" x14ac:dyDescent="0.25">
      <c r="A25">
        <v>1194</v>
      </c>
      <c r="B25" t="s">
        <v>126</v>
      </c>
      <c r="C25" t="s">
        <v>127</v>
      </c>
      <c r="D25" s="16">
        <v>39192</v>
      </c>
      <c r="E25" s="15">
        <f>('Data Tables'!$E$15-D25)/365</f>
        <v>10.706849315068494</v>
      </c>
      <c r="F25" s="16">
        <v>20636</v>
      </c>
      <c r="G25">
        <f>DATEDIF(F25,'Data Tables'!$E$17,"Y")</f>
        <v>60</v>
      </c>
      <c r="H25" t="s">
        <v>213</v>
      </c>
      <c r="I25" t="s">
        <v>1</v>
      </c>
      <c r="J25" s="17">
        <v>94441</v>
      </c>
      <c r="K25" t="str">
        <f>IF(MONTH(F25)='Data Tables'!$E$16,"Yes","")</f>
        <v/>
      </c>
      <c r="L25" t="str">
        <f t="shared" si="0"/>
        <v/>
      </c>
      <c r="M25" s="52">
        <f>IF(OR(EmployeeTbl[Store]="Bonham",EmployeeTbl[Store]="Graham"),EmployeeTbl[Current Salary]*0.035,EmployeeTbl[Current Salary]*0.025)</f>
        <v>3305.4350000000004</v>
      </c>
      <c r="N25" s="54">
        <f>IF(EmployeeTbl[Years of Service]&gt;=10,'Data Tables'!$B$19,IF(EmployeeTbl[Years of Service]&gt;=5,'Data Tables'!$B$18, 'Data Tables'!$B$17))</f>
        <v>750</v>
      </c>
      <c r="O25" t="str">
        <f>VLOOKUP(EmployeeTbl[Years of Service],Name_Badge,2)</f>
        <v>Gold</v>
      </c>
    </row>
    <row r="26" spans="1:15" x14ac:dyDescent="0.25">
      <c r="A26">
        <v>1198</v>
      </c>
      <c r="B26" t="s">
        <v>117</v>
      </c>
      <c r="C26" t="s">
        <v>128</v>
      </c>
      <c r="D26" s="16">
        <v>39248</v>
      </c>
      <c r="E26" s="15">
        <f>('Data Tables'!$E$15-D26)/365</f>
        <v>10.553424657534247</v>
      </c>
      <c r="F26" s="16">
        <v>18535</v>
      </c>
      <c r="G26">
        <f>DATEDIF(F26,'Data Tables'!$E$17,"Y")</f>
        <v>66</v>
      </c>
      <c r="H26" t="s">
        <v>213</v>
      </c>
      <c r="I26" t="s">
        <v>1</v>
      </c>
      <c r="J26" s="17">
        <v>90338</v>
      </c>
      <c r="K26" t="str">
        <f>IF(MONTH(F26)='Data Tables'!$E$16,"Yes","")</f>
        <v/>
      </c>
      <c r="L26" t="str">
        <f t="shared" si="0"/>
        <v/>
      </c>
      <c r="M26" s="52">
        <f>IF(OR(EmployeeTbl[Store]="Bonham",EmployeeTbl[Store]="Graham"),EmployeeTbl[Current Salary]*0.035,EmployeeTbl[Current Salary]*0.025)</f>
        <v>3161.8300000000004</v>
      </c>
      <c r="N26" s="54">
        <f>IF(EmployeeTbl[Years of Service]&gt;=10,'Data Tables'!$B$19,IF(EmployeeTbl[Years of Service]&gt;=5,'Data Tables'!$B$18, 'Data Tables'!$B$17))</f>
        <v>750</v>
      </c>
      <c r="O26" t="str">
        <f>VLOOKUP(EmployeeTbl[Years of Service],Name_Badge,2)</f>
        <v>Gold</v>
      </c>
    </row>
    <row r="27" spans="1:15" x14ac:dyDescent="0.25">
      <c r="A27">
        <v>1302</v>
      </c>
      <c r="B27" t="s">
        <v>169</v>
      </c>
      <c r="C27" t="s">
        <v>135</v>
      </c>
      <c r="D27" s="16">
        <v>41075</v>
      </c>
      <c r="E27" s="15">
        <f>('Data Tables'!$E$15-D27)/365</f>
        <v>5.5479452054794525</v>
      </c>
      <c r="F27" s="16">
        <v>23223</v>
      </c>
      <c r="G27">
        <f>DATEDIF(F27,'Data Tables'!$E$17,"Y")</f>
        <v>53</v>
      </c>
      <c r="H27" t="s">
        <v>213</v>
      </c>
      <c r="I27" t="s">
        <v>2</v>
      </c>
      <c r="J27" s="17">
        <v>49890</v>
      </c>
      <c r="K27" t="str">
        <f>IF(MONTH(F27)='Data Tables'!$E$16,"Yes","")</f>
        <v/>
      </c>
      <c r="L27" t="str">
        <f t="shared" si="0"/>
        <v>Yes</v>
      </c>
      <c r="M27" s="52">
        <f>IF(OR(EmployeeTbl[Store]="Bonham",EmployeeTbl[Store]="Graham"),EmployeeTbl[Current Salary]*0.035,EmployeeTbl[Current Salary]*0.025)</f>
        <v>1746.15</v>
      </c>
      <c r="N27" s="54">
        <f>IF(EmployeeTbl[Years of Service]&gt;=10,'Data Tables'!$B$19,IF(EmployeeTbl[Years of Service]&gt;=5,'Data Tables'!$B$18, 'Data Tables'!$B$17))</f>
        <v>250</v>
      </c>
      <c r="O27" t="str">
        <f>VLOOKUP(EmployeeTbl[Years of Service],Name_Badge,2)</f>
        <v>Purple</v>
      </c>
    </row>
    <row r="28" spans="1:15" x14ac:dyDescent="0.25">
      <c r="A28">
        <v>1306</v>
      </c>
      <c r="B28" t="s">
        <v>170</v>
      </c>
      <c r="C28" t="s">
        <v>171</v>
      </c>
      <c r="D28" s="16">
        <v>42195</v>
      </c>
      <c r="E28" s="15">
        <f>('Data Tables'!$E$15-D28)/365</f>
        <v>2.4794520547945207</v>
      </c>
      <c r="F28" s="16">
        <v>22041</v>
      </c>
      <c r="G28">
        <f>DATEDIF(F28,'Data Tables'!$E$17,"Y")</f>
        <v>56</v>
      </c>
      <c r="H28" t="s">
        <v>213</v>
      </c>
      <c r="I28" t="s">
        <v>1</v>
      </c>
      <c r="J28" s="17">
        <v>68681</v>
      </c>
      <c r="K28" t="str">
        <f>IF(MONTH(F28)='Data Tables'!$E$16,"Yes","")</f>
        <v/>
      </c>
      <c r="L28" t="str">
        <f t="shared" si="0"/>
        <v/>
      </c>
      <c r="M28" s="52">
        <f>IF(OR(EmployeeTbl[Store]="Bonham",EmployeeTbl[Store]="Graham"),EmployeeTbl[Current Salary]*0.035,EmployeeTbl[Current Salary]*0.025)</f>
        <v>2403.835</v>
      </c>
      <c r="N28" s="54">
        <f>IF(EmployeeTbl[Years of Service]&gt;=10,'Data Tables'!$B$19,IF(EmployeeTbl[Years of Service]&gt;=5,'Data Tables'!$B$18, 'Data Tables'!$B$17))</f>
        <v>100</v>
      </c>
      <c r="O28" t="str">
        <f>VLOOKUP(EmployeeTbl[Years of Service],Name_Badge,2)</f>
        <v>Blue</v>
      </c>
    </row>
    <row r="29" spans="1:15" x14ac:dyDescent="0.25">
      <c r="A29">
        <v>1310</v>
      </c>
      <c r="B29" t="s">
        <v>172</v>
      </c>
      <c r="C29" t="s">
        <v>173</v>
      </c>
      <c r="D29" s="16">
        <v>42391</v>
      </c>
      <c r="E29" s="15">
        <f>('Data Tables'!$E$15-D29)/365</f>
        <v>1.9424657534246574</v>
      </c>
      <c r="F29" s="16">
        <v>19551</v>
      </c>
      <c r="G29">
        <f>DATEDIF(F29,'Data Tables'!$E$17,"Y")</f>
        <v>63</v>
      </c>
      <c r="H29" t="s">
        <v>213</v>
      </c>
      <c r="I29" t="s">
        <v>1</v>
      </c>
      <c r="J29" s="17">
        <v>52244</v>
      </c>
      <c r="K29" t="str">
        <f>IF(MONTH(F29)='Data Tables'!$E$16,"Yes","")</f>
        <v/>
      </c>
      <c r="L29" t="str">
        <f t="shared" si="0"/>
        <v/>
      </c>
      <c r="M29" s="52">
        <f>IF(OR(EmployeeTbl[Store]="Bonham",EmployeeTbl[Store]="Graham"),EmployeeTbl[Current Salary]*0.035,EmployeeTbl[Current Salary]*0.025)</f>
        <v>1828.5400000000002</v>
      </c>
      <c r="N29" s="54">
        <f>IF(EmployeeTbl[Years of Service]&gt;=10,'Data Tables'!$B$19,IF(EmployeeTbl[Years of Service]&gt;=5,'Data Tables'!$B$18, 'Data Tables'!$B$17))</f>
        <v>100</v>
      </c>
      <c r="O29" t="str">
        <f>VLOOKUP(EmployeeTbl[Years of Service],Name_Badge,2)</f>
        <v>Blue</v>
      </c>
    </row>
    <row r="30" spans="1:15" x14ac:dyDescent="0.25">
      <c r="A30">
        <v>1314</v>
      </c>
      <c r="B30" t="s">
        <v>174</v>
      </c>
      <c r="C30" t="s">
        <v>175</v>
      </c>
      <c r="D30" s="16">
        <v>42293</v>
      </c>
      <c r="E30" s="15">
        <f>('Data Tables'!$E$15-D30)/365</f>
        <v>2.2109589041095892</v>
      </c>
      <c r="F30" s="16">
        <v>30878</v>
      </c>
      <c r="G30">
        <f>DATEDIF(F30,'Data Tables'!$E$17,"Y")</f>
        <v>32</v>
      </c>
      <c r="H30" t="s">
        <v>213</v>
      </c>
      <c r="I30" t="s">
        <v>1</v>
      </c>
      <c r="J30" s="17">
        <v>92221</v>
      </c>
      <c r="K30" t="str">
        <f>IF(MONTH(F30)='Data Tables'!$E$16,"Yes","")</f>
        <v/>
      </c>
      <c r="L30" t="str">
        <f t="shared" si="0"/>
        <v/>
      </c>
      <c r="M30" s="52">
        <f>IF(OR(EmployeeTbl[Store]="Bonham",EmployeeTbl[Store]="Graham"),EmployeeTbl[Current Salary]*0.035,EmployeeTbl[Current Salary]*0.025)</f>
        <v>3227.7350000000001</v>
      </c>
      <c r="N30" s="54">
        <f>IF(EmployeeTbl[Years of Service]&gt;=10,'Data Tables'!$B$19,IF(EmployeeTbl[Years of Service]&gt;=5,'Data Tables'!$B$18, 'Data Tables'!$B$17))</f>
        <v>100</v>
      </c>
      <c r="O30" t="str">
        <f>VLOOKUP(EmployeeTbl[Years of Service],Name_Badge,2)</f>
        <v>Blue</v>
      </c>
    </row>
    <row r="31" spans="1:15" x14ac:dyDescent="0.25">
      <c r="A31">
        <v>1318</v>
      </c>
      <c r="B31" t="s">
        <v>176</v>
      </c>
      <c r="C31" t="s">
        <v>177</v>
      </c>
      <c r="D31" s="16">
        <v>42244</v>
      </c>
      <c r="E31" s="15">
        <f>('Data Tables'!$E$15-D31)/365</f>
        <v>2.3452054794520549</v>
      </c>
      <c r="F31" s="16">
        <v>18956</v>
      </c>
      <c r="G31">
        <f>DATEDIF(F31,'Data Tables'!$E$17,"Y")</f>
        <v>65</v>
      </c>
      <c r="H31" t="s">
        <v>213</v>
      </c>
      <c r="I31" t="s">
        <v>1</v>
      </c>
      <c r="J31" s="17">
        <v>35304</v>
      </c>
      <c r="K31" t="str">
        <f>IF(MONTH(F31)='Data Tables'!$E$16,"Yes","")</f>
        <v/>
      </c>
      <c r="L31" t="str">
        <f t="shared" si="0"/>
        <v/>
      </c>
      <c r="M31" s="52">
        <f>IF(OR(EmployeeTbl[Store]="Bonham",EmployeeTbl[Store]="Graham"),EmployeeTbl[Current Salary]*0.035,EmployeeTbl[Current Salary]*0.025)</f>
        <v>1235.6400000000001</v>
      </c>
      <c r="N31" s="54">
        <f>IF(EmployeeTbl[Years of Service]&gt;=10,'Data Tables'!$B$19,IF(EmployeeTbl[Years of Service]&gt;=5,'Data Tables'!$B$18, 'Data Tables'!$B$17))</f>
        <v>100</v>
      </c>
      <c r="O31" t="str">
        <f>VLOOKUP(EmployeeTbl[Years of Service],Name_Badge,2)</f>
        <v>Blue</v>
      </c>
    </row>
    <row r="32" spans="1:15" x14ac:dyDescent="0.25">
      <c r="A32">
        <v>1322</v>
      </c>
      <c r="B32" t="s">
        <v>178</v>
      </c>
      <c r="C32" t="s">
        <v>179</v>
      </c>
      <c r="D32" s="16">
        <v>38982</v>
      </c>
      <c r="E32" s="15">
        <f>('Data Tables'!$E$15-D32)/365</f>
        <v>11.282191780821918</v>
      </c>
      <c r="F32" s="16">
        <v>21555</v>
      </c>
      <c r="G32">
        <f>DATEDIF(F32,'Data Tables'!$E$17,"Y")</f>
        <v>57</v>
      </c>
      <c r="H32" t="s">
        <v>212</v>
      </c>
      <c r="I32" t="s">
        <v>1</v>
      </c>
      <c r="J32" s="17">
        <v>51675</v>
      </c>
      <c r="K32" t="str">
        <f>IF(MONTH(F32)='Data Tables'!$E$16,"Yes","")</f>
        <v/>
      </c>
      <c r="L32" t="str">
        <f t="shared" si="0"/>
        <v/>
      </c>
      <c r="M32" s="52">
        <f>IF(OR(EmployeeTbl[Store]="Bonham",EmployeeTbl[Store]="Graham"),EmployeeTbl[Current Salary]*0.035,EmployeeTbl[Current Salary]*0.025)</f>
        <v>1291.875</v>
      </c>
      <c r="N32" s="54">
        <f>IF(EmployeeTbl[Years of Service]&gt;=10,'Data Tables'!$B$19,IF(EmployeeTbl[Years of Service]&gt;=5,'Data Tables'!$B$18, 'Data Tables'!$B$17))</f>
        <v>750</v>
      </c>
      <c r="O32" t="str">
        <f>VLOOKUP(EmployeeTbl[Years of Service],Name_Badge,2)</f>
        <v>Gold</v>
      </c>
    </row>
    <row r="33" spans="1:15" x14ac:dyDescent="0.25">
      <c r="A33">
        <v>1326</v>
      </c>
      <c r="B33" t="s">
        <v>180</v>
      </c>
      <c r="C33" t="s">
        <v>164</v>
      </c>
      <c r="D33" s="16">
        <v>39160</v>
      </c>
      <c r="E33" s="15">
        <f>('Data Tables'!$E$15-D33)/365</f>
        <v>10.794520547945206</v>
      </c>
      <c r="F33" s="16">
        <v>30262</v>
      </c>
      <c r="G33">
        <f>DATEDIF(F33,'Data Tables'!$E$17,"Y")</f>
        <v>34</v>
      </c>
      <c r="H33" t="s">
        <v>213</v>
      </c>
      <c r="I33" t="s">
        <v>1</v>
      </c>
      <c r="J33" s="17">
        <v>90283</v>
      </c>
      <c r="K33" t="str">
        <f>IF(MONTH(F33)='Data Tables'!$E$16,"Yes","")</f>
        <v/>
      </c>
      <c r="L33" t="str">
        <f t="shared" si="0"/>
        <v/>
      </c>
      <c r="M33" s="52">
        <f>IF(OR(EmployeeTbl[Store]="Bonham",EmployeeTbl[Store]="Graham"),EmployeeTbl[Current Salary]*0.035,EmployeeTbl[Current Salary]*0.025)</f>
        <v>3159.9050000000002</v>
      </c>
      <c r="N33" s="54">
        <f>IF(EmployeeTbl[Years of Service]&gt;=10,'Data Tables'!$B$19,IF(EmployeeTbl[Years of Service]&gt;=5,'Data Tables'!$B$18, 'Data Tables'!$B$17))</f>
        <v>750</v>
      </c>
      <c r="O33" t="str">
        <f>VLOOKUP(EmployeeTbl[Years of Service],Name_Badge,2)</f>
        <v>Gold</v>
      </c>
    </row>
    <row r="34" spans="1:15" x14ac:dyDescent="0.25">
      <c r="A34">
        <v>1330</v>
      </c>
      <c r="B34" t="s">
        <v>3</v>
      </c>
      <c r="C34" t="s">
        <v>181</v>
      </c>
      <c r="D34" s="16">
        <v>40248</v>
      </c>
      <c r="E34" s="15">
        <f>('Data Tables'!$E$15-D34)/365</f>
        <v>7.8136986301369866</v>
      </c>
      <c r="F34" s="16">
        <v>21247</v>
      </c>
      <c r="G34">
        <f>DATEDIF(F34,'Data Tables'!$E$17,"Y")</f>
        <v>58</v>
      </c>
      <c r="H34" t="s">
        <v>211</v>
      </c>
      <c r="I34" t="s">
        <v>2</v>
      </c>
      <c r="J34" s="17">
        <v>45657</v>
      </c>
      <c r="K34" t="str">
        <f>IF(MONTH(F34)='Data Tables'!$E$16,"Yes","")</f>
        <v/>
      </c>
      <c r="L34" t="str">
        <f t="shared" ref="L34:L65" si="1">IF(AND(I34="PT",E34&gt;=2),"Yes","")</f>
        <v>Yes</v>
      </c>
      <c r="M34" s="52">
        <f>IF(OR(EmployeeTbl[Store]="Bonham",EmployeeTbl[Store]="Graham"),EmployeeTbl[Current Salary]*0.035,EmployeeTbl[Current Salary]*0.025)</f>
        <v>1141.425</v>
      </c>
      <c r="N34" s="54">
        <f>IF(EmployeeTbl[Years of Service]&gt;=10,'Data Tables'!$B$19,IF(EmployeeTbl[Years of Service]&gt;=5,'Data Tables'!$B$18, 'Data Tables'!$B$17))</f>
        <v>250</v>
      </c>
      <c r="O34" t="str">
        <f>VLOOKUP(EmployeeTbl[Years of Service],Name_Badge,2)</f>
        <v>Silver</v>
      </c>
    </row>
    <row r="35" spans="1:15" x14ac:dyDescent="0.25">
      <c r="A35">
        <v>1334</v>
      </c>
      <c r="B35" t="s">
        <v>182</v>
      </c>
      <c r="C35" t="s">
        <v>183</v>
      </c>
      <c r="D35" s="16">
        <v>42244</v>
      </c>
      <c r="E35" s="15">
        <f>('Data Tables'!$E$15-D35)/365</f>
        <v>2.3452054794520549</v>
      </c>
      <c r="F35" s="16">
        <v>27795</v>
      </c>
      <c r="G35">
        <f>DATEDIF(F35,'Data Tables'!$E$17,"Y")</f>
        <v>40</v>
      </c>
      <c r="H35" t="s">
        <v>212</v>
      </c>
      <c r="I35" t="s">
        <v>1</v>
      </c>
      <c r="J35" s="17">
        <v>39545</v>
      </c>
      <c r="K35" t="str">
        <f>IF(MONTH(F35)='Data Tables'!$E$16,"Yes","")</f>
        <v/>
      </c>
      <c r="L35" t="str">
        <f t="shared" si="1"/>
        <v/>
      </c>
      <c r="M35" s="52">
        <f>IF(OR(EmployeeTbl[Store]="Bonham",EmployeeTbl[Store]="Graham"),EmployeeTbl[Current Salary]*0.035,EmployeeTbl[Current Salary]*0.025)</f>
        <v>988.625</v>
      </c>
      <c r="N35" s="54">
        <f>IF(EmployeeTbl[Years of Service]&gt;=10,'Data Tables'!$B$19,IF(EmployeeTbl[Years of Service]&gt;=5,'Data Tables'!$B$18, 'Data Tables'!$B$17))</f>
        <v>100</v>
      </c>
      <c r="O35" t="str">
        <f>VLOOKUP(EmployeeTbl[Years of Service],Name_Badge,2)</f>
        <v>Blue</v>
      </c>
    </row>
    <row r="36" spans="1:15" x14ac:dyDescent="0.25">
      <c r="A36">
        <v>1338</v>
      </c>
      <c r="B36" t="s">
        <v>184</v>
      </c>
      <c r="C36" t="s">
        <v>52</v>
      </c>
      <c r="D36" s="16">
        <v>37844</v>
      </c>
      <c r="E36" s="15">
        <f>('Data Tables'!$E$15-D36)/365</f>
        <v>14.4</v>
      </c>
      <c r="F36" s="16">
        <v>24564</v>
      </c>
      <c r="G36">
        <f>DATEDIF(F36,'Data Tables'!$E$17,"Y")</f>
        <v>49</v>
      </c>
      <c r="H36" t="s">
        <v>213</v>
      </c>
      <c r="I36" t="s">
        <v>1</v>
      </c>
      <c r="J36" s="17">
        <v>125068</v>
      </c>
      <c r="K36" t="str">
        <f>IF(MONTH(F36)='Data Tables'!$E$16,"Yes","")</f>
        <v>Yes</v>
      </c>
      <c r="L36" t="str">
        <f t="shared" si="1"/>
        <v/>
      </c>
      <c r="M36" s="52">
        <f>IF(OR(EmployeeTbl[Store]="Bonham",EmployeeTbl[Store]="Graham"),EmployeeTbl[Current Salary]*0.035,EmployeeTbl[Current Salary]*0.025)</f>
        <v>4377.38</v>
      </c>
      <c r="N36" s="54">
        <f>IF(EmployeeTbl[Years of Service]&gt;=10,'Data Tables'!$B$19,IF(EmployeeTbl[Years of Service]&gt;=5,'Data Tables'!$B$18, 'Data Tables'!$B$17))</f>
        <v>750</v>
      </c>
      <c r="O36" t="str">
        <f>VLOOKUP(EmployeeTbl[Years of Service],Name_Badge,2)</f>
        <v>Gold</v>
      </c>
    </row>
    <row r="37" spans="1:15" x14ac:dyDescent="0.25">
      <c r="A37">
        <v>1342</v>
      </c>
      <c r="B37" t="s">
        <v>185</v>
      </c>
      <c r="C37" t="s">
        <v>186</v>
      </c>
      <c r="D37" s="16">
        <v>42097</v>
      </c>
      <c r="E37" s="15">
        <f>('Data Tables'!$E$15-D37)/365</f>
        <v>2.7479452054794522</v>
      </c>
      <c r="F37" s="16">
        <v>24525</v>
      </c>
      <c r="G37">
        <f>DATEDIF(F37,'Data Tables'!$E$17,"Y")</f>
        <v>49</v>
      </c>
      <c r="H37" t="s">
        <v>213</v>
      </c>
      <c r="I37" t="s">
        <v>1</v>
      </c>
      <c r="J37" s="17">
        <v>80407</v>
      </c>
      <c r="K37" t="str">
        <f>IF(MONTH(F37)='Data Tables'!$E$16,"Yes","")</f>
        <v/>
      </c>
      <c r="L37" t="str">
        <f t="shared" si="1"/>
        <v/>
      </c>
      <c r="M37" s="52">
        <f>IF(OR(EmployeeTbl[Store]="Bonham",EmployeeTbl[Store]="Graham"),EmployeeTbl[Current Salary]*0.035,EmployeeTbl[Current Salary]*0.025)</f>
        <v>2814.2450000000003</v>
      </c>
      <c r="N37" s="54">
        <f>IF(EmployeeTbl[Years of Service]&gt;=10,'Data Tables'!$B$19,IF(EmployeeTbl[Years of Service]&gt;=5,'Data Tables'!$B$18, 'Data Tables'!$B$17))</f>
        <v>100</v>
      </c>
      <c r="O37" t="str">
        <f>VLOOKUP(EmployeeTbl[Years of Service],Name_Badge,2)</f>
        <v>Blue</v>
      </c>
    </row>
    <row r="38" spans="1:15" x14ac:dyDescent="0.25">
      <c r="A38">
        <v>1346</v>
      </c>
      <c r="B38" t="s">
        <v>187</v>
      </c>
      <c r="C38" t="s">
        <v>188</v>
      </c>
      <c r="D38" s="16">
        <v>39879</v>
      </c>
      <c r="E38" s="15">
        <f>('Data Tables'!$E$15-D38)/365</f>
        <v>8.8246575342465761</v>
      </c>
      <c r="F38" s="16">
        <v>23788</v>
      </c>
      <c r="G38">
        <f>DATEDIF(F38,'Data Tables'!$E$17,"Y")</f>
        <v>51</v>
      </c>
      <c r="H38" t="s">
        <v>214</v>
      </c>
      <c r="I38" t="s">
        <v>1</v>
      </c>
      <c r="J38" s="17">
        <v>83415</v>
      </c>
      <c r="K38" t="str">
        <f>IF(MONTH(F38)='Data Tables'!$E$16,"Yes","")</f>
        <v/>
      </c>
      <c r="L38" t="str">
        <f t="shared" si="1"/>
        <v/>
      </c>
      <c r="M38" s="52">
        <f>IF(OR(EmployeeTbl[Store]="Bonham",EmployeeTbl[Store]="Graham"),EmployeeTbl[Current Salary]*0.035,EmployeeTbl[Current Salary]*0.025)</f>
        <v>2919.5250000000001</v>
      </c>
      <c r="N38" s="54">
        <f>IF(EmployeeTbl[Years of Service]&gt;=10,'Data Tables'!$B$19,IF(EmployeeTbl[Years of Service]&gt;=5,'Data Tables'!$B$18, 'Data Tables'!$B$17))</f>
        <v>250</v>
      </c>
      <c r="O38" t="str">
        <f>VLOOKUP(EmployeeTbl[Years of Service],Name_Badge,2)</f>
        <v>Silver</v>
      </c>
    </row>
    <row r="39" spans="1:15" x14ac:dyDescent="0.25">
      <c r="A39">
        <v>1350</v>
      </c>
      <c r="B39" t="s">
        <v>189</v>
      </c>
      <c r="C39" t="s">
        <v>190</v>
      </c>
      <c r="D39" s="16">
        <v>40906</v>
      </c>
      <c r="E39" s="15">
        <f>('Data Tables'!$E$15-D39)/365</f>
        <v>6.0109589041095894</v>
      </c>
      <c r="F39" s="16">
        <v>19453</v>
      </c>
      <c r="G39">
        <f>DATEDIF(F39,'Data Tables'!$E$17,"Y")</f>
        <v>63</v>
      </c>
      <c r="H39" t="s">
        <v>211</v>
      </c>
      <c r="I39" t="s">
        <v>1</v>
      </c>
      <c r="J39" s="17">
        <v>75037</v>
      </c>
      <c r="K39" t="str">
        <f>IF(MONTH(F39)='Data Tables'!$E$16,"Yes","")</f>
        <v>Yes</v>
      </c>
      <c r="L39" t="str">
        <f t="shared" si="1"/>
        <v/>
      </c>
      <c r="M39" s="52">
        <f>IF(OR(EmployeeTbl[Store]="Bonham",EmployeeTbl[Store]="Graham"),EmployeeTbl[Current Salary]*0.035,EmployeeTbl[Current Salary]*0.025)</f>
        <v>1875.9250000000002</v>
      </c>
      <c r="N39" s="54">
        <f>IF(EmployeeTbl[Years of Service]&gt;=10,'Data Tables'!$B$19,IF(EmployeeTbl[Years of Service]&gt;=5,'Data Tables'!$B$18, 'Data Tables'!$B$17))</f>
        <v>250</v>
      </c>
      <c r="O39" t="str">
        <f>VLOOKUP(EmployeeTbl[Years of Service],Name_Badge,2)</f>
        <v>Purple</v>
      </c>
    </row>
    <row r="40" spans="1:15" x14ac:dyDescent="0.25">
      <c r="A40">
        <v>1354</v>
      </c>
      <c r="B40" t="s">
        <v>191</v>
      </c>
      <c r="C40" t="s">
        <v>192</v>
      </c>
      <c r="D40" s="16">
        <v>42441</v>
      </c>
      <c r="E40" s="15">
        <f>('Data Tables'!$E$15-D40)/365</f>
        <v>1.8054794520547945</v>
      </c>
      <c r="F40" s="16">
        <v>28934</v>
      </c>
      <c r="G40">
        <f>DATEDIF(F40,'Data Tables'!$E$17,"Y")</f>
        <v>37</v>
      </c>
      <c r="H40" t="s">
        <v>211</v>
      </c>
      <c r="I40" t="s">
        <v>1</v>
      </c>
      <c r="J40" s="17">
        <v>53826</v>
      </c>
      <c r="K40" t="str">
        <f>IF(MONTH(F40)='Data Tables'!$E$16,"Yes","")</f>
        <v/>
      </c>
      <c r="L40" t="str">
        <f t="shared" si="1"/>
        <v/>
      </c>
      <c r="M40" s="52">
        <f>IF(OR(EmployeeTbl[Store]="Bonham",EmployeeTbl[Store]="Graham"),EmployeeTbl[Current Salary]*0.035,EmployeeTbl[Current Salary]*0.025)</f>
        <v>1345.65</v>
      </c>
      <c r="N40" s="54">
        <f>IF(EmployeeTbl[Years of Service]&gt;=10,'Data Tables'!$B$19,IF(EmployeeTbl[Years of Service]&gt;=5,'Data Tables'!$B$18, 'Data Tables'!$B$17))</f>
        <v>100</v>
      </c>
      <c r="O40" t="str">
        <f>VLOOKUP(EmployeeTbl[Years of Service],Name_Badge,2)</f>
        <v>Blue</v>
      </c>
    </row>
    <row r="41" spans="1:15" x14ac:dyDescent="0.25">
      <c r="A41">
        <v>1358</v>
      </c>
      <c r="B41" t="s">
        <v>193</v>
      </c>
      <c r="C41" t="s">
        <v>194</v>
      </c>
      <c r="D41" s="16">
        <v>42162</v>
      </c>
      <c r="E41" s="15">
        <f>('Data Tables'!$E$15-D41)/365</f>
        <v>2.56986301369863</v>
      </c>
      <c r="F41" s="16">
        <v>27888</v>
      </c>
      <c r="G41">
        <f>DATEDIF(F41,'Data Tables'!$E$17,"Y")</f>
        <v>40</v>
      </c>
      <c r="H41" t="s">
        <v>211</v>
      </c>
      <c r="I41" t="s">
        <v>1</v>
      </c>
      <c r="J41" s="17">
        <v>38083</v>
      </c>
      <c r="K41" t="str">
        <f>IF(MONTH(F41)='Data Tables'!$E$16,"Yes","")</f>
        <v/>
      </c>
      <c r="L41" t="str">
        <f t="shared" si="1"/>
        <v/>
      </c>
      <c r="M41" s="52">
        <f>IF(OR(EmployeeTbl[Store]="Bonham",EmployeeTbl[Store]="Graham"),EmployeeTbl[Current Salary]*0.035,EmployeeTbl[Current Salary]*0.025)</f>
        <v>952.07500000000005</v>
      </c>
      <c r="N41" s="54">
        <f>IF(EmployeeTbl[Years of Service]&gt;=10,'Data Tables'!$B$19,IF(EmployeeTbl[Years of Service]&gt;=5,'Data Tables'!$B$18, 'Data Tables'!$B$17))</f>
        <v>100</v>
      </c>
      <c r="O41" t="str">
        <f>VLOOKUP(EmployeeTbl[Years of Service],Name_Badge,2)</f>
        <v>Blue</v>
      </c>
    </row>
    <row r="42" spans="1:15" x14ac:dyDescent="0.25">
      <c r="A42">
        <v>1362</v>
      </c>
      <c r="B42" t="s">
        <v>195</v>
      </c>
      <c r="C42" t="s">
        <v>196</v>
      </c>
      <c r="D42" s="16">
        <v>42391</v>
      </c>
      <c r="E42" s="15">
        <f>('Data Tables'!$E$15-D42)/365</f>
        <v>1.9424657534246574</v>
      </c>
      <c r="F42" s="16">
        <v>33330</v>
      </c>
      <c r="G42">
        <f>DATEDIF(F42,'Data Tables'!$E$17,"Y")</f>
        <v>25</v>
      </c>
      <c r="H42" t="s">
        <v>212</v>
      </c>
      <c r="I42" t="s">
        <v>1</v>
      </c>
      <c r="J42" s="17">
        <v>54945</v>
      </c>
      <c r="K42" t="str">
        <f>IF(MONTH(F42)='Data Tables'!$E$16,"Yes","")</f>
        <v>Yes</v>
      </c>
      <c r="L42" t="str">
        <f t="shared" si="1"/>
        <v/>
      </c>
      <c r="M42" s="52">
        <f>IF(OR(EmployeeTbl[Store]="Bonham",EmployeeTbl[Store]="Graham"),EmployeeTbl[Current Salary]*0.035,EmployeeTbl[Current Salary]*0.025)</f>
        <v>1373.625</v>
      </c>
      <c r="N42" s="54">
        <f>IF(EmployeeTbl[Years of Service]&gt;=10,'Data Tables'!$B$19,IF(EmployeeTbl[Years of Service]&gt;=5,'Data Tables'!$B$18, 'Data Tables'!$B$17))</f>
        <v>100</v>
      </c>
      <c r="O42" t="str">
        <f>VLOOKUP(EmployeeTbl[Years of Service],Name_Badge,2)</f>
        <v>Blue</v>
      </c>
    </row>
    <row r="43" spans="1:15" x14ac:dyDescent="0.25">
      <c r="A43">
        <v>1366</v>
      </c>
      <c r="B43" t="s">
        <v>197</v>
      </c>
      <c r="C43" t="s">
        <v>198</v>
      </c>
      <c r="D43" s="16">
        <v>42307</v>
      </c>
      <c r="E43" s="15">
        <f>('Data Tables'!$E$15-D43)/365</f>
        <v>2.1726027397260275</v>
      </c>
      <c r="F43" s="16">
        <v>20572</v>
      </c>
      <c r="G43">
        <f>DATEDIF(F43,'Data Tables'!$E$17,"Y")</f>
        <v>60</v>
      </c>
      <c r="H43" t="s">
        <v>213</v>
      </c>
      <c r="I43" t="s">
        <v>1</v>
      </c>
      <c r="J43" s="17">
        <v>104494</v>
      </c>
      <c r="K43" t="str">
        <f>IF(MONTH(F43)='Data Tables'!$E$16,"Yes","")</f>
        <v>Yes</v>
      </c>
      <c r="L43" t="str">
        <f t="shared" si="1"/>
        <v/>
      </c>
      <c r="M43" s="52">
        <f>IF(OR(EmployeeTbl[Store]="Bonham",EmployeeTbl[Store]="Graham"),EmployeeTbl[Current Salary]*0.035,EmployeeTbl[Current Salary]*0.025)</f>
        <v>3657.2900000000004</v>
      </c>
      <c r="N43" s="54">
        <f>IF(EmployeeTbl[Years of Service]&gt;=10,'Data Tables'!$B$19,IF(EmployeeTbl[Years of Service]&gt;=5,'Data Tables'!$B$18, 'Data Tables'!$B$17))</f>
        <v>100</v>
      </c>
      <c r="O43" t="str">
        <f>VLOOKUP(EmployeeTbl[Years of Service],Name_Badge,2)</f>
        <v>Blue</v>
      </c>
    </row>
    <row r="44" spans="1:15" x14ac:dyDescent="0.25">
      <c r="A44">
        <v>1370</v>
      </c>
      <c r="B44" t="s">
        <v>199</v>
      </c>
      <c r="C44" t="s">
        <v>200</v>
      </c>
      <c r="D44" s="16">
        <v>42251</v>
      </c>
      <c r="E44" s="15">
        <f>('Data Tables'!$E$15-D44)/365</f>
        <v>2.3260273972602739</v>
      </c>
      <c r="F44" s="16">
        <v>27340</v>
      </c>
      <c r="G44">
        <f>DATEDIF(F44,'Data Tables'!$E$17,"Y")</f>
        <v>42</v>
      </c>
      <c r="H44" t="s">
        <v>212</v>
      </c>
      <c r="I44" t="s">
        <v>1</v>
      </c>
      <c r="J44" s="17">
        <v>71446</v>
      </c>
      <c r="K44" t="str">
        <f>IF(MONTH(F44)='Data Tables'!$E$16,"Yes","")</f>
        <v/>
      </c>
      <c r="L44" t="str">
        <f t="shared" si="1"/>
        <v/>
      </c>
      <c r="M44" s="52">
        <f>IF(OR(EmployeeTbl[Store]="Bonham",EmployeeTbl[Store]="Graham"),EmployeeTbl[Current Salary]*0.035,EmployeeTbl[Current Salary]*0.025)</f>
        <v>1786.15</v>
      </c>
      <c r="N44" s="54">
        <f>IF(EmployeeTbl[Years of Service]&gt;=10,'Data Tables'!$B$19,IF(EmployeeTbl[Years of Service]&gt;=5,'Data Tables'!$B$18, 'Data Tables'!$B$17))</f>
        <v>100</v>
      </c>
      <c r="O44" t="str">
        <f>VLOOKUP(EmployeeTbl[Years of Service],Name_Badge,2)</f>
        <v>Blue</v>
      </c>
    </row>
    <row r="45" spans="1:15" x14ac:dyDescent="0.25">
      <c r="A45">
        <v>1374</v>
      </c>
      <c r="B45" t="s">
        <v>201</v>
      </c>
      <c r="C45" t="s">
        <v>202</v>
      </c>
      <c r="D45" s="16">
        <v>41559</v>
      </c>
      <c r="E45" s="15">
        <f>('Data Tables'!$E$15-D45)/365</f>
        <v>4.2219178082191782</v>
      </c>
      <c r="F45" s="16">
        <v>25585</v>
      </c>
      <c r="G45">
        <f>DATEDIF(F45,'Data Tables'!$E$17,"Y")</f>
        <v>46</v>
      </c>
      <c r="H45" t="s">
        <v>213</v>
      </c>
      <c r="I45" t="s">
        <v>2</v>
      </c>
      <c r="J45" s="17">
        <v>49598</v>
      </c>
      <c r="K45" t="str">
        <f>IF(MONTH(F45)='Data Tables'!$E$16,"Yes","")</f>
        <v/>
      </c>
      <c r="L45" t="str">
        <f t="shared" si="1"/>
        <v>Yes</v>
      </c>
      <c r="M45" s="52">
        <f>IF(OR(EmployeeTbl[Store]="Bonham",EmployeeTbl[Store]="Graham"),EmployeeTbl[Current Salary]*0.035,EmployeeTbl[Current Salary]*0.025)</f>
        <v>1735.93</v>
      </c>
      <c r="N45" s="54">
        <f>IF(EmployeeTbl[Years of Service]&gt;=10,'Data Tables'!$B$19,IF(EmployeeTbl[Years of Service]&gt;=5,'Data Tables'!$B$18, 'Data Tables'!$B$17))</f>
        <v>100</v>
      </c>
      <c r="O45" t="str">
        <f>VLOOKUP(EmployeeTbl[Years of Service],Name_Badge,2)</f>
        <v>Purple</v>
      </c>
    </row>
    <row r="46" spans="1:15" x14ac:dyDescent="0.25">
      <c r="A46">
        <v>1378</v>
      </c>
      <c r="B46" t="s">
        <v>203</v>
      </c>
      <c r="C46" t="s">
        <v>133</v>
      </c>
      <c r="D46" s="16">
        <v>40221</v>
      </c>
      <c r="E46" s="15">
        <f>('Data Tables'!$E$15-D46)/365</f>
        <v>7.8876712328767127</v>
      </c>
      <c r="F46" s="16">
        <v>27222</v>
      </c>
      <c r="G46">
        <f>DATEDIF(F46,'Data Tables'!$E$17,"Y")</f>
        <v>42</v>
      </c>
      <c r="H46" t="s">
        <v>213</v>
      </c>
      <c r="I46" t="s">
        <v>1</v>
      </c>
      <c r="J46" s="17">
        <v>42664</v>
      </c>
      <c r="K46" t="str">
        <f>IF(MONTH(F46)='Data Tables'!$E$16,"Yes","")</f>
        <v/>
      </c>
      <c r="L46" t="str">
        <f t="shared" si="1"/>
        <v/>
      </c>
      <c r="M46" s="52">
        <f>IF(OR(EmployeeTbl[Store]="Bonham",EmployeeTbl[Store]="Graham"),EmployeeTbl[Current Salary]*0.035,EmployeeTbl[Current Salary]*0.025)</f>
        <v>1493.2400000000002</v>
      </c>
      <c r="N46" s="54">
        <f>IF(EmployeeTbl[Years of Service]&gt;=10,'Data Tables'!$B$19,IF(EmployeeTbl[Years of Service]&gt;=5,'Data Tables'!$B$18, 'Data Tables'!$B$17))</f>
        <v>250</v>
      </c>
      <c r="O46" t="str">
        <f>VLOOKUP(EmployeeTbl[Years of Service],Name_Badge,2)</f>
        <v>Silver</v>
      </c>
    </row>
    <row r="47" spans="1:15" x14ac:dyDescent="0.25">
      <c r="A47">
        <v>1382</v>
      </c>
      <c r="B47" t="s">
        <v>204</v>
      </c>
      <c r="C47" t="s">
        <v>133</v>
      </c>
      <c r="D47" s="16">
        <v>40740</v>
      </c>
      <c r="E47" s="15">
        <f>('Data Tables'!$E$15-D47)/365</f>
        <v>6.4657534246575343</v>
      </c>
      <c r="F47" s="16">
        <v>25730</v>
      </c>
      <c r="G47">
        <f>DATEDIF(F47,'Data Tables'!$E$17,"Y")</f>
        <v>46</v>
      </c>
      <c r="H47" t="s">
        <v>211</v>
      </c>
      <c r="I47" t="s">
        <v>1</v>
      </c>
      <c r="J47" s="17">
        <v>55551</v>
      </c>
      <c r="K47" t="str">
        <f>IF(MONTH(F47)='Data Tables'!$E$16,"Yes","")</f>
        <v/>
      </c>
      <c r="L47" t="str">
        <f t="shared" si="1"/>
        <v/>
      </c>
      <c r="M47" s="52">
        <f>IF(OR(EmployeeTbl[Store]="Bonham",EmployeeTbl[Store]="Graham"),EmployeeTbl[Current Salary]*0.035,EmployeeTbl[Current Salary]*0.025)</f>
        <v>1388.7750000000001</v>
      </c>
      <c r="N47" s="54">
        <f>IF(EmployeeTbl[Years of Service]&gt;=10,'Data Tables'!$B$19,IF(EmployeeTbl[Years of Service]&gt;=5,'Data Tables'!$B$18, 'Data Tables'!$B$17))</f>
        <v>250</v>
      </c>
      <c r="O47" t="str">
        <f>VLOOKUP(EmployeeTbl[Years of Service],Name_Badge,2)</f>
        <v>Purple</v>
      </c>
    </row>
    <row r="48" spans="1:15" x14ac:dyDescent="0.25">
      <c r="A48">
        <v>1386</v>
      </c>
      <c r="B48" t="s">
        <v>205</v>
      </c>
      <c r="C48" t="s">
        <v>219</v>
      </c>
      <c r="D48" s="16">
        <v>42279</v>
      </c>
      <c r="E48" s="15">
        <f>('Data Tables'!$E$15-D48)/365</f>
        <v>2.2493150684931509</v>
      </c>
      <c r="F48" s="16">
        <v>24999</v>
      </c>
      <c r="G48">
        <f>DATEDIF(F48,'Data Tables'!$E$17,"Y")</f>
        <v>48</v>
      </c>
      <c r="H48" t="s">
        <v>212</v>
      </c>
      <c r="I48" t="s">
        <v>1</v>
      </c>
      <c r="J48" s="17">
        <v>125235</v>
      </c>
      <c r="K48" t="str">
        <f>IF(MONTH(F48)='Data Tables'!$E$16,"Yes","")</f>
        <v/>
      </c>
      <c r="L48" t="str">
        <f t="shared" si="1"/>
        <v/>
      </c>
      <c r="M48" s="52">
        <f>IF(OR(EmployeeTbl[Store]="Bonham",EmployeeTbl[Store]="Graham"),EmployeeTbl[Current Salary]*0.035,EmployeeTbl[Current Salary]*0.025)</f>
        <v>3130.875</v>
      </c>
      <c r="N48" s="54">
        <f>IF(EmployeeTbl[Years of Service]&gt;=10,'Data Tables'!$B$19,IF(EmployeeTbl[Years of Service]&gt;=5,'Data Tables'!$B$18, 'Data Tables'!$B$17))</f>
        <v>100</v>
      </c>
      <c r="O48" t="str">
        <f>VLOOKUP(EmployeeTbl[Years of Service],Name_Badge,2)</f>
        <v>Blue</v>
      </c>
    </row>
    <row r="49" spans="1:15" x14ac:dyDescent="0.25">
      <c r="A49">
        <v>1390</v>
      </c>
      <c r="B49" t="s">
        <v>206</v>
      </c>
      <c r="C49" t="s">
        <v>133</v>
      </c>
      <c r="D49" s="16">
        <v>39492</v>
      </c>
      <c r="E49" s="15">
        <f>('Data Tables'!$E$15-D49)/365</f>
        <v>9.8849315068493144</v>
      </c>
      <c r="F49" s="16">
        <v>19419</v>
      </c>
      <c r="G49">
        <f>DATEDIF(F49,'Data Tables'!$E$17,"Y")</f>
        <v>63</v>
      </c>
      <c r="H49" t="s">
        <v>211</v>
      </c>
      <c r="I49" t="s">
        <v>1</v>
      </c>
      <c r="J49" s="17">
        <v>51065</v>
      </c>
      <c r="K49" t="str">
        <f>IF(MONTH(F49)='Data Tables'!$E$16,"Yes","")</f>
        <v/>
      </c>
      <c r="L49" t="str">
        <f t="shared" si="1"/>
        <v/>
      </c>
      <c r="M49" s="52">
        <f>IF(OR(EmployeeTbl[Store]="Bonham",EmployeeTbl[Store]="Graham"),EmployeeTbl[Current Salary]*0.035,EmployeeTbl[Current Salary]*0.025)</f>
        <v>1276.625</v>
      </c>
      <c r="N49" s="54">
        <f>IF(EmployeeTbl[Years of Service]&gt;=10,'Data Tables'!$B$19,IF(EmployeeTbl[Years of Service]&gt;=5,'Data Tables'!$B$18, 'Data Tables'!$B$17))</f>
        <v>250</v>
      </c>
      <c r="O49" t="str">
        <f>VLOOKUP(EmployeeTbl[Years of Service],Name_Badge,2)</f>
        <v>Silver</v>
      </c>
    </row>
    <row r="50" spans="1:15" x14ac:dyDescent="0.25">
      <c r="A50">
        <v>1394</v>
      </c>
      <c r="B50" t="s">
        <v>207</v>
      </c>
      <c r="C50" t="s">
        <v>208</v>
      </c>
      <c r="D50" s="16">
        <v>38223</v>
      </c>
      <c r="E50" s="15">
        <f>('Data Tables'!$E$15-D50)/365</f>
        <v>13.361643835616439</v>
      </c>
      <c r="F50" s="16">
        <v>24330</v>
      </c>
      <c r="G50">
        <f>DATEDIF(F50,'Data Tables'!$E$17,"Y")</f>
        <v>50</v>
      </c>
      <c r="H50" t="s">
        <v>213</v>
      </c>
      <c r="I50" t="s">
        <v>1</v>
      </c>
      <c r="J50" s="17">
        <v>53186</v>
      </c>
      <c r="K50" t="str">
        <f>IF(MONTH(F50)='Data Tables'!$E$16,"Yes","")</f>
        <v/>
      </c>
      <c r="L50" t="str">
        <f t="shared" si="1"/>
        <v/>
      </c>
      <c r="M50" s="52">
        <f>IF(OR(EmployeeTbl[Store]="Bonham",EmployeeTbl[Store]="Graham"),EmployeeTbl[Current Salary]*0.035,EmployeeTbl[Current Salary]*0.025)</f>
        <v>1861.5100000000002</v>
      </c>
      <c r="N50" s="54">
        <f>IF(EmployeeTbl[Years of Service]&gt;=10,'Data Tables'!$B$19,IF(EmployeeTbl[Years of Service]&gt;=5,'Data Tables'!$B$18, 'Data Tables'!$B$17))</f>
        <v>750</v>
      </c>
      <c r="O50" t="str">
        <f>VLOOKUP(EmployeeTbl[Years of Service],Name_Badge,2)</f>
        <v>Gold</v>
      </c>
    </row>
    <row r="51" spans="1:15" x14ac:dyDescent="0.25">
      <c r="A51">
        <v>1398</v>
      </c>
      <c r="B51" t="s">
        <v>209</v>
      </c>
      <c r="C51" t="s">
        <v>210</v>
      </c>
      <c r="D51" s="16">
        <v>42174</v>
      </c>
      <c r="E51" s="15">
        <f>('Data Tables'!$E$15-D51)/365</f>
        <v>2.536986301369863</v>
      </c>
      <c r="F51" s="16">
        <v>23340</v>
      </c>
      <c r="G51">
        <f>DATEDIF(F51,'Data Tables'!$E$17,"Y")</f>
        <v>53</v>
      </c>
      <c r="H51" t="s">
        <v>213</v>
      </c>
      <c r="I51" t="s">
        <v>1</v>
      </c>
      <c r="J51" s="17">
        <v>63491</v>
      </c>
      <c r="K51" t="str">
        <f>IF(MONTH(F51)='Data Tables'!$E$16,"Yes","")</f>
        <v/>
      </c>
      <c r="L51" t="str">
        <f t="shared" si="1"/>
        <v/>
      </c>
      <c r="M51" s="52">
        <f>IF(OR(EmployeeTbl[Store]="Bonham",EmployeeTbl[Store]="Graham"),EmployeeTbl[Current Salary]*0.035,EmployeeTbl[Current Salary]*0.025)</f>
        <v>2222.1850000000004</v>
      </c>
      <c r="N51" s="54">
        <f>IF(EmployeeTbl[Years of Service]&gt;=10,'Data Tables'!$B$19,IF(EmployeeTbl[Years of Service]&gt;=5,'Data Tables'!$B$18, 'Data Tables'!$B$17))</f>
        <v>100</v>
      </c>
      <c r="O51" t="str">
        <f>VLOOKUP(EmployeeTbl[Years of Service],Name_Badge,2)</f>
        <v>Blue</v>
      </c>
    </row>
    <row r="52" spans="1:15" x14ac:dyDescent="0.25">
      <c r="A52">
        <v>2002</v>
      </c>
      <c r="B52" t="s">
        <v>38</v>
      </c>
      <c r="C52" t="s">
        <v>39</v>
      </c>
      <c r="D52" s="16">
        <v>40322</v>
      </c>
      <c r="E52" s="15">
        <f>('Data Tables'!$E$15-D52)/365</f>
        <v>7.6109589041095891</v>
      </c>
      <c r="F52" s="16">
        <v>24356</v>
      </c>
      <c r="G52">
        <f>DATEDIF(F52,'Data Tables'!$E$17,"Y")</f>
        <v>50</v>
      </c>
      <c r="H52" t="s">
        <v>213</v>
      </c>
      <c r="I52" t="s">
        <v>1</v>
      </c>
      <c r="J52" s="17">
        <v>108705</v>
      </c>
      <c r="K52" t="str">
        <f>IF(MONTH(F52)='Data Tables'!$E$16,"Yes","")</f>
        <v/>
      </c>
      <c r="L52" t="str">
        <f t="shared" si="1"/>
        <v/>
      </c>
      <c r="M52" s="52">
        <f>IF(OR(EmployeeTbl[Store]="Bonham",EmployeeTbl[Store]="Graham"),EmployeeTbl[Current Salary]*0.035,EmployeeTbl[Current Salary]*0.025)</f>
        <v>3804.6750000000002</v>
      </c>
      <c r="N52" s="54">
        <f>IF(EmployeeTbl[Years of Service]&gt;=10,'Data Tables'!$B$19,IF(EmployeeTbl[Years of Service]&gt;=5,'Data Tables'!$B$18, 'Data Tables'!$B$17))</f>
        <v>250</v>
      </c>
      <c r="O52" t="str">
        <f>VLOOKUP(EmployeeTbl[Years of Service],Name_Badge,2)</f>
        <v>Silver</v>
      </c>
    </row>
    <row r="53" spans="1:15" x14ac:dyDescent="0.25">
      <c r="A53">
        <v>2006</v>
      </c>
      <c r="B53" t="s">
        <v>40</v>
      </c>
      <c r="C53" t="s">
        <v>41</v>
      </c>
      <c r="D53" s="16">
        <v>41879</v>
      </c>
      <c r="E53" s="15">
        <f>('Data Tables'!$E$15-D53)/365</f>
        <v>3.3452054794520549</v>
      </c>
      <c r="F53" s="16">
        <v>31396</v>
      </c>
      <c r="G53">
        <f>DATEDIF(F53,'Data Tables'!$E$17,"Y")</f>
        <v>31</v>
      </c>
      <c r="H53" t="s">
        <v>214</v>
      </c>
      <c r="I53" t="s">
        <v>1</v>
      </c>
      <c r="J53" s="17">
        <v>75818</v>
      </c>
      <c r="K53" t="str">
        <f>IF(MONTH(F53)='Data Tables'!$E$16,"Yes","")</f>
        <v/>
      </c>
      <c r="L53" t="str">
        <f t="shared" si="1"/>
        <v/>
      </c>
      <c r="M53" s="52">
        <f>IF(OR(EmployeeTbl[Store]="Bonham",EmployeeTbl[Store]="Graham"),EmployeeTbl[Current Salary]*0.035,EmployeeTbl[Current Salary]*0.025)</f>
        <v>2653.63</v>
      </c>
      <c r="N53" s="54">
        <f>IF(EmployeeTbl[Years of Service]&gt;=10,'Data Tables'!$B$19,IF(EmployeeTbl[Years of Service]&gt;=5,'Data Tables'!$B$18, 'Data Tables'!$B$17))</f>
        <v>100</v>
      </c>
      <c r="O53" t="str">
        <f>VLOOKUP(EmployeeTbl[Years of Service],Name_Badge,2)</f>
        <v>Blue</v>
      </c>
    </row>
    <row r="54" spans="1:15" x14ac:dyDescent="0.25">
      <c r="A54">
        <v>2010</v>
      </c>
      <c r="B54" t="s">
        <v>42</v>
      </c>
      <c r="C54" t="s">
        <v>43</v>
      </c>
      <c r="D54" s="16">
        <v>42118</v>
      </c>
      <c r="E54" s="15">
        <f>('Data Tables'!$E$15-D54)/365</f>
        <v>2.6904109589041094</v>
      </c>
      <c r="F54" s="16">
        <v>25105</v>
      </c>
      <c r="G54">
        <f>DATEDIF(F54,'Data Tables'!$E$17,"Y")</f>
        <v>48</v>
      </c>
      <c r="H54" t="s">
        <v>214</v>
      </c>
      <c r="I54" t="s">
        <v>1</v>
      </c>
      <c r="J54" s="17">
        <v>46142</v>
      </c>
      <c r="K54" t="str">
        <f>IF(MONTH(F54)='Data Tables'!$E$16,"Yes","")</f>
        <v/>
      </c>
      <c r="L54" t="str">
        <f t="shared" si="1"/>
        <v/>
      </c>
      <c r="M54" s="52">
        <f>IF(OR(EmployeeTbl[Store]="Bonham",EmployeeTbl[Store]="Graham"),EmployeeTbl[Current Salary]*0.035,EmployeeTbl[Current Salary]*0.025)</f>
        <v>1614.9700000000003</v>
      </c>
      <c r="N54" s="54">
        <f>IF(EmployeeTbl[Years of Service]&gt;=10,'Data Tables'!$B$19,IF(EmployeeTbl[Years of Service]&gt;=5,'Data Tables'!$B$18, 'Data Tables'!$B$17))</f>
        <v>100</v>
      </c>
      <c r="O54" t="str">
        <f>VLOOKUP(EmployeeTbl[Years of Service],Name_Badge,2)</f>
        <v>Blue</v>
      </c>
    </row>
    <row r="55" spans="1:15" x14ac:dyDescent="0.25">
      <c r="A55">
        <v>2014</v>
      </c>
      <c r="B55" t="s">
        <v>44</v>
      </c>
      <c r="C55" t="s">
        <v>45</v>
      </c>
      <c r="D55" s="16">
        <v>41838</v>
      </c>
      <c r="E55" s="15">
        <f>('Data Tables'!$E$15-D55)/365</f>
        <v>3.4575342465753423</v>
      </c>
      <c r="F55" s="16">
        <v>21771</v>
      </c>
      <c r="G55">
        <f>DATEDIF(F55,'Data Tables'!$E$17,"Y")</f>
        <v>57</v>
      </c>
      <c r="H55" t="s">
        <v>213</v>
      </c>
      <c r="I55" t="s">
        <v>1</v>
      </c>
      <c r="J55" s="17">
        <v>84036</v>
      </c>
      <c r="K55" t="str">
        <f>IF(MONTH(F55)='Data Tables'!$E$16,"Yes","")</f>
        <v/>
      </c>
      <c r="L55" t="str">
        <f t="shared" si="1"/>
        <v/>
      </c>
      <c r="M55" s="52">
        <f>IF(OR(EmployeeTbl[Store]="Bonham",EmployeeTbl[Store]="Graham"),EmployeeTbl[Current Salary]*0.035,EmployeeTbl[Current Salary]*0.025)</f>
        <v>2941.26</v>
      </c>
      <c r="N55" s="54">
        <f>IF(EmployeeTbl[Years of Service]&gt;=10,'Data Tables'!$B$19,IF(EmployeeTbl[Years of Service]&gt;=5,'Data Tables'!$B$18, 'Data Tables'!$B$17))</f>
        <v>100</v>
      </c>
      <c r="O55" t="str">
        <f>VLOOKUP(EmployeeTbl[Years of Service],Name_Badge,2)</f>
        <v>Blue</v>
      </c>
    </row>
    <row r="56" spans="1:15" x14ac:dyDescent="0.25">
      <c r="A56">
        <v>2018</v>
      </c>
      <c r="B56" t="s">
        <v>46</v>
      </c>
      <c r="C56" t="s">
        <v>47</v>
      </c>
      <c r="D56" s="16">
        <v>42237</v>
      </c>
      <c r="E56" s="15">
        <f>('Data Tables'!$E$15-D56)/365</f>
        <v>2.3643835616438356</v>
      </c>
      <c r="F56" s="16">
        <v>18459</v>
      </c>
      <c r="G56">
        <f>DATEDIF(F56,'Data Tables'!$E$17,"Y")</f>
        <v>66</v>
      </c>
      <c r="H56" t="s">
        <v>213</v>
      </c>
      <c r="I56" t="s">
        <v>1</v>
      </c>
      <c r="J56" s="17">
        <v>68470</v>
      </c>
      <c r="K56" t="str">
        <f>IF(MONTH(F56)='Data Tables'!$E$16,"Yes","")</f>
        <v/>
      </c>
      <c r="L56" t="str">
        <f t="shared" si="1"/>
        <v/>
      </c>
      <c r="M56" s="52">
        <f>IF(OR(EmployeeTbl[Store]="Bonham",EmployeeTbl[Store]="Graham"),EmployeeTbl[Current Salary]*0.035,EmployeeTbl[Current Salary]*0.025)</f>
        <v>2396.4500000000003</v>
      </c>
      <c r="N56" s="54">
        <f>IF(EmployeeTbl[Years of Service]&gt;=10,'Data Tables'!$B$19,IF(EmployeeTbl[Years of Service]&gt;=5,'Data Tables'!$B$18, 'Data Tables'!$B$17))</f>
        <v>100</v>
      </c>
      <c r="O56" t="str">
        <f>VLOOKUP(EmployeeTbl[Years of Service],Name_Badge,2)</f>
        <v>Blue</v>
      </c>
    </row>
    <row r="57" spans="1:15" x14ac:dyDescent="0.25">
      <c r="A57">
        <v>2022</v>
      </c>
      <c r="B57" t="s">
        <v>4</v>
      </c>
      <c r="C57" t="s">
        <v>48</v>
      </c>
      <c r="D57" s="16">
        <v>42068</v>
      </c>
      <c r="E57" s="15">
        <f>('Data Tables'!$E$15-D57)/365</f>
        <v>2.8273972602739725</v>
      </c>
      <c r="F57" s="16">
        <v>21307</v>
      </c>
      <c r="G57">
        <f>DATEDIF(F57,'Data Tables'!$E$17,"Y")</f>
        <v>58</v>
      </c>
      <c r="H57" t="s">
        <v>214</v>
      </c>
      <c r="I57" t="s">
        <v>1</v>
      </c>
      <c r="J57" s="17">
        <v>93248</v>
      </c>
      <c r="K57" t="str">
        <f>IF(MONTH(F57)='Data Tables'!$E$16,"Yes","")</f>
        <v/>
      </c>
      <c r="L57" t="str">
        <f t="shared" si="1"/>
        <v/>
      </c>
      <c r="M57" s="52">
        <f>IF(OR(EmployeeTbl[Store]="Bonham",EmployeeTbl[Store]="Graham"),EmployeeTbl[Current Salary]*0.035,EmployeeTbl[Current Salary]*0.025)</f>
        <v>3263.6800000000003</v>
      </c>
      <c r="N57" s="54">
        <f>IF(EmployeeTbl[Years of Service]&gt;=10,'Data Tables'!$B$19,IF(EmployeeTbl[Years of Service]&gt;=5,'Data Tables'!$B$18, 'Data Tables'!$B$17))</f>
        <v>100</v>
      </c>
      <c r="O57" t="str">
        <f>VLOOKUP(EmployeeTbl[Years of Service],Name_Badge,2)</f>
        <v>Blue</v>
      </c>
    </row>
    <row r="58" spans="1:15" x14ac:dyDescent="0.25">
      <c r="A58">
        <v>2026</v>
      </c>
      <c r="B58" t="s">
        <v>49</v>
      </c>
      <c r="C58" t="s">
        <v>50</v>
      </c>
      <c r="D58" s="16">
        <v>41334</v>
      </c>
      <c r="E58" s="15">
        <f>('Data Tables'!$E$15-D58)/365</f>
        <v>4.838356164383562</v>
      </c>
      <c r="F58" s="16">
        <v>28466</v>
      </c>
      <c r="G58">
        <f>DATEDIF(F58,'Data Tables'!$E$17,"Y")</f>
        <v>39</v>
      </c>
      <c r="H58" t="s">
        <v>214</v>
      </c>
      <c r="I58" t="s">
        <v>1</v>
      </c>
      <c r="J58" s="17">
        <v>101822</v>
      </c>
      <c r="K58" t="str">
        <f>IF(MONTH(F58)='Data Tables'!$E$16,"Yes","")</f>
        <v/>
      </c>
      <c r="L58" t="str">
        <f t="shared" si="1"/>
        <v/>
      </c>
      <c r="M58" s="52">
        <f>IF(OR(EmployeeTbl[Store]="Bonham",EmployeeTbl[Store]="Graham"),EmployeeTbl[Current Salary]*0.035,EmployeeTbl[Current Salary]*0.025)</f>
        <v>3563.7700000000004</v>
      </c>
      <c r="N58" s="54">
        <f>IF(EmployeeTbl[Years of Service]&gt;=10,'Data Tables'!$B$19,IF(EmployeeTbl[Years of Service]&gt;=5,'Data Tables'!$B$18, 'Data Tables'!$B$17))</f>
        <v>100</v>
      </c>
      <c r="O58" t="str">
        <f>VLOOKUP(EmployeeTbl[Years of Service],Name_Badge,2)</f>
        <v>Purple</v>
      </c>
    </row>
    <row r="59" spans="1:15" x14ac:dyDescent="0.25">
      <c r="A59">
        <v>2030</v>
      </c>
      <c r="B59" t="s">
        <v>51</v>
      </c>
      <c r="C59" t="s">
        <v>52</v>
      </c>
      <c r="D59" s="16">
        <v>42346</v>
      </c>
      <c r="E59" s="15">
        <f>('Data Tables'!$E$15-D59)/365</f>
        <v>2.0657534246575344</v>
      </c>
      <c r="F59" s="16">
        <v>22619</v>
      </c>
      <c r="G59">
        <f>DATEDIF(F59,'Data Tables'!$E$17,"Y")</f>
        <v>55</v>
      </c>
      <c r="H59" t="s">
        <v>213</v>
      </c>
      <c r="I59" t="s">
        <v>1</v>
      </c>
      <c r="J59" s="17">
        <v>38420</v>
      </c>
      <c r="K59" t="str">
        <f>IF(MONTH(F59)='Data Tables'!$E$16,"Yes","")</f>
        <v/>
      </c>
      <c r="L59" t="str">
        <f t="shared" si="1"/>
        <v/>
      </c>
      <c r="M59" s="52">
        <f>IF(OR(EmployeeTbl[Store]="Bonham",EmployeeTbl[Store]="Graham"),EmployeeTbl[Current Salary]*0.035,EmployeeTbl[Current Salary]*0.025)</f>
        <v>1344.7</v>
      </c>
      <c r="N59" s="54">
        <f>IF(EmployeeTbl[Years of Service]&gt;=10,'Data Tables'!$B$19,IF(EmployeeTbl[Years of Service]&gt;=5,'Data Tables'!$B$18, 'Data Tables'!$B$17))</f>
        <v>100</v>
      </c>
      <c r="O59" t="str">
        <f>VLOOKUP(EmployeeTbl[Years of Service],Name_Badge,2)</f>
        <v>Blue</v>
      </c>
    </row>
    <row r="60" spans="1:15" x14ac:dyDescent="0.25">
      <c r="A60">
        <v>2034</v>
      </c>
      <c r="B60" t="s">
        <v>53</v>
      </c>
      <c r="C60" t="s">
        <v>54</v>
      </c>
      <c r="D60" s="16">
        <v>40766</v>
      </c>
      <c r="E60" s="15">
        <f>('Data Tables'!$E$15-D60)/365</f>
        <v>6.3945205479452056</v>
      </c>
      <c r="F60" s="16">
        <v>21560</v>
      </c>
      <c r="G60">
        <f>DATEDIF(F60,'Data Tables'!$E$17,"Y")</f>
        <v>57</v>
      </c>
      <c r="H60" t="s">
        <v>213</v>
      </c>
      <c r="I60" t="s">
        <v>2</v>
      </c>
      <c r="J60" s="17">
        <v>53582</v>
      </c>
      <c r="K60" t="str">
        <f>IF(MONTH(F60)='Data Tables'!$E$16,"Yes","")</f>
        <v/>
      </c>
      <c r="L60" t="str">
        <f t="shared" si="1"/>
        <v>Yes</v>
      </c>
      <c r="M60" s="52">
        <f>IF(OR(EmployeeTbl[Store]="Bonham",EmployeeTbl[Store]="Graham"),EmployeeTbl[Current Salary]*0.035,EmployeeTbl[Current Salary]*0.025)</f>
        <v>1875.3700000000001</v>
      </c>
      <c r="N60" s="54">
        <f>IF(EmployeeTbl[Years of Service]&gt;=10,'Data Tables'!$B$19,IF(EmployeeTbl[Years of Service]&gt;=5,'Data Tables'!$B$18, 'Data Tables'!$B$17))</f>
        <v>250</v>
      </c>
      <c r="O60" t="str">
        <f>VLOOKUP(EmployeeTbl[Years of Service],Name_Badge,2)</f>
        <v>Purple</v>
      </c>
    </row>
    <row r="61" spans="1:15" x14ac:dyDescent="0.25">
      <c r="A61">
        <v>2038</v>
      </c>
      <c r="B61" t="s">
        <v>55</v>
      </c>
      <c r="C61" t="s">
        <v>56</v>
      </c>
      <c r="D61" s="16">
        <v>39976</v>
      </c>
      <c r="E61" s="15">
        <f>('Data Tables'!$E$15-D61)/365</f>
        <v>8.5589041095890419</v>
      </c>
      <c r="F61" s="16">
        <v>15371</v>
      </c>
      <c r="G61">
        <f>DATEDIF(F61,'Data Tables'!$E$17,"Y")</f>
        <v>74</v>
      </c>
      <c r="H61" t="s">
        <v>211</v>
      </c>
      <c r="I61" t="s">
        <v>1</v>
      </c>
      <c r="J61" s="17">
        <v>24373</v>
      </c>
      <c r="K61" t="str">
        <f>IF(MONTH(F61)='Data Tables'!$E$16,"Yes","")</f>
        <v/>
      </c>
      <c r="L61" t="str">
        <f t="shared" si="1"/>
        <v/>
      </c>
      <c r="M61" s="52">
        <f>IF(OR(EmployeeTbl[Store]="Bonham",EmployeeTbl[Store]="Graham"),EmployeeTbl[Current Salary]*0.035,EmployeeTbl[Current Salary]*0.025)</f>
        <v>609.32500000000005</v>
      </c>
      <c r="N61" s="54">
        <f>IF(EmployeeTbl[Years of Service]&gt;=10,'Data Tables'!$B$19,IF(EmployeeTbl[Years of Service]&gt;=5,'Data Tables'!$B$18, 'Data Tables'!$B$17))</f>
        <v>250</v>
      </c>
      <c r="O61" t="str">
        <f>VLOOKUP(EmployeeTbl[Years of Service],Name_Badge,2)</f>
        <v>Silver</v>
      </c>
    </row>
    <row r="62" spans="1:15" x14ac:dyDescent="0.25">
      <c r="A62">
        <v>2042</v>
      </c>
      <c r="B62" t="s">
        <v>57</v>
      </c>
      <c r="C62" t="s">
        <v>58</v>
      </c>
      <c r="D62" s="16">
        <v>41033</v>
      </c>
      <c r="E62" s="15">
        <f>('Data Tables'!$E$15-D62)/365</f>
        <v>5.6630136986301371</v>
      </c>
      <c r="F62" s="16">
        <v>32747</v>
      </c>
      <c r="G62">
        <f>DATEDIF(F62,'Data Tables'!$E$17,"Y")</f>
        <v>27</v>
      </c>
      <c r="H62" t="s">
        <v>211</v>
      </c>
      <c r="I62" t="s">
        <v>1</v>
      </c>
      <c r="J62" s="17">
        <v>65181</v>
      </c>
      <c r="K62" t="str">
        <f>IF(MONTH(F62)='Data Tables'!$E$16,"Yes","")</f>
        <v/>
      </c>
      <c r="L62" t="str">
        <f t="shared" si="1"/>
        <v/>
      </c>
      <c r="M62" s="52">
        <f>IF(OR(EmployeeTbl[Store]="Bonham",EmployeeTbl[Store]="Graham"),EmployeeTbl[Current Salary]*0.035,EmployeeTbl[Current Salary]*0.025)</f>
        <v>1629.5250000000001</v>
      </c>
      <c r="N62" s="54">
        <f>IF(EmployeeTbl[Years of Service]&gt;=10,'Data Tables'!$B$19,IF(EmployeeTbl[Years of Service]&gt;=5,'Data Tables'!$B$18, 'Data Tables'!$B$17))</f>
        <v>250</v>
      </c>
      <c r="O62" t="str">
        <f>VLOOKUP(EmployeeTbl[Years of Service],Name_Badge,2)</f>
        <v>Purple</v>
      </c>
    </row>
    <row r="63" spans="1:15" x14ac:dyDescent="0.25">
      <c r="A63">
        <v>2046</v>
      </c>
      <c r="B63" t="s">
        <v>59</v>
      </c>
      <c r="C63" t="s">
        <v>60</v>
      </c>
      <c r="D63" s="16">
        <v>42356</v>
      </c>
      <c r="E63" s="15">
        <f>('Data Tables'!$E$15-D63)/365</f>
        <v>2.0383561643835617</v>
      </c>
      <c r="F63" s="16">
        <v>24843</v>
      </c>
      <c r="G63">
        <f>DATEDIF(F63,'Data Tables'!$E$17,"Y")</f>
        <v>48</v>
      </c>
      <c r="H63" t="s">
        <v>212</v>
      </c>
      <c r="I63" t="s">
        <v>1</v>
      </c>
      <c r="J63" s="17">
        <v>71020</v>
      </c>
      <c r="K63" t="str">
        <f>IF(MONTH(F63)='Data Tables'!$E$16,"Yes","")</f>
        <v/>
      </c>
      <c r="L63" t="str">
        <f t="shared" si="1"/>
        <v/>
      </c>
      <c r="M63" s="52">
        <f>IF(OR(EmployeeTbl[Store]="Bonham",EmployeeTbl[Store]="Graham"),EmployeeTbl[Current Salary]*0.035,EmployeeTbl[Current Salary]*0.025)</f>
        <v>1775.5</v>
      </c>
      <c r="N63" s="54">
        <f>IF(EmployeeTbl[Years of Service]&gt;=10,'Data Tables'!$B$19,IF(EmployeeTbl[Years of Service]&gt;=5,'Data Tables'!$B$18, 'Data Tables'!$B$17))</f>
        <v>100</v>
      </c>
      <c r="O63" t="str">
        <f>VLOOKUP(EmployeeTbl[Years of Service],Name_Badge,2)</f>
        <v>Blue</v>
      </c>
    </row>
    <row r="64" spans="1:15" x14ac:dyDescent="0.25">
      <c r="A64">
        <v>2050</v>
      </c>
      <c r="B64" t="s">
        <v>61</v>
      </c>
      <c r="C64" t="s">
        <v>48</v>
      </c>
      <c r="D64" s="16">
        <v>40667</v>
      </c>
      <c r="E64" s="15">
        <f>('Data Tables'!$E$15-D64)/365</f>
        <v>6.6657534246575345</v>
      </c>
      <c r="F64" s="16">
        <v>21303</v>
      </c>
      <c r="G64">
        <f>DATEDIF(F64,'Data Tables'!$E$17,"Y")</f>
        <v>58</v>
      </c>
      <c r="H64" t="s">
        <v>211</v>
      </c>
      <c r="I64" t="s">
        <v>1</v>
      </c>
      <c r="J64" s="17">
        <v>60129</v>
      </c>
      <c r="K64" t="str">
        <f>IF(MONTH(F64)='Data Tables'!$E$16,"Yes","")</f>
        <v>Yes</v>
      </c>
      <c r="L64" t="str">
        <f t="shared" si="1"/>
        <v/>
      </c>
      <c r="M64" s="52">
        <f>IF(OR(EmployeeTbl[Store]="Bonham",EmployeeTbl[Store]="Graham"),EmployeeTbl[Current Salary]*0.035,EmployeeTbl[Current Salary]*0.025)</f>
        <v>1503.2250000000001</v>
      </c>
      <c r="N64" s="54">
        <f>IF(EmployeeTbl[Years of Service]&gt;=10,'Data Tables'!$B$19,IF(EmployeeTbl[Years of Service]&gt;=5,'Data Tables'!$B$18, 'Data Tables'!$B$17))</f>
        <v>250</v>
      </c>
      <c r="O64" t="str">
        <f>VLOOKUP(EmployeeTbl[Years of Service],Name_Badge,2)</f>
        <v>Purple</v>
      </c>
    </row>
    <row r="65" spans="1:15" x14ac:dyDescent="0.25">
      <c r="A65">
        <v>2054</v>
      </c>
      <c r="B65" t="s">
        <v>62</v>
      </c>
      <c r="C65" t="s">
        <v>48</v>
      </c>
      <c r="D65" s="16">
        <v>38317</v>
      </c>
      <c r="E65" s="15">
        <f>('Data Tables'!$E$15-D65)/365</f>
        <v>13.104109589041096</v>
      </c>
      <c r="F65" s="16">
        <v>26210</v>
      </c>
      <c r="G65">
        <f>DATEDIF(F65,'Data Tables'!$E$17,"Y")</f>
        <v>45</v>
      </c>
      <c r="H65" t="s">
        <v>213</v>
      </c>
      <c r="I65" t="s">
        <v>1</v>
      </c>
      <c r="J65" s="17">
        <v>64845</v>
      </c>
      <c r="K65" t="str">
        <f>IF(MONTH(F65)='Data Tables'!$E$16,"Yes","")</f>
        <v/>
      </c>
      <c r="L65" t="str">
        <f t="shared" si="1"/>
        <v/>
      </c>
      <c r="M65" s="52">
        <f>IF(OR(EmployeeTbl[Store]="Bonham",EmployeeTbl[Store]="Graham"),EmployeeTbl[Current Salary]*0.035,EmployeeTbl[Current Salary]*0.025)</f>
        <v>2269.5750000000003</v>
      </c>
      <c r="N65" s="54">
        <f>IF(EmployeeTbl[Years of Service]&gt;=10,'Data Tables'!$B$19,IF(EmployeeTbl[Years of Service]&gt;=5,'Data Tables'!$B$18, 'Data Tables'!$B$17))</f>
        <v>750</v>
      </c>
      <c r="O65" t="str">
        <f>VLOOKUP(EmployeeTbl[Years of Service],Name_Badge,2)</f>
        <v>Gold</v>
      </c>
    </row>
    <row r="66" spans="1:15" x14ac:dyDescent="0.25">
      <c r="A66">
        <v>2058</v>
      </c>
      <c r="B66" t="s">
        <v>68</v>
      </c>
      <c r="C66" t="s">
        <v>63</v>
      </c>
      <c r="D66" s="16">
        <v>39500</v>
      </c>
      <c r="E66" s="15">
        <f>('Data Tables'!$E$15-D66)/365</f>
        <v>9.8630136986301373</v>
      </c>
      <c r="F66" s="16">
        <v>21919</v>
      </c>
      <c r="G66">
        <f>DATEDIF(F66,'Data Tables'!$E$17,"Y")</f>
        <v>56</v>
      </c>
      <c r="H66" t="s">
        <v>211</v>
      </c>
      <c r="I66" t="s">
        <v>1</v>
      </c>
      <c r="J66" s="17">
        <v>49831</v>
      </c>
      <c r="K66" t="str">
        <f>IF(MONTH(F66)='Data Tables'!$E$16,"Yes","")</f>
        <v/>
      </c>
      <c r="L66" t="str">
        <f t="shared" ref="L66:L102" si="2">IF(AND(I66="PT",E66&gt;=2),"Yes","")</f>
        <v/>
      </c>
      <c r="M66" s="52">
        <f>IF(OR(EmployeeTbl[Store]="Bonham",EmployeeTbl[Store]="Graham"),EmployeeTbl[Current Salary]*0.035,EmployeeTbl[Current Salary]*0.025)</f>
        <v>1245.7750000000001</v>
      </c>
      <c r="N66" s="54">
        <f>IF(EmployeeTbl[Years of Service]&gt;=10,'Data Tables'!$B$19,IF(EmployeeTbl[Years of Service]&gt;=5,'Data Tables'!$B$18, 'Data Tables'!$B$17))</f>
        <v>250</v>
      </c>
      <c r="O66" t="str">
        <f>VLOOKUP(EmployeeTbl[Years of Service],Name_Badge,2)</f>
        <v>Silver</v>
      </c>
    </row>
    <row r="67" spans="1:15" x14ac:dyDescent="0.25">
      <c r="A67">
        <v>2062</v>
      </c>
      <c r="B67" t="s">
        <v>64</v>
      </c>
      <c r="C67" t="s">
        <v>65</v>
      </c>
      <c r="D67" s="16">
        <v>42342</v>
      </c>
      <c r="E67" s="15">
        <f>('Data Tables'!$E$15-D67)/365</f>
        <v>2.0767123287671234</v>
      </c>
      <c r="F67" s="16">
        <v>25827</v>
      </c>
      <c r="G67">
        <f>DATEDIF(F67,'Data Tables'!$E$17,"Y")</f>
        <v>46</v>
      </c>
      <c r="H67" t="s">
        <v>213</v>
      </c>
      <c r="I67" t="s">
        <v>1</v>
      </c>
      <c r="J67" s="17">
        <v>76706</v>
      </c>
      <c r="K67" t="str">
        <f>IF(MONTH(F67)='Data Tables'!$E$16,"Yes","")</f>
        <v/>
      </c>
      <c r="L67" t="str">
        <f t="shared" si="2"/>
        <v/>
      </c>
      <c r="M67" s="52">
        <f>IF(OR(EmployeeTbl[Store]="Bonham",EmployeeTbl[Store]="Graham"),EmployeeTbl[Current Salary]*0.035,EmployeeTbl[Current Salary]*0.025)</f>
        <v>2684.71</v>
      </c>
      <c r="N67" s="54">
        <f>IF(EmployeeTbl[Years of Service]&gt;=10,'Data Tables'!$B$19,IF(EmployeeTbl[Years of Service]&gt;=5,'Data Tables'!$B$18, 'Data Tables'!$B$17))</f>
        <v>100</v>
      </c>
      <c r="O67" t="str">
        <f>VLOOKUP(EmployeeTbl[Years of Service],Name_Badge,2)</f>
        <v>Blue</v>
      </c>
    </row>
    <row r="68" spans="1:15" x14ac:dyDescent="0.25">
      <c r="A68">
        <v>2066</v>
      </c>
      <c r="B68" t="s">
        <v>66</v>
      </c>
      <c r="C68" t="s">
        <v>67</v>
      </c>
      <c r="D68" s="16">
        <v>42289</v>
      </c>
      <c r="E68" s="15">
        <f>('Data Tables'!$E$15-D68)/365</f>
        <v>2.2219178082191782</v>
      </c>
      <c r="F68" s="16">
        <v>31383</v>
      </c>
      <c r="G68">
        <f>DATEDIF(F68,'Data Tables'!$E$17,"Y")</f>
        <v>31</v>
      </c>
      <c r="H68" t="s">
        <v>211</v>
      </c>
      <c r="I68" t="s">
        <v>1</v>
      </c>
      <c r="J68" s="17">
        <v>91240</v>
      </c>
      <c r="K68" t="str">
        <f>IF(MONTH(F68)='Data Tables'!$E$16,"Yes","")</f>
        <v/>
      </c>
      <c r="L68" t="str">
        <f t="shared" si="2"/>
        <v/>
      </c>
      <c r="M68" s="52">
        <f>IF(OR(EmployeeTbl[Store]="Bonham",EmployeeTbl[Store]="Graham"),EmployeeTbl[Current Salary]*0.035,EmployeeTbl[Current Salary]*0.025)</f>
        <v>2281</v>
      </c>
      <c r="N68" s="54">
        <f>IF(EmployeeTbl[Years of Service]&gt;=10,'Data Tables'!$B$19,IF(EmployeeTbl[Years of Service]&gt;=5,'Data Tables'!$B$18, 'Data Tables'!$B$17))</f>
        <v>100</v>
      </c>
      <c r="O68" t="str">
        <f>VLOOKUP(EmployeeTbl[Years of Service],Name_Badge,2)</f>
        <v>Blue</v>
      </c>
    </row>
    <row r="69" spans="1:15" x14ac:dyDescent="0.25">
      <c r="A69">
        <v>2070</v>
      </c>
      <c r="B69" t="s">
        <v>69</v>
      </c>
      <c r="C69" t="s">
        <v>70</v>
      </c>
      <c r="D69" s="16">
        <v>42342</v>
      </c>
      <c r="E69" s="15">
        <f>('Data Tables'!$E$15-D69)/365</f>
        <v>2.0767123287671234</v>
      </c>
      <c r="F69" s="16">
        <v>21679</v>
      </c>
      <c r="G69">
        <f>DATEDIF(F69,'Data Tables'!$E$17,"Y")</f>
        <v>57</v>
      </c>
      <c r="H69" t="s">
        <v>214</v>
      </c>
      <c r="I69" t="s">
        <v>1</v>
      </c>
      <c r="J69" s="17">
        <v>96282</v>
      </c>
      <c r="K69" t="str">
        <f>IF(MONTH(F69)='Data Tables'!$E$16,"Yes","")</f>
        <v/>
      </c>
      <c r="L69" t="str">
        <f t="shared" si="2"/>
        <v/>
      </c>
      <c r="M69" s="52">
        <f>IF(OR(EmployeeTbl[Store]="Bonham",EmployeeTbl[Store]="Graham"),EmployeeTbl[Current Salary]*0.035,EmployeeTbl[Current Salary]*0.025)</f>
        <v>3369.8700000000003</v>
      </c>
      <c r="N69" s="54">
        <f>IF(EmployeeTbl[Years of Service]&gt;=10,'Data Tables'!$B$19,IF(EmployeeTbl[Years of Service]&gt;=5,'Data Tables'!$B$18, 'Data Tables'!$B$17))</f>
        <v>100</v>
      </c>
      <c r="O69" t="str">
        <f>VLOOKUP(EmployeeTbl[Years of Service],Name_Badge,2)</f>
        <v>Blue</v>
      </c>
    </row>
    <row r="70" spans="1:15" x14ac:dyDescent="0.25">
      <c r="A70">
        <v>2074</v>
      </c>
      <c r="B70" t="s">
        <v>71</v>
      </c>
      <c r="C70" t="s">
        <v>72</v>
      </c>
      <c r="D70" s="16">
        <v>40508</v>
      </c>
      <c r="E70" s="15">
        <f>('Data Tables'!$E$15-D70)/365</f>
        <v>7.1013698630136988</v>
      </c>
      <c r="F70" s="16">
        <v>24237</v>
      </c>
      <c r="G70">
        <f>DATEDIF(F70,'Data Tables'!$E$17,"Y")</f>
        <v>50</v>
      </c>
      <c r="H70" t="s">
        <v>213</v>
      </c>
      <c r="I70" t="s">
        <v>1</v>
      </c>
      <c r="J70" s="17">
        <v>85412</v>
      </c>
      <c r="K70" t="str">
        <f>IF(MONTH(F70)='Data Tables'!$E$16,"Yes","")</f>
        <v/>
      </c>
      <c r="L70" t="str">
        <f t="shared" si="2"/>
        <v/>
      </c>
      <c r="M70" s="52">
        <f>IF(OR(EmployeeTbl[Store]="Bonham",EmployeeTbl[Store]="Graham"),EmployeeTbl[Current Salary]*0.035,EmployeeTbl[Current Salary]*0.025)</f>
        <v>2989.42</v>
      </c>
      <c r="N70" s="54">
        <f>IF(EmployeeTbl[Years of Service]&gt;=10,'Data Tables'!$B$19,IF(EmployeeTbl[Years of Service]&gt;=5,'Data Tables'!$B$18, 'Data Tables'!$B$17))</f>
        <v>250</v>
      </c>
      <c r="O70" t="str">
        <f>VLOOKUP(EmployeeTbl[Years of Service],Name_Badge,2)</f>
        <v>Silver</v>
      </c>
    </row>
    <row r="71" spans="1:15" x14ac:dyDescent="0.25">
      <c r="A71">
        <v>2078</v>
      </c>
      <c r="B71" t="s">
        <v>73</v>
      </c>
      <c r="C71" t="s">
        <v>74</v>
      </c>
      <c r="D71" s="16">
        <v>41352</v>
      </c>
      <c r="E71" s="15">
        <f>('Data Tables'!$E$15-D71)/365</f>
        <v>4.7890410958904113</v>
      </c>
      <c r="F71" s="16">
        <v>26907</v>
      </c>
      <c r="G71">
        <f>DATEDIF(F71,'Data Tables'!$E$17,"Y")</f>
        <v>43</v>
      </c>
      <c r="H71" t="s">
        <v>213</v>
      </c>
      <c r="I71" t="s">
        <v>1</v>
      </c>
      <c r="J71" s="17">
        <v>98341</v>
      </c>
      <c r="K71" t="str">
        <f>IF(MONTH(F71)='Data Tables'!$E$16,"Yes","")</f>
        <v/>
      </c>
      <c r="L71" t="str">
        <f t="shared" si="2"/>
        <v/>
      </c>
      <c r="M71" s="52">
        <f>IF(OR(EmployeeTbl[Store]="Bonham",EmployeeTbl[Store]="Graham"),EmployeeTbl[Current Salary]*0.035,EmployeeTbl[Current Salary]*0.025)</f>
        <v>3441.9350000000004</v>
      </c>
      <c r="N71" s="54">
        <f>IF(EmployeeTbl[Years of Service]&gt;=10,'Data Tables'!$B$19,IF(EmployeeTbl[Years of Service]&gt;=5,'Data Tables'!$B$18, 'Data Tables'!$B$17))</f>
        <v>100</v>
      </c>
      <c r="O71" t="str">
        <f>VLOOKUP(EmployeeTbl[Years of Service],Name_Badge,2)</f>
        <v>Purple</v>
      </c>
    </row>
    <row r="72" spans="1:15" x14ac:dyDescent="0.25">
      <c r="A72">
        <v>2082</v>
      </c>
      <c r="B72" t="s">
        <v>75</v>
      </c>
      <c r="C72" t="s">
        <v>76</v>
      </c>
      <c r="D72" s="16">
        <v>38156</v>
      </c>
      <c r="E72" s="15">
        <f>('Data Tables'!$E$15-D72)/365</f>
        <v>13.545205479452054</v>
      </c>
      <c r="F72" s="16">
        <v>19281</v>
      </c>
      <c r="G72">
        <f>DATEDIF(F72,'Data Tables'!$E$17,"Y")</f>
        <v>64</v>
      </c>
      <c r="H72" t="s">
        <v>213</v>
      </c>
      <c r="I72" t="s">
        <v>1</v>
      </c>
      <c r="J72" s="17">
        <v>93243</v>
      </c>
      <c r="K72" t="str">
        <f>IF(MONTH(F72)='Data Tables'!$E$16,"Yes","")</f>
        <v/>
      </c>
      <c r="L72" t="str">
        <f t="shared" si="2"/>
        <v/>
      </c>
      <c r="M72" s="52">
        <f>IF(OR(EmployeeTbl[Store]="Bonham",EmployeeTbl[Store]="Graham"),EmployeeTbl[Current Salary]*0.035,EmployeeTbl[Current Salary]*0.025)</f>
        <v>3263.5050000000001</v>
      </c>
      <c r="N72" s="54">
        <f>IF(EmployeeTbl[Years of Service]&gt;=10,'Data Tables'!$B$19,IF(EmployeeTbl[Years of Service]&gt;=5,'Data Tables'!$B$18, 'Data Tables'!$B$17))</f>
        <v>750</v>
      </c>
      <c r="O72" t="str">
        <f>VLOOKUP(EmployeeTbl[Years of Service],Name_Badge,2)</f>
        <v>Gold</v>
      </c>
    </row>
    <row r="73" spans="1:15" x14ac:dyDescent="0.25">
      <c r="A73">
        <v>2086</v>
      </c>
      <c r="B73" t="s">
        <v>77</v>
      </c>
      <c r="C73" t="s">
        <v>48</v>
      </c>
      <c r="D73" s="16">
        <v>42206</v>
      </c>
      <c r="E73" s="15">
        <f>('Data Tables'!$E$15-D73)/365</f>
        <v>2.4493150684931506</v>
      </c>
      <c r="F73" s="16">
        <v>24049</v>
      </c>
      <c r="G73">
        <f>DATEDIF(F73,'Data Tables'!$E$17,"Y")</f>
        <v>51</v>
      </c>
      <c r="H73" t="s">
        <v>212</v>
      </c>
      <c r="I73" t="s">
        <v>1</v>
      </c>
      <c r="J73" s="17">
        <v>130886</v>
      </c>
      <c r="K73" t="str">
        <f>IF(MONTH(F73)='Data Tables'!$E$16,"Yes","")</f>
        <v/>
      </c>
      <c r="L73" t="str">
        <f t="shared" si="2"/>
        <v/>
      </c>
      <c r="M73" s="52">
        <f>IF(OR(EmployeeTbl[Store]="Bonham",EmployeeTbl[Store]="Graham"),EmployeeTbl[Current Salary]*0.035,EmployeeTbl[Current Salary]*0.025)</f>
        <v>3272.15</v>
      </c>
      <c r="N73" s="54">
        <f>IF(EmployeeTbl[Years of Service]&gt;=10,'Data Tables'!$B$19,IF(EmployeeTbl[Years of Service]&gt;=5,'Data Tables'!$B$18, 'Data Tables'!$B$17))</f>
        <v>100</v>
      </c>
      <c r="O73" t="str">
        <f>VLOOKUP(EmployeeTbl[Years of Service],Name_Badge,2)</f>
        <v>Blue</v>
      </c>
    </row>
    <row r="74" spans="1:15" x14ac:dyDescent="0.25">
      <c r="A74">
        <v>2090</v>
      </c>
      <c r="B74" t="s">
        <v>78</v>
      </c>
      <c r="C74" t="s">
        <v>79</v>
      </c>
      <c r="D74" s="16">
        <v>41970</v>
      </c>
      <c r="E74" s="15">
        <f>('Data Tables'!$E$15-D74)/365</f>
        <v>3.095890410958904</v>
      </c>
      <c r="F74" s="16">
        <v>19153</v>
      </c>
      <c r="G74">
        <f>DATEDIF(F74,'Data Tables'!$E$17,"Y")</f>
        <v>64</v>
      </c>
      <c r="H74" t="s">
        <v>212</v>
      </c>
      <c r="I74" t="s">
        <v>2</v>
      </c>
      <c r="J74" s="17">
        <v>64826</v>
      </c>
      <c r="K74" t="str">
        <f>IF(MONTH(F74)='Data Tables'!$E$16,"Yes","")</f>
        <v/>
      </c>
      <c r="L74" t="str">
        <f t="shared" si="2"/>
        <v>Yes</v>
      </c>
      <c r="M74" s="52">
        <f>IF(OR(EmployeeTbl[Store]="Bonham",EmployeeTbl[Store]="Graham"),EmployeeTbl[Current Salary]*0.035,EmployeeTbl[Current Salary]*0.025)</f>
        <v>1620.65</v>
      </c>
      <c r="N74" s="54">
        <f>IF(EmployeeTbl[Years of Service]&gt;=10,'Data Tables'!$B$19,IF(EmployeeTbl[Years of Service]&gt;=5,'Data Tables'!$B$18, 'Data Tables'!$B$17))</f>
        <v>100</v>
      </c>
      <c r="O74" t="str">
        <f>VLOOKUP(EmployeeTbl[Years of Service],Name_Badge,2)</f>
        <v>Blue</v>
      </c>
    </row>
    <row r="75" spans="1:15" x14ac:dyDescent="0.25">
      <c r="A75">
        <v>2094</v>
      </c>
      <c r="B75" t="s">
        <v>80</v>
      </c>
      <c r="C75" t="s">
        <v>81</v>
      </c>
      <c r="D75" s="16">
        <v>42479</v>
      </c>
      <c r="E75" s="15">
        <f>('Data Tables'!$E$15-D75)/365</f>
        <v>1.7013698630136986</v>
      </c>
      <c r="F75" s="16">
        <v>22747</v>
      </c>
      <c r="G75">
        <f>DATEDIF(F75,'Data Tables'!$E$17,"Y")</f>
        <v>54</v>
      </c>
      <c r="H75" t="s">
        <v>213</v>
      </c>
      <c r="I75" t="s">
        <v>1</v>
      </c>
      <c r="J75" s="17">
        <v>76677</v>
      </c>
      <c r="K75" t="str">
        <f>IF(MONTH(F75)='Data Tables'!$E$16,"Yes","")</f>
        <v>Yes</v>
      </c>
      <c r="L75" t="str">
        <f t="shared" si="2"/>
        <v/>
      </c>
      <c r="M75" s="52">
        <f>IF(OR(EmployeeTbl[Store]="Bonham",EmployeeTbl[Store]="Graham"),EmployeeTbl[Current Salary]*0.035,EmployeeTbl[Current Salary]*0.025)</f>
        <v>2683.6950000000002</v>
      </c>
      <c r="N75" s="54">
        <f>IF(EmployeeTbl[Years of Service]&gt;=10,'Data Tables'!$B$19,IF(EmployeeTbl[Years of Service]&gt;=5,'Data Tables'!$B$18, 'Data Tables'!$B$17))</f>
        <v>100</v>
      </c>
      <c r="O75" t="str">
        <f>VLOOKUP(EmployeeTbl[Years of Service],Name_Badge,2)</f>
        <v>Blue</v>
      </c>
    </row>
    <row r="76" spans="1:15" x14ac:dyDescent="0.25">
      <c r="A76">
        <v>2098</v>
      </c>
      <c r="B76" t="s">
        <v>82</v>
      </c>
      <c r="C76" t="s">
        <v>83</v>
      </c>
      <c r="D76" s="16">
        <v>39634</v>
      </c>
      <c r="E76" s="15">
        <f>('Data Tables'!$E$15-D76)/365</f>
        <v>9.4958904109589035</v>
      </c>
      <c r="F76" s="16">
        <v>21626</v>
      </c>
      <c r="G76">
        <f>DATEDIF(F76,'Data Tables'!$E$17,"Y")</f>
        <v>57</v>
      </c>
      <c r="H76" t="s">
        <v>213</v>
      </c>
      <c r="I76" t="s">
        <v>1</v>
      </c>
      <c r="J76" s="17">
        <v>46566</v>
      </c>
      <c r="K76" t="str">
        <f>IF(MONTH(F76)='Data Tables'!$E$16,"Yes","")</f>
        <v/>
      </c>
      <c r="L76" t="str">
        <f t="shared" si="2"/>
        <v/>
      </c>
      <c r="M76" s="52">
        <f>IF(OR(EmployeeTbl[Store]="Bonham",EmployeeTbl[Store]="Graham"),EmployeeTbl[Current Salary]*0.035,EmployeeTbl[Current Salary]*0.025)</f>
        <v>1629.8100000000002</v>
      </c>
      <c r="N76" s="54">
        <f>IF(EmployeeTbl[Years of Service]&gt;=10,'Data Tables'!$B$19,IF(EmployeeTbl[Years of Service]&gt;=5,'Data Tables'!$B$18, 'Data Tables'!$B$17))</f>
        <v>250</v>
      </c>
      <c r="O76" t="str">
        <f>VLOOKUP(EmployeeTbl[Years of Service],Name_Badge,2)</f>
        <v>Silver</v>
      </c>
    </row>
    <row r="77" spans="1:15" x14ac:dyDescent="0.25">
      <c r="A77">
        <v>3002</v>
      </c>
      <c r="B77" t="s">
        <v>129</v>
      </c>
      <c r="C77" t="s">
        <v>112</v>
      </c>
      <c r="D77" s="16">
        <v>40332</v>
      </c>
      <c r="E77" s="15">
        <f>('Data Tables'!$E$15-D77)/365</f>
        <v>7.5835616438356164</v>
      </c>
      <c r="F77" s="16">
        <v>19526</v>
      </c>
      <c r="G77">
        <f>DATEDIF(F77,'Data Tables'!$E$17,"Y")</f>
        <v>63</v>
      </c>
      <c r="H77" t="s">
        <v>214</v>
      </c>
      <c r="I77" t="s">
        <v>1</v>
      </c>
      <c r="J77" s="17">
        <v>89391</v>
      </c>
      <c r="K77" t="str">
        <f>IF(MONTH(F77)='Data Tables'!$E$16,"Yes","")</f>
        <v/>
      </c>
      <c r="L77" t="str">
        <f t="shared" si="2"/>
        <v/>
      </c>
      <c r="M77" s="52">
        <f>IF(OR(EmployeeTbl[Store]="Bonham",EmployeeTbl[Store]="Graham"),EmployeeTbl[Current Salary]*0.035,EmployeeTbl[Current Salary]*0.025)</f>
        <v>3128.6850000000004</v>
      </c>
      <c r="N77" s="54">
        <f>IF(EmployeeTbl[Years of Service]&gt;=10,'Data Tables'!$B$19,IF(EmployeeTbl[Years of Service]&gt;=5,'Data Tables'!$B$18, 'Data Tables'!$B$17))</f>
        <v>250</v>
      </c>
      <c r="O77" t="str">
        <f>VLOOKUP(EmployeeTbl[Years of Service],Name_Badge,2)</f>
        <v>Silver</v>
      </c>
    </row>
    <row r="78" spans="1:15" x14ac:dyDescent="0.25">
      <c r="A78">
        <v>3206</v>
      </c>
      <c r="B78" t="s">
        <v>130</v>
      </c>
      <c r="C78" t="s">
        <v>131</v>
      </c>
      <c r="D78" s="16">
        <v>42398</v>
      </c>
      <c r="E78" s="15">
        <f>('Data Tables'!$E$15-D78)/365</f>
        <v>1.9232876712328768</v>
      </c>
      <c r="F78" s="16">
        <v>30256</v>
      </c>
      <c r="G78">
        <f>DATEDIF(F78,'Data Tables'!$E$17,"Y")</f>
        <v>34</v>
      </c>
      <c r="H78" t="s">
        <v>213</v>
      </c>
      <c r="I78" t="s">
        <v>1</v>
      </c>
      <c r="J78" s="17">
        <v>54368</v>
      </c>
      <c r="K78" t="str">
        <f>IF(MONTH(F78)='Data Tables'!$E$16,"Yes","")</f>
        <v/>
      </c>
      <c r="L78" t="str">
        <f t="shared" si="2"/>
        <v/>
      </c>
      <c r="M78" s="52">
        <f>IF(OR(EmployeeTbl[Store]="Bonham",EmployeeTbl[Store]="Graham"),EmployeeTbl[Current Salary]*0.035,EmployeeTbl[Current Salary]*0.025)</f>
        <v>1902.88</v>
      </c>
      <c r="N78" s="54">
        <f>IF(EmployeeTbl[Years of Service]&gt;=10,'Data Tables'!$B$19,IF(EmployeeTbl[Years of Service]&gt;=5,'Data Tables'!$B$18, 'Data Tables'!$B$17))</f>
        <v>100</v>
      </c>
      <c r="O78" t="str">
        <f>VLOOKUP(EmployeeTbl[Years of Service],Name_Badge,2)</f>
        <v>Blue</v>
      </c>
    </row>
    <row r="79" spans="1:15" x14ac:dyDescent="0.25">
      <c r="A79">
        <v>3210</v>
      </c>
      <c r="B79" t="s">
        <v>132</v>
      </c>
      <c r="C79" t="s">
        <v>133</v>
      </c>
      <c r="D79" s="16">
        <v>40392</v>
      </c>
      <c r="E79" s="15">
        <f>('Data Tables'!$E$15-D79)/365</f>
        <v>7.419178082191781</v>
      </c>
      <c r="F79" s="16">
        <v>22853</v>
      </c>
      <c r="G79">
        <f>DATEDIF(F79,'Data Tables'!$E$17,"Y")</f>
        <v>54</v>
      </c>
      <c r="H79" t="s">
        <v>211</v>
      </c>
      <c r="I79" t="s">
        <v>1</v>
      </c>
      <c r="J79" s="17">
        <v>36671</v>
      </c>
      <c r="K79" t="str">
        <f>IF(MONTH(F79)='Data Tables'!$E$16,"Yes","")</f>
        <v/>
      </c>
      <c r="L79" t="str">
        <f t="shared" si="2"/>
        <v/>
      </c>
      <c r="M79" s="52">
        <f>IF(OR(EmployeeTbl[Store]="Bonham",EmployeeTbl[Store]="Graham"),EmployeeTbl[Current Salary]*0.035,EmployeeTbl[Current Salary]*0.025)</f>
        <v>916.77500000000009</v>
      </c>
      <c r="N79" s="54">
        <f>IF(EmployeeTbl[Years of Service]&gt;=10,'Data Tables'!$B$19,IF(EmployeeTbl[Years of Service]&gt;=5,'Data Tables'!$B$18, 'Data Tables'!$B$17))</f>
        <v>250</v>
      </c>
      <c r="O79" t="str">
        <f>VLOOKUP(EmployeeTbl[Years of Service],Name_Badge,2)</f>
        <v>Silver</v>
      </c>
    </row>
    <row r="80" spans="1:15" x14ac:dyDescent="0.25">
      <c r="A80">
        <v>3214</v>
      </c>
      <c r="B80" t="s">
        <v>134</v>
      </c>
      <c r="C80" t="s">
        <v>135</v>
      </c>
      <c r="D80" s="16">
        <v>42244</v>
      </c>
      <c r="E80" s="15">
        <f>('Data Tables'!$E$15-D80)/365</f>
        <v>2.3452054794520549</v>
      </c>
      <c r="F80" s="16">
        <v>27296</v>
      </c>
      <c r="G80">
        <f>DATEDIF(F80,'Data Tables'!$E$17,"Y")</f>
        <v>42</v>
      </c>
      <c r="H80" t="s">
        <v>213</v>
      </c>
      <c r="I80" t="s">
        <v>1</v>
      </c>
      <c r="J80" s="17">
        <v>58309</v>
      </c>
      <c r="K80" t="str">
        <f>IF(MONTH(F80)='Data Tables'!$E$16,"Yes","")</f>
        <v/>
      </c>
      <c r="L80" t="str">
        <f t="shared" si="2"/>
        <v/>
      </c>
      <c r="M80" s="52">
        <f>IF(OR(EmployeeTbl[Store]="Bonham",EmployeeTbl[Store]="Graham"),EmployeeTbl[Current Salary]*0.035,EmployeeTbl[Current Salary]*0.025)</f>
        <v>2040.8150000000003</v>
      </c>
      <c r="N80" s="54">
        <f>IF(EmployeeTbl[Years of Service]&gt;=10,'Data Tables'!$B$19,IF(EmployeeTbl[Years of Service]&gt;=5,'Data Tables'!$B$18, 'Data Tables'!$B$17))</f>
        <v>100</v>
      </c>
      <c r="O80" t="str">
        <f>VLOOKUP(EmployeeTbl[Years of Service],Name_Badge,2)</f>
        <v>Blue</v>
      </c>
    </row>
    <row r="81" spans="1:15" x14ac:dyDescent="0.25">
      <c r="A81">
        <v>3218</v>
      </c>
      <c r="B81" t="s">
        <v>136</v>
      </c>
      <c r="C81" t="s">
        <v>137</v>
      </c>
      <c r="D81" s="16">
        <v>39391</v>
      </c>
      <c r="E81" s="15">
        <f>('Data Tables'!$E$15-D81)/365</f>
        <v>10.161643835616438</v>
      </c>
      <c r="F81" s="16">
        <v>18779</v>
      </c>
      <c r="G81">
        <f>DATEDIF(F81,'Data Tables'!$E$17,"Y")</f>
        <v>65</v>
      </c>
      <c r="H81" t="s">
        <v>211</v>
      </c>
      <c r="I81" t="s">
        <v>1</v>
      </c>
      <c r="J81" s="17">
        <v>37090</v>
      </c>
      <c r="K81" t="str">
        <f>IF(MONTH(F81)='Data Tables'!$E$16,"Yes","")</f>
        <v/>
      </c>
      <c r="L81" t="str">
        <f t="shared" si="2"/>
        <v/>
      </c>
      <c r="M81" s="52">
        <f>IF(OR(EmployeeTbl[Store]="Bonham",EmployeeTbl[Store]="Graham"),EmployeeTbl[Current Salary]*0.035,EmployeeTbl[Current Salary]*0.025)</f>
        <v>927.25</v>
      </c>
      <c r="N81" s="54">
        <f>IF(EmployeeTbl[Years of Service]&gt;=10,'Data Tables'!$B$19,IF(EmployeeTbl[Years of Service]&gt;=5,'Data Tables'!$B$18, 'Data Tables'!$B$17))</f>
        <v>750</v>
      </c>
      <c r="O81" t="str">
        <f>VLOOKUP(EmployeeTbl[Years of Service],Name_Badge,2)</f>
        <v>Gold</v>
      </c>
    </row>
    <row r="82" spans="1:15" x14ac:dyDescent="0.25">
      <c r="A82">
        <v>3222</v>
      </c>
      <c r="B82" t="s">
        <v>10</v>
      </c>
      <c r="C82" t="s">
        <v>138</v>
      </c>
      <c r="D82" s="16">
        <v>42202</v>
      </c>
      <c r="E82" s="15">
        <f>('Data Tables'!$E$15-D82)/365</f>
        <v>2.4602739726027396</v>
      </c>
      <c r="F82" s="16">
        <v>30970</v>
      </c>
      <c r="G82">
        <f>DATEDIF(F82,'Data Tables'!$E$17,"Y")</f>
        <v>32</v>
      </c>
      <c r="H82" t="s">
        <v>211</v>
      </c>
      <c r="I82" t="s">
        <v>2</v>
      </c>
      <c r="J82" s="17">
        <v>51639</v>
      </c>
      <c r="K82" t="str">
        <f>IF(MONTH(F82)='Data Tables'!$E$16,"Yes","")</f>
        <v/>
      </c>
      <c r="L82" t="str">
        <f t="shared" si="2"/>
        <v>Yes</v>
      </c>
      <c r="M82" s="52">
        <f>IF(OR(EmployeeTbl[Store]="Bonham",EmployeeTbl[Store]="Graham"),EmployeeTbl[Current Salary]*0.035,EmployeeTbl[Current Salary]*0.025)</f>
        <v>1290.9750000000001</v>
      </c>
      <c r="N82" s="54">
        <f>IF(EmployeeTbl[Years of Service]&gt;=10,'Data Tables'!$B$19,IF(EmployeeTbl[Years of Service]&gt;=5,'Data Tables'!$B$18, 'Data Tables'!$B$17))</f>
        <v>100</v>
      </c>
      <c r="O82" t="str">
        <f>VLOOKUP(EmployeeTbl[Years of Service],Name_Badge,2)</f>
        <v>Blue</v>
      </c>
    </row>
    <row r="83" spans="1:15" x14ac:dyDescent="0.25">
      <c r="A83">
        <v>3226</v>
      </c>
      <c r="B83" t="s">
        <v>139</v>
      </c>
      <c r="C83" t="s">
        <v>140</v>
      </c>
      <c r="D83" s="16">
        <v>40360</v>
      </c>
      <c r="E83" s="15">
        <f>('Data Tables'!$E$15-D83)/365</f>
        <v>7.506849315068493</v>
      </c>
      <c r="F83" s="16">
        <v>33520</v>
      </c>
      <c r="G83">
        <f>DATEDIF(F83,'Data Tables'!$E$17,"Y")</f>
        <v>25</v>
      </c>
      <c r="H83" t="s">
        <v>211</v>
      </c>
      <c r="I83" t="s">
        <v>1</v>
      </c>
      <c r="J83" s="17">
        <v>59138</v>
      </c>
      <c r="K83" t="str">
        <f>IF(MONTH(F83)='Data Tables'!$E$16,"Yes","")</f>
        <v/>
      </c>
      <c r="L83" t="str">
        <f t="shared" si="2"/>
        <v/>
      </c>
      <c r="M83" s="52">
        <f>IF(OR(EmployeeTbl[Store]="Bonham",EmployeeTbl[Store]="Graham"),EmployeeTbl[Current Salary]*0.035,EmployeeTbl[Current Salary]*0.025)</f>
        <v>1478.45</v>
      </c>
      <c r="N83" s="54">
        <f>IF(EmployeeTbl[Years of Service]&gt;=10,'Data Tables'!$B$19,IF(EmployeeTbl[Years of Service]&gt;=5,'Data Tables'!$B$18, 'Data Tables'!$B$17))</f>
        <v>250</v>
      </c>
      <c r="O83" t="str">
        <f>VLOOKUP(EmployeeTbl[Years of Service],Name_Badge,2)</f>
        <v>Silver</v>
      </c>
    </row>
    <row r="84" spans="1:15" x14ac:dyDescent="0.25">
      <c r="A84">
        <v>3230</v>
      </c>
      <c r="B84" t="s">
        <v>141</v>
      </c>
      <c r="C84" t="s">
        <v>48</v>
      </c>
      <c r="D84" s="16">
        <v>42202</v>
      </c>
      <c r="E84" s="15">
        <f>('Data Tables'!$E$15-D84)/365</f>
        <v>2.4602739726027396</v>
      </c>
      <c r="F84" s="16">
        <v>17930</v>
      </c>
      <c r="G84">
        <f>DATEDIF(F84,'Data Tables'!$E$17,"Y")</f>
        <v>67</v>
      </c>
      <c r="H84" t="s">
        <v>212</v>
      </c>
      <c r="I84" t="s">
        <v>1</v>
      </c>
      <c r="J84" s="17">
        <v>114254</v>
      </c>
      <c r="K84" t="str">
        <f>IF(MONTH(F84)='Data Tables'!$E$16,"Yes","")</f>
        <v/>
      </c>
      <c r="L84" t="str">
        <f t="shared" si="2"/>
        <v/>
      </c>
      <c r="M84" s="52">
        <f>IF(OR(EmployeeTbl[Store]="Bonham",EmployeeTbl[Store]="Graham"),EmployeeTbl[Current Salary]*0.035,EmployeeTbl[Current Salary]*0.025)</f>
        <v>2856.3500000000004</v>
      </c>
      <c r="N84" s="54">
        <f>IF(EmployeeTbl[Years of Service]&gt;=10,'Data Tables'!$B$19,IF(EmployeeTbl[Years of Service]&gt;=5,'Data Tables'!$B$18, 'Data Tables'!$B$17))</f>
        <v>100</v>
      </c>
      <c r="O84" t="str">
        <f>VLOOKUP(EmployeeTbl[Years of Service],Name_Badge,2)</f>
        <v>Blue</v>
      </c>
    </row>
    <row r="85" spans="1:15" x14ac:dyDescent="0.25">
      <c r="A85">
        <v>3234</v>
      </c>
      <c r="B85" t="s">
        <v>142</v>
      </c>
      <c r="C85" t="s">
        <v>48</v>
      </c>
      <c r="D85" s="16">
        <v>40615</v>
      </c>
      <c r="E85" s="15">
        <f>('Data Tables'!$E$15-D85)/365</f>
        <v>6.8082191780821919</v>
      </c>
      <c r="F85" s="16">
        <v>25335</v>
      </c>
      <c r="G85">
        <f>DATEDIF(F85,'Data Tables'!$E$17,"Y")</f>
        <v>47</v>
      </c>
      <c r="H85" t="s">
        <v>213</v>
      </c>
      <c r="I85" t="s">
        <v>2</v>
      </c>
      <c r="J85" s="17">
        <v>64598</v>
      </c>
      <c r="K85" t="str">
        <f>IF(MONTH(F85)='Data Tables'!$E$16,"Yes","")</f>
        <v/>
      </c>
      <c r="L85" t="str">
        <f t="shared" si="2"/>
        <v>Yes</v>
      </c>
      <c r="M85" s="52">
        <f>IF(OR(EmployeeTbl[Store]="Bonham",EmployeeTbl[Store]="Graham"),EmployeeTbl[Current Salary]*0.035,EmployeeTbl[Current Salary]*0.025)</f>
        <v>2260.9300000000003</v>
      </c>
      <c r="N85" s="54">
        <f>IF(EmployeeTbl[Years of Service]&gt;=10,'Data Tables'!$B$19,IF(EmployeeTbl[Years of Service]&gt;=5,'Data Tables'!$B$18, 'Data Tables'!$B$17))</f>
        <v>250</v>
      </c>
      <c r="O85" t="str">
        <f>VLOOKUP(EmployeeTbl[Years of Service],Name_Badge,2)</f>
        <v>Purple</v>
      </c>
    </row>
    <row r="86" spans="1:15" x14ac:dyDescent="0.25">
      <c r="A86">
        <v>3238</v>
      </c>
      <c r="B86" t="s">
        <v>143</v>
      </c>
      <c r="C86" t="s">
        <v>133</v>
      </c>
      <c r="D86" s="16">
        <v>42209</v>
      </c>
      <c r="E86" s="15">
        <f>('Data Tables'!$E$15-D86)/365</f>
        <v>2.441095890410959</v>
      </c>
      <c r="F86" s="16">
        <v>21848</v>
      </c>
      <c r="G86">
        <f>DATEDIF(F86,'Data Tables'!$E$17,"Y")</f>
        <v>57</v>
      </c>
      <c r="H86" t="s">
        <v>213</v>
      </c>
      <c r="I86" t="s">
        <v>1</v>
      </c>
      <c r="J86" s="17">
        <v>94896</v>
      </c>
      <c r="K86" t="str">
        <f>IF(MONTH(F86)='Data Tables'!$E$16,"Yes","")</f>
        <v/>
      </c>
      <c r="L86" t="str">
        <f t="shared" si="2"/>
        <v/>
      </c>
      <c r="M86" s="52">
        <f>IF(OR(EmployeeTbl[Store]="Bonham",EmployeeTbl[Store]="Graham"),EmployeeTbl[Current Salary]*0.035,EmployeeTbl[Current Salary]*0.025)</f>
        <v>3321.36</v>
      </c>
      <c r="N86" s="54">
        <f>IF(EmployeeTbl[Years of Service]&gt;=10,'Data Tables'!$B$19,IF(EmployeeTbl[Years of Service]&gt;=5,'Data Tables'!$B$18, 'Data Tables'!$B$17))</f>
        <v>100</v>
      </c>
      <c r="O86" t="str">
        <f>VLOOKUP(EmployeeTbl[Years of Service],Name_Badge,2)</f>
        <v>Blue</v>
      </c>
    </row>
    <row r="87" spans="1:15" x14ac:dyDescent="0.25">
      <c r="A87">
        <v>3242</v>
      </c>
      <c r="B87" t="s">
        <v>144</v>
      </c>
      <c r="C87" t="s">
        <v>145</v>
      </c>
      <c r="D87" s="16">
        <v>41675</v>
      </c>
      <c r="E87" s="15">
        <f>('Data Tables'!$E$15-D87)/365</f>
        <v>3.904109589041096</v>
      </c>
      <c r="F87" s="16">
        <v>17185</v>
      </c>
      <c r="G87">
        <f>DATEDIF(F87,'Data Tables'!$E$17,"Y")</f>
        <v>69</v>
      </c>
      <c r="H87" t="s">
        <v>213</v>
      </c>
      <c r="I87" t="s">
        <v>1</v>
      </c>
      <c r="J87" s="17">
        <v>58291</v>
      </c>
      <c r="K87" t="str">
        <f>IF(MONTH(F87)='Data Tables'!$E$16,"Yes","")</f>
        <v/>
      </c>
      <c r="L87" t="str">
        <f t="shared" si="2"/>
        <v/>
      </c>
      <c r="M87" s="52">
        <f>IF(OR(EmployeeTbl[Store]="Bonham",EmployeeTbl[Store]="Graham"),EmployeeTbl[Current Salary]*0.035,EmployeeTbl[Current Salary]*0.025)</f>
        <v>2040.1850000000002</v>
      </c>
      <c r="N87" s="54">
        <f>IF(EmployeeTbl[Years of Service]&gt;=10,'Data Tables'!$B$19,IF(EmployeeTbl[Years of Service]&gt;=5,'Data Tables'!$B$18, 'Data Tables'!$B$17))</f>
        <v>100</v>
      </c>
      <c r="O87" t="str">
        <f>VLOOKUP(EmployeeTbl[Years of Service],Name_Badge,2)</f>
        <v>Blue</v>
      </c>
    </row>
    <row r="88" spans="1:15" x14ac:dyDescent="0.25">
      <c r="A88">
        <v>3246</v>
      </c>
      <c r="B88" t="s">
        <v>146</v>
      </c>
      <c r="C88" t="s">
        <v>90</v>
      </c>
      <c r="D88" s="16">
        <v>39887</v>
      </c>
      <c r="E88" s="15">
        <f>('Data Tables'!$E$15-D88)/365</f>
        <v>8.8027397260273972</v>
      </c>
      <c r="F88" s="16">
        <v>22343</v>
      </c>
      <c r="G88">
        <f>DATEDIF(F88,'Data Tables'!$E$17,"Y")</f>
        <v>55</v>
      </c>
      <c r="H88" t="s">
        <v>211</v>
      </c>
      <c r="I88" t="s">
        <v>1</v>
      </c>
      <c r="J88" s="17">
        <v>58161</v>
      </c>
      <c r="K88" t="str">
        <f>IF(MONTH(F88)='Data Tables'!$E$16,"Yes","")</f>
        <v/>
      </c>
      <c r="L88" t="str">
        <f t="shared" si="2"/>
        <v/>
      </c>
      <c r="M88" s="52">
        <f>IF(OR(EmployeeTbl[Store]="Bonham",EmployeeTbl[Store]="Graham"),EmployeeTbl[Current Salary]*0.035,EmployeeTbl[Current Salary]*0.025)</f>
        <v>1454.0250000000001</v>
      </c>
      <c r="N88" s="54">
        <f>IF(EmployeeTbl[Years of Service]&gt;=10,'Data Tables'!$B$19,IF(EmployeeTbl[Years of Service]&gt;=5,'Data Tables'!$B$18, 'Data Tables'!$B$17))</f>
        <v>250</v>
      </c>
      <c r="O88" t="str">
        <f>VLOOKUP(EmployeeTbl[Years of Service],Name_Badge,2)</f>
        <v>Silver</v>
      </c>
    </row>
    <row r="89" spans="1:15" x14ac:dyDescent="0.25">
      <c r="A89">
        <v>3250</v>
      </c>
      <c r="B89" t="s">
        <v>147</v>
      </c>
      <c r="C89" t="s">
        <v>148</v>
      </c>
      <c r="D89" s="16">
        <v>38667</v>
      </c>
      <c r="E89" s="15">
        <f>('Data Tables'!$E$15-D89)/365</f>
        <v>12.145205479452056</v>
      </c>
      <c r="F89" s="16">
        <v>28623</v>
      </c>
      <c r="G89">
        <f>DATEDIF(F89,'Data Tables'!$E$17,"Y")</f>
        <v>38</v>
      </c>
      <c r="H89" t="s">
        <v>213</v>
      </c>
      <c r="I89" t="s">
        <v>1</v>
      </c>
      <c r="J89" s="17">
        <v>99539</v>
      </c>
      <c r="K89" t="str">
        <f>IF(MONTH(F89)='Data Tables'!$E$16,"Yes","")</f>
        <v/>
      </c>
      <c r="L89" t="str">
        <f t="shared" si="2"/>
        <v/>
      </c>
      <c r="M89" s="52">
        <f>IF(OR(EmployeeTbl[Store]="Bonham",EmployeeTbl[Store]="Graham"),EmployeeTbl[Current Salary]*0.035,EmployeeTbl[Current Salary]*0.025)</f>
        <v>3483.8650000000002</v>
      </c>
      <c r="N89" s="54">
        <f>IF(EmployeeTbl[Years of Service]&gt;=10,'Data Tables'!$B$19,IF(EmployeeTbl[Years of Service]&gt;=5,'Data Tables'!$B$18, 'Data Tables'!$B$17))</f>
        <v>750</v>
      </c>
      <c r="O89" t="str">
        <f>VLOOKUP(EmployeeTbl[Years of Service],Name_Badge,2)</f>
        <v>Gold</v>
      </c>
    </row>
    <row r="90" spans="1:15" x14ac:dyDescent="0.25">
      <c r="A90">
        <v>3254</v>
      </c>
      <c r="B90" t="s">
        <v>149</v>
      </c>
      <c r="C90" t="s">
        <v>150</v>
      </c>
      <c r="D90" s="16">
        <v>41894</v>
      </c>
      <c r="E90" s="15">
        <f>('Data Tables'!$E$15-D90)/365</f>
        <v>3.3041095890410959</v>
      </c>
      <c r="F90" s="16">
        <v>31679</v>
      </c>
      <c r="G90">
        <f>DATEDIF(F90,'Data Tables'!$E$17,"Y")</f>
        <v>30</v>
      </c>
      <c r="H90" t="s">
        <v>213</v>
      </c>
      <c r="I90" t="s">
        <v>1</v>
      </c>
      <c r="J90" s="17">
        <v>102609</v>
      </c>
      <c r="K90" t="str">
        <f>IF(MONTH(F90)='Data Tables'!$E$16,"Yes","")</f>
        <v/>
      </c>
      <c r="L90" t="str">
        <f t="shared" si="2"/>
        <v/>
      </c>
      <c r="M90" s="52">
        <f>IF(OR(EmployeeTbl[Store]="Bonham",EmployeeTbl[Store]="Graham"),EmployeeTbl[Current Salary]*0.035,EmployeeTbl[Current Salary]*0.025)</f>
        <v>3591.3150000000005</v>
      </c>
      <c r="N90" s="54">
        <f>IF(EmployeeTbl[Years of Service]&gt;=10,'Data Tables'!$B$19,IF(EmployeeTbl[Years of Service]&gt;=5,'Data Tables'!$B$18, 'Data Tables'!$B$17))</f>
        <v>100</v>
      </c>
      <c r="O90" t="str">
        <f>VLOOKUP(EmployeeTbl[Years of Service],Name_Badge,2)</f>
        <v>Blue</v>
      </c>
    </row>
    <row r="91" spans="1:15" x14ac:dyDescent="0.25">
      <c r="A91">
        <v>3258</v>
      </c>
      <c r="B91" t="s">
        <v>151</v>
      </c>
      <c r="C91" t="s">
        <v>152</v>
      </c>
      <c r="D91" s="16">
        <v>38978</v>
      </c>
      <c r="E91" s="15">
        <f>('Data Tables'!$E$15-D91)/365</f>
        <v>11.293150684931506</v>
      </c>
      <c r="F91" s="16">
        <v>19526</v>
      </c>
      <c r="G91">
        <f>DATEDIF(F91,'Data Tables'!$E$17,"Y")</f>
        <v>63</v>
      </c>
      <c r="H91" t="s">
        <v>213</v>
      </c>
      <c r="I91" t="s">
        <v>1</v>
      </c>
      <c r="J91" s="17">
        <v>52125</v>
      </c>
      <c r="K91" t="str">
        <f>IF(MONTH(F91)='Data Tables'!$E$16,"Yes","")</f>
        <v/>
      </c>
      <c r="L91" t="str">
        <f t="shared" si="2"/>
        <v/>
      </c>
      <c r="M91" s="52">
        <f>IF(OR(EmployeeTbl[Store]="Bonham",EmployeeTbl[Store]="Graham"),EmployeeTbl[Current Salary]*0.035,EmployeeTbl[Current Salary]*0.025)</f>
        <v>1824.3750000000002</v>
      </c>
      <c r="N91" s="54">
        <f>IF(EmployeeTbl[Years of Service]&gt;=10,'Data Tables'!$B$19,IF(EmployeeTbl[Years of Service]&gt;=5,'Data Tables'!$B$18, 'Data Tables'!$B$17))</f>
        <v>750</v>
      </c>
      <c r="O91" t="str">
        <f>VLOOKUP(EmployeeTbl[Years of Service],Name_Badge,2)</f>
        <v>Gold</v>
      </c>
    </row>
    <row r="92" spans="1:15" x14ac:dyDescent="0.25">
      <c r="A92">
        <v>3262</v>
      </c>
      <c r="B92" t="s">
        <v>153</v>
      </c>
      <c r="C92" t="s">
        <v>154</v>
      </c>
      <c r="D92" s="16">
        <v>42321</v>
      </c>
      <c r="E92" s="15">
        <f>('Data Tables'!$E$15-D92)/365</f>
        <v>2.1342465753424658</v>
      </c>
      <c r="F92" s="16">
        <v>20373</v>
      </c>
      <c r="G92">
        <f>DATEDIF(F92,'Data Tables'!$E$17,"Y")</f>
        <v>61</v>
      </c>
      <c r="H92" t="s">
        <v>213</v>
      </c>
      <c r="I92" t="s">
        <v>1</v>
      </c>
      <c r="J92" s="17">
        <v>94452</v>
      </c>
      <c r="K92" t="str">
        <f>IF(MONTH(F92)='Data Tables'!$E$16,"Yes","")</f>
        <v/>
      </c>
      <c r="L92" t="str">
        <f t="shared" si="2"/>
        <v/>
      </c>
      <c r="M92" s="52">
        <f>IF(OR(EmployeeTbl[Store]="Bonham",EmployeeTbl[Store]="Graham"),EmployeeTbl[Current Salary]*0.035,EmployeeTbl[Current Salary]*0.025)</f>
        <v>3305.82</v>
      </c>
      <c r="N92" s="54">
        <f>IF(EmployeeTbl[Years of Service]&gt;=10,'Data Tables'!$B$19,IF(EmployeeTbl[Years of Service]&gt;=5,'Data Tables'!$B$18, 'Data Tables'!$B$17))</f>
        <v>100</v>
      </c>
      <c r="O92" t="str">
        <f>VLOOKUP(EmployeeTbl[Years of Service],Name_Badge,2)</f>
        <v>Blue</v>
      </c>
    </row>
    <row r="93" spans="1:15" x14ac:dyDescent="0.25">
      <c r="A93">
        <v>3266</v>
      </c>
      <c r="B93" t="s">
        <v>155</v>
      </c>
      <c r="C93" t="s">
        <v>156</v>
      </c>
      <c r="D93" s="16">
        <v>41984</v>
      </c>
      <c r="E93" s="15">
        <f>('Data Tables'!$E$15-D93)/365</f>
        <v>3.0575342465753423</v>
      </c>
      <c r="F93" s="16">
        <v>27091</v>
      </c>
      <c r="G93">
        <f>DATEDIF(F93,'Data Tables'!$E$17,"Y")</f>
        <v>42</v>
      </c>
      <c r="H93" t="s">
        <v>213</v>
      </c>
      <c r="I93" t="s">
        <v>1</v>
      </c>
      <c r="J93" s="17">
        <v>97543</v>
      </c>
      <c r="K93" t="str">
        <f>IF(MONTH(F93)='Data Tables'!$E$16,"Yes","")</f>
        <v/>
      </c>
      <c r="L93" t="str">
        <f t="shared" si="2"/>
        <v/>
      </c>
      <c r="M93" s="52">
        <f>IF(OR(EmployeeTbl[Store]="Bonham",EmployeeTbl[Store]="Graham"),EmployeeTbl[Current Salary]*0.035,EmployeeTbl[Current Salary]*0.025)</f>
        <v>3414.0050000000001</v>
      </c>
      <c r="N93" s="54">
        <f>IF(EmployeeTbl[Years of Service]&gt;=10,'Data Tables'!$B$19,IF(EmployeeTbl[Years of Service]&gt;=5,'Data Tables'!$B$18, 'Data Tables'!$B$17))</f>
        <v>100</v>
      </c>
      <c r="O93" t="str">
        <f>VLOOKUP(EmployeeTbl[Years of Service],Name_Badge,2)</f>
        <v>Blue</v>
      </c>
    </row>
    <row r="94" spans="1:15" x14ac:dyDescent="0.25">
      <c r="A94">
        <v>3270</v>
      </c>
      <c r="B94" t="s">
        <v>157</v>
      </c>
      <c r="C94" t="s">
        <v>158</v>
      </c>
      <c r="D94" s="16">
        <v>40311</v>
      </c>
      <c r="E94" s="15">
        <f>('Data Tables'!$E$15-D94)/365</f>
        <v>7.6410958904109592</v>
      </c>
      <c r="F94" s="16">
        <v>21706</v>
      </c>
      <c r="G94">
        <f>DATEDIF(F94,'Data Tables'!$E$17,"Y")</f>
        <v>57</v>
      </c>
      <c r="H94" t="s">
        <v>214</v>
      </c>
      <c r="I94" t="s">
        <v>1</v>
      </c>
      <c r="J94" s="17">
        <v>98219</v>
      </c>
      <c r="K94" t="str">
        <f>IF(MONTH(F94)='Data Tables'!$E$16,"Yes","")</f>
        <v/>
      </c>
      <c r="L94" t="str">
        <f t="shared" si="2"/>
        <v/>
      </c>
      <c r="M94" s="52">
        <f>IF(OR(EmployeeTbl[Store]="Bonham",EmployeeTbl[Store]="Graham"),EmployeeTbl[Current Salary]*0.035,EmployeeTbl[Current Salary]*0.025)</f>
        <v>3437.6650000000004</v>
      </c>
      <c r="N94" s="54">
        <f>IF(EmployeeTbl[Years of Service]&gt;=10,'Data Tables'!$B$19,IF(EmployeeTbl[Years of Service]&gt;=5,'Data Tables'!$B$18, 'Data Tables'!$B$17))</f>
        <v>250</v>
      </c>
      <c r="O94" t="str">
        <f>VLOOKUP(EmployeeTbl[Years of Service],Name_Badge,2)</f>
        <v>Silver</v>
      </c>
    </row>
    <row r="95" spans="1:15" x14ac:dyDescent="0.25">
      <c r="A95">
        <v>3274</v>
      </c>
      <c r="B95" t="s">
        <v>71</v>
      </c>
      <c r="C95" t="s">
        <v>159</v>
      </c>
      <c r="D95" s="16">
        <v>41604</v>
      </c>
      <c r="E95" s="15">
        <f>('Data Tables'!$E$15-D95)/365</f>
        <v>4.0986301369863014</v>
      </c>
      <c r="F95" s="16">
        <v>20150</v>
      </c>
      <c r="G95">
        <f>DATEDIF(F95,'Data Tables'!$E$17,"Y")</f>
        <v>61</v>
      </c>
      <c r="H95" t="s">
        <v>213</v>
      </c>
      <c r="I95" t="s">
        <v>2</v>
      </c>
      <c r="J95" s="17">
        <v>41204</v>
      </c>
      <c r="K95" t="str">
        <f>IF(MONTH(F95)='Data Tables'!$E$16,"Yes","")</f>
        <v/>
      </c>
      <c r="L95" t="str">
        <f t="shared" si="2"/>
        <v>Yes</v>
      </c>
      <c r="M95" s="52">
        <f>IF(OR(EmployeeTbl[Store]="Bonham",EmployeeTbl[Store]="Graham"),EmployeeTbl[Current Salary]*0.035,EmployeeTbl[Current Salary]*0.025)</f>
        <v>1442.14</v>
      </c>
      <c r="N95" s="54">
        <f>IF(EmployeeTbl[Years of Service]&gt;=10,'Data Tables'!$B$19,IF(EmployeeTbl[Years of Service]&gt;=5,'Data Tables'!$B$18, 'Data Tables'!$B$17))</f>
        <v>100</v>
      </c>
      <c r="O95" t="str">
        <f>VLOOKUP(EmployeeTbl[Years of Service],Name_Badge,2)</f>
        <v>Purple</v>
      </c>
    </row>
    <row r="96" spans="1:15" x14ac:dyDescent="0.25">
      <c r="A96">
        <v>3278</v>
      </c>
      <c r="B96" t="s">
        <v>160</v>
      </c>
      <c r="C96" t="s">
        <v>161</v>
      </c>
      <c r="D96" s="16">
        <v>38224</v>
      </c>
      <c r="E96" s="15">
        <f>('Data Tables'!$E$15-D96)/365</f>
        <v>13.358904109589041</v>
      </c>
      <c r="F96" s="16">
        <v>23510</v>
      </c>
      <c r="G96">
        <f>DATEDIF(F96,'Data Tables'!$E$17,"Y")</f>
        <v>52</v>
      </c>
      <c r="H96" t="s">
        <v>212</v>
      </c>
      <c r="I96" t="s">
        <v>2</v>
      </c>
      <c r="J96" s="17">
        <v>65978</v>
      </c>
      <c r="K96" t="str">
        <f>IF(MONTH(F96)='Data Tables'!$E$16,"Yes","")</f>
        <v/>
      </c>
      <c r="L96" t="str">
        <f t="shared" si="2"/>
        <v>Yes</v>
      </c>
      <c r="M96" s="52">
        <f>IF(OR(EmployeeTbl[Store]="Bonham",EmployeeTbl[Store]="Graham"),EmployeeTbl[Current Salary]*0.035,EmployeeTbl[Current Salary]*0.025)</f>
        <v>1649.45</v>
      </c>
      <c r="N96" s="54">
        <f>IF(EmployeeTbl[Years of Service]&gt;=10,'Data Tables'!$B$19,IF(EmployeeTbl[Years of Service]&gt;=5,'Data Tables'!$B$18, 'Data Tables'!$B$17))</f>
        <v>750</v>
      </c>
      <c r="O96" t="str">
        <f>VLOOKUP(EmployeeTbl[Years of Service],Name_Badge,2)</f>
        <v>Gold</v>
      </c>
    </row>
    <row r="97" spans="1:15" x14ac:dyDescent="0.25">
      <c r="A97">
        <v>3280</v>
      </c>
      <c r="B97" t="s">
        <v>132</v>
      </c>
      <c r="C97" t="s">
        <v>165</v>
      </c>
      <c r="D97" s="16">
        <v>39697</v>
      </c>
      <c r="E97" s="15">
        <f>('Data Tables'!$E$15-D97)/365</f>
        <v>9.3232876712328761</v>
      </c>
      <c r="F97" s="16">
        <v>24649</v>
      </c>
      <c r="G97">
        <f>DATEDIF(F97,'Data Tables'!$E$17,"Y")</f>
        <v>49</v>
      </c>
      <c r="H97" t="s">
        <v>212</v>
      </c>
      <c r="I97" t="s">
        <v>2</v>
      </c>
      <c r="J97" s="17">
        <v>96354</v>
      </c>
      <c r="K97" t="str">
        <f>IF(MONTH(F97)='Data Tables'!$E$16,"Yes","")</f>
        <v/>
      </c>
      <c r="L97" t="str">
        <f t="shared" si="2"/>
        <v>Yes</v>
      </c>
      <c r="M97" s="52">
        <f>IF(OR(EmployeeTbl[Store]="Bonham",EmployeeTbl[Store]="Graham"),EmployeeTbl[Current Salary]*0.035,EmployeeTbl[Current Salary]*0.025)</f>
        <v>2408.85</v>
      </c>
      <c r="N97" s="54">
        <f>IF(EmployeeTbl[Years of Service]&gt;=10,'Data Tables'!$B$19,IF(EmployeeTbl[Years of Service]&gt;=5,'Data Tables'!$B$18, 'Data Tables'!$B$17))</f>
        <v>250</v>
      </c>
      <c r="O97" t="str">
        <f>VLOOKUP(EmployeeTbl[Years of Service],Name_Badge,2)</f>
        <v>Silver</v>
      </c>
    </row>
    <row r="98" spans="1:15" x14ac:dyDescent="0.25">
      <c r="A98">
        <v>3282</v>
      </c>
      <c r="B98" t="s">
        <v>162</v>
      </c>
      <c r="C98" t="s">
        <v>154</v>
      </c>
      <c r="D98" s="16">
        <v>38311</v>
      </c>
      <c r="E98" s="15">
        <f>('Data Tables'!$E$15-D98)/365</f>
        <v>13.12054794520548</v>
      </c>
      <c r="F98" s="16">
        <v>18569</v>
      </c>
      <c r="G98">
        <f>DATEDIF(F98,'Data Tables'!$E$17,"Y")</f>
        <v>66</v>
      </c>
      <c r="H98" t="s">
        <v>213</v>
      </c>
      <c r="I98" t="s">
        <v>1</v>
      </c>
      <c r="J98" s="17">
        <v>38683</v>
      </c>
      <c r="K98" t="str">
        <f>IF(MONTH(F98)='Data Tables'!$E$16,"Yes","")</f>
        <v/>
      </c>
      <c r="L98" t="str">
        <f t="shared" si="2"/>
        <v/>
      </c>
      <c r="M98" s="52">
        <f>IF(OR(EmployeeTbl[Store]="Bonham",EmployeeTbl[Store]="Graham"),EmployeeTbl[Current Salary]*0.035,EmployeeTbl[Current Salary]*0.025)</f>
        <v>1353.9050000000002</v>
      </c>
      <c r="N98" s="54">
        <f>IF(EmployeeTbl[Years of Service]&gt;=10,'Data Tables'!$B$19,IF(EmployeeTbl[Years of Service]&gt;=5,'Data Tables'!$B$18, 'Data Tables'!$B$17))</f>
        <v>750</v>
      </c>
      <c r="O98" t="str">
        <f>VLOOKUP(EmployeeTbl[Years of Service],Name_Badge,2)</f>
        <v>Gold</v>
      </c>
    </row>
    <row r="99" spans="1:15" x14ac:dyDescent="0.25">
      <c r="A99">
        <v>3286</v>
      </c>
      <c r="B99" t="s">
        <v>163</v>
      </c>
      <c r="C99" t="s">
        <v>164</v>
      </c>
      <c r="D99" s="16">
        <v>42104</v>
      </c>
      <c r="E99" s="15">
        <f>('Data Tables'!$E$15-D99)/365</f>
        <v>2.7287671232876711</v>
      </c>
      <c r="F99" s="16">
        <v>30147</v>
      </c>
      <c r="G99">
        <f>DATEDIF(F99,'Data Tables'!$E$17,"Y")</f>
        <v>34</v>
      </c>
      <c r="H99" t="s">
        <v>214</v>
      </c>
      <c r="I99" t="s">
        <v>1</v>
      </c>
      <c r="J99" s="17">
        <v>77468</v>
      </c>
      <c r="K99" t="str">
        <f>IF(MONTH(F99)='Data Tables'!$E$16,"Yes","")</f>
        <v/>
      </c>
      <c r="L99" t="str">
        <f t="shared" si="2"/>
        <v/>
      </c>
      <c r="M99" s="52">
        <f>IF(OR(EmployeeTbl[Store]="Bonham",EmployeeTbl[Store]="Graham"),EmployeeTbl[Current Salary]*0.035,EmployeeTbl[Current Salary]*0.025)</f>
        <v>2711.38</v>
      </c>
      <c r="N99" s="54">
        <f>IF(EmployeeTbl[Years of Service]&gt;=10,'Data Tables'!$B$19,IF(EmployeeTbl[Years of Service]&gt;=5,'Data Tables'!$B$18, 'Data Tables'!$B$17))</f>
        <v>100</v>
      </c>
      <c r="O99" t="str">
        <f>VLOOKUP(EmployeeTbl[Years of Service],Name_Badge,2)</f>
        <v>Blue</v>
      </c>
    </row>
    <row r="100" spans="1:15" x14ac:dyDescent="0.25">
      <c r="A100">
        <v>3294</v>
      </c>
      <c r="B100" t="s">
        <v>166</v>
      </c>
      <c r="C100" t="s">
        <v>39</v>
      </c>
      <c r="D100" s="16">
        <v>40103</v>
      </c>
      <c r="E100" s="15">
        <f>('Data Tables'!$E$15-D100)/365</f>
        <v>8.2109589041095887</v>
      </c>
      <c r="F100" s="16">
        <v>24551</v>
      </c>
      <c r="G100">
        <f>DATEDIF(F100,'Data Tables'!$E$17,"Y")</f>
        <v>49</v>
      </c>
      <c r="H100" t="s">
        <v>214</v>
      </c>
      <c r="I100" t="s">
        <v>1</v>
      </c>
      <c r="J100" s="17">
        <v>111426</v>
      </c>
      <c r="K100" t="str">
        <f>IF(MONTH(F100)='Data Tables'!$E$16,"Yes","")</f>
        <v/>
      </c>
      <c r="L100" t="str">
        <f t="shared" si="2"/>
        <v/>
      </c>
      <c r="M100" s="52">
        <f>IF(OR(EmployeeTbl[Store]="Bonham",EmployeeTbl[Store]="Graham"),EmployeeTbl[Current Salary]*0.035,EmployeeTbl[Current Salary]*0.025)</f>
        <v>3899.9100000000003</v>
      </c>
      <c r="N100" s="54">
        <f>IF(EmployeeTbl[Years of Service]&gt;=10,'Data Tables'!$B$19,IF(EmployeeTbl[Years of Service]&gt;=5,'Data Tables'!$B$18, 'Data Tables'!$B$17))</f>
        <v>250</v>
      </c>
      <c r="O100" t="str">
        <f>VLOOKUP(EmployeeTbl[Years of Service],Name_Badge,2)</f>
        <v>Silver</v>
      </c>
    </row>
    <row r="101" spans="1:15" x14ac:dyDescent="0.25">
      <c r="A101">
        <v>3298</v>
      </c>
      <c r="B101" t="s">
        <v>167</v>
      </c>
      <c r="C101" t="s">
        <v>168</v>
      </c>
      <c r="D101" s="16">
        <v>42153</v>
      </c>
      <c r="E101" s="15">
        <f>('Data Tables'!$E$15-D101)/365</f>
        <v>2.5945205479452054</v>
      </c>
      <c r="F101" s="16">
        <v>19464</v>
      </c>
      <c r="G101">
        <f>DATEDIF(F101,'Data Tables'!$E$17,"Y")</f>
        <v>63</v>
      </c>
      <c r="H101" t="s">
        <v>213</v>
      </c>
      <c r="I101" t="s">
        <v>1</v>
      </c>
      <c r="J101" s="17">
        <v>95552</v>
      </c>
      <c r="K101" t="str">
        <f>IF(MONTH(F101)='Data Tables'!$E$16,"Yes","")</f>
        <v>Yes</v>
      </c>
      <c r="L101" t="str">
        <f t="shared" si="2"/>
        <v/>
      </c>
      <c r="M101" s="52">
        <f>IF(OR(EmployeeTbl[Store]="Bonham",EmployeeTbl[Store]="Graham"),EmployeeTbl[Current Salary]*0.035,EmployeeTbl[Current Salary]*0.025)</f>
        <v>3344.32</v>
      </c>
      <c r="N101" s="54">
        <f>IF(EmployeeTbl[Years of Service]&gt;=10,'Data Tables'!$B$19,IF(EmployeeTbl[Years of Service]&gt;=5,'Data Tables'!$B$18, 'Data Tables'!$B$17))</f>
        <v>100</v>
      </c>
      <c r="O101" t="str">
        <f>VLOOKUP(EmployeeTbl[Years of Service],Name_Badge,2)</f>
        <v>Blue</v>
      </c>
    </row>
    <row r="102" spans="1:15" x14ac:dyDescent="0.25">
      <c r="A102">
        <v>3400</v>
      </c>
      <c r="B102" t="s">
        <v>425</v>
      </c>
      <c r="C102" t="s">
        <v>426</v>
      </c>
      <c r="D102" s="16">
        <v>42461</v>
      </c>
      <c r="E102" s="15">
        <f>('Data Tables'!$E$15-D102)/365</f>
        <v>1.7506849315068493</v>
      </c>
      <c r="F102" s="16">
        <v>25887</v>
      </c>
      <c r="G102">
        <f>DATEDIF(F102,'Data Tables'!$E$17,"Y")</f>
        <v>46</v>
      </c>
      <c r="H102" t="s">
        <v>211</v>
      </c>
      <c r="I102" t="s">
        <v>2</v>
      </c>
      <c r="J102" s="17">
        <v>23000</v>
      </c>
      <c r="K102" s="55" t="str">
        <f>IF(MONTH(F102)='Data Tables'!$E$16,"Yes","")</f>
        <v/>
      </c>
      <c r="L102" s="55" t="str">
        <f t="shared" si="2"/>
        <v/>
      </c>
      <c r="M102" s="52">
        <f>IF(OR(EmployeeTbl[Store]="Bonham",EmployeeTbl[Store]="Graham"),EmployeeTbl[Current Salary]*0.035,EmployeeTbl[Current Salary]*0.025)</f>
        <v>575</v>
      </c>
      <c r="N102" s="54">
        <f>IF(EmployeeTbl[Years of Service]&gt;=10,'Data Tables'!$B$19,IF(EmployeeTbl[Years of Service]&gt;=5,'Data Tables'!$B$18, 'Data Tables'!$B$17))</f>
        <v>100</v>
      </c>
      <c r="O102" s="55" t="str">
        <f>VLOOKUP(EmployeeTbl[Years of Service],Name_Badge,2)</f>
        <v>Blue</v>
      </c>
    </row>
  </sheetData>
  <sortState ref="A2:L101">
    <sortCondition ref="A2"/>
  </sortState>
  <conditionalFormatting sqref="A1:A1048576">
    <cfRule type="duplicateValues" dxfId="13" priority="1"/>
  </conditionalFormatting>
  <pageMargins left="0.7" right="0.7" top="0.75" bottom="0.75" header="0.3" footer="0.3"/>
  <pageSetup orientation="landscape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0"/>
  <sheetViews>
    <sheetView zoomScale="120" zoomScaleNormal="120" workbookViewId="0">
      <selection activeCell="A2" sqref="A2"/>
    </sheetView>
  </sheetViews>
  <sheetFormatPr defaultRowHeight="15" x14ac:dyDescent="0.25"/>
  <cols>
    <col min="1" max="1" width="14.140625" customWidth="1"/>
    <col min="2" max="2" width="19.5703125" bestFit="1" customWidth="1"/>
    <col min="3" max="3" width="38.140625" bestFit="1" customWidth="1"/>
    <col min="4" max="4" width="17.5703125" customWidth="1"/>
    <col min="6" max="7" width="16.7109375" customWidth="1"/>
  </cols>
  <sheetData>
    <row r="1" spans="1:5" ht="30" x14ac:dyDescent="0.25">
      <c r="A1" s="24" t="s">
        <v>223</v>
      </c>
      <c r="B1" s="8" t="s">
        <v>231</v>
      </c>
      <c r="C1" s="8" t="s">
        <v>17</v>
      </c>
      <c r="D1" s="8" t="s">
        <v>417</v>
      </c>
      <c r="E1" s="8" t="s">
        <v>387</v>
      </c>
    </row>
    <row r="2" spans="1:5" x14ac:dyDescent="0.25">
      <c r="A2">
        <v>1002</v>
      </c>
      <c r="B2" t="s">
        <v>225</v>
      </c>
      <c r="C2" t="s">
        <v>342</v>
      </c>
      <c r="D2" t="str">
        <f t="shared" ref="D2:D33" si="0">IFERROR(VLOOKUP(B2,Product_Suppliers,2,FALSE),"Various")</f>
        <v>Fabric Stores</v>
      </c>
      <c r="E2" t="str">
        <f t="shared" ref="E2:E33" si="1">IFERROR(HLOOKUP(B2,Specialty_Store,2,FALSE),"Various")</f>
        <v>Garland</v>
      </c>
    </row>
    <row r="3" spans="1:5" x14ac:dyDescent="0.25">
      <c r="A3">
        <v>1005</v>
      </c>
      <c r="B3" t="s">
        <v>393</v>
      </c>
      <c r="C3" t="s">
        <v>278</v>
      </c>
      <c r="D3" t="str">
        <f t="shared" si="0"/>
        <v>Stones and Glass</v>
      </c>
      <c r="E3" t="str">
        <f t="shared" si="1"/>
        <v>Bowie</v>
      </c>
    </row>
    <row r="4" spans="1:5" x14ac:dyDescent="0.25">
      <c r="A4">
        <v>1022</v>
      </c>
      <c r="B4" t="s">
        <v>399</v>
      </c>
      <c r="C4" t="s">
        <v>397</v>
      </c>
      <c r="D4" t="str">
        <f t="shared" si="0"/>
        <v>Yarn House</v>
      </c>
      <c r="E4" t="str">
        <f t="shared" si="1"/>
        <v>Graham</v>
      </c>
    </row>
    <row r="5" spans="1:5" x14ac:dyDescent="0.25">
      <c r="A5">
        <v>1102</v>
      </c>
      <c r="B5" t="s">
        <v>393</v>
      </c>
      <c r="C5" t="s">
        <v>287</v>
      </c>
      <c r="D5" t="str">
        <f t="shared" si="0"/>
        <v>Stones and Glass</v>
      </c>
      <c r="E5" t="str">
        <f t="shared" si="1"/>
        <v>Bowie</v>
      </c>
    </row>
    <row r="6" spans="1:5" x14ac:dyDescent="0.25">
      <c r="A6">
        <v>1390</v>
      </c>
      <c r="B6" t="s">
        <v>395</v>
      </c>
      <c r="C6" t="s">
        <v>269</v>
      </c>
      <c r="D6" t="str">
        <f t="shared" si="0"/>
        <v>Hobby Warehouse</v>
      </c>
      <c r="E6" t="str">
        <f t="shared" si="1"/>
        <v>Bonham</v>
      </c>
    </row>
    <row r="7" spans="1:5" x14ac:dyDescent="0.25">
      <c r="A7">
        <v>1502</v>
      </c>
      <c r="B7" t="s">
        <v>393</v>
      </c>
      <c r="C7" t="s">
        <v>296</v>
      </c>
      <c r="D7" t="str">
        <f t="shared" si="0"/>
        <v>Stones and Glass</v>
      </c>
      <c r="E7" t="str">
        <f t="shared" si="1"/>
        <v>Bowie</v>
      </c>
    </row>
    <row r="8" spans="1:5" x14ac:dyDescent="0.25">
      <c r="A8">
        <v>1660</v>
      </c>
      <c r="B8" t="s">
        <v>393</v>
      </c>
      <c r="C8" t="s">
        <v>297</v>
      </c>
      <c r="D8" t="str">
        <f t="shared" si="0"/>
        <v>Stones and Glass</v>
      </c>
      <c r="E8" t="str">
        <f t="shared" si="1"/>
        <v>Bowie</v>
      </c>
    </row>
    <row r="9" spans="1:5" x14ac:dyDescent="0.25">
      <c r="A9">
        <v>1690</v>
      </c>
      <c r="B9" t="s">
        <v>393</v>
      </c>
      <c r="C9" t="s">
        <v>300</v>
      </c>
      <c r="D9" t="str">
        <f t="shared" si="0"/>
        <v>Stones and Glass</v>
      </c>
      <c r="E9" t="str">
        <f t="shared" si="1"/>
        <v>Bowie</v>
      </c>
    </row>
    <row r="10" spans="1:5" x14ac:dyDescent="0.25">
      <c r="A10">
        <v>1720</v>
      </c>
      <c r="B10" t="s">
        <v>394</v>
      </c>
      <c r="C10" t="s">
        <v>248</v>
      </c>
      <c r="D10" t="str">
        <f t="shared" si="0"/>
        <v>Hobby Warehouse</v>
      </c>
      <c r="E10" t="str">
        <f t="shared" si="1"/>
        <v>Bonham</v>
      </c>
    </row>
    <row r="11" spans="1:5" x14ac:dyDescent="0.25">
      <c r="A11">
        <v>1800</v>
      </c>
      <c r="B11" t="s">
        <v>394</v>
      </c>
      <c r="C11" t="s">
        <v>310</v>
      </c>
      <c r="D11" t="str">
        <f t="shared" si="0"/>
        <v>Hobby Warehouse</v>
      </c>
      <c r="E11" t="str">
        <f t="shared" si="1"/>
        <v>Bonham</v>
      </c>
    </row>
    <row r="12" spans="1:5" x14ac:dyDescent="0.25">
      <c r="A12">
        <v>1820</v>
      </c>
      <c r="B12" t="s">
        <v>394</v>
      </c>
      <c r="C12" t="s">
        <v>309</v>
      </c>
      <c r="D12" t="str">
        <f t="shared" si="0"/>
        <v>Hobby Warehouse</v>
      </c>
      <c r="E12" t="str">
        <f t="shared" si="1"/>
        <v>Bonham</v>
      </c>
    </row>
    <row r="13" spans="1:5" x14ac:dyDescent="0.25">
      <c r="A13">
        <v>2000</v>
      </c>
      <c r="B13" t="s">
        <v>395</v>
      </c>
      <c r="C13" t="s">
        <v>328</v>
      </c>
      <c r="D13" t="str">
        <f t="shared" si="0"/>
        <v>Hobby Warehouse</v>
      </c>
      <c r="E13" t="str">
        <f t="shared" si="1"/>
        <v>Bonham</v>
      </c>
    </row>
    <row r="14" spans="1:5" x14ac:dyDescent="0.25">
      <c r="A14">
        <v>2005</v>
      </c>
      <c r="B14" t="s">
        <v>393</v>
      </c>
      <c r="C14" t="s">
        <v>277</v>
      </c>
      <c r="D14" t="str">
        <f t="shared" si="0"/>
        <v>Stones and Glass</v>
      </c>
      <c r="E14" t="str">
        <f t="shared" si="1"/>
        <v>Bowie</v>
      </c>
    </row>
    <row r="15" spans="1:5" x14ac:dyDescent="0.25">
      <c r="A15">
        <v>2022</v>
      </c>
      <c r="B15" t="s">
        <v>399</v>
      </c>
      <c r="C15" t="s">
        <v>258</v>
      </c>
      <c r="D15" t="str">
        <f t="shared" si="0"/>
        <v>Yarn House</v>
      </c>
      <c r="E15" t="str">
        <f t="shared" si="1"/>
        <v>Graham</v>
      </c>
    </row>
    <row r="16" spans="1:5" x14ac:dyDescent="0.25">
      <c r="A16">
        <v>2033</v>
      </c>
      <c r="B16" t="s">
        <v>399</v>
      </c>
      <c r="C16" t="s">
        <v>369</v>
      </c>
      <c r="D16" t="str">
        <f t="shared" si="0"/>
        <v>Yarn House</v>
      </c>
      <c r="E16" t="str">
        <f t="shared" si="1"/>
        <v>Graham</v>
      </c>
    </row>
    <row r="17" spans="1:5" x14ac:dyDescent="0.25">
      <c r="A17">
        <v>2040</v>
      </c>
      <c r="B17" t="s">
        <v>225</v>
      </c>
      <c r="C17" t="s">
        <v>340</v>
      </c>
      <c r="D17" t="str">
        <f t="shared" si="0"/>
        <v>Fabric Stores</v>
      </c>
      <c r="E17" t="str">
        <f t="shared" si="1"/>
        <v>Garland</v>
      </c>
    </row>
    <row r="18" spans="1:5" x14ac:dyDescent="0.25">
      <c r="A18">
        <v>2100</v>
      </c>
      <c r="B18" t="s">
        <v>395</v>
      </c>
      <c r="C18" t="s">
        <v>346</v>
      </c>
      <c r="D18" t="str">
        <f t="shared" si="0"/>
        <v>Hobby Warehouse</v>
      </c>
      <c r="E18" t="str">
        <f t="shared" si="1"/>
        <v>Bonham</v>
      </c>
    </row>
    <row r="19" spans="1:5" x14ac:dyDescent="0.25">
      <c r="A19">
        <v>2105</v>
      </c>
      <c r="B19" t="s">
        <v>393</v>
      </c>
      <c r="C19" t="s">
        <v>286</v>
      </c>
      <c r="D19" t="str">
        <f t="shared" si="0"/>
        <v>Stones and Glass</v>
      </c>
      <c r="E19" t="str">
        <f t="shared" si="1"/>
        <v>Bowie</v>
      </c>
    </row>
    <row r="20" spans="1:5" x14ac:dyDescent="0.25">
      <c r="A20">
        <v>2111</v>
      </c>
      <c r="B20" t="s">
        <v>225</v>
      </c>
      <c r="C20" t="s">
        <v>344</v>
      </c>
      <c r="D20" t="str">
        <f t="shared" si="0"/>
        <v>Fabric Stores</v>
      </c>
      <c r="E20" t="str">
        <f t="shared" si="1"/>
        <v>Garland</v>
      </c>
    </row>
    <row r="21" spans="1:5" x14ac:dyDescent="0.25">
      <c r="A21">
        <v>2120</v>
      </c>
      <c r="B21" t="s">
        <v>399</v>
      </c>
      <c r="C21" t="s">
        <v>357</v>
      </c>
      <c r="D21" t="str">
        <f t="shared" si="0"/>
        <v>Yarn House</v>
      </c>
      <c r="E21" t="str">
        <f t="shared" si="1"/>
        <v>Graham</v>
      </c>
    </row>
    <row r="22" spans="1:5" x14ac:dyDescent="0.25">
      <c r="A22">
        <v>2190</v>
      </c>
      <c r="B22" t="s">
        <v>225</v>
      </c>
      <c r="C22" t="s">
        <v>355</v>
      </c>
      <c r="D22" t="str">
        <f t="shared" si="0"/>
        <v>Fabric Stores</v>
      </c>
      <c r="E22" t="str">
        <f t="shared" si="1"/>
        <v>Garland</v>
      </c>
    </row>
    <row r="23" spans="1:5" x14ac:dyDescent="0.25">
      <c r="A23">
        <v>2191</v>
      </c>
      <c r="B23" t="s">
        <v>225</v>
      </c>
      <c r="C23" t="s">
        <v>356</v>
      </c>
      <c r="D23" t="str">
        <f t="shared" si="0"/>
        <v>Fabric Stores</v>
      </c>
      <c r="E23" t="str">
        <f t="shared" si="1"/>
        <v>Garland</v>
      </c>
    </row>
    <row r="24" spans="1:5" x14ac:dyDescent="0.25">
      <c r="A24">
        <v>2200</v>
      </c>
      <c r="B24" t="s">
        <v>395</v>
      </c>
      <c r="C24" t="s">
        <v>348</v>
      </c>
      <c r="D24" t="str">
        <f t="shared" si="0"/>
        <v>Hobby Warehouse</v>
      </c>
      <c r="E24" t="str">
        <f t="shared" si="1"/>
        <v>Bonham</v>
      </c>
    </row>
    <row r="25" spans="1:5" x14ac:dyDescent="0.25">
      <c r="A25">
        <v>2230</v>
      </c>
      <c r="B25" t="s">
        <v>399</v>
      </c>
      <c r="C25" t="s">
        <v>368</v>
      </c>
      <c r="D25" t="str">
        <f t="shared" si="0"/>
        <v>Yarn House</v>
      </c>
      <c r="E25" t="str">
        <f t="shared" si="1"/>
        <v>Graham</v>
      </c>
    </row>
    <row r="26" spans="1:5" x14ac:dyDescent="0.25">
      <c r="A26">
        <v>2300</v>
      </c>
      <c r="B26" t="s">
        <v>395</v>
      </c>
      <c r="C26" t="s">
        <v>347</v>
      </c>
      <c r="D26" t="str">
        <f t="shared" si="0"/>
        <v>Hobby Warehouse</v>
      </c>
      <c r="E26" t="str">
        <f t="shared" si="1"/>
        <v>Bonham</v>
      </c>
    </row>
    <row r="27" spans="1:5" x14ac:dyDescent="0.25">
      <c r="A27">
        <v>2310</v>
      </c>
      <c r="B27" t="s">
        <v>399</v>
      </c>
      <c r="C27" t="s">
        <v>367</v>
      </c>
      <c r="D27" t="str">
        <f t="shared" si="0"/>
        <v>Yarn House</v>
      </c>
      <c r="E27" t="str">
        <f t="shared" si="1"/>
        <v>Graham</v>
      </c>
    </row>
    <row r="28" spans="1:5" x14ac:dyDescent="0.25">
      <c r="A28">
        <v>2430</v>
      </c>
      <c r="B28" t="s">
        <v>399</v>
      </c>
      <c r="C28" t="s">
        <v>398</v>
      </c>
      <c r="D28" t="str">
        <f t="shared" si="0"/>
        <v>Yarn House</v>
      </c>
      <c r="E28" t="str">
        <f t="shared" si="1"/>
        <v>Graham</v>
      </c>
    </row>
    <row r="29" spans="1:5" x14ac:dyDescent="0.25">
      <c r="A29">
        <v>2502</v>
      </c>
      <c r="B29" t="s">
        <v>393</v>
      </c>
      <c r="C29" t="s">
        <v>295</v>
      </c>
      <c r="D29" t="str">
        <f t="shared" si="0"/>
        <v>Stones and Glass</v>
      </c>
      <c r="E29" t="str">
        <f t="shared" si="1"/>
        <v>Bowie</v>
      </c>
    </row>
    <row r="30" spans="1:5" x14ac:dyDescent="0.25">
      <c r="A30">
        <v>2503</v>
      </c>
      <c r="B30" t="s">
        <v>399</v>
      </c>
      <c r="C30" t="s">
        <v>361</v>
      </c>
      <c r="D30" t="str">
        <f t="shared" si="0"/>
        <v>Yarn House</v>
      </c>
      <c r="E30" t="str">
        <f t="shared" si="1"/>
        <v>Graham</v>
      </c>
    </row>
    <row r="31" spans="1:5" x14ac:dyDescent="0.25">
      <c r="A31">
        <v>2510</v>
      </c>
      <c r="B31" t="s">
        <v>394</v>
      </c>
      <c r="C31" t="s">
        <v>319</v>
      </c>
      <c r="D31" t="str">
        <f t="shared" si="0"/>
        <v>Hobby Warehouse</v>
      </c>
      <c r="E31" t="str">
        <f t="shared" si="1"/>
        <v>Bonham</v>
      </c>
    </row>
    <row r="32" spans="1:5" x14ac:dyDescent="0.25">
      <c r="A32">
        <v>3005</v>
      </c>
      <c r="B32" t="s">
        <v>393</v>
      </c>
      <c r="C32" t="s">
        <v>276</v>
      </c>
      <c r="D32" t="str">
        <f t="shared" si="0"/>
        <v>Stones and Glass</v>
      </c>
      <c r="E32" t="str">
        <f t="shared" si="1"/>
        <v>Bowie</v>
      </c>
    </row>
    <row r="33" spans="1:5" x14ac:dyDescent="0.25">
      <c r="A33">
        <v>3022</v>
      </c>
      <c r="B33" t="s">
        <v>399</v>
      </c>
      <c r="C33" t="s">
        <v>259</v>
      </c>
      <c r="D33" t="str">
        <f t="shared" si="0"/>
        <v>Yarn House</v>
      </c>
      <c r="E33" t="str">
        <f t="shared" si="1"/>
        <v>Graham</v>
      </c>
    </row>
    <row r="34" spans="1:5" x14ac:dyDescent="0.25">
      <c r="A34">
        <v>3105</v>
      </c>
      <c r="B34" t="s">
        <v>393</v>
      </c>
      <c r="C34" t="s">
        <v>285</v>
      </c>
      <c r="D34" t="str">
        <f t="shared" ref="D34:D65" si="2">IFERROR(VLOOKUP(B34,Product_Suppliers,2,FALSE),"Various")</f>
        <v>Stones and Glass</v>
      </c>
      <c r="E34" t="str">
        <f t="shared" ref="E34:E65" si="3">IFERROR(HLOOKUP(B34,Specialty_Store,2,FALSE),"Various")</f>
        <v>Bowie</v>
      </c>
    </row>
    <row r="35" spans="1:5" x14ac:dyDescent="0.25">
      <c r="A35">
        <v>3111</v>
      </c>
      <c r="B35" t="s">
        <v>225</v>
      </c>
      <c r="C35" t="s">
        <v>345</v>
      </c>
      <c r="D35" t="str">
        <f t="shared" si="2"/>
        <v>Fabric Stores</v>
      </c>
      <c r="E35" t="str">
        <f t="shared" si="3"/>
        <v>Garland</v>
      </c>
    </row>
    <row r="36" spans="1:5" x14ac:dyDescent="0.25">
      <c r="A36">
        <v>3210</v>
      </c>
      <c r="B36" t="s">
        <v>401</v>
      </c>
      <c r="C36" t="s">
        <v>373</v>
      </c>
      <c r="D36" t="str">
        <f t="shared" si="2"/>
        <v>Silk Flowers</v>
      </c>
      <c r="E36" t="str">
        <f t="shared" si="3"/>
        <v>Bowie</v>
      </c>
    </row>
    <row r="37" spans="1:5" x14ac:dyDescent="0.25">
      <c r="A37">
        <v>3280</v>
      </c>
      <c r="B37" t="s">
        <v>401</v>
      </c>
      <c r="C37" t="s">
        <v>377</v>
      </c>
      <c r="D37" t="str">
        <f t="shared" si="2"/>
        <v>Silk Flowers</v>
      </c>
      <c r="E37" t="str">
        <f t="shared" si="3"/>
        <v>Bowie</v>
      </c>
    </row>
    <row r="38" spans="1:5" x14ac:dyDescent="0.25">
      <c r="A38">
        <v>3502</v>
      </c>
      <c r="B38" t="s">
        <v>393</v>
      </c>
      <c r="C38" t="s">
        <v>294</v>
      </c>
      <c r="D38" t="str">
        <f t="shared" si="2"/>
        <v>Stones and Glass</v>
      </c>
      <c r="E38" t="str">
        <f t="shared" si="3"/>
        <v>Bowie</v>
      </c>
    </row>
    <row r="39" spans="1:5" x14ac:dyDescent="0.25">
      <c r="A39">
        <v>3510</v>
      </c>
      <c r="B39" t="s">
        <v>394</v>
      </c>
      <c r="C39" t="s">
        <v>318</v>
      </c>
      <c r="D39" t="str">
        <f t="shared" si="2"/>
        <v>Hobby Warehouse</v>
      </c>
      <c r="E39" t="str">
        <f t="shared" si="3"/>
        <v>Bonham</v>
      </c>
    </row>
    <row r="40" spans="1:5" x14ac:dyDescent="0.25">
      <c r="A40">
        <v>3540</v>
      </c>
      <c r="B40" t="s">
        <v>401</v>
      </c>
      <c r="C40" t="s">
        <v>383</v>
      </c>
      <c r="D40" t="str">
        <f t="shared" si="2"/>
        <v>Silk Flowers</v>
      </c>
      <c r="E40" t="str">
        <f t="shared" si="3"/>
        <v>Bowie</v>
      </c>
    </row>
    <row r="41" spans="1:5" x14ac:dyDescent="0.25">
      <c r="A41">
        <v>3820</v>
      </c>
      <c r="B41" t="s">
        <v>394</v>
      </c>
      <c r="C41" t="s">
        <v>308</v>
      </c>
      <c r="D41" t="str">
        <f t="shared" si="2"/>
        <v>Hobby Warehouse</v>
      </c>
      <c r="E41" t="str">
        <f t="shared" si="3"/>
        <v>Bonham</v>
      </c>
    </row>
    <row r="42" spans="1:5" x14ac:dyDescent="0.25">
      <c r="A42">
        <v>4000</v>
      </c>
      <c r="B42" t="s">
        <v>233</v>
      </c>
      <c r="C42" t="s">
        <v>262</v>
      </c>
      <c r="D42" t="str">
        <f t="shared" si="2"/>
        <v>Fabric Stores</v>
      </c>
      <c r="E42" t="str">
        <f t="shared" si="3"/>
        <v>Garland</v>
      </c>
    </row>
    <row r="43" spans="1:5" x14ac:dyDescent="0.25">
      <c r="A43">
        <v>4005</v>
      </c>
      <c r="B43" t="s">
        <v>393</v>
      </c>
      <c r="C43" t="s">
        <v>275</v>
      </c>
      <c r="D43" t="str">
        <f t="shared" si="2"/>
        <v>Stones and Glass</v>
      </c>
      <c r="E43" t="str">
        <f t="shared" si="3"/>
        <v>Bowie</v>
      </c>
    </row>
    <row r="44" spans="1:5" x14ac:dyDescent="0.25">
      <c r="A44">
        <v>4010</v>
      </c>
      <c r="B44" t="s">
        <v>401</v>
      </c>
      <c r="C44" t="s">
        <v>303</v>
      </c>
      <c r="D44" t="str">
        <f t="shared" si="2"/>
        <v>Silk Flowers</v>
      </c>
      <c r="E44" t="str">
        <f t="shared" si="3"/>
        <v>Bowie</v>
      </c>
    </row>
    <row r="45" spans="1:5" x14ac:dyDescent="0.25">
      <c r="A45">
        <v>4020</v>
      </c>
      <c r="B45" t="s">
        <v>225</v>
      </c>
      <c r="C45" t="s">
        <v>304</v>
      </c>
      <c r="D45" t="str">
        <f t="shared" si="2"/>
        <v>Fabric Stores</v>
      </c>
      <c r="E45" t="str">
        <f t="shared" si="3"/>
        <v>Garland</v>
      </c>
    </row>
    <row r="46" spans="1:5" x14ac:dyDescent="0.25">
      <c r="A46">
        <v>4022</v>
      </c>
      <c r="B46" t="s">
        <v>399</v>
      </c>
      <c r="C46" t="s">
        <v>358</v>
      </c>
      <c r="D46" t="str">
        <f t="shared" si="2"/>
        <v>Yarn House</v>
      </c>
      <c r="E46" t="str">
        <f t="shared" si="3"/>
        <v>Graham</v>
      </c>
    </row>
    <row r="47" spans="1:5" x14ac:dyDescent="0.25">
      <c r="A47">
        <v>4030</v>
      </c>
      <c r="B47" t="s">
        <v>320</v>
      </c>
      <c r="C47" t="s">
        <v>305</v>
      </c>
      <c r="D47" t="str">
        <f t="shared" si="2"/>
        <v>Various</v>
      </c>
      <c r="E47" t="str">
        <f t="shared" si="3"/>
        <v>Various</v>
      </c>
    </row>
    <row r="48" spans="1:5" x14ac:dyDescent="0.25">
      <c r="A48">
        <v>4040</v>
      </c>
      <c r="B48" t="s">
        <v>394</v>
      </c>
      <c r="C48" t="s">
        <v>253</v>
      </c>
      <c r="D48" t="str">
        <f t="shared" si="2"/>
        <v>Hobby Warehouse</v>
      </c>
      <c r="E48" t="str">
        <f t="shared" si="3"/>
        <v>Bonham</v>
      </c>
    </row>
    <row r="49" spans="1:5" x14ac:dyDescent="0.25">
      <c r="A49">
        <v>4050</v>
      </c>
      <c r="B49" t="s">
        <v>395</v>
      </c>
      <c r="C49" t="s">
        <v>252</v>
      </c>
      <c r="D49" t="str">
        <f t="shared" si="2"/>
        <v>Hobby Warehouse</v>
      </c>
      <c r="E49" t="str">
        <f t="shared" si="3"/>
        <v>Bonham</v>
      </c>
    </row>
    <row r="50" spans="1:5" x14ac:dyDescent="0.25">
      <c r="A50">
        <v>4105</v>
      </c>
      <c r="B50" t="s">
        <v>393</v>
      </c>
      <c r="C50" t="s">
        <v>284</v>
      </c>
      <c r="D50" t="str">
        <f t="shared" si="2"/>
        <v>Stones and Glass</v>
      </c>
      <c r="E50" t="str">
        <f t="shared" si="3"/>
        <v>Bowie</v>
      </c>
    </row>
    <row r="51" spans="1:5" x14ac:dyDescent="0.25">
      <c r="A51">
        <v>4111</v>
      </c>
      <c r="B51" t="s">
        <v>225</v>
      </c>
      <c r="C51" t="s">
        <v>349</v>
      </c>
      <c r="D51" t="str">
        <f t="shared" si="2"/>
        <v>Fabric Stores</v>
      </c>
      <c r="E51" t="str">
        <f t="shared" si="3"/>
        <v>Garland</v>
      </c>
    </row>
    <row r="52" spans="1:5" x14ac:dyDescent="0.25">
      <c r="A52">
        <v>4210</v>
      </c>
      <c r="B52" t="s">
        <v>401</v>
      </c>
      <c r="C52" t="s">
        <v>374</v>
      </c>
      <c r="D52" t="str">
        <f t="shared" si="2"/>
        <v>Silk Flowers</v>
      </c>
      <c r="E52" t="str">
        <f t="shared" si="3"/>
        <v>Bowie</v>
      </c>
    </row>
    <row r="53" spans="1:5" x14ac:dyDescent="0.25">
      <c r="A53">
        <v>4280</v>
      </c>
      <c r="B53" t="s">
        <v>401</v>
      </c>
      <c r="C53" t="s">
        <v>378</v>
      </c>
      <c r="D53" t="str">
        <f t="shared" si="2"/>
        <v>Silk Flowers</v>
      </c>
      <c r="E53" t="str">
        <f t="shared" si="3"/>
        <v>Bowie</v>
      </c>
    </row>
    <row r="54" spans="1:5" x14ac:dyDescent="0.25">
      <c r="A54">
        <v>4502</v>
      </c>
      <c r="B54" t="s">
        <v>393</v>
      </c>
      <c r="C54" t="s">
        <v>293</v>
      </c>
      <c r="D54" t="str">
        <f t="shared" si="2"/>
        <v>Stones and Glass</v>
      </c>
      <c r="E54" t="str">
        <f t="shared" si="3"/>
        <v>Bowie</v>
      </c>
    </row>
    <row r="55" spans="1:5" x14ac:dyDescent="0.25">
      <c r="A55">
        <v>4510</v>
      </c>
      <c r="B55" t="s">
        <v>394</v>
      </c>
      <c r="C55" t="s">
        <v>317</v>
      </c>
      <c r="D55" t="str">
        <f t="shared" si="2"/>
        <v>Hobby Warehouse</v>
      </c>
      <c r="E55" t="str">
        <f t="shared" si="3"/>
        <v>Bonham</v>
      </c>
    </row>
    <row r="56" spans="1:5" x14ac:dyDescent="0.25">
      <c r="A56">
        <v>4540</v>
      </c>
      <c r="B56" t="s">
        <v>401</v>
      </c>
      <c r="C56" t="s">
        <v>384</v>
      </c>
      <c r="D56" t="str">
        <f t="shared" si="2"/>
        <v>Silk Flowers</v>
      </c>
      <c r="E56" t="str">
        <f t="shared" si="3"/>
        <v>Bowie</v>
      </c>
    </row>
    <row r="57" spans="1:5" x14ac:dyDescent="0.25">
      <c r="A57">
        <v>4820</v>
      </c>
      <c r="B57" t="s">
        <v>394</v>
      </c>
      <c r="C57" t="s">
        <v>307</v>
      </c>
      <c r="D57" t="str">
        <f t="shared" si="2"/>
        <v>Hobby Warehouse</v>
      </c>
      <c r="E57" t="str">
        <f t="shared" si="3"/>
        <v>Bonham</v>
      </c>
    </row>
    <row r="58" spans="1:5" x14ac:dyDescent="0.25">
      <c r="A58">
        <v>4910</v>
      </c>
      <c r="B58" t="s">
        <v>395</v>
      </c>
      <c r="C58" t="s">
        <v>322</v>
      </c>
      <c r="D58" t="str">
        <f t="shared" si="2"/>
        <v>Hobby Warehouse</v>
      </c>
      <c r="E58" t="str">
        <f t="shared" si="3"/>
        <v>Bonham</v>
      </c>
    </row>
    <row r="59" spans="1:5" x14ac:dyDescent="0.25">
      <c r="A59">
        <v>5000</v>
      </c>
      <c r="B59" t="s">
        <v>233</v>
      </c>
      <c r="C59" t="s">
        <v>260</v>
      </c>
      <c r="D59" t="str">
        <f t="shared" si="2"/>
        <v>Fabric Stores</v>
      </c>
      <c r="E59" t="str">
        <f t="shared" si="3"/>
        <v>Garland</v>
      </c>
    </row>
    <row r="60" spans="1:5" x14ac:dyDescent="0.25">
      <c r="A60">
        <v>5002</v>
      </c>
      <c r="B60" t="s">
        <v>225</v>
      </c>
      <c r="C60" t="s">
        <v>257</v>
      </c>
      <c r="D60" t="str">
        <f t="shared" si="2"/>
        <v>Fabric Stores</v>
      </c>
      <c r="E60" t="str">
        <f t="shared" si="3"/>
        <v>Garland</v>
      </c>
    </row>
    <row r="61" spans="1:5" x14ac:dyDescent="0.25">
      <c r="A61">
        <v>5005</v>
      </c>
      <c r="B61" t="s">
        <v>393</v>
      </c>
      <c r="C61" t="s">
        <v>274</v>
      </c>
      <c r="D61" t="str">
        <f t="shared" si="2"/>
        <v>Stones and Glass</v>
      </c>
      <c r="E61" t="str">
        <f t="shared" si="3"/>
        <v>Bowie</v>
      </c>
    </row>
    <row r="62" spans="1:5" x14ac:dyDescent="0.25">
      <c r="A62">
        <v>5022</v>
      </c>
      <c r="B62" t="s">
        <v>399</v>
      </c>
      <c r="C62" t="s">
        <v>360</v>
      </c>
      <c r="D62" t="str">
        <f t="shared" si="2"/>
        <v>Yarn House</v>
      </c>
      <c r="E62" t="str">
        <f t="shared" si="3"/>
        <v>Graham</v>
      </c>
    </row>
    <row r="63" spans="1:5" x14ac:dyDescent="0.25">
      <c r="A63">
        <v>5105</v>
      </c>
      <c r="B63" t="s">
        <v>393</v>
      </c>
      <c r="C63" t="s">
        <v>283</v>
      </c>
      <c r="D63" t="str">
        <f t="shared" si="2"/>
        <v>Stones and Glass</v>
      </c>
      <c r="E63" t="str">
        <f t="shared" si="3"/>
        <v>Bowie</v>
      </c>
    </row>
    <row r="64" spans="1:5" x14ac:dyDescent="0.25">
      <c r="A64">
        <v>5111</v>
      </c>
      <c r="B64" t="s">
        <v>225</v>
      </c>
      <c r="C64" t="s">
        <v>350</v>
      </c>
      <c r="D64" t="str">
        <f t="shared" si="2"/>
        <v>Fabric Stores</v>
      </c>
      <c r="E64" t="str">
        <f t="shared" si="3"/>
        <v>Garland</v>
      </c>
    </row>
    <row r="65" spans="1:5" x14ac:dyDescent="0.25">
      <c r="A65">
        <v>5210</v>
      </c>
      <c r="B65" t="s">
        <v>401</v>
      </c>
      <c r="C65" t="s">
        <v>424</v>
      </c>
      <c r="D65" t="str">
        <f t="shared" si="2"/>
        <v>Silk Flowers</v>
      </c>
      <c r="E65" t="str">
        <f t="shared" si="3"/>
        <v>Bowie</v>
      </c>
    </row>
    <row r="66" spans="1:5" x14ac:dyDescent="0.25">
      <c r="A66">
        <v>5280</v>
      </c>
      <c r="B66" t="s">
        <v>401</v>
      </c>
      <c r="C66" t="s">
        <v>379</v>
      </c>
      <c r="D66" t="str">
        <f t="shared" ref="D66:D97" si="4">IFERROR(VLOOKUP(B66,Product_Suppliers,2,FALSE),"Various")</f>
        <v>Silk Flowers</v>
      </c>
      <c r="E66" t="str">
        <f t="shared" ref="E66:E97" si="5">IFERROR(HLOOKUP(B66,Specialty_Store,2,FALSE),"Various")</f>
        <v>Bowie</v>
      </c>
    </row>
    <row r="67" spans="1:5" x14ac:dyDescent="0.25">
      <c r="A67">
        <v>5500</v>
      </c>
      <c r="B67" t="s">
        <v>233</v>
      </c>
      <c r="C67" t="s">
        <v>329</v>
      </c>
      <c r="D67" t="str">
        <f t="shared" si="4"/>
        <v>Fabric Stores</v>
      </c>
      <c r="E67" t="str">
        <f t="shared" si="5"/>
        <v>Garland</v>
      </c>
    </row>
    <row r="68" spans="1:5" x14ac:dyDescent="0.25">
      <c r="A68">
        <v>5502</v>
      </c>
      <c r="B68" t="s">
        <v>393</v>
      </c>
      <c r="C68" t="s">
        <v>288</v>
      </c>
      <c r="D68" t="str">
        <f t="shared" si="4"/>
        <v>Stones and Glass</v>
      </c>
      <c r="E68" t="str">
        <f t="shared" si="5"/>
        <v>Bowie</v>
      </c>
    </row>
    <row r="69" spans="1:5" x14ac:dyDescent="0.25">
      <c r="A69">
        <v>5510</v>
      </c>
      <c r="B69" t="s">
        <v>394</v>
      </c>
      <c r="C69" t="s">
        <v>316</v>
      </c>
      <c r="D69" t="str">
        <f t="shared" si="4"/>
        <v>Hobby Warehouse</v>
      </c>
      <c r="E69" t="str">
        <f t="shared" si="5"/>
        <v>Bonham</v>
      </c>
    </row>
    <row r="70" spans="1:5" x14ac:dyDescent="0.25">
      <c r="A70">
        <v>5540</v>
      </c>
      <c r="B70" t="s">
        <v>401</v>
      </c>
      <c r="C70" t="s">
        <v>385</v>
      </c>
      <c r="D70" t="str">
        <f t="shared" si="4"/>
        <v>Silk Flowers</v>
      </c>
      <c r="E70" t="str">
        <f t="shared" si="5"/>
        <v>Bowie</v>
      </c>
    </row>
    <row r="71" spans="1:5" x14ac:dyDescent="0.25">
      <c r="A71">
        <v>5575</v>
      </c>
      <c r="B71" t="s">
        <v>233</v>
      </c>
      <c r="C71" t="s">
        <v>334</v>
      </c>
      <c r="D71" t="str">
        <f t="shared" si="4"/>
        <v>Fabric Stores</v>
      </c>
      <c r="E71" t="str">
        <f t="shared" si="5"/>
        <v>Garland</v>
      </c>
    </row>
    <row r="72" spans="1:5" x14ac:dyDescent="0.25">
      <c r="A72">
        <v>5685</v>
      </c>
      <c r="B72" t="s">
        <v>393</v>
      </c>
      <c r="C72" t="s">
        <v>299</v>
      </c>
      <c r="D72" t="str">
        <f t="shared" si="4"/>
        <v>Stones and Glass</v>
      </c>
      <c r="E72" t="str">
        <f t="shared" si="5"/>
        <v>Bowie</v>
      </c>
    </row>
    <row r="73" spans="1:5" x14ac:dyDescent="0.25">
      <c r="A73">
        <v>5820</v>
      </c>
      <c r="B73" t="s">
        <v>394</v>
      </c>
      <c r="C73" t="s">
        <v>306</v>
      </c>
      <c r="D73" t="str">
        <f t="shared" si="4"/>
        <v>Hobby Warehouse</v>
      </c>
      <c r="E73" t="str">
        <f t="shared" si="5"/>
        <v>Bonham</v>
      </c>
    </row>
    <row r="74" spans="1:5" x14ac:dyDescent="0.25">
      <c r="A74">
        <v>5910</v>
      </c>
      <c r="B74" t="s">
        <v>395</v>
      </c>
      <c r="C74" t="s">
        <v>323</v>
      </c>
      <c r="D74" t="str">
        <f t="shared" si="4"/>
        <v>Hobby Warehouse</v>
      </c>
      <c r="E74" t="str">
        <f t="shared" si="5"/>
        <v>Bonham</v>
      </c>
    </row>
    <row r="75" spans="1:5" x14ac:dyDescent="0.25">
      <c r="A75">
        <v>6000</v>
      </c>
      <c r="B75" t="s">
        <v>233</v>
      </c>
      <c r="C75" t="s">
        <v>254</v>
      </c>
      <c r="D75" t="str">
        <f t="shared" si="4"/>
        <v>Fabric Stores</v>
      </c>
      <c r="E75" t="str">
        <f t="shared" si="5"/>
        <v>Garland</v>
      </c>
    </row>
    <row r="76" spans="1:5" x14ac:dyDescent="0.25">
      <c r="A76">
        <v>6002</v>
      </c>
      <c r="B76" t="s">
        <v>225</v>
      </c>
      <c r="C76" t="s">
        <v>343</v>
      </c>
      <c r="D76" t="str">
        <f t="shared" si="4"/>
        <v>Fabric Stores</v>
      </c>
      <c r="E76" t="str">
        <f t="shared" si="5"/>
        <v>Garland</v>
      </c>
    </row>
    <row r="77" spans="1:5" x14ac:dyDescent="0.25">
      <c r="A77">
        <v>6005</v>
      </c>
      <c r="B77" t="s">
        <v>393</v>
      </c>
      <c r="C77" t="s">
        <v>273</v>
      </c>
      <c r="D77" t="str">
        <f t="shared" si="4"/>
        <v>Stones and Glass</v>
      </c>
      <c r="E77" t="str">
        <f t="shared" si="5"/>
        <v>Bowie</v>
      </c>
    </row>
    <row r="78" spans="1:5" x14ac:dyDescent="0.25">
      <c r="A78">
        <v>6022</v>
      </c>
      <c r="B78" t="s">
        <v>399</v>
      </c>
      <c r="C78" t="s">
        <v>359</v>
      </c>
      <c r="D78" t="str">
        <f t="shared" si="4"/>
        <v>Yarn House</v>
      </c>
      <c r="E78" t="str">
        <f t="shared" si="5"/>
        <v>Graham</v>
      </c>
    </row>
    <row r="79" spans="1:5" x14ac:dyDescent="0.25">
      <c r="A79">
        <v>6105</v>
      </c>
      <c r="B79" t="s">
        <v>393</v>
      </c>
      <c r="C79" t="s">
        <v>282</v>
      </c>
      <c r="D79" t="str">
        <f t="shared" si="4"/>
        <v>Stones and Glass</v>
      </c>
      <c r="E79" t="str">
        <f t="shared" si="5"/>
        <v>Bowie</v>
      </c>
    </row>
    <row r="80" spans="1:5" x14ac:dyDescent="0.25">
      <c r="A80">
        <v>6111</v>
      </c>
      <c r="B80" t="s">
        <v>225</v>
      </c>
      <c r="C80" t="s">
        <v>351</v>
      </c>
      <c r="D80" t="str">
        <f t="shared" si="4"/>
        <v>Fabric Stores</v>
      </c>
      <c r="E80" t="str">
        <f t="shared" si="5"/>
        <v>Garland</v>
      </c>
    </row>
    <row r="81" spans="1:5" x14ac:dyDescent="0.25">
      <c r="A81">
        <v>6210</v>
      </c>
      <c r="B81" t="s">
        <v>401</v>
      </c>
      <c r="C81" t="s">
        <v>372</v>
      </c>
      <c r="D81" t="str">
        <f t="shared" si="4"/>
        <v>Silk Flowers</v>
      </c>
      <c r="E81" t="str">
        <f t="shared" si="5"/>
        <v>Bowie</v>
      </c>
    </row>
    <row r="82" spans="1:5" x14ac:dyDescent="0.25">
      <c r="A82">
        <v>6230</v>
      </c>
      <c r="B82" t="s">
        <v>399</v>
      </c>
      <c r="C82" t="s">
        <v>362</v>
      </c>
      <c r="D82" t="str">
        <f t="shared" si="4"/>
        <v>Yarn House</v>
      </c>
      <c r="E82" t="str">
        <f t="shared" si="5"/>
        <v>Graham</v>
      </c>
    </row>
    <row r="83" spans="1:5" x14ac:dyDescent="0.25">
      <c r="A83">
        <v>6280</v>
      </c>
      <c r="B83" t="s">
        <v>401</v>
      </c>
      <c r="C83" t="s">
        <v>380</v>
      </c>
      <c r="D83" t="str">
        <f t="shared" si="4"/>
        <v>Silk Flowers</v>
      </c>
      <c r="E83" t="str">
        <f t="shared" si="5"/>
        <v>Bowie</v>
      </c>
    </row>
    <row r="84" spans="1:5" x14ac:dyDescent="0.25">
      <c r="A84">
        <v>6500</v>
      </c>
      <c r="B84" t="s">
        <v>233</v>
      </c>
      <c r="C84" t="s">
        <v>333</v>
      </c>
      <c r="D84" t="str">
        <f t="shared" si="4"/>
        <v>Fabric Stores</v>
      </c>
      <c r="E84" t="str">
        <f t="shared" si="5"/>
        <v>Garland</v>
      </c>
    </row>
    <row r="85" spans="1:5" x14ac:dyDescent="0.25">
      <c r="A85">
        <v>6502</v>
      </c>
      <c r="B85" t="s">
        <v>393</v>
      </c>
      <c r="C85" t="s">
        <v>289</v>
      </c>
      <c r="D85" t="str">
        <f t="shared" si="4"/>
        <v>Stones and Glass</v>
      </c>
      <c r="E85" t="str">
        <f t="shared" si="5"/>
        <v>Bowie</v>
      </c>
    </row>
    <row r="86" spans="1:5" x14ac:dyDescent="0.25">
      <c r="A86">
        <v>6510</v>
      </c>
      <c r="B86" t="s">
        <v>394</v>
      </c>
      <c r="C86" t="s">
        <v>315</v>
      </c>
      <c r="D86" t="str">
        <f t="shared" si="4"/>
        <v>Hobby Warehouse</v>
      </c>
      <c r="E86" t="str">
        <f t="shared" si="5"/>
        <v>Bonham</v>
      </c>
    </row>
    <row r="87" spans="1:5" x14ac:dyDescent="0.25">
      <c r="A87">
        <v>6540</v>
      </c>
      <c r="B87" t="s">
        <v>401</v>
      </c>
      <c r="C87" t="s">
        <v>386</v>
      </c>
      <c r="D87" t="str">
        <f t="shared" si="4"/>
        <v>Silk Flowers</v>
      </c>
      <c r="E87" t="str">
        <f t="shared" si="5"/>
        <v>Bowie</v>
      </c>
    </row>
    <row r="88" spans="1:5" x14ac:dyDescent="0.25">
      <c r="A88">
        <v>6675</v>
      </c>
      <c r="B88" t="s">
        <v>233</v>
      </c>
      <c r="C88" t="s">
        <v>335</v>
      </c>
      <c r="D88" t="str">
        <f t="shared" si="4"/>
        <v>Fabric Stores</v>
      </c>
      <c r="E88" t="str">
        <f t="shared" si="5"/>
        <v>Garland</v>
      </c>
    </row>
    <row r="89" spans="1:5" x14ac:dyDescent="0.25">
      <c r="A89">
        <v>6820</v>
      </c>
      <c r="B89" t="s">
        <v>394</v>
      </c>
      <c r="C89" t="s">
        <v>266</v>
      </c>
      <c r="D89" t="str">
        <f t="shared" si="4"/>
        <v>Hobby Warehouse</v>
      </c>
      <c r="E89" t="str">
        <f t="shared" si="5"/>
        <v>Bonham</v>
      </c>
    </row>
    <row r="90" spans="1:5" x14ac:dyDescent="0.25">
      <c r="A90">
        <v>6910</v>
      </c>
      <c r="B90" t="s">
        <v>395</v>
      </c>
      <c r="C90" t="s">
        <v>324</v>
      </c>
      <c r="D90" t="str">
        <f t="shared" si="4"/>
        <v>Hobby Warehouse</v>
      </c>
      <c r="E90" t="str">
        <f t="shared" si="5"/>
        <v>Bonham</v>
      </c>
    </row>
    <row r="91" spans="1:5" x14ac:dyDescent="0.25">
      <c r="A91">
        <v>7000</v>
      </c>
      <c r="B91" t="s">
        <v>233</v>
      </c>
      <c r="C91" t="s">
        <v>255</v>
      </c>
      <c r="D91" t="str">
        <f t="shared" si="4"/>
        <v>Fabric Stores</v>
      </c>
      <c r="E91" t="str">
        <f t="shared" si="5"/>
        <v>Garland</v>
      </c>
    </row>
    <row r="92" spans="1:5" x14ac:dyDescent="0.25">
      <c r="A92">
        <v>7002</v>
      </c>
      <c r="B92" t="s">
        <v>225</v>
      </c>
      <c r="C92" t="s">
        <v>261</v>
      </c>
      <c r="D92" t="str">
        <f t="shared" si="4"/>
        <v>Fabric Stores</v>
      </c>
      <c r="E92" t="str">
        <f t="shared" si="5"/>
        <v>Garland</v>
      </c>
    </row>
    <row r="93" spans="1:5" x14ac:dyDescent="0.25">
      <c r="A93">
        <v>7005</v>
      </c>
      <c r="B93" t="s">
        <v>393</v>
      </c>
      <c r="C93" t="s">
        <v>272</v>
      </c>
      <c r="D93" t="str">
        <f t="shared" si="4"/>
        <v>Stones and Glass</v>
      </c>
      <c r="E93" t="str">
        <f t="shared" si="5"/>
        <v>Bowie</v>
      </c>
    </row>
    <row r="94" spans="1:5" x14ac:dyDescent="0.25">
      <c r="A94">
        <v>7022</v>
      </c>
      <c r="B94" t="s">
        <v>399</v>
      </c>
      <c r="C94" t="s">
        <v>396</v>
      </c>
      <c r="D94" t="str">
        <f t="shared" si="4"/>
        <v>Yarn House</v>
      </c>
      <c r="E94" t="str">
        <f t="shared" si="5"/>
        <v>Graham</v>
      </c>
    </row>
    <row r="95" spans="1:5" x14ac:dyDescent="0.25">
      <c r="A95">
        <v>7105</v>
      </c>
      <c r="B95" t="s">
        <v>393</v>
      </c>
      <c r="C95" t="s">
        <v>281</v>
      </c>
      <c r="D95" t="str">
        <f t="shared" si="4"/>
        <v>Stones and Glass</v>
      </c>
      <c r="E95" t="str">
        <f t="shared" si="5"/>
        <v>Bowie</v>
      </c>
    </row>
    <row r="96" spans="1:5" x14ac:dyDescent="0.25">
      <c r="A96">
        <v>7111</v>
      </c>
      <c r="B96" t="s">
        <v>225</v>
      </c>
      <c r="C96" t="s">
        <v>352</v>
      </c>
      <c r="D96" t="str">
        <f t="shared" si="4"/>
        <v>Fabric Stores</v>
      </c>
      <c r="E96" t="str">
        <f t="shared" si="5"/>
        <v>Garland</v>
      </c>
    </row>
    <row r="97" spans="1:5" x14ac:dyDescent="0.25">
      <c r="A97">
        <v>7125</v>
      </c>
      <c r="B97" t="s">
        <v>393</v>
      </c>
      <c r="C97" t="s">
        <v>301</v>
      </c>
      <c r="D97" t="str">
        <f t="shared" si="4"/>
        <v>Stones and Glass</v>
      </c>
      <c r="E97" t="str">
        <f t="shared" si="5"/>
        <v>Bowie</v>
      </c>
    </row>
    <row r="98" spans="1:5" x14ac:dyDescent="0.25">
      <c r="A98">
        <v>7135</v>
      </c>
      <c r="B98" t="s">
        <v>393</v>
      </c>
      <c r="C98" t="s">
        <v>302</v>
      </c>
      <c r="D98" t="str">
        <f t="shared" ref="D98:D129" si="6">IFERROR(VLOOKUP(B98,Product_Suppliers,2,FALSE),"Various")</f>
        <v>Stones and Glass</v>
      </c>
      <c r="E98" t="str">
        <f t="shared" ref="E98:E129" si="7">IFERROR(HLOOKUP(B98,Specialty_Store,2,FALSE),"Various")</f>
        <v>Bowie</v>
      </c>
    </row>
    <row r="99" spans="1:5" x14ac:dyDescent="0.25">
      <c r="A99">
        <v>7210</v>
      </c>
      <c r="B99" t="s">
        <v>401</v>
      </c>
      <c r="C99" t="s">
        <v>270</v>
      </c>
      <c r="D99" t="str">
        <f t="shared" si="6"/>
        <v>Silk Flowers</v>
      </c>
      <c r="E99" t="str">
        <f t="shared" si="7"/>
        <v>Bowie</v>
      </c>
    </row>
    <row r="100" spans="1:5" x14ac:dyDescent="0.25">
      <c r="A100">
        <v>7280</v>
      </c>
      <c r="B100" t="s">
        <v>401</v>
      </c>
      <c r="C100" t="s">
        <v>381</v>
      </c>
      <c r="D100" t="str">
        <f t="shared" si="6"/>
        <v>Silk Flowers</v>
      </c>
      <c r="E100" t="str">
        <f t="shared" si="7"/>
        <v>Bowie</v>
      </c>
    </row>
    <row r="101" spans="1:5" x14ac:dyDescent="0.25">
      <c r="A101">
        <v>7320</v>
      </c>
      <c r="B101" t="s">
        <v>399</v>
      </c>
      <c r="C101" t="s">
        <v>363</v>
      </c>
      <c r="D101" t="str">
        <f t="shared" si="6"/>
        <v>Yarn House</v>
      </c>
      <c r="E101" t="str">
        <f t="shared" si="7"/>
        <v>Graham</v>
      </c>
    </row>
    <row r="102" spans="1:5" x14ac:dyDescent="0.25">
      <c r="A102">
        <v>7500</v>
      </c>
      <c r="B102" t="s">
        <v>233</v>
      </c>
      <c r="C102" t="s">
        <v>330</v>
      </c>
      <c r="D102" t="str">
        <f t="shared" si="6"/>
        <v>Fabric Stores</v>
      </c>
      <c r="E102" t="str">
        <f t="shared" si="7"/>
        <v>Garland</v>
      </c>
    </row>
    <row r="103" spans="1:5" x14ac:dyDescent="0.25">
      <c r="A103">
        <v>7502</v>
      </c>
      <c r="B103" t="s">
        <v>393</v>
      </c>
      <c r="C103" t="s">
        <v>290</v>
      </c>
      <c r="D103" t="str">
        <f t="shared" si="6"/>
        <v>Stones and Glass</v>
      </c>
      <c r="E103" t="str">
        <f t="shared" si="7"/>
        <v>Bowie</v>
      </c>
    </row>
    <row r="104" spans="1:5" x14ac:dyDescent="0.25">
      <c r="A104">
        <v>7510</v>
      </c>
      <c r="B104" t="s">
        <v>394</v>
      </c>
      <c r="C104" t="s">
        <v>314</v>
      </c>
      <c r="D104" t="str">
        <f t="shared" si="6"/>
        <v>Hobby Warehouse</v>
      </c>
      <c r="E104" t="str">
        <f t="shared" si="7"/>
        <v>Bonham</v>
      </c>
    </row>
    <row r="105" spans="1:5" x14ac:dyDescent="0.25">
      <c r="A105">
        <v>7775</v>
      </c>
      <c r="B105" t="s">
        <v>233</v>
      </c>
      <c r="C105" t="s">
        <v>336</v>
      </c>
      <c r="D105" t="str">
        <f t="shared" si="6"/>
        <v>Fabric Stores</v>
      </c>
      <c r="E105" t="str">
        <f t="shared" si="7"/>
        <v>Garland</v>
      </c>
    </row>
    <row r="106" spans="1:5" x14ac:dyDescent="0.25">
      <c r="A106">
        <v>7820</v>
      </c>
      <c r="B106" t="s">
        <v>394</v>
      </c>
      <c r="C106" t="s">
        <v>264</v>
      </c>
      <c r="D106" t="str">
        <f t="shared" si="6"/>
        <v>Hobby Warehouse</v>
      </c>
      <c r="E106" t="str">
        <f t="shared" si="7"/>
        <v>Bonham</v>
      </c>
    </row>
    <row r="107" spans="1:5" x14ac:dyDescent="0.25">
      <c r="A107">
        <v>7910</v>
      </c>
      <c r="B107" t="s">
        <v>395</v>
      </c>
      <c r="C107" t="s">
        <v>325</v>
      </c>
      <c r="D107" t="str">
        <f t="shared" si="6"/>
        <v>Hobby Warehouse</v>
      </c>
      <c r="E107" t="str">
        <f t="shared" si="7"/>
        <v>Bonham</v>
      </c>
    </row>
    <row r="108" spans="1:5" x14ac:dyDescent="0.25">
      <c r="A108">
        <v>8000</v>
      </c>
      <c r="B108" t="s">
        <v>233</v>
      </c>
      <c r="C108" t="s">
        <v>256</v>
      </c>
      <c r="D108" t="str">
        <f t="shared" si="6"/>
        <v>Fabric Stores</v>
      </c>
      <c r="E108" t="str">
        <f t="shared" si="7"/>
        <v>Garland</v>
      </c>
    </row>
    <row r="109" spans="1:5" x14ac:dyDescent="0.25">
      <c r="A109">
        <v>8002</v>
      </c>
      <c r="B109" t="s">
        <v>225</v>
      </c>
      <c r="C109" t="s">
        <v>263</v>
      </c>
      <c r="D109" t="str">
        <f t="shared" si="6"/>
        <v>Fabric Stores</v>
      </c>
      <c r="E109" t="str">
        <f t="shared" si="7"/>
        <v>Garland</v>
      </c>
    </row>
    <row r="110" spans="1:5" x14ac:dyDescent="0.25">
      <c r="A110">
        <v>8005</v>
      </c>
      <c r="B110" t="s">
        <v>393</v>
      </c>
      <c r="C110" t="s">
        <v>271</v>
      </c>
      <c r="D110" t="str">
        <f t="shared" si="6"/>
        <v>Stones and Glass</v>
      </c>
      <c r="E110" t="str">
        <f t="shared" si="7"/>
        <v>Bowie</v>
      </c>
    </row>
    <row r="111" spans="1:5" x14ac:dyDescent="0.25">
      <c r="A111">
        <v>8022</v>
      </c>
      <c r="B111" t="s">
        <v>399</v>
      </c>
      <c r="C111" t="s">
        <v>365</v>
      </c>
      <c r="D111" t="str">
        <f t="shared" si="6"/>
        <v>Yarn House</v>
      </c>
      <c r="E111" t="str">
        <f t="shared" si="7"/>
        <v>Graham</v>
      </c>
    </row>
    <row r="112" spans="1:5" x14ac:dyDescent="0.25">
      <c r="A112">
        <v>8023</v>
      </c>
      <c r="B112" t="s">
        <v>399</v>
      </c>
      <c r="C112" t="s">
        <v>364</v>
      </c>
      <c r="D112" t="str">
        <f t="shared" si="6"/>
        <v>Yarn House</v>
      </c>
      <c r="E112" t="str">
        <f t="shared" si="7"/>
        <v>Graham</v>
      </c>
    </row>
    <row r="113" spans="1:5" x14ac:dyDescent="0.25">
      <c r="A113">
        <v>8105</v>
      </c>
      <c r="B113" t="s">
        <v>393</v>
      </c>
      <c r="C113" t="s">
        <v>280</v>
      </c>
      <c r="D113" t="str">
        <f t="shared" si="6"/>
        <v>Stones and Glass</v>
      </c>
      <c r="E113" t="str">
        <f t="shared" si="7"/>
        <v>Bowie</v>
      </c>
    </row>
    <row r="114" spans="1:5" x14ac:dyDescent="0.25">
      <c r="A114">
        <v>8111</v>
      </c>
      <c r="B114" t="s">
        <v>225</v>
      </c>
      <c r="C114" t="s">
        <v>353</v>
      </c>
      <c r="D114" t="str">
        <f t="shared" si="6"/>
        <v>Fabric Stores</v>
      </c>
      <c r="E114" t="str">
        <f t="shared" si="7"/>
        <v>Garland</v>
      </c>
    </row>
    <row r="115" spans="1:5" x14ac:dyDescent="0.25">
      <c r="A115">
        <v>8210</v>
      </c>
      <c r="B115" t="s">
        <v>233</v>
      </c>
      <c r="C115" t="s">
        <v>339</v>
      </c>
      <c r="D115" t="str">
        <f t="shared" si="6"/>
        <v>Fabric Stores</v>
      </c>
      <c r="E115" t="str">
        <f t="shared" si="7"/>
        <v>Garland</v>
      </c>
    </row>
    <row r="116" spans="1:5" x14ac:dyDescent="0.25">
      <c r="A116">
        <v>8215</v>
      </c>
      <c r="B116" t="s">
        <v>401</v>
      </c>
      <c r="C116" t="s">
        <v>375</v>
      </c>
      <c r="D116" t="str">
        <f t="shared" si="6"/>
        <v>Silk Flowers</v>
      </c>
      <c r="E116" t="str">
        <f t="shared" si="7"/>
        <v>Bowie</v>
      </c>
    </row>
    <row r="117" spans="1:5" x14ac:dyDescent="0.25">
      <c r="A117">
        <v>8500</v>
      </c>
      <c r="B117" t="s">
        <v>233</v>
      </c>
      <c r="C117" t="s">
        <v>331</v>
      </c>
      <c r="D117" t="str">
        <f t="shared" si="6"/>
        <v>Fabric Stores</v>
      </c>
      <c r="E117" t="str">
        <f t="shared" si="7"/>
        <v>Garland</v>
      </c>
    </row>
    <row r="118" spans="1:5" x14ac:dyDescent="0.25">
      <c r="A118">
        <v>8502</v>
      </c>
      <c r="B118" t="s">
        <v>393</v>
      </c>
      <c r="C118" t="s">
        <v>291</v>
      </c>
      <c r="D118" t="str">
        <f t="shared" si="6"/>
        <v>Stones and Glass</v>
      </c>
      <c r="E118" t="str">
        <f t="shared" si="7"/>
        <v>Bowie</v>
      </c>
    </row>
    <row r="119" spans="1:5" x14ac:dyDescent="0.25">
      <c r="A119">
        <v>8503</v>
      </c>
      <c r="B119" t="s">
        <v>393</v>
      </c>
      <c r="C119" t="s">
        <v>292</v>
      </c>
      <c r="D119" t="str">
        <f t="shared" si="6"/>
        <v>Stones and Glass</v>
      </c>
      <c r="E119" t="str">
        <f t="shared" si="7"/>
        <v>Bowie</v>
      </c>
    </row>
    <row r="120" spans="1:5" x14ac:dyDescent="0.25">
      <c r="A120">
        <v>8510</v>
      </c>
      <c r="B120" t="s">
        <v>394</v>
      </c>
      <c r="C120" t="s">
        <v>313</v>
      </c>
      <c r="D120" t="str">
        <f t="shared" si="6"/>
        <v>Hobby Warehouse</v>
      </c>
      <c r="E120" t="str">
        <f t="shared" si="7"/>
        <v>Bonham</v>
      </c>
    </row>
    <row r="121" spans="1:5" x14ac:dyDescent="0.25">
      <c r="A121">
        <v>8670</v>
      </c>
      <c r="B121" t="s">
        <v>393</v>
      </c>
      <c r="C121" t="s">
        <v>298</v>
      </c>
      <c r="D121" t="str">
        <f t="shared" si="6"/>
        <v>Stones and Glass</v>
      </c>
      <c r="E121" t="str">
        <f t="shared" si="7"/>
        <v>Bowie</v>
      </c>
    </row>
    <row r="122" spans="1:5" x14ac:dyDescent="0.25">
      <c r="A122">
        <v>8875</v>
      </c>
      <c r="B122" t="s">
        <v>233</v>
      </c>
      <c r="C122" t="s">
        <v>337</v>
      </c>
      <c r="D122" t="str">
        <f t="shared" si="6"/>
        <v>Fabric Stores</v>
      </c>
      <c r="E122" t="str">
        <f t="shared" si="7"/>
        <v>Garland</v>
      </c>
    </row>
    <row r="123" spans="1:5" x14ac:dyDescent="0.25">
      <c r="A123">
        <v>8910</v>
      </c>
      <c r="B123" t="s">
        <v>395</v>
      </c>
      <c r="C123" t="s">
        <v>326</v>
      </c>
      <c r="D123" t="str">
        <f t="shared" si="6"/>
        <v>Hobby Warehouse</v>
      </c>
      <c r="E123" t="str">
        <f t="shared" si="7"/>
        <v>Bonham</v>
      </c>
    </row>
    <row r="124" spans="1:5" x14ac:dyDescent="0.25">
      <c r="A124">
        <v>9000</v>
      </c>
      <c r="B124" t="s">
        <v>233</v>
      </c>
      <c r="C124" t="s">
        <v>321</v>
      </c>
      <c r="D124" t="str">
        <f t="shared" si="6"/>
        <v>Fabric Stores</v>
      </c>
      <c r="E124" t="str">
        <f t="shared" si="7"/>
        <v>Garland</v>
      </c>
    </row>
    <row r="125" spans="1:5" x14ac:dyDescent="0.25">
      <c r="A125">
        <v>9001</v>
      </c>
      <c r="B125" t="s">
        <v>395</v>
      </c>
      <c r="C125" t="s">
        <v>249</v>
      </c>
      <c r="D125" t="str">
        <f t="shared" si="6"/>
        <v>Hobby Warehouse</v>
      </c>
      <c r="E125" t="str">
        <f t="shared" si="7"/>
        <v>Bonham</v>
      </c>
    </row>
    <row r="126" spans="1:5" x14ac:dyDescent="0.25">
      <c r="A126">
        <v>9002</v>
      </c>
      <c r="B126" t="s">
        <v>225</v>
      </c>
      <c r="C126" t="s">
        <v>341</v>
      </c>
      <c r="D126" t="str">
        <f t="shared" si="6"/>
        <v>Fabric Stores</v>
      </c>
      <c r="E126" t="str">
        <f t="shared" si="7"/>
        <v>Garland</v>
      </c>
    </row>
    <row r="127" spans="1:5" x14ac:dyDescent="0.25">
      <c r="A127">
        <v>9005</v>
      </c>
      <c r="B127" t="s">
        <v>393</v>
      </c>
      <c r="C127" t="s">
        <v>250</v>
      </c>
      <c r="D127" t="str">
        <f t="shared" si="6"/>
        <v>Stones and Glass</v>
      </c>
      <c r="E127" t="str">
        <f t="shared" si="7"/>
        <v>Bowie</v>
      </c>
    </row>
    <row r="128" spans="1:5" x14ac:dyDescent="0.25">
      <c r="A128">
        <v>9011</v>
      </c>
      <c r="B128" t="s">
        <v>395</v>
      </c>
      <c r="C128" t="s">
        <v>267</v>
      </c>
      <c r="D128" t="str">
        <f t="shared" si="6"/>
        <v>Hobby Warehouse</v>
      </c>
      <c r="E128" t="str">
        <f t="shared" si="7"/>
        <v>Bonham</v>
      </c>
    </row>
    <row r="129" spans="1:5" x14ac:dyDescent="0.25">
      <c r="A129">
        <v>9022</v>
      </c>
      <c r="B129" t="s">
        <v>399</v>
      </c>
      <c r="C129" t="s">
        <v>366</v>
      </c>
      <c r="D129" t="str">
        <f t="shared" si="6"/>
        <v>Yarn House</v>
      </c>
      <c r="E129" t="str">
        <f t="shared" si="7"/>
        <v>Graham</v>
      </c>
    </row>
    <row r="130" spans="1:5" x14ac:dyDescent="0.25">
      <c r="A130">
        <v>9105</v>
      </c>
      <c r="B130" t="s">
        <v>393</v>
      </c>
      <c r="C130" t="s">
        <v>279</v>
      </c>
      <c r="D130" t="str">
        <f t="shared" ref="D130:D140" si="8">IFERROR(VLOOKUP(B130,Product_Suppliers,2,FALSE),"Various")</f>
        <v>Stones and Glass</v>
      </c>
      <c r="E130" t="str">
        <f t="shared" ref="E130:E140" si="9">IFERROR(HLOOKUP(B130,Specialty_Store,2,FALSE),"Various")</f>
        <v>Bowie</v>
      </c>
    </row>
    <row r="131" spans="1:5" x14ac:dyDescent="0.25">
      <c r="A131">
        <v>9111</v>
      </c>
      <c r="B131" t="s">
        <v>225</v>
      </c>
      <c r="C131" t="s">
        <v>354</v>
      </c>
      <c r="D131" t="str">
        <f t="shared" si="8"/>
        <v>Fabric Stores</v>
      </c>
      <c r="E131" t="str">
        <f t="shared" si="9"/>
        <v>Garland</v>
      </c>
    </row>
    <row r="132" spans="1:5" x14ac:dyDescent="0.25">
      <c r="A132">
        <v>9210</v>
      </c>
      <c r="B132" t="s">
        <v>401</v>
      </c>
      <c r="C132" t="s">
        <v>376</v>
      </c>
      <c r="D132" t="str">
        <f t="shared" si="8"/>
        <v>Silk Flowers</v>
      </c>
      <c r="E132" t="str">
        <f t="shared" si="9"/>
        <v>Bowie</v>
      </c>
    </row>
    <row r="133" spans="1:5" x14ac:dyDescent="0.25">
      <c r="A133">
        <v>9211</v>
      </c>
      <c r="B133" t="s">
        <v>395</v>
      </c>
      <c r="C133" t="s">
        <v>268</v>
      </c>
      <c r="D133" t="str">
        <f t="shared" si="8"/>
        <v>Hobby Warehouse</v>
      </c>
      <c r="E133" t="str">
        <f t="shared" si="9"/>
        <v>Bonham</v>
      </c>
    </row>
    <row r="134" spans="1:5" x14ac:dyDescent="0.25">
      <c r="A134">
        <v>9280</v>
      </c>
      <c r="B134" t="s">
        <v>401</v>
      </c>
      <c r="C134" t="s">
        <v>382</v>
      </c>
      <c r="D134" t="str">
        <f t="shared" si="8"/>
        <v>Silk Flowers</v>
      </c>
      <c r="E134" t="str">
        <f t="shared" si="9"/>
        <v>Bowie</v>
      </c>
    </row>
    <row r="135" spans="1:5" x14ac:dyDescent="0.25">
      <c r="A135">
        <v>9500</v>
      </c>
      <c r="B135" t="s">
        <v>233</v>
      </c>
      <c r="C135" t="s">
        <v>332</v>
      </c>
      <c r="D135" t="str">
        <f t="shared" si="8"/>
        <v>Fabric Stores</v>
      </c>
      <c r="E135" t="str">
        <f t="shared" si="9"/>
        <v>Garland</v>
      </c>
    </row>
    <row r="136" spans="1:5" x14ac:dyDescent="0.25">
      <c r="A136">
        <v>9510</v>
      </c>
      <c r="B136" t="s">
        <v>394</v>
      </c>
      <c r="C136" t="s">
        <v>312</v>
      </c>
      <c r="D136" t="str">
        <f t="shared" si="8"/>
        <v>Hobby Warehouse</v>
      </c>
      <c r="E136" t="str">
        <f t="shared" si="9"/>
        <v>Bonham</v>
      </c>
    </row>
    <row r="137" spans="1:5" x14ac:dyDescent="0.25">
      <c r="A137">
        <v>9810</v>
      </c>
      <c r="B137" t="s">
        <v>394</v>
      </c>
      <c r="C137" t="s">
        <v>311</v>
      </c>
      <c r="D137" t="str">
        <f t="shared" si="8"/>
        <v>Hobby Warehouse</v>
      </c>
      <c r="E137" t="str">
        <f t="shared" si="9"/>
        <v>Bonham</v>
      </c>
    </row>
    <row r="138" spans="1:5" x14ac:dyDescent="0.25">
      <c r="A138">
        <v>9820</v>
      </c>
      <c r="B138" t="s">
        <v>394</v>
      </c>
      <c r="C138" t="s">
        <v>265</v>
      </c>
      <c r="D138" t="str">
        <f t="shared" si="8"/>
        <v>Hobby Warehouse</v>
      </c>
      <c r="E138" t="str">
        <f t="shared" si="9"/>
        <v>Bonham</v>
      </c>
    </row>
    <row r="139" spans="1:5" x14ac:dyDescent="0.25">
      <c r="A139">
        <v>9910</v>
      </c>
      <c r="B139" t="s">
        <v>395</v>
      </c>
      <c r="C139" t="s">
        <v>327</v>
      </c>
      <c r="D139" t="str">
        <f t="shared" si="8"/>
        <v>Hobby Warehouse</v>
      </c>
      <c r="E139" t="str">
        <f t="shared" si="9"/>
        <v>Bonham</v>
      </c>
    </row>
    <row r="140" spans="1:5" x14ac:dyDescent="0.25">
      <c r="A140">
        <v>9925</v>
      </c>
      <c r="B140" t="s">
        <v>233</v>
      </c>
      <c r="C140" t="s">
        <v>338</v>
      </c>
      <c r="D140" t="str">
        <f t="shared" si="8"/>
        <v>Fabric Stores</v>
      </c>
      <c r="E140" t="str">
        <f t="shared" si="9"/>
        <v>Garland</v>
      </c>
    </row>
  </sheetData>
  <pageMargins left="0.7" right="0.7" top="0.75" bottom="0.75" header="0.3" footer="0.3"/>
  <pageSetup orientation="landscape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2:K19"/>
  <sheetViews>
    <sheetView zoomScale="120" zoomScaleNormal="120" workbookViewId="0"/>
  </sheetViews>
  <sheetFormatPr defaultRowHeight="15" x14ac:dyDescent="0.25"/>
  <cols>
    <col min="1" max="3" width="16.7109375" customWidth="1"/>
    <col min="4" max="5" width="18.7109375" customWidth="1"/>
    <col min="6" max="7" width="16.7109375" customWidth="1"/>
    <col min="8" max="8" width="17.7109375" customWidth="1"/>
    <col min="9" max="10" width="11.85546875" customWidth="1"/>
    <col min="11" max="11" width="10.7109375" customWidth="1"/>
  </cols>
  <sheetData>
    <row r="2" spans="1:11" x14ac:dyDescent="0.25">
      <c r="A2" s="70" t="s">
        <v>387</v>
      </c>
      <c r="B2" s="71"/>
      <c r="C2" s="71"/>
      <c r="D2" s="71"/>
      <c r="E2" s="71"/>
      <c r="F2" s="71"/>
      <c r="G2" s="71"/>
      <c r="H2" s="71"/>
      <c r="K2" s="11"/>
    </row>
    <row r="3" spans="1:11" x14ac:dyDescent="0.25">
      <c r="A3" s="42" t="s">
        <v>231</v>
      </c>
      <c r="B3" s="10" t="s">
        <v>233</v>
      </c>
      <c r="C3" s="10" t="s">
        <v>401</v>
      </c>
      <c r="D3" s="10" t="s">
        <v>393</v>
      </c>
      <c r="E3" s="10" t="s">
        <v>394</v>
      </c>
      <c r="F3" s="10" t="s">
        <v>395</v>
      </c>
      <c r="G3" s="12" t="s">
        <v>225</v>
      </c>
      <c r="H3" s="12" t="s">
        <v>399</v>
      </c>
    </row>
    <row r="4" spans="1:11" ht="27.75" customHeight="1" x14ac:dyDescent="0.25">
      <c r="A4" s="42" t="s">
        <v>387</v>
      </c>
      <c r="B4" s="4" t="s">
        <v>211</v>
      </c>
      <c r="C4" s="4" t="s">
        <v>212</v>
      </c>
      <c r="D4" s="4" t="s">
        <v>212</v>
      </c>
      <c r="E4" s="4" t="s">
        <v>214</v>
      </c>
      <c r="F4" s="4" t="s">
        <v>214</v>
      </c>
      <c r="G4" s="4" t="s">
        <v>211</v>
      </c>
      <c r="H4" s="4" t="s">
        <v>213</v>
      </c>
    </row>
    <row r="6" spans="1:11" x14ac:dyDescent="0.25">
      <c r="A6" s="64" t="s">
        <v>237</v>
      </c>
      <c r="B6" s="65"/>
      <c r="D6" s="66" t="s">
        <v>405</v>
      </c>
      <c r="E6" s="67"/>
    </row>
    <row r="7" spans="1:11" ht="30" x14ac:dyDescent="0.25">
      <c r="A7" s="49" t="s">
        <v>231</v>
      </c>
      <c r="B7" s="50" t="s">
        <v>421</v>
      </c>
      <c r="D7" s="41" t="s">
        <v>9</v>
      </c>
      <c r="E7" s="44" t="s">
        <v>406</v>
      </c>
    </row>
    <row r="8" spans="1:11" x14ac:dyDescent="0.25">
      <c r="A8" s="10" t="s">
        <v>233</v>
      </c>
      <c r="B8" s="10" t="s">
        <v>239</v>
      </c>
      <c r="D8" s="10">
        <v>0</v>
      </c>
      <c r="E8" s="10" t="s">
        <v>243</v>
      </c>
    </row>
    <row r="9" spans="1:11" x14ac:dyDescent="0.25">
      <c r="A9" s="4" t="s">
        <v>401</v>
      </c>
      <c r="B9" s="4" t="s">
        <v>240</v>
      </c>
      <c r="D9" s="4">
        <v>1</v>
      </c>
      <c r="E9" s="4" t="s">
        <v>244</v>
      </c>
    </row>
    <row r="10" spans="1:11" x14ac:dyDescent="0.25">
      <c r="A10" s="4" t="s">
        <v>393</v>
      </c>
      <c r="B10" s="4" t="s">
        <v>234</v>
      </c>
      <c r="D10" s="4">
        <v>4</v>
      </c>
      <c r="E10" s="4" t="s">
        <v>245</v>
      </c>
    </row>
    <row r="11" spans="1:11" x14ac:dyDescent="0.25">
      <c r="A11" s="4" t="s">
        <v>394</v>
      </c>
      <c r="B11" s="4" t="s">
        <v>224</v>
      </c>
      <c r="D11" s="4">
        <v>7</v>
      </c>
      <c r="E11" s="4" t="s">
        <v>246</v>
      </c>
    </row>
    <row r="12" spans="1:11" x14ac:dyDescent="0.25">
      <c r="A12" s="4" t="s">
        <v>395</v>
      </c>
      <c r="B12" s="4" t="s">
        <v>224</v>
      </c>
      <c r="D12" s="4">
        <v>10</v>
      </c>
      <c r="E12" s="4" t="s">
        <v>247</v>
      </c>
    </row>
    <row r="13" spans="1:11" x14ac:dyDescent="0.25">
      <c r="A13" s="4" t="s">
        <v>225</v>
      </c>
      <c r="B13" s="4" t="s">
        <v>239</v>
      </c>
      <c r="D13" s="32"/>
    </row>
    <row r="14" spans="1:11" x14ac:dyDescent="0.25">
      <c r="A14" s="4" t="s">
        <v>399</v>
      </c>
      <c r="B14" s="4" t="s">
        <v>238</v>
      </c>
      <c r="C14" s="20"/>
      <c r="D14" s="68" t="s">
        <v>216</v>
      </c>
      <c r="E14" s="69"/>
    </row>
    <row r="15" spans="1:11" ht="30" x14ac:dyDescent="0.25">
      <c r="C15" s="11"/>
      <c r="D15" s="42" t="s">
        <v>222</v>
      </c>
      <c r="E15" s="21">
        <v>43100</v>
      </c>
    </row>
    <row r="16" spans="1:11" x14ac:dyDescent="0.25">
      <c r="A16" s="66" t="s">
        <v>392</v>
      </c>
      <c r="B16" s="67"/>
      <c r="D16" s="42" t="s">
        <v>402</v>
      </c>
      <c r="E16" s="22">
        <v>4</v>
      </c>
    </row>
    <row r="17" spans="1:5" ht="30" x14ac:dyDescent="0.25">
      <c r="A17" s="42" t="s">
        <v>408</v>
      </c>
      <c r="B17" s="28">
        <v>100</v>
      </c>
      <c r="C17" s="20"/>
      <c r="D17" s="42" t="s">
        <v>35</v>
      </c>
      <c r="E17" s="23">
        <v>42736</v>
      </c>
    </row>
    <row r="18" spans="1:5" ht="30" x14ac:dyDescent="0.25">
      <c r="A18" s="42" t="s">
        <v>407</v>
      </c>
      <c r="B18" s="29">
        <v>250</v>
      </c>
      <c r="C18" s="20"/>
    </row>
    <row r="19" spans="1:5" ht="30" x14ac:dyDescent="0.25">
      <c r="A19" s="42" t="s">
        <v>409</v>
      </c>
      <c r="B19" s="29">
        <v>750</v>
      </c>
    </row>
  </sheetData>
  <mergeCells count="5">
    <mergeCell ref="A6:B6"/>
    <mergeCell ref="D6:E6"/>
    <mergeCell ref="A16:B16"/>
    <mergeCell ref="D14:E14"/>
    <mergeCell ref="A2:H2"/>
  </mergeCells>
  <pageMargins left="0.7" right="0.7" top="0.75" bottom="0.75" header="0.3" footer="0.3"/>
  <pageSetup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outs:outSpaceData xmlns:outs="http://schemas.microsoft.com/office/2009/outspace/metadata">
  <outs:relatedDates>
    <outs:relatedDate>
      <outs:type>3</outs:type>
      <outs:displayName>Last Modified</outs:displayName>
      <outs:dateTime>2007-04-05T12:01:21Z</outs:dateTime>
      <outs:isPinned>true</outs:isPinned>
    </outs:relatedDate>
    <outs:relatedDate>
      <outs:type>2</outs:type>
      <outs:displayName>Created</outs:displayName>
      <outs:dateTime>2006-05-27T16:49:13Z</outs:dateTime>
      <outs:isPinned>true</outs:isPinned>
    </outs:relatedDate>
    <outs:relatedDate>
      <outs:type>4</outs:type>
      <outs:displayName>Last Printed</outs:displayName>
      <outs:dateTime/>
      <outs:isPinned>true</outs:isPinned>
    </outs:relatedDate>
  </outs:relatedDates>
  <outs:relatedDocuments>
    <outs:relatedDocument>
      <outs:type>2</outs:type>
      <outs:displayName>Other documents in current folder</outs:displayName>
      <outs:uri/>
      <outs:isPinned>true</outs:isPinned>
    </outs:relatedDocument>
  </outs:relatedDocuments>
  <outs:relatedPeople>
    <outs:relatedPeopleItem>
      <outs:category>Author</outs:category>
      <outs:people>
        <outs:relatedPerson>
          <outs:displayName>Roy Ageloff</outs:displayName>
          <outs:accountName/>
        </outs:relatedPerson>
      </outs:people>
      <outs:source>0</outs:source>
      <outs:isPinned>true</outs:isPinned>
    </outs:relatedPeopleItem>
    <outs:relatedPeopleItem>
      <outs:category>Last modified by</outs:category>
      <outs:people>
        <outs:relatedPerson>
          <outs:displayName>Roy</outs:displayName>
          <outs:accountName/>
        </outs:relatedPerson>
      </outs:people>
      <outs:source>0</outs:source>
      <outs:isPinned>true</outs:isPinned>
    </outs:relatedPeopleItem>
    <outs:relatedPeopleItem>
      <outs:category>Manager</outs:category>
      <outs:people/>
      <outs:source>0</outs:source>
      <outs:isPinned>false</outs:isPinned>
    </outs:relatedPeopleItem>
  </outs:relatedPeople>
  <propertyMetadataList xmlns="http://schemas.microsoft.com/office/2009/outspace/metadata">
    <propertyMetadata>
      <type>0</type>
      <propertyId>2228224</propertyId>
      <propertyName/>
      <isPinned>true</isPinned>
    </propertyMetadata>
    <propertyMetadata>
      <type>0</type>
      <propertyId>14</propertyId>
      <propertyName/>
      <isPinned>true</isPinned>
    </propertyMetadata>
    <propertyMetadata>
      <type>0</type>
      <propertyId>8</propertyId>
      <propertyName/>
      <isPinned>true</isPinned>
    </propertyMetadata>
    <propertyMetadata>
      <type>0</type>
      <propertyId>6</propertyId>
      <propertyName/>
      <isPinned>false</isPinned>
    </propertyMetadata>
    <propertyMetadata>
      <type>0</type>
      <propertyId>655365</propertyId>
      <propertyName/>
      <isPinned>false</isPinned>
    </propertyMetadata>
    <propertyMetadata>
      <type>0</type>
      <propertyId>1</propertyId>
      <propertyName/>
      <isPinned>false</isPinned>
    </propertyMetadata>
    <propertyMetadata>
      <type>0</type>
      <propertyId>0</propertyId>
      <propertyName/>
      <isPinned>true</isPinned>
    </propertyMetadata>
    <propertyMetadata>
      <type>0</type>
      <propertyId>13</propertyId>
      <propertyName/>
      <isPinned>false</isPinned>
    </propertyMetadata>
    <propertyMetadata>
      <type>0</type>
      <propertyId>1179653</propertyId>
      <propertyName/>
      <isPinned>false</isPinned>
    </propertyMetadata>
    <propertyMetadata>
      <type>0</type>
      <propertyId>22</propertyId>
      <propertyName/>
      <isPinned>false</isPinned>
    </propertyMetadata>
  </propertyMetadataList>
  <outs:corruptMetadataWasLost/>
</outs:outSpaceData>
</file>

<file path=customXml/itemProps1.xml><?xml version="1.0" encoding="utf-8"?>
<ds:datastoreItem xmlns:ds="http://schemas.openxmlformats.org/officeDocument/2006/customXml" ds:itemID="{3FC467A0-742E-4132-A71D-4367EF6E11F9}">
  <ds:schemaRefs>
    <ds:schemaRef ds:uri="http://schemas.microsoft.com/office/2009/outspace/metadat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Documentation</vt:lpstr>
      <vt:lpstr>Employee Analysis</vt:lpstr>
      <vt:lpstr>Employee Data</vt:lpstr>
      <vt:lpstr>Product Data</vt:lpstr>
      <vt:lpstr>Data Tables</vt:lpstr>
      <vt:lpstr>Name_Badge</vt:lpstr>
      <vt:lpstr>Product_Suppliers</vt:lpstr>
      <vt:lpstr>Service_Awards</vt:lpstr>
      <vt:lpstr>Specialty_Store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Vanessa Beals</dc:creator>
  <cp:lastModifiedBy>Carol DesJardins</cp:lastModifiedBy>
  <cp:lastPrinted>2015-12-10T14:29:43Z</cp:lastPrinted>
  <dcterms:created xsi:type="dcterms:W3CDTF">2006-05-27T16:49:13Z</dcterms:created>
  <dcterms:modified xsi:type="dcterms:W3CDTF">2015-12-24T19:29:34Z</dcterms:modified>
</cp:coreProperties>
</file>